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epartments\DistBusDev\Department Only\EE\Z PP&amp;E Only\NH DSM Filings\@ DE 20-092 EERS Plan 2021-2023\3. September 1 FILING\BC Modeling\"/>
    </mc:Choice>
  </mc:AlternateContent>
  <bookViews>
    <workbookView xWindow="0" yWindow="0" windowWidth="20505" windowHeight="10560" tabRatio="865" activeTab="13"/>
  </bookViews>
  <sheets>
    <sheet name="Lookups" sheetId="98" r:id="rId1"/>
    <sheet name="Costs" sheetId="120" r:id="rId2"/>
    <sheet name="ADRYr1" sheetId="126" r:id="rId3"/>
    <sheet name="ADRYr2" sheetId="124" r:id="rId4"/>
    <sheet name="ADRYr3" sheetId="3" r:id="rId5"/>
    <sheet name="CalcsYr1" sheetId="127" r:id="rId6"/>
    <sheet name="CalcsYr2" sheetId="125" r:id="rId7"/>
    <sheet name="CalcsYr3" sheetId="12" r:id="rId8"/>
    <sheet name="Master Data" sheetId="25" r:id="rId9"/>
    <sheet name="AESC" sheetId="8" state="hidden" r:id="rId10"/>
    <sheet name="DemandLookups" sheetId="121" state="hidden" r:id="rId11"/>
    <sheet name="AvoidedDemand" sheetId="122" state="hidden" r:id="rId12"/>
    <sheet name="AvoidedEnergy" sheetId="123" state="hidden" r:id="rId13"/>
    <sheet name="1. Att E1 Cost Eff" sheetId="119" r:id="rId14"/>
    <sheet name="2. Att E1 Ben" sheetId="73" r:id="rId15"/>
    <sheet name="3. Att E1 PI" sheetId="101" state="hidden" r:id="rId16"/>
  </sheets>
  <externalReferences>
    <externalReference r:id="rId17"/>
  </externalReferences>
  <definedNames>
    <definedName name="_xlnm._FilterDatabase" localSheetId="2" hidden="1">ADRYr1!$A$4:$AX$50</definedName>
    <definedName name="_xlnm._FilterDatabase" localSheetId="3" hidden="1">ADRYr2!$A$4:$AX$39</definedName>
    <definedName name="_xlnm._FilterDatabase" localSheetId="4" hidden="1">ADRYr3!$A$4:$AX$39</definedName>
    <definedName name="_xlnm._FilterDatabase" localSheetId="5" hidden="1">CalcsYr1!$A$4:$DO$39</definedName>
    <definedName name="_xlnm._FilterDatabase" localSheetId="6" hidden="1">CalcsYr2!$A$4:$DO$39</definedName>
    <definedName name="_xlnm._FilterDatabase" localSheetId="7" hidden="1">CalcsYr3!$A$4:$DO$39</definedName>
    <definedName name="_xlnm._FilterDatabase" localSheetId="1" hidden="1">Costs!$E$4:$J$474</definedName>
    <definedName name="_xlnm._FilterDatabase" localSheetId="0" hidden="1">Lookups!$F$1:$F$96</definedName>
    <definedName name="_xlnm._FilterDatabase" localSheetId="8" hidden="1">'Master Data'!$A$1:$CQ$1</definedName>
    <definedName name="AveLoss">Lookups!$G$49</definedName>
    <definedName name="avoidedcosttbl">AESC!$A$93:$BC$117</definedName>
    <definedName name="avoidedcosttbl2">AESC!$A$119:$BC$143</definedName>
    <definedName name="avoidedcosttbl3">AESC!$A$145:$BC$169</definedName>
    <definedName name="avoidedcosttblADM">AvoidedEnergy!$A$13:$G$606</definedName>
    <definedName name="avoidedcosttblADMcapDRIPEYr1">AvoidedDemand!$AD$81:$BB$81</definedName>
    <definedName name="avoidedcosttblADMcapDRIPEYr2">AvoidedDemand!$AD$161:$BB$161</definedName>
    <definedName name="avoidedcosttblADMcapDRIPEYr3">AvoidedDemand!$AD$241:$BB$241</definedName>
    <definedName name="avoidedcosttblADMcapYr1">AvoidedDemand!$AD$42:$BB$42</definedName>
    <definedName name="avoidedcosttblADMcapYr2">AvoidedDemand!$AD$122:$BB$122</definedName>
    <definedName name="avoidedcosttblADMcapYr3">AvoidedDemand!$AD$202:$BB$202</definedName>
    <definedName name="avoidedcosttblADMkey">AvoidedEnergy!$G$13:$G$606</definedName>
    <definedName name="CD">Lookups!$G$55</definedName>
    <definedName name="ciwater1">Lookups!$G$40</definedName>
    <definedName name="ciwater2">Lookups!$H$40</definedName>
    <definedName name="ciwater3">Lookups!$I$40</definedName>
    <definedName name="DistributionLosses">Lookups!$G$22</definedName>
    <definedName name="distributionyear1">Lookups!$G$37</definedName>
    <definedName name="distributionyear2">Lookups!$H$37</definedName>
    <definedName name="distributionyear3">Lookups!$I$37</definedName>
    <definedName name="ECD">Lookups!$G$54</definedName>
    <definedName name="ED">Lookups!$G$53</definedName>
    <definedName name="EE">Lookups!$G$62</definedName>
    <definedName name="ElecProg">Lookups!$F$143:$F$173</definedName>
    <definedName name="EndUse">Lookups!$E$121:$E$134</definedName>
    <definedName name="FCMbid">Lookups!$G$23</definedName>
    <definedName name="FE">Lookups!$G$60</definedName>
    <definedName name="FEpercent">Lookups!$G$75</definedName>
    <definedName name="FuelList">Lookups!$E$103:$E$118</definedName>
    <definedName name="GasProg">Lookups!$F$174:$F$191</definedName>
    <definedName name="GD">Lookups!$G$57</definedName>
    <definedName name="GECD">Lookups!$G$58</definedName>
    <definedName name="Half_Year">Lookups!$G$20</definedName>
    <definedName name="Inflation1">Lookups!$G$32</definedName>
    <definedName name="Inflation2">Lookups!$H$32</definedName>
    <definedName name="Inflation3">Lookups!$I$32</definedName>
    <definedName name="KerE">Lookups!$L$82</definedName>
    <definedName name="KeroseneCO2">Lookups!$F$82</definedName>
    <definedName name="KerosenseCO2">Lookups!$F$82</definedName>
    <definedName name="Load_Shape_Demand">DemandLookups!$A$6:$A$11</definedName>
    <definedName name="MasterData">'Master Data'!$C:$CK</definedName>
    <definedName name="NEIadder">Lookups!$G$63</definedName>
    <definedName name="NGCO2">Lookups!$F$79</definedName>
    <definedName name="NGE">Lookups!$L$79</definedName>
    <definedName name="nomdiscrt1">Lookups!$G$31</definedName>
    <definedName name="nomdiscrt2">Lookups!$H$31</definedName>
    <definedName name="nomdiscrt3">Lookups!$I$31</definedName>
    <definedName name="OilCO2">Lookups!$F$80</definedName>
    <definedName name="OilDRIPE">Lookups!$G$59</definedName>
    <definedName name="OilE">Lookups!$L$80</definedName>
    <definedName name="PA">Lookups!$F$9</definedName>
    <definedName name="_xlnm.Print_Area" localSheetId="13">'1. Att E1 Cost Eff'!$A$1:$L$62</definedName>
    <definedName name="_xlnm.Print_Area" localSheetId="14">'2. Att E1 Ben'!$A$1:$U$44</definedName>
    <definedName name="_xlnm.Print_Area" localSheetId="15">'3. Att E1 PI'!$A$1:$L$71</definedName>
    <definedName name="_xlnm.Print_Area" localSheetId="5">CalcsYr1!$A$1:$BD$39</definedName>
    <definedName name="_xlnm.Print_Area" localSheetId="6">CalcsYr2!$A$1:$BD$39</definedName>
    <definedName name="_xlnm.Print_Area" localSheetId="7">CalcsYr3!$A$1:$BD$39</definedName>
    <definedName name="_xlnm.Print_Titles" localSheetId="1">Costs!$4:$4</definedName>
    <definedName name="PropaneCO2">Lookups!$F$81</definedName>
    <definedName name="PropCO2">Lookups!$F$81</definedName>
    <definedName name="PropE">Lookups!$L$81</definedName>
    <definedName name="PTF_Year">Lookups!$G$35</definedName>
    <definedName name="PTFlosses">Lookups!$G$24</definedName>
    <definedName name="PTFyear1">Lookups!$G$34</definedName>
    <definedName name="PTFyear2">Lookups!$H$34</definedName>
    <definedName name="PTFyear3">Lookups!$I$34</definedName>
    <definedName name="Real_Year">Lookups!$G$19</definedName>
    <definedName name="realdiscrt1">Lookups!$G$33</definedName>
    <definedName name="realdiscrt2">Lookups!$H$33</definedName>
    <definedName name="realdiscrt3">Lookups!$I$33</definedName>
    <definedName name="Reliability">Lookups!$G$56</definedName>
    <definedName name="reswater1">Lookups!$G$39</definedName>
    <definedName name="reswater2">Lookups!$H$39</definedName>
    <definedName name="reswater3">Lookups!$I$39</definedName>
    <definedName name="RGGI">Lookups!$G$61</definedName>
    <definedName name="RT_Bat_Eff">[1]Lookups!$G$28</definedName>
    <definedName name="Sector">Lookups!$E$137:$E$139</definedName>
    <definedName name="SumOffPeakEnergyLL">Lookups!$G$46</definedName>
    <definedName name="SumPeakEnergyLL">Lookups!$G$45</definedName>
    <definedName name="TD_Year">Lookups!$G$38</definedName>
    <definedName name="transmissionyear1">Lookups!$G$36</definedName>
    <definedName name="transmissionyear2">Lookups!$H$36</definedName>
    <definedName name="transmissionyear3">Lookups!$I$36</definedName>
    <definedName name="WholesaleRiskPremium">Lookups!$G$21</definedName>
    <definedName name="WntOffPeakEnergyLL">Lookups!$G$48</definedName>
    <definedName name="WntPeakEnergyLL">Lookups!$G$47</definedName>
    <definedName name="Wt_Year">Lookups!$G$41</definedName>
    <definedName name="Year1">Lookups!$F$11</definedName>
    <definedName name="Year2">Lookups!$F$12</definedName>
    <definedName name="Year3">Lookups!$F$13</definedName>
  </definedNames>
  <calcPr calcId="152511"/>
</workbook>
</file>

<file path=xl/calcChain.xml><?xml version="1.0" encoding="utf-8"?>
<calcChain xmlns="http://schemas.openxmlformats.org/spreadsheetml/2006/main">
  <c r="J50" i="119" l="1"/>
  <c r="J31" i="119"/>
  <c r="J12" i="119"/>
  <c r="V12" i="25" l="1"/>
  <c r="V10" i="25"/>
  <c r="V8" i="25"/>
  <c r="V6" i="25"/>
  <c r="V4" i="25"/>
  <c r="V2" i="25"/>
  <c r="G13" i="120" l="1"/>
  <c r="J35" i="126"/>
  <c r="V41" i="3" l="1"/>
  <c r="V40" i="3"/>
  <c r="V39" i="3"/>
  <c r="V38" i="3"/>
  <c r="V37" i="3"/>
  <c r="V34" i="3"/>
  <c r="V33" i="3"/>
  <c r="V32" i="3"/>
  <c r="V31" i="3"/>
  <c r="V30" i="3"/>
  <c r="V29" i="3"/>
  <c r="V16" i="3"/>
  <c r="V15" i="3"/>
  <c r="V14" i="3"/>
  <c r="V13" i="3"/>
  <c r="V12" i="3"/>
  <c r="V11" i="3"/>
  <c r="V10" i="3"/>
  <c r="V9" i="3"/>
  <c r="V8" i="3"/>
  <c r="V7" i="3"/>
  <c r="V6" i="3"/>
  <c r="V5" i="3"/>
  <c r="AD41" i="124"/>
  <c r="AD40" i="124"/>
  <c r="AD39" i="124"/>
  <c r="AD38" i="124"/>
  <c r="AD37" i="124"/>
  <c r="AD36" i="124"/>
  <c r="AD35" i="124"/>
  <c r="J35" i="124" s="1"/>
  <c r="I35" i="124" s="1"/>
  <c r="AD34" i="124"/>
  <c r="AD33" i="124"/>
  <c r="AD32" i="124"/>
  <c r="AD31" i="124"/>
  <c r="AD30" i="124"/>
  <c r="AD29" i="124"/>
  <c r="AD16" i="124"/>
  <c r="AD15" i="124"/>
  <c r="AD14" i="124"/>
  <c r="AD13" i="124"/>
  <c r="AD12" i="124"/>
  <c r="AD11" i="124"/>
  <c r="AD10" i="124"/>
  <c r="AD9" i="124"/>
  <c r="AD8" i="124"/>
  <c r="AD7" i="124"/>
  <c r="AD6" i="124"/>
  <c r="AD5" i="124"/>
  <c r="AD41" i="3"/>
  <c r="AD40" i="3"/>
  <c r="AD39" i="3"/>
  <c r="AD38" i="3"/>
  <c r="AD37" i="3"/>
  <c r="AD36" i="3"/>
  <c r="AD35" i="3"/>
  <c r="J35" i="3" s="1"/>
  <c r="I35" i="3" s="1"/>
  <c r="AD34" i="3"/>
  <c r="AD33" i="3"/>
  <c r="AD32" i="3"/>
  <c r="AD31" i="3"/>
  <c r="AD30" i="3"/>
  <c r="AD29" i="3"/>
  <c r="AD16" i="3"/>
  <c r="AD15" i="3"/>
  <c r="AD14" i="3"/>
  <c r="AD13" i="3"/>
  <c r="AD12" i="3"/>
  <c r="AD11" i="3"/>
  <c r="AD10" i="3"/>
  <c r="AD9" i="3"/>
  <c r="AD8" i="3"/>
  <c r="AD7" i="3"/>
  <c r="AD6" i="3"/>
  <c r="AD5" i="3"/>
  <c r="V6" i="124"/>
  <c r="V7" i="124"/>
  <c r="V8" i="124"/>
  <c r="V9" i="124"/>
  <c r="V10" i="124"/>
  <c r="V11" i="124"/>
  <c r="V12" i="124"/>
  <c r="V13" i="124"/>
  <c r="V14" i="124"/>
  <c r="V15" i="124"/>
  <c r="V16" i="124"/>
  <c r="V5" i="124"/>
  <c r="V30" i="124"/>
  <c r="V31" i="124"/>
  <c r="V32" i="124"/>
  <c r="V33" i="124"/>
  <c r="V34" i="124"/>
  <c r="V37" i="124"/>
  <c r="V38" i="124"/>
  <c r="V39" i="124"/>
  <c r="V40" i="124"/>
  <c r="V41" i="124"/>
  <c r="V29" i="124"/>
  <c r="V35" i="126" l="1"/>
  <c r="I35" i="126"/>
  <c r="V36" i="126" l="1"/>
  <c r="V35" i="124"/>
  <c r="V35" i="3"/>
  <c r="G5" i="127"/>
  <c r="V36" i="3" l="1"/>
  <c r="V36" i="124"/>
  <c r="J29" i="3"/>
  <c r="J29" i="124"/>
  <c r="G10" i="120" s="1"/>
  <c r="J29" i="126"/>
  <c r="G7" i="120" s="1"/>
  <c r="I5" i="3"/>
  <c r="I5" i="124"/>
  <c r="I5" i="126"/>
  <c r="G11" i="120" l="1"/>
  <c r="G8" i="120"/>
  <c r="I29" i="3"/>
  <c r="I29" i="124"/>
  <c r="G5" i="120"/>
  <c r="I29" i="126"/>
  <c r="V11" i="126" l="1"/>
  <c r="V12" i="126" s="1"/>
  <c r="AD12" i="126"/>
  <c r="CJ3" i="25" l="1"/>
  <c r="CJ7" i="25"/>
  <c r="CJ11" i="25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5" i="125"/>
  <c r="E6" i="125"/>
  <c r="E7" i="125"/>
  <c r="E8" i="125"/>
  <c r="E9" i="125"/>
  <c r="E10" i="125"/>
  <c r="E11" i="125"/>
  <c r="E12" i="125"/>
  <c r="E13" i="125"/>
  <c r="E14" i="125"/>
  <c r="E15" i="125"/>
  <c r="E16" i="125"/>
  <c r="E17" i="125"/>
  <c r="E18" i="125"/>
  <c r="E19" i="125"/>
  <c r="E20" i="125"/>
  <c r="E21" i="125"/>
  <c r="E22" i="125"/>
  <c r="E23" i="125"/>
  <c r="E24" i="125"/>
  <c r="E25" i="125"/>
  <c r="E26" i="125"/>
  <c r="E27" i="125"/>
  <c r="E28" i="125"/>
  <c r="E29" i="125"/>
  <c r="E30" i="125"/>
  <c r="E31" i="125"/>
  <c r="E32" i="125"/>
  <c r="E33" i="125"/>
  <c r="E34" i="125"/>
  <c r="E35" i="125"/>
  <c r="E36" i="125"/>
  <c r="E37" i="125"/>
  <c r="E38" i="125"/>
  <c r="E39" i="125"/>
  <c r="E40" i="125"/>
  <c r="E41" i="125"/>
  <c r="E5" i="127"/>
  <c r="E6" i="127"/>
  <c r="E7" i="127"/>
  <c r="E8" i="127"/>
  <c r="E9" i="127"/>
  <c r="E10" i="127"/>
  <c r="E11" i="127"/>
  <c r="E12" i="127"/>
  <c r="E13" i="127"/>
  <c r="E14" i="127"/>
  <c r="E15" i="127"/>
  <c r="E16" i="127"/>
  <c r="E17" i="127"/>
  <c r="E18" i="127"/>
  <c r="E19" i="127"/>
  <c r="E20" i="127"/>
  <c r="E21" i="127"/>
  <c r="E22" i="127"/>
  <c r="E23" i="127"/>
  <c r="E24" i="127"/>
  <c r="E25" i="127"/>
  <c r="E26" i="127"/>
  <c r="E27" i="127"/>
  <c r="E28" i="127"/>
  <c r="E29" i="127"/>
  <c r="E30" i="127"/>
  <c r="E31" i="127"/>
  <c r="E32" i="127"/>
  <c r="E33" i="127"/>
  <c r="E34" i="127"/>
  <c r="E35" i="127"/>
  <c r="E36" i="127"/>
  <c r="E37" i="127"/>
  <c r="E38" i="127"/>
  <c r="E39" i="127"/>
  <c r="E40" i="127"/>
  <c r="E41" i="127"/>
  <c r="R4" i="8" l="1"/>
  <c r="Q4" i="8"/>
  <c r="P4" i="8"/>
  <c r="P6" i="8"/>
  <c r="H4" i="8"/>
  <c r="I4" i="8" s="1"/>
  <c r="G97" i="98"/>
  <c r="G96" i="98"/>
  <c r="G46" i="98"/>
  <c r="G45" i="98"/>
  <c r="H32" i="98"/>
  <c r="I32" i="98" s="1"/>
  <c r="H31" i="98"/>
  <c r="I31" i="98" s="1"/>
  <c r="AD14" i="122" l="1"/>
  <c r="O13" i="8"/>
  <c r="J4" i="8"/>
  <c r="L11" i="123" l="1"/>
  <c r="M11" i="123"/>
  <c r="N11" i="123"/>
  <c r="BZ2" i="12" l="1"/>
  <c r="CA2" i="12" s="1"/>
  <c r="CB2" i="12" s="1"/>
  <c r="CC2" i="12" s="1"/>
  <c r="CD2" i="12" s="1"/>
  <c r="CE2" i="12" s="1"/>
  <c r="CG2" i="12" s="1"/>
  <c r="CH2" i="12" s="1"/>
  <c r="CI2" i="12" s="1"/>
  <c r="CJ2" i="12" s="1"/>
  <c r="CK2" i="12" s="1"/>
  <c r="CL2" i="12" s="1"/>
  <c r="CM2" i="12" s="1"/>
  <c r="CN2" i="12" s="1"/>
  <c r="CQ2" i="12" s="1"/>
  <c r="CR2" i="12" s="1"/>
  <c r="CS2" i="12" s="1"/>
  <c r="CT2" i="12" s="1"/>
  <c r="CU2" i="12" s="1"/>
  <c r="CV2" i="12" s="1"/>
  <c r="CW2" i="12" s="1"/>
  <c r="CX2" i="12" s="1"/>
  <c r="CY2" i="12" s="1"/>
  <c r="CZ2" i="12" s="1"/>
  <c r="DC2" i="12" s="1"/>
  <c r="DD2" i="12" s="1"/>
  <c r="DF2" i="12" s="1"/>
  <c r="DG2" i="12" s="1"/>
  <c r="DH2" i="12" s="1"/>
  <c r="DI2" i="12" s="1"/>
  <c r="CA2" i="125"/>
  <c r="CB2" i="125" s="1"/>
  <c r="CC2" i="125" s="1"/>
  <c r="CD2" i="125" s="1"/>
  <c r="CE2" i="125" s="1"/>
  <c r="CG2" i="125" s="1"/>
  <c r="CH2" i="125" s="1"/>
  <c r="CI2" i="125" s="1"/>
  <c r="CJ2" i="125" s="1"/>
  <c r="CK2" i="125" s="1"/>
  <c r="CL2" i="125" s="1"/>
  <c r="CM2" i="125" s="1"/>
  <c r="CN2" i="125" s="1"/>
  <c r="CQ2" i="125" s="1"/>
  <c r="CR2" i="125" s="1"/>
  <c r="CS2" i="125" s="1"/>
  <c r="CT2" i="125" s="1"/>
  <c r="CU2" i="125" s="1"/>
  <c r="CV2" i="125" s="1"/>
  <c r="CW2" i="125" s="1"/>
  <c r="CX2" i="125" s="1"/>
  <c r="CY2" i="125" s="1"/>
  <c r="CZ2" i="125" s="1"/>
  <c r="DC2" i="125" s="1"/>
  <c r="DD2" i="125" s="1"/>
  <c r="DF2" i="125" s="1"/>
  <c r="DG2" i="125" s="1"/>
  <c r="DH2" i="125" s="1"/>
  <c r="DI2" i="125" s="1"/>
  <c r="BZ2" i="125"/>
  <c r="CA2" i="127"/>
  <c r="CB2" i="127" s="1"/>
  <c r="CC2" i="127" s="1"/>
  <c r="CD2" i="127" s="1"/>
  <c r="CE2" i="127" s="1"/>
  <c r="CG2" i="127" s="1"/>
  <c r="CH2" i="127" s="1"/>
  <c r="CI2" i="127" s="1"/>
  <c r="CJ2" i="127" s="1"/>
  <c r="CK2" i="127" s="1"/>
  <c r="CL2" i="127" s="1"/>
  <c r="CM2" i="127" s="1"/>
  <c r="CN2" i="127" s="1"/>
  <c r="CQ2" i="127" s="1"/>
  <c r="CR2" i="127" s="1"/>
  <c r="CS2" i="127" s="1"/>
  <c r="CT2" i="127" s="1"/>
  <c r="CU2" i="127" s="1"/>
  <c r="CV2" i="127" s="1"/>
  <c r="CW2" i="127" s="1"/>
  <c r="CX2" i="127" s="1"/>
  <c r="CY2" i="127" s="1"/>
  <c r="CZ2" i="127" s="1"/>
  <c r="DC2" i="127" s="1"/>
  <c r="DD2" i="127" s="1"/>
  <c r="DF2" i="127" s="1"/>
  <c r="DG2" i="127" s="1"/>
  <c r="DH2" i="127" s="1"/>
  <c r="DI2" i="127" s="1"/>
  <c r="BZ2" i="127"/>
  <c r="CL185" i="8"/>
  <c r="CM185" i="8"/>
  <c r="CO185" i="8"/>
  <c r="CP185" i="8"/>
  <c r="CL186" i="8"/>
  <c r="CM186" i="8"/>
  <c r="CO186" i="8"/>
  <c r="CP186" i="8"/>
  <c r="CL187" i="8"/>
  <c r="CM187" i="8"/>
  <c r="CO187" i="8"/>
  <c r="CP187" i="8"/>
  <c r="CL188" i="8"/>
  <c r="CM188" i="8"/>
  <c r="CO188" i="8"/>
  <c r="CP188" i="8"/>
  <c r="CL189" i="8"/>
  <c r="CM189" i="8"/>
  <c r="CO189" i="8"/>
  <c r="CP189" i="8"/>
  <c r="CL190" i="8"/>
  <c r="CM190" i="8"/>
  <c r="CO190" i="8"/>
  <c r="CP190" i="8"/>
  <c r="CL191" i="8"/>
  <c r="CM191" i="8"/>
  <c r="CO191" i="8"/>
  <c r="CP191" i="8"/>
  <c r="CL192" i="8"/>
  <c r="CM192" i="8"/>
  <c r="CO192" i="8"/>
  <c r="CP192" i="8"/>
  <c r="CL193" i="8"/>
  <c r="CM193" i="8"/>
  <c r="CO193" i="8"/>
  <c r="CP193" i="8"/>
  <c r="CL194" i="8"/>
  <c r="CM194" i="8"/>
  <c r="CO194" i="8"/>
  <c r="CP194" i="8"/>
  <c r="CL195" i="8"/>
  <c r="CM195" i="8"/>
  <c r="CO195" i="8"/>
  <c r="CP195" i="8"/>
  <c r="CL196" i="8"/>
  <c r="CM196" i="8"/>
  <c r="CO196" i="8"/>
  <c r="CP196" i="8"/>
  <c r="CL197" i="8"/>
  <c r="CM197" i="8"/>
  <c r="CO197" i="8"/>
  <c r="CP197" i="8"/>
  <c r="CL198" i="8"/>
  <c r="CM198" i="8"/>
  <c r="CO198" i="8"/>
  <c r="CP198" i="8"/>
  <c r="CL199" i="8"/>
  <c r="CM199" i="8"/>
  <c r="CO199" i="8"/>
  <c r="CP199" i="8"/>
  <c r="CL200" i="8"/>
  <c r="CM200" i="8"/>
  <c r="CO200" i="8"/>
  <c r="CP200" i="8"/>
  <c r="CL201" i="8"/>
  <c r="CM201" i="8"/>
  <c r="CO201" i="8"/>
  <c r="CP201" i="8"/>
  <c r="CL202" i="8"/>
  <c r="CM202" i="8"/>
  <c r="CO202" i="8"/>
  <c r="CP202" i="8"/>
  <c r="CL203" i="8"/>
  <c r="CM203" i="8"/>
  <c r="CO203" i="8"/>
  <c r="CP203" i="8"/>
  <c r="CL204" i="8"/>
  <c r="CM204" i="8"/>
  <c r="CO204" i="8"/>
  <c r="CP204" i="8"/>
  <c r="CL205" i="8"/>
  <c r="CM205" i="8"/>
  <c r="CO205" i="8"/>
  <c r="CP205" i="8"/>
  <c r="CL206" i="8"/>
  <c r="CM206" i="8"/>
  <c r="CO206" i="8"/>
  <c r="CP206" i="8"/>
  <c r="CL207" i="8"/>
  <c r="CM207" i="8"/>
  <c r="CO207" i="8"/>
  <c r="CP207" i="8"/>
  <c r="CL208" i="8"/>
  <c r="CM208" i="8"/>
  <c r="CO208" i="8"/>
  <c r="CP208" i="8"/>
  <c r="CL209" i="8"/>
  <c r="CM209" i="8"/>
  <c r="CO209" i="8"/>
  <c r="CP209" i="8"/>
  <c r="CL210" i="8"/>
  <c r="CM210" i="8"/>
  <c r="CO210" i="8"/>
  <c r="CP210" i="8"/>
  <c r="CL211" i="8"/>
  <c r="CM211" i="8"/>
  <c r="CO211" i="8"/>
  <c r="CP211" i="8"/>
  <c r="CL212" i="8"/>
  <c r="CM212" i="8"/>
  <c r="CO212" i="8"/>
  <c r="CP212" i="8"/>
  <c r="CL213" i="8"/>
  <c r="CM213" i="8"/>
  <c r="CO213" i="8"/>
  <c r="CP213" i="8"/>
  <c r="CL214" i="8"/>
  <c r="CM214" i="8"/>
  <c r="CO214" i="8"/>
  <c r="CP214" i="8"/>
  <c r="CL215" i="8"/>
  <c r="CM215" i="8"/>
  <c r="CO215" i="8"/>
  <c r="CP215" i="8"/>
  <c r="CL216" i="8"/>
  <c r="CM216" i="8"/>
  <c r="CO216" i="8"/>
  <c r="CP216" i="8"/>
  <c r="CM184" i="8"/>
  <c r="CO184" i="8"/>
  <c r="CP184" i="8"/>
  <c r="CL184" i="8"/>
  <c r="E2" i="124" l="1"/>
  <c r="E2" i="126"/>
  <c r="D45" i="101" l="1"/>
  <c r="B7" i="101"/>
  <c r="D24" i="101"/>
  <c r="G16" i="101"/>
  <c r="E16" i="101"/>
  <c r="F16" i="101" s="1"/>
  <c r="F15" i="101"/>
  <c r="F14" i="101"/>
  <c r="H13" i="101"/>
  <c r="K13" i="101" s="1"/>
  <c r="G13" i="101"/>
  <c r="F13" i="101"/>
  <c r="H12" i="101"/>
  <c r="K12" i="101" s="1"/>
  <c r="G12" i="101"/>
  <c r="F12" i="101"/>
  <c r="H11" i="101"/>
  <c r="K11" i="101" s="1"/>
  <c r="G11" i="101"/>
  <c r="F11" i="101"/>
  <c r="H10" i="101"/>
  <c r="G10" i="101"/>
  <c r="F10" i="101"/>
  <c r="B28" i="101"/>
  <c r="G37" i="101"/>
  <c r="E37" i="101"/>
  <c r="F37" i="101" s="1"/>
  <c r="F36" i="101"/>
  <c r="F35" i="101"/>
  <c r="H34" i="101"/>
  <c r="K34" i="101" s="1"/>
  <c r="G34" i="101"/>
  <c r="F34" i="101"/>
  <c r="H33" i="101"/>
  <c r="K33" i="101" s="1"/>
  <c r="G33" i="101"/>
  <c r="F33" i="101"/>
  <c r="H32" i="101"/>
  <c r="K32" i="101" s="1"/>
  <c r="G32" i="101"/>
  <c r="F32" i="101"/>
  <c r="H31" i="101"/>
  <c r="K31" i="101" s="1"/>
  <c r="G31" i="101"/>
  <c r="F31" i="101"/>
  <c r="B49" i="101"/>
  <c r="A34" i="73"/>
  <c r="A23" i="73"/>
  <c r="A12" i="73"/>
  <c r="J55" i="119"/>
  <c r="J49" i="119"/>
  <c r="J51" i="119" s="1"/>
  <c r="J36" i="119"/>
  <c r="J30" i="119"/>
  <c r="A46" i="119"/>
  <c r="A27" i="119"/>
  <c r="J11" i="119"/>
  <c r="L1" i="101"/>
  <c r="U1" i="73"/>
  <c r="A8" i="119"/>
  <c r="CS5" i="25"/>
  <c r="CS9" i="25"/>
  <c r="CS13" i="25"/>
  <c r="A12" i="120"/>
  <c r="A13" i="120"/>
  <c r="A9" i="120"/>
  <c r="A10" i="120"/>
  <c r="A6" i="120"/>
  <c r="A7" i="120"/>
  <c r="A11" i="120"/>
  <c r="A8" i="120"/>
  <c r="A5" i="120"/>
  <c r="L12" i="120"/>
  <c r="L9" i="120"/>
  <c r="L8" i="120"/>
  <c r="C7" i="25"/>
  <c r="CS7" i="25" s="1"/>
  <c r="C8" i="25"/>
  <c r="CS8" i="25" s="1"/>
  <c r="C6" i="25"/>
  <c r="CS6" i="25" s="1"/>
  <c r="C3" i="25"/>
  <c r="C4" i="25"/>
  <c r="C2" i="25"/>
  <c r="D4" i="25"/>
  <c r="B4" i="25"/>
  <c r="A4" i="25"/>
  <c r="D3" i="25"/>
  <c r="B3" i="25"/>
  <c r="A3" i="25"/>
  <c r="D2" i="25"/>
  <c r="B2" i="25"/>
  <c r="A2" i="25"/>
  <c r="D8" i="25"/>
  <c r="B8" i="25"/>
  <c r="A8" i="25"/>
  <c r="D7" i="25"/>
  <c r="B7" i="25"/>
  <c r="A7" i="25"/>
  <c r="D6" i="25"/>
  <c r="B6" i="25"/>
  <c r="A6" i="25"/>
  <c r="DC50" i="127"/>
  <c r="DC49" i="127"/>
  <c r="DC48" i="127"/>
  <c r="DC47" i="127"/>
  <c r="DC46" i="127"/>
  <c r="DC45" i="127"/>
  <c r="DC44" i="127"/>
  <c r="DC43" i="127"/>
  <c r="DC42" i="127"/>
  <c r="DC41" i="127"/>
  <c r="DC40" i="127"/>
  <c r="DC39" i="127"/>
  <c r="DC38" i="127"/>
  <c r="DC37" i="127"/>
  <c r="DC36" i="127"/>
  <c r="DC35" i="127"/>
  <c r="DC34" i="127"/>
  <c r="DC33" i="127"/>
  <c r="DC32" i="127"/>
  <c r="DC31" i="127"/>
  <c r="DC30" i="127"/>
  <c r="DC29" i="127"/>
  <c r="DC28" i="127"/>
  <c r="DC27" i="127"/>
  <c r="DC26" i="127"/>
  <c r="DC25" i="127"/>
  <c r="DC24" i="127"/>
  <c r="DC23" i="127"/>
  <c r="DC22" i="127"/>
  <c r="DC21" i="127"/>
  <c r="DC20" i="127"/>
  <c r="DC19" i="127"/>
  <c r="DC18" i="127"/>
  <c r="DC17" i="127"/>
  <c r="DC16" i="127"/>
  <c r="DC15" i="127"/>
  <c r="DC14" i="127"/>
  <c r="DC13" i="127"/>
  <c r="DC12" i="127"/>
  <c r="DC11" i="127"/>
  <c r="DC10" i="127"/>
  <c r="DC9" i="127"/>
  <c r="DC8" i="127"/>
  <c r="DC7" i="127"/>
  <c r="DC6" i="127"/>
  <c r="DC5" i="127"/>
  <c r="B1" i="125"/>
  <c r="DC50" i="125"/>
  <c r="DC49" i="125"/>
  <c r="DC48" i="125"/>
  <c r="DC47" i="125"/>
  <c r="DC46" i="125"/>
  <c r="DC45" i="125"/>
  <c r="DC44" i="125"/>
  <c r="DC43" i="125"/>
  <c r="DC42" i="125"/>
  <c r="DC41" i="125"/>
  <c r="DC40" i="125"/>
  <c r="DC39" i="125"/>
  <c r="DC38" i="125"/>
  <c r="DC37" i="125"/>
  <c r="DC36" i="125"/>
  <c r="DC35" i="125"/>
  <c r="DC34" i="125"/>
  <c r="DC33" i="125"/>
  <c r="DC32" i="125"/>
  <c r="DC31" i="125"/>
  <c r="DC30" i="125"/>
  <c r="DC29" i="125"/>
  <c r="DC28" i="125"/>
  <c r="DC27" i="125"/>
  <c r="DC26" i="125"/>
  <c r="DC25" i="125"/>
  <c r="DC24" i="125"/>
  <c r="DC23" i="125"/>
  <c r="DC22" i="125"/>
  <c r="DC21" i="125"/>
  <c r="DC20" i="125"/>
  <c r="DC19" i="125"/>
  <c r="DC18" i="125"/>
  <c r="DC17" i="125"/>
  <c r="DC16" i="125"/>
  <c r="DC15" i="125"/>
  <c r="DC14" i="125"/>
  <c r="DC13" i="125"/>
  <c r="DC12" i="125"/>
  <c r="DC11" i="125"/>
  <c r="DC10" i="125"/>
  <c r="DC9" i="125"/>
  <c r="DC8" i="125"/>
  <c r="DC7" i="125"/>
  <c r="DC6" i="125"/>
  <c r="DC5" i="125"/>
  <c r="B1" i="127"/>
  <c r="G50" i="127"/>
  <c r="DM50" i="127" s="1"/>
  <c r="F50" i="127"/>
  <c r="D50" i="127"/>
  <c r="C50" i="127"/>
  <c r="B50" i="127"/>
  <c r="A50" i="127"/>
  <c r="G49" i="127"/>
  <c r="DM49" i="127" s="1"/>
  <c r="F49" i="127"/>
  <c r="D49" i="127"/>
  <c r="C49" i="127"/>
  <c r="B49" i="127"/>
  <c r="A49" i="127"/>
  <c r="G48" i="127"/>
  <c r="DM48" i="127" s="1"/>
  <c r="F48" i="127"/>
  <c r="D48" i="127"/>
  <c r="C48" i="127"/>
  <c r="B48" i="127"/>
  <c r="A48" i="127"/>
  <c r="G47" i="127"/>
  <c r="DM47" i="127" s="1"/>
  <c r="F47" i="127"/>
  <c r="D47" i="127"/>
  <c r="C47" i="127"/>
  <c r="B47" i="127"/>
  <c r="A47" i="127"/>
  <c r="G46" i="127"/>
  <c r="DM46" i="127" s="1"/>
  <c r="F46" i="127"/>
  <c r="D46" i="127"/>
  <c r="C46" i="127"/>
  <c r="B46" i="127"/>
  <c r="A46" i="127"/>
  <c r="G45" i="127"/>
  <c r="DM45" i="127" s="1"/>
  <c r="F45" i="127"/>
  <c r="D45" i="127"/>
  <c r="C45" i="127"/>
  <c r="B45" i="127"/>
  <c r="A45" i="127"/>
  <c r="G44" i="127"/>
  <c r="F44" i="127"/>
  <c r="D44" i="127"/>
  <c r="C44" i="127"/>
  <c r="B44" i="127"/>
  <c r="A44" i="127"/>
  <c r="G43" i="127"/>
  <c r="DM43" i="127" s="1"/>
  <c r="F43" i="127"/>
  <c r="D43" i="127"/>
  <c r="C43" i="127"/>
  <c r="B43" i="127"/>
  <c r="A43" i="127"/>
  <c r="G42" i="127"/>
  <c r="DM42" i="127" s="1"/>
  <c r="F42" i="127"/>
  <c r="D42" i="127"/>
  <c r="C42" i="127"/>
  <c r="B42" i="127"/>
  <c r="A42" i="127"/>
  <c r="G41" i="127"/>
  <c r="F41" i="127"/>
  <c r="D41" i="127"/>
  <c r="C41" i="127"/>
  <c r="B41" i="127"/>
  <c r="A41" i="127"/>
  <c r="G40" i="127"/>
  <c r="F40" i="127"/>
  <c r="D40" i="127"/>
  <c r="C40" i="127"/>
  <c r="B40" i="127"/>
  <c r="A40" i="127"/>
  <c r="G39" i="127"/>
  <c r="F39" i="127"/>
  <c r="D39" i="127"/>
  <c r="C39" i="127"/>
  <c r="B39" i="127"/>
  <c r="A39" i="127"/>
  <c r="G38" i="127"/>
  <c r="F38" i="127"/>
  <c r="D38" i="127"/>
  <c r="C38" i="127"/>
  <c r="B38" i="127"/>
  <c r="A38" i="127"/>
  <c r="G37" i="127"/>
  <c r="F37" i="127"/>
  <c r="D37" i="127"/>
  <c r="C37" i="127"/>
  <c r="B37" i="127"/>
  <c r="A37" i="127"/>
  <c r="G36" i="127"/>
  <c r="F36" i="127"/>
  <c r="D36" i="127"/>
  <c r="C36" i="127"/>
  <c r="B36" i="127"/>
  <c r="A36" i="127"/>
  <c r="G35" i="127"/>
  <c r="F35" i="127"/>
  <c r="D35" i="127"/>
  <c r="C35" i="127"/>
  <c r="B35" i="127"/>
  <c r="A35" i="127"/>
  <c r="G34" i="127"/>
  <c r="F34" i="127"/>
  <c r="D34" i="127"/>
  <c r="C34" i="127"/>
  <c r="B34" i="127"/>
  <c r="A34" i="127"/>
  <c r="G33" i="127"/>
  <c r="F33" i="127"/>
  <c r="D33" i="127"/>
  <c r="C33" i="127"/>
  <c r="B33" i="127"/>
  <c r="A33" i="127"/>
  <c r="G32" i="127"/>
  <c r="F32" i="127"/>
  <c r="D32" i="127"/>
  <c r="C32" i="127"/>
  <c r="B32" i="127"/>
  <c r="A32" i="127"/>
  <c r="G31" i="127"/>
  <c r="F31" i="127"/>
  <c r="D31" i="127"/>
  <c r="C31" i="127"/>
  <c r="B31" i="127"/>
  <c r="A31" i="127"/>
  <c r="G30" i="127"/>
  <c r="F30" i="127"/>
  <c r="D30" i="127"/>
  <c r="C30" i="127"/>
  <c r="B30" i="127"/>
  <c r="A30" i="127"/>
  <c r="G29" i="127"/>
  <c r="F29" i="127"/>
  <c r="D29" i="127"/>
  <c r="C29" i="127"/>
  <c r="B29" i="127"/>
  <c r="A29" i="127"/>
  <c r="G28" i="127"/>
  <c r="DM28" i="127" s="1"/>
  <c r="F28" i="127"/>
  <c r="D28" i="127"/>
  <c r="C28" i="127"/>
  <c r="B28" i="127"/>
  <c r="A28" i="127"/>
  <c r="G27" i="127"/>
  <c r="DM27" i="127" s="1"/>
  <c r="F27" i="127"/>
  <c r="D27" i="127"/>
  <c r="C27" i="127"/>
  <c r="B27" i="127"/>
  <c r="A27" i="127"/>
  <c r="G26" i="127"/>
  <c r="DM26" i="127" s="1"/>
  <c r="F26" i="127"/>
  <c r="D26" i="127"/>
  <c r="C26" i="127"/>
  <c r="B26" i="127"/>
  <c r="A26" i="127"/>
  <c r="G25" i="127"/>
  <c r="DM25" i="127" s="1"/>
  <c r="F25" i="127"/>
  <c r="D25" i="127"/>
  <c r="C25" i="127"/>
  <c r="B25" i="127"/>
  <c r="A25" i="127"/>
  <c r="G24" i="127"/>
  <c r="DM24" i="127" s="1"/>
  <c r="F24" i="127"/>
  <c r="D24" i="127"/>
  <c r="C24" i="127"/>
  <c r="B24" i="127"/>
  <c r="A24" i="127"/>
  <c r="G23" i="127"/>
  <c r="DM23" i="127" s="1"/>
  <c r="F23" i="127"/>
  <c r="D23" i="127"/>
  <c r="C23" i="127"/>
  <c r="B23" i="127"/>
  <c r="A23" i="127"/>
  <c r="G22" i="127"/>
  <c r="DM22" i="127" s="1"/>
  <c r="F22" i="127"/>
  <c r="D22" i="127"/>
  <c r="C22" i="127"/>
  <c r="B22" i="127"/>
  <c r="A22" i="127"/>
  <c r="G21" i="127"/>
  <c r="DM21" i="127" s="1"/>
  <c r="F21" i="127"/>
  <c r="D21" i="127"/>
  <c r="C21" i="127"/>
  <c r="B21" i="127"/>
  <c r="A21" i="127"/>
  <c r="G20" i="127"/>
  <c r="DM20" i="127" s="1"/>
  <c r="F20" i="127"/>
  <c r="D20" i="127"/>
  <c r="C20" i="127"/>
  <c r="B20" i="127"/>
  <c r="A20" i="127"/>
  <c r="G19" i="127"/>
  <c r="DM19" i="127" s="1"/>
  <c r="F19" i="127"/>
  <c r="D19" i="127"/>
  <c r="C19" i="127"/>
  <c r="B19" i="127"/>
  <c r="A19" i="127"/>
  <c r="G18" i="127"/>
  <c r="DM18" i="127" s="1"/>
  <c r="F18" i="127"/>
  <c r="D18" i="127"/>
  <c r="C18" i="127"/>
  <c r="B18" i="127"/>
  <c r="A18" i="127"/>
  <c r="G17" i="127"/>
  <c r="DM17" i="127" s="1"/>
  <c r="F17" i="127"/>
  <c r="D17" i="127"/>
  <c r="C17" i="127"/>
  <c r="B17" i="127"/>
  <c r="A17" i="127"/>
  <c r="G16" i="127"/>
  <c r="F16" i="127"/>
  <c r="D16" i="127"/>
  <c r="C16" i="127"/>
  <c r="B16" i="127"/>
  <c r="A16" i="127"/>
  <c r="G15" i="127"/>
  <c r="F15" i="127"/>
  <c r="D15" i="127"/>
  <c r="C15" i="127"/>
  <c r="B15" i="127"/>
  <c r="A15" i="127"/>
  <c r="G14" i="127"/>
  <c r="F14" i="127"/>
  <c r="D14" i="127"/>
  <c r="C14" i="127"/>
  <c r="B14" i="127"/>
  <c r="A14" i="127"/>
  <c r="G13" i="127"/>
  <c r="F13" i="127"/>
  <c r="D13" i="127"/>
  <c r="C13" i="127"/>
  <c r="B13" i="127"/>
  <c r="A13" i="127"/>
  <c r="G12" i="127"/>
  <c r="F12" i="127"/>
  <c r="D12" i="127"/>
  <c r="C12" i="127"/>
  <c r="B12" i="127"/>
  <c r="A12" i="127"/>
  <c r="G11" i="127"/>
  <c r="F11" i="127"/>
  <c r="D11" i="127"/>
  <c r="C11" i="127"/>
  <c r="B11" i="127"/>
  <c r="A11" i="127"/>
  <c r="G10" i="127"/>
  <c r="F10" i="127"/>
  <c r="D10" i="127"/>
  <c r="C10" i="127"/>
  <c r="B10" i="127"/>
  <c r="A10" i="127"/>
  <c r="G9" i="127"/>
  <c r="F9" i="127"/>
  <c r="D9" i="127"/>
  <c r="C9" i="127"/>
  <c r="B9" i="127"/>
  <c r="A9" i="127"/>
  <c r="G8" i="127"/>
  <c r="F8" i="127"/>
  <c r="D8" i="127"/>
  <c r="C8" i="127"/>
  <c r="B8" i="127"/>
  <c r="A8" i="127"/>
  <c r="G7" i="127"/>
  <c r="F7" i="127"/>
  <c r="D7" i="127"/>
  <c r="C7" i="127"/>
  <c r="B7" i="127"/>
  <c r="A7" i="127"/>
  <c r="G6" i="127"/>
  <c r="F6" i="127"/>
  <c r="D6" i="127"/>
  <c r="C6" i="127"/>
  <c r="B6" i="127"/>
  <c r="A6" i="127"/>
  <c r="F5" i="127"/>
  <c r="D5" i="127"/>
  <c r="C5" i="127"/>
  <c r="B5" i="127"/>
  <c r="A5" i="127"/>
  <c r="CZ4" i="127"/>
  <c r="CY4" i="127"/>
  <c r="CX4" i="127"/>
  <c r="CW4" i="127"/>
  <c r="CV4" i="127"/>
  <c r="CU4" i="127"/>
  <c r="CS4" i="127"/>
  <c r="CR4" i="127"/>
  <c r="CQ4" i="127"/>
  <c r="CE4" i="127"/>
  <c r="CD4" i="127"/>
  <c r="CC4" i="127"/>
  <c r="CB4" i="127"/>
  <c r="CA4" i="127"/>
  <c r="BZ4" i="127"/>
  <c r="BY4" i="127"/>
  <c r="AH50" i="126"/>
  <c r="AG50" i="126"/>
  <c r="AF50" i="126"/>
  <c r="AE50" i="126"/>
  <c r="AC50" i="126"/>
  <c r="AB50" i="126"/>
  <c r="AA50" i="126"/>
  <c r="Z50" i="126"/>
  <c r="P50" i="126"/>
  <c r="L50" i="126"/>
  <c r="AH49" i="126"/>
  <c r="AG49" i="126"/>
  <c r="AF49" i="126"/>
  <c r="AE49" i="126"/>
  <c r="AC49" i="126"/>
  <c r="AB49" i="126"/>
  <c r="AA49" i="126"/>
  <c r="Z49" i="126"/>
  <c r="P49" i="126"/>
  <c r="L49" i="126"/>
  <c r="AH48" i="126"/>
  <c r="AG48" i="126"/>
  <c r="AF48" i="126"/>
  <c r="AE48" i="126"/>
  <c r="AC48" i="126"/>
  <c r="AB48" i="126"/>
  <c r="AA48" i="126"/>
  <c r="Z48" i="126"/>
  <c r="P48" i="126"/>
  <c r="L48" i="126"/>
  <c r="AH47" i="126"/>
  <c r="AG47" i="126"/>
  <c r="AF47" i="126"/>
  <c r="AE47" i="126"/>
  <c r="AC47" i="126"/>
  <c r="AB47" i="126"/>
  <c r="AA47" i="126"/>
  <c r="Z47" i="126"/>
  <c r="P47" i="126"/>
  <c r="L47" i="126"/>
  <c r="AH46" i="126"/>
  <c r="AG46" i="126"/>
  <c r="AF46" i="126"/>
  <c r="AE46" i="126"/>
  <c r="AC46" i="126"/>
  <c r="AB46" i="126"/>
  <c r="AA46" i="126"/>
  <c r="Z46" i="126"/>
  <c r="P46" i="126"/>
  <c r="L46" i="126"/>
  <c r="AH45" i="126"/>
  <c r="AG45" i="126"/>
  <c r="AF45" i="126"/>
  <c r="AE45" i="126"/>
  <c r="AC45" i="126"/>
  <c r="AB45" i="126"/>
  <c r="AA45" i="126"/>
  <c r="Z45" i="126"/>
  <c r="P45" i="126"/>
  <c r="L45" i="126"/>
  <c r="AH44" i="126"/>
  <c r="AG44" i="126"/>
  <c r="AF44" i="126"/>
  <c r="AE44" i="126"/>
  <c r="AC44" i="126"/>
  <c r="AB44" i="126"/>
  <c r="AA44" i="126"/>
  <c r="Z44" i="126"/>
  <c r="P44" i="126"/>
  <c r="L44" i="126"/>
  <c r="AH43" i="126"/>
  <c r="AG43" i="126"/>
  <c r="AF43" i="126"/>
  <c r="AE43" i="126"/>
  <c r="AC43" i="126"/>
  <c r="AB43" i="126"/>
  <c r="AA43" i="126"/>
  <c r="Z43" i="126"/>
  <c r="P43" i="126"/>
  <c r="L43" i="126"/>
  <c r="AH42" i="126"/>
  <c r="AG42" i="126"/>
  <c r="AF42" i="126"/>
  <c r="AE42" i="126"/>
  <c r="AC42" i="126"/>
  <c r="AB42" i="126"/>
  <c r="AA42" i="126"/>
  <c r="Z42" i="126"/>
  <c r="P42" i="126"/>
  <c r="L42" i="126"/>
  <c r="AF41" i="126"/>
  <c r="AE41" i="126"/>
  <c r="AC41" i="126"/>
  <c r="AB41" i="126"/>
  <c r="AA41" i="126"/>
  <c r="Z41" i="126"/>
  <c r="P41" i="126"/>
  <c r="L41" i="126"/>
  <c r="AF40" i="126"/>
  <c r="AE40" i="126"/>
  <c r="AH40" i="126" s="1"/>
  <c r="AC40" i="126"/>
  <c r="AB40" i="126"/>
  <c r="AA40" i="126"/>
  <c r="Z40" i="126"/>
  <c r="P40" i="126"/>
  <c r="L40" i="126"/>
  <c r="AV39" i="126"/>
  <c r="AU39" i="126"/>
  <c r="AF39" i="126"/>
  <c r="AE39" i="126"/>
  <c r="AC39" i="126"/>
  <c r="AB39" i="126"/>
  <c r="AA39" i="126"/>
  <c r="Z39" i="126"/>
  <c r="P39" i="126"/>
  <c r="L39" i="126"/>
  <c r="AV38" i="126"/>
  <c r="AU38" i="126"/>
  <c r="AF38" i="126"/>
  <c r="AE38" i="126"/>
  <c r="AC38" i="126"/>
  <c r="AB38" i="126"/>
  <c r="AA38" i="126"/>
  <c r="Z38" i="126"/>
  <c r="P38" i="126"/>
  <c r="L38" i="126"/>
  <c r="AV37" i="126"/>
  <c r="AU37" i="126"/>
  <c r="AF37" i="126"/>
  <c r="AE37" i="126"/>
  <c r="AC37" i="126"/>
  <c r="AB37" i="126"/>
  <c r="AA37" i="126"/>
  <c r="Z37" i="126"/>
  <c r="P37" i="126"/>
  <c r="L37" i="126"/>
  <c r="AV36" i="126"/>
  <c r="AU36" i="126"/>
  <c r="AF36" i="126"/>
  <c r="AE36" i="126"/>
  <c r="AC36" i="126"/>
  <c r="AB36" i="126"/>
  <c r="AA36" i="126"/>
  <c r="Z36" i="126"/>
  <c r="P36" i="126"/>
  <c r="L36" i="126"/>
  <c r="AV35" i="126"/>
  <c r="AU35" i="126"/>
  <c r="AF35" i="126"/>
  <c r="AE35" i="126"/>
  <c r="AC35" i="126"/>
  <c r="AB35" i="126"/>
  <c r="AA35" i="126"/>
  <c r="Z35" i="126"/>
  <c r="P35" i="126"/>
  <c r="L35" i="126"/>
  <c r="AF34" i="126"/>
  <c r="AE34" i="126"/>
  <c r="AC34" i="126"/>
  <c r="AB34" i="126"/>
  <c r="AA34" i="126"/>
  <c r="Z34" i="126"/>
  <c r="P34" i="126"/>
  <c r="L34" i="126"/>
  <c r="AV33" i="126"/>
  <c r="AU33" i="126"/>
  <c r="AF33" i="126"/>
  <c r="AE33" i="126"/>
  <c r="AH33" i="126" s="1"/>
  <c r="AC33" i="126"/>
  <c r="AB33" i="126"/>
  <c r="AA33" i="126"/>
  <c r="Z33" i="126"/>
  <c r="P33" i="126"/>
  <c r="L33" i="126"/>
  <c r="AV32" i="126"/>
  <c r="AU32" i="126"/>
  <c r="AF32" i="126"/>
  <c r="AE32" i="126"/>
  <c r="AG32" i="126" s="1"/>
  <c r="AC32" i="126"/>
  <c r="AB32" i="126"/>
  <c r="AA32" i="126"/>
  <c r="Z32" i="126"/>
  <c r="P32" i="126"/>
  <c r="L32" i="126"/>
  <c r="AV31" i="126"/>
  <c r="AU31" i="126"/>
  <c r="AF31" i="126"/>
  <c r="AE31" i="126"/>
  <c r="AC31" i="126"/>
  <c r="AB31" i="126"/>
  <c r="AA31" i="126"/>
  <c r="Z31" i="126"/>
  <c r="P31" i="126"/>
  <c r="L31" i="126"/>
  <c r="AV30" i="126"/>
  <c r="AU30" i="126"/>
  <c r="AF30" i="126"/>
  <c r="AE30" i="126"/>
  <c r="AG30" i="126" s="1"/>
  <c r="AC30" i="126"/>
  <c r="AB30" i="126"/>
  <c r="AA30" i="126"/>
  <c r="Z30" i="126"/>
  <c r="P30" i="126"/>
  <c r="L30" i="126"/>
  <c r="AV29" i="126"/>
  <c r="AU29" i="126"/>
  <c r="AF29" i="126"/>
  <c r="AE29" i="126"/>
  <c r="AG29" i="126" s="1"/>
  <c r="AC29" i="126"/>
  <c r="AB29" i="126"/>
  <c r="AA29" i="126"/>
  <c r="Z29" i="126"/>
  <c r="P29" i="126"/>
  <c r="L29" i="126"/>
  <c r="AF28" i="126"/>
  <c r="AE28" i="126"/>
  <c r="AH28" i="126" s="1"/>
  <c r="AC28" i="126"/>
  <c r="AB28" i="126"/>
  <c r="AA28" i="126"/>
  <c r="Z28" i="126"/>
  <c r="P28" i="126"/>
  <c r="L28" i="126"/>
  <c r="AV27" i="126"/>
  <c r="AU27" i="126"/>
  <c r="AF27" i="126"/>
  <c r="AE27" i="126"/>
  <c r="AH27" i="126" s="1"/>
  <c r="AC27" i="126"/>
  <c r="AB27" i="126"/>
  <c r="AA27" i="126"/>
  <c r="Z27" i="126"/>
  <c r="P27" i="126"/>
  <c r="L27" i="126"/>
  <c r="AV26" i="126"/>
  <c r="AU26" i="126"/>
  <c r="AF26" i="126"/>
  <c r="AE26" i="126"/>
  <c r="AH26" i="126" s="1"/>
  <c r="AC26" i="126"/>
  <c r="AB26" i="126"/>
  <c r="AA26" i="126"/>
  <c r="Z26" i="126"/>
  <c r="P26" i="126"/>
  <c r="L26" i="126"/>
  <c r="AV25" i="126"/>
  <c r="AU25" i="126"/>
  <c r="AF25" i="126"/>
  <c r="AE25" i="126"/>
  <c r="AG25" i="126" s="1"/>
  <c r="AC25" i="126"/>
  <c r="AB25" i="126"/>
  <c r="AA25" i="126"/>
  <c r="Z25" i="126"/>
  <c r="P25" i="126"/>
  <c r="L25" i="126"/>
  <c r="AV24" i="126"/>
  <c r="AU24" i="126"/>
  <c r="AF24" i="126"/>
  <c r="AE24" i="126"/>
  <c r="AC24" i="126"/>
  <c r="AB24" i="126"/>
  <c r="AA24" i="126"/>
  <c r="Z24" i="126"/>
  <c r="P24" i="126"/>
  <c r="L24" i="126"/>
  <c r="AV23" i="126"/>
  <c r="AU23" i="126"/>
  <c r="AF23" i="126"/>
  <c r="AE23" i="126"/>
  <c r="AC23" i="126"/>
  <c r="AB23" i="126"/>
  <c r="AA23" i="126"/>
  <c r="Z23" i="126"/>
  <c r="P23" i="126"/>
  <c r="L23" i="126"/>
  <c r="AV22" i="126"/>
  <c r="AU22" i="126"/>
  <c r="AF22" i="126"/>
  <c r="AE22" i="126"/>
  <c r="AC22" i="126"/>
  <c r="AB22" i="126"/>
  <c r="AA22" i="126"/>
  <c r="Z22" i="126"/>
  <c r="P22" i="126"/>
  <c r="L22" i="126"/>
  <c r="AF21" i="126"/>
  <c r="AE21" i="126"/>
  <c r="AH21" i="126" s="1"/>
  <c r="AC21" i="126"/>
  <c r="AB21" i="126"/>
  <c r="AA21" i="126"/>
  <c r="Z21" i="126"/>
  <c r="P21" i="126"/>
  <c r="L21" i="126"/>
  <c r="AV20" i="126"/>
  <c r="AU20" i="126"/>
  <c r="AF20" i="126"/>
  <c r="AE20" i="126"/>
  <c r="AC20" i="126"/>
  <c r="AB20" i="126"/>
  <c r="AA20" i="126"/>
  <c r="Z20" i="126"/>
  <c r="P20" i="126"/>
  <c r="L20" i="126"/>
  <c r="AV19" i="126"/>
  <c r="AU19" i="126"/>
  <c r="AF19" i="126"/>
  <c r="AE19" i="126"/>
  <c r="AG19" i="126" s="1"/>
  <c r="AC19" i="126"/>
  <c r="AB19" i="126"/>
  <c r="AA19" i="126"/>
  <c r="Z19" i="126"/>
  <c r="P19" i="126"/>
  <c r="L19" i="126"/>
  <c r="AV18" i="126"/>
  <c r="AU18" i="126"/>
  <c r="AF18" i="126"/>
  <c r="AE18" i="126"/>
  <c r="AG18" i="126" s="1"/>
  <c r="AC18" i="126"/>
  <c r="AB18" i="126"/>
  <c r="AA18" i="126"/>
  <c r="Z18" i="126"/>
  <c r="P18" i="126"/>
  <c r="L18" i="126"/>
  <c r="AV17" i="126"/>
  <c r="AU17" i="126"/>
  <c r="AF17" i="126"/>
  <c r="AE17" i="126"/>
  <c r="AG17" i="126" s="1"/>
  <c r="AC17" i="126"/>
  <c r="AB17" i="126"/>
  <c r="AA17" i="126"/>
  <c r="Z17" i="126"/>
  <c r="P17" i="126"/>
  <c r="L17" i="126"/>
  <c r="AV16" i="126"/>
  <c r="AU16" i="126"/>
  <c r="AF16" i="126"/>
  <c r="AE16" i="126"/>
  <c r="AH16" i="126" s="1"/>
  <c r="AC16" i="126"/>
  <c r="AB16" i="126"/>
  <c r="AA16" i="126"/>
  <c r="Z16" i="126"/>
  <c r="P16" i="126"/>
  <c r="L16" i="126"/>
  <c r="AV15" i="126"/>
  <c r="AU15" i="126"/>
  <c r="AF15" i="126"/>
  <c r="AE15" i="126"/>
  <c r="AC15" i="126"/>
  <c r="AB15" i="126"/>
  <c r="AA15" i="126"/>
  <c r="Z15" i="126"/>
  <c r="P15" i="126"/>
  <c r="L15" i="126"/>
  <c r="AV14" i="126"/>
  <c r="AU14" i="126"/>
  <c r="AF14" i="126"/>
  <c r="AE14" i="126"/>
  <c r="AC14" i="126"/>
  <c r="AB14" i="126"/>
  <c r="AA14" i="126"/>
  <c r="Z14" i="126"/>
  <c r="P14" i="126"/>
  <c r="BB14" i="127" s="1"/>
  <c r="L14" i="126"/>
  <c r="AF13" i="126"/>
  <c r="AE13" i="126"/>
  <c r="AC13" i="126"/>
  <c r="AB13" i="126"/>
  <c r="AA13" i="126"/>
  <c r="Z13" i="126"/>
  <c r="P13" i="126"/>
  <c r="BB13" i="127" s="1"/>
  <c r="L13" i="126"/>
  <c r="AV12" i="126"/>
  <c r="AU12" i="126"/>
  <c r="AF12" i="126"/>
  <c r="AE12" i="126"/>
  <c r="AH12" i="126" s="1"/>
  <c r="AC12" i="126"/>
  <c r="AB12" i="126"/>
  <c r="AA12" i="126"/>
  <c r="Z12" i="126"/>
  <c r="P12" i="126"/>
  <c r="L12" i="126"/>
  <c r="AV11" i="126"/>
  <c r="AU11" i="126"/>
  <c r="AF11" i="126"/>
  <c r="AE11" i="126"/>
  <c r="AH11" i="126" s="1"/>
  <c r="AC11" i="126"/>
  <c r="AB11" i="126"/>
  <c r="AA11" i="126"/>
  <c r="Z11" i="126"/>
  <c r="P11" i="126"/>
  <c r="L11" i="126"/>
  <c r="AV10" i="126"/>
  <c r="AU10" i="126"/>
  <c r="AF10" i="126"/>
  <c r="AE10" i="126"/>
  <c r="AH10" i="126" s="1"/>
  <c r="AC10" i="126"/>
  <c r="AB10" i="126"/>
  <c r="AA10" i="126"/>
  <c r="Z10" i="126"/>
  <c r="P10" i="126"/>
  <c r="L10" i="126"/>
  <c r="AV9" i="126"/>
  <c r="AU9" i="126"/>
  <c r="AF9" i="126"/>
  <c r="AE9" i="126"/>
  <c r="AH9" i="126" s="1"/>
  <c r="AC9" i="126"/>
  <c r="AB9" i="126"/>
  <c r="AA9" i="126"/>
  <c r="Z9" i="126"/>
  <c r="P9" i="126"/>
  <c r="L9" i="126"/>
  <c r="AV8" i="126"/>
  <c r="AU8" i="126"/>
  <c r="AF8" i="126"/>
  <c r="AE8" i="126"/>
  <c r="AH8" i="126" s="1"/>
  <c r="AC8" i="126"/>
  <c r="AB8" i="126"/>
  <c r="AA8" i="126"/>
  <c r="Z8" i="126"/>
  <c r="P8" i="126"/>
  <c r="L8" i="126"/>
  <c r="AV7" i="126"/>
  <c r="AU7" i="126"/>
  <c r="AF7" i="126"/>
  <c r="AE7" i="126"/>
  <c r="AH7" i="126" s="1"/>
  <c r="AC7" i="126"/>
  <c r="AB7" i="126"/>
  <c r="AA7" i="126"/>
  <c r="Z7" i="126"/>
  <c r="P7" i="126"/>
  <c r="L7" i="126"/>
  <c r="AV6" i="126"/>
  <c r="AU6" i="126"/>
  <c r="AF6" i="126"/>
  <c r="AE6" i="126"/>
  <c r="AH6" i="126" s="1"/>
  <c r="AC6" i="126"/>
  <c r="AB6" i="126"/>
  <c r="AA6" i="126"/>
  <c r="Z6" i="126"/>
  <c r="P6" i="126"/>
  <c r="L6" i="126"/>
  <c r="AV5" i="126"/>
  <c r="AU5" i="126"/>
  <c r="AF5" i="126"/>
  <c r="AE5" i="126"/>
  <c r="AH5" i="126" s="1"/>
  <c r="AC5" i="126"/>
  <c r="AB5" i="126"/>
  <c r="AA5" i="126"/>
  <c r="Z5" i="126"/>
  <c r="P5" i="126"/>
  <c r="L5" i="126"/>
  <c r="E1" i="126"/>
  <c r="G50" i="125"/>
  <c r="F50" i="125"/>
  <c r="D50" i="125"/>
  <c r="C50" i="125"/>
  <c r="B50" i="125"/>
  <c r="A50" i="125"/>
  <c r="G49" i="125"/>
  <c r="CM49" i="125" s="1"/>
  <c r="F49" i="125"/>
  <c r="D49" i="125"/>
  <c r="C49" i="125"/>
  <c r="B49" i="125"/>
  <c r="A49" i="125"/>
  <c r="G48" i="125"/>
  <c r="F48" i="125"/>
  <c r="D48" i="125"/>
  <c r="C48" i="125"/>
  <c r="B48" i="125"/>
  <c r="A48" i="125"/>
  <c r="G47" i="125"/>
  <c r="CI47" i="125" s="1"/>
  <c r="F47" i="125"/>
  <c r="D47" i="125"/>
  <c r="C47" i="125"/>
  <c r="B47" i="125"/>
  <c r="A47" i="125"/>
  <c r="G46" i="125"/>
  <c r="F46" i="125"/>
  <c r="D46" i="125"/>
  <c r="C46" i="125"/>
  <c r="B46" i="125"/>
  <c r="A46" i="125"/>
  <c r="G45" i="125"/>
  <c r="F45" i="125"/>
  <c r="D45" i="125"/>
  <c r="C45" i="125"/>
  <c r="B45" i="125"/>
  <c r="A45" i="125"/>
  <c r="G44" i="125"/>
  <c r="BU44" i="125" s="1"/>
  <c r="F44" i="125"/>
  <c r="D44" i="125"/>
  <c r="C44" i="125"/>
  <c r="B44" i="125"/>
  <c r="A44" i="125"/>
  <c r="G43" i="125"/>
  <c r="F43" i="125"/>
  <c r="D43" i="125"/>
  <c r="C43" i="125"/>
  <c r="B43" i="125"/>
  <c r="A43" i="125"/>
  <c r="G42" i="125"/>
  <c r="CK42" i="125" s="1"/>
  <c r="F42" i="125"/>
  <c r="D42" i="125"/>
  <c r="C42" i="125"/>
  <c r="B42" i="125"/>
  <c r="A42" i="125"/>
  <c r="G41" i="125"/>
  <c r="F41" i="125"/>
  <c r="D41" i="125"/>
  <c r="C41" i="125"/>
  <c r="B41" i="125"/>
  <c r="A41" i="125"/>
  <c r="G40" i="125"/>
  <c r="F40" i="125"/>
  <c r="D40" i="125"/>
  <c r="C40" i="125"/>
  <c r="B40" i="125"/>
  <c r="A40" i="125"/>
  <c r="G39" i="125"/>
  <c r="F39" i="125"/>
  <c r="D39" i="125"/>
  <c r="C39" i="125"/>
  <c r="B39" i="125"/>
  <c r="A39" i="125"/>
  <c r="G38" i="125"/>
  <c r="F38" i="125"/>
  <c r="D38" i="125"/>
  <c r="C38" i="125"/>
  <c r="B38" i="125"/>
  <c r="A38" i="125"/>
  <c r="G37" i="125"/>
  <c r="F37" i="125"/>
  <c r="D37" i="125"/>
  <c r="C37" i="125"/>
  <c r="B37" i="125"/>
  <c r="A37" i="125"/>
  <c r="G36" i="125"/>
  <c r="F36" i="125"/>
  <c r="D36" i="125"/>
  <c r="C36" i="125"/>
  <c r="B36" i="125"/>
  <c r="A36" i="125"/>
  <c r="G35" i="125"/>
  <c r="F35" i="125"/>
  <c r="D35" i="125"/>
  <c r="C35" i="125"/>
  <c r="B35" i="125"/>
  <c r="A35" i="125"/>
  <c r="G34" i="125"/>
  <c r="F34" i="125"/>
  <c r="D34" i="125"/>
  <c r="C34" i="125"/>
  <c r="B34" i="125"/>
  <c r="A34" i="125"/>
  <c r="G33" i="125"/>
  <c r="F33" i="125"/>
  <c r="D33" i="125"/>
  <c r="C33" i="125"/>
  <c r="B33" i="125"/>
  <c r="A33" i="125"/>
  <c r="G32" i="125"/>
  <c r="F32" i="125"/>
  <c r="D32" i="125"/>
  <c r="C32" i="125"/>
  <c r="B32" i="125"/>
  <c r="A32" i="125"/>
  <c r="G31" i="125"/>
  <c r="F31" i="125"/>
  <c r="D31" i="125"/>
  <c r="C31" i="125"/>
  <c r="B31" i="125"/>
  <c r="A31" i="125"/>
  <c r="G30" i="125"/>
  <c r="F30" i="125"/>
  <c r="D30" i="125"/>
  <c r="C30" i="125"/>
  <c r="B30" i="125"/>
  <c r="A30" i="125"/>
  <c r="G29" i="125"/>
  <c r="F29" i="125"/>
  <c r="D29" i="125"/>
  <c r="C29" i="125"/>
  <c r="B29" i="125"/>
  <c r="A29" i="125"/>
  <c r="G28" i="125"/>
  <c r="F28" i="125"/>
  <c r="D28" i="125"/>
  <c r="C28" i="125"/>
  <c r="B28" i="125"/>
  <c r="A28" i="125"/>
  <c r="G27" i="125"/>
  <c r="F27" i="125"/>
  <c r="D27" i="125"/>
  <c r="C27" i="125"/>
  <c r="B27" i="125"/>
  <c r="A27" i="125"/>
  <c r="G26" i="125"/>
  <c r="F26" i="125"/>
  <c r="D26" i="125"/>
  <c r="C26" i="125"/>
  <c r="B26" i="125"/>
  <c r="A26" i="125"/>
  <c r="G25" i="125"/>
  <c r="F25" i="125"/>
  <c r="D25" i="125"/>
  <c r="C25" i="125"/>
  <c r="B25" i="125"/>
  <c r="A25" i="125"/>
  <c r="G24" i="125"/>
  <c r="F24" i="125"/>
  <c r="D24" i="125"/>
  <c r="C24" i="125"/>
  <c r="B24" i="125"/>
  <c r="A24" i="125"/>
  <c r="G23" i="125"/>
  <c r="F23" i="125"/>
  <c r="D23" i="125"/>
  <c r="C23" i="125"/>
  <c r="B23" i="125"/>
  <c r="A23" i="125"/>
  <c r="G22" i="125"/>
  <c r="F22" i="125"/>
  <c r="D22" i="125"/>
  <c r="C22" i="125"/>
  <c r="B22" i="125"/>
  <c r="A22" i="125"/>
  <c r="G21" i="125"/>
  <c r="F21" i="125"/>
  <c r="D21" i="125"/>
  <c r="C21" i="125"/>
  <c r="B21" i="125"/>
  <c r="A21" i="125"/>
  <c r="G20" i="125"/>
  <c r="F20" i="125"/>
  <c r="D20" i="125"/>
  <c r="C20" i="125"/>
  <c r="B20" i="125"/>
  <c r="A20" i="125"/>
  <c r="G19" i="125"/>
  <c r="F19" i="125"/>
  <c r="D19" i="125"/>
  <c r="C19" i="125"/>
  <c r="B19" i="125"/>
  <c r="A19" i="125"/>
  <c r="G18" i="125"/>
  <c r="F18" i="125"/>
  <c r="D18" i="125"/>
  <c r="C18" i="125"/>
  <c r="B18" i="125"/>
  <c r="A18" i="125"/>
  <c r="G17" i="125"/>
  <c r="F17" i="125"/>
  <c r="D17" i="125"/>
  <c r="C17" i="125"/>
  <c r="B17" i="125"/>
  <c r="A17" i="125"/>
  <c r="G16" i="125"/>
  <c r="F16" i="125"/>
  <c r="D16" i="125"/>
  <c r="C16" i="125"/>
  <c r="B16" i="125"/>
  <c r="A16" i="125"/>
  <c r="G15" i="125"/>
  <c r="F15" i="125"/>
  <c r="D15" i="125"/>
  <c r="C15" i="125"/>
  <c r="B15" i="125"/>
  <c r="A15" i="125"/>
  <c r="G14" i="125"/>
  <c r="F14" i="125"/>
  <c r="D14" i="125"/>
  <c r="C14" i="125"/>
  <c r="B14" i="125"/>
  <c r="A14" i="125"/>
  <c r="G13" i="125"/>
  <c r="F13" i="125"/>
  <c r="D13" i="125"/>
  <c r="C13" i="125"/>
  <c r="B13" i="125"/>
  <c r="A13" i="125"/>
  <c r="G12" i="125"/>
  <c r="F12" i="125"/>
  <c r="D12" i="125"/>
  <c r="C12" i="125"/>
  <c r="B12" i="125"/>
  <c r="A12" i="125"/>
  <c r="G11" i="125"/>
  <c r="F11" i="125"/>
  <c r="D11" i="125"/>
  <c r="C11" i="125"/>
  <c r="B11" i="125"/>
  <c r="A11" i="125"/>
  <c r="G10" i="125"/>
  <c r="F10" i="125"/>
  <c r="D10" i="125"/>
  <c r="C10" i="125"/>
  <c r="B10" i="125"/>
  <c r="A10" i="125"/>
  <c r="G9" i="125"/>
  <c r="F9" i="125"/>
  <c r="D9" i="125"/>
  <c r="C9" i="125"/>
  <c r="B9" i="125"/>
  <c r="A9" i="125"/>
  <c r="G8" i="125"/>
  <c r="F8" i="125"/>
  <c r="D8" i="125"/>
  <c r="C8" i="125"/>
  <c r="B8" i="125"/>
  <c r="A8" i="125"/>
  <c r="G7" i="125"/>
  <c r="F7" i="125"/>
  <c r="D7" i="125"/>
  <c r="C7" i="125"/>
  <c r="B7" i="125"/>
  <c r="A7" i="125"/>
  <c r="G6" i="125"/>
  <c r="F6" i="125"/>
  <c r="D6" i="125"/>
  <c r="C6" i="125"/>
  <c r="B6" i="125"/>
  <c r="A6" i="125"/>
  <c r="G5" i="125"/>
  <c r="F5" i="125"/>
  <c r="D5" i="125"/>
  <c r="C5" i="125"/>
  <c r="B5" i="125"/>
  <c r="A5" i="125"/>
  <c r="CZ4" i="125"/>
  <c r="CY4" i="125"/>
  <c r="CX4" i="125"/>
  <c r="CW4" i="125"/>
  <c r="CV4" i="125"/>
  <c r="CU4" i="125"/>
  <c r="CS4" i="125"/>
  <c r="CR4" i="125"/>
  <c r="CQ4" i="125"/>
  <c r="CE4" i="125"/>
  <c r="CD4" i="125"/>
  <c r="CC4" i="125"/>
  <c r="CB4" i="125"/>
  <c r="CA4" i="125"/>
  <c r="BZ4" i="125"/>
  <c r="BY4" i="125"/>
  <c r="AH50" i="124"/>
  <c r="AG50" i="124"/>
  <c r="AF50" i="124"/>
  <c r="AE50" i="124"/>
  <c r="AC50" i="124"/>
  <c r="AB50" i="124"/>
  <c r="AA50" i="124"/>
  <c r="Z50" i="124"/>
  <c r="P50" i="124"/>
  <c r="L50" i="124"/>
  <c r="AH49" i="124"/>
  <c r="AG49" i="124"/>
  <c r="AF49" i="124"/>
  <c r="AE49" i="124"/>
  <c r="AC49" i="124"/>
  <c r="AB49" i="124"/>
  <c r="AA49" i="124"/>
  <c r="Z49" i="124"/>
  <c r="P49" i="124"/>
  <c r="L49" i="124"/>
  <c r="AH48" i="124"/>
  <c r="AG48" i="124"/>
  <c r="AF48" i="124"/>
  <c r="AE48" i="124"/>
  <c r="AC48" i="124"/>
  <c r="AB48" i="124"/>
  <c r="AA48" i="124"/>
  <c r="Z48" i="124"/>
  <c r="P48" i="124"/>
  <c r="L48" i="124"/>
  <c r="AH47" i="124"/>
  <c r="AG47" i="124"/>
  <c r="AF47" i="124"/>
  <c r="AE47" i="124"/>
  <c r="AC47" i="124"/>
  <c r="AB47" i="124"/>
  <c r="AA47" i="124"/>
  <c r="Z47" i="124"/>
  <c r="P47" i="124"/>
  <c r="L47" i="124"/>
  <c r="AH46" i="124"/>
  <c r="AG46" i="124"/>
  <c r="AF46" i="124"/>
  <c r="AE46" i="124"/>
  <c r="AC46" i="124"/>
  <c r="AB46" i="124"/>
  <c r="AA46" i="124"/>
  <c r="Z46" i="124"/>
  <c r="P46" i="124"/>
  <c r="L46" i="124"/>
  <c r="AH45" i="124"/>
  <c r="AG45" i="124"/>
  <c r="AF45" i="124"/>
  <c r="AE45" i="124"/>
  <c r="AC45" i="124"/>
  <c r="AB45" i="124"/>
  <c r="AA45" i="124"/>
  <c r="Z45" i="124"/>
  <c r="P45" i="124"/>
  <c r="L45" i="124"/>
  <c r="AH44" i="124"/>
  <c r="AG44" i="124"/>
  <c r="AF44" i="124"/>
  <c r="AE44" i="124"/>
  <c r="AC44" i="124"/>
  <c r="AB44" i="124"/>
  <c r="AA44" i="124"/>
  <c r="Z44" i="124"/>
  <c r="P44" i="124"/>
  <c r="L44" i="124"/>
  <c r="AH43" i="124"/>
  <c r="AG43" i="124"/>
  <c r="AF43" i="124"/>
  <c r="AE43" i="124"/>
  <c r="AC43" i="124"/>
  <c r="AB43" i="124"/>
  <c r="AA43" i="124"/>
  <c r="Z43" i="124"/>
  <c r="P43" i="124"/>
  <c r="L43" i="124"/>
  <c r="AH42" i="124"/>
  <c r="AG42" i="124"/>
  <c r="AF42" i="124"/>
  <c r="AE42" i="124"/>
  <c r="AC42" i="124"/>
  <c r="AB42" i="124"/>
  <c r="AA42" i="124"/>
  <c r="Z42" i="124"/>
  <c r="P42" i="124"/>
  <c r="L42" i="124"/>
  <c r="AF41" i="124"/>
  <c r="AE41" i="124"/>
  <c r="AC41" i="124"/>
  <c r="AB41" i="124"/>
  <c r="AA41" i="124"/>
  <c r="Z41" i="124"/>
  <c r="P41" i="124"/>
  <c r="L41" i="124"/>
  <c r="AF40" i="124"/>
  <c r="AE40" i="124"/>
  <c r="AC40" i="124"/>
  <c r="AB40" i="124"/>
  <c r="AA40" i="124"/>
  <c r="Z40" i="124"/>
  <c r="P40" i="124"/>
  <c r="L40" i="124"/>
  <c r="AV39" i="124"/>
  <c r="AU39" i="124"/>
  <c r="AF39" i="124"/>
  <c r="AE39" i="124"/>
  <c r="AC39" i="124"/>
  <c r="AB39" i="124"/>
  <c r="AA39" i="124"/>
  <c r="Z39" i="124"/>
  <c r="P39" i="124"/>
  <c r="L39" i="124"/>
  <c r="AV38" i="124"/>
  <c r="AU38" i="124"/>
  <c r="AF38" i="124"/>
  <c r="AE38" i="124"/>
  <c r="AC38" i="124"/>
  <c r="AB38" i="124"/>
  <c r="AA38" i="124"/>
  <c r="Z38" i="124"/>
  <c r="P38" i="124"/>
  <c r="L38" i="124"/>
  <c r="AV37" i="124"/>
  <c r="AU37" i="124"/>
  <c r="AF37" i="124"/>
  <c r="AE37" i="124"/>
  <c r="AC37" i="124"/>
  <c r="AB37" i="124"/>
  <c r="AA37" i="124"/>
  <c r="Z37" i="124"/>
  <c r="P37" i="124"/>
  <c r="L37" i="124"/>
  <c r="AV36" i="124"/>
  <c r="AU36" i="124"/>
  <c r="AF36" i="124"/>
  <c r="AE36" i="124"/>
  <c r="AC36" i="124"/>
  <c r="AB36" i="124"/>
  <c r="AA36" i="124"/>
  <c r="Z36" i="124"/>
  <c r="P36" i="124"/>
  <c r="L36" i="124"/>
  <c r="AV35" i="124"/>
  <c r="AU35" i="124"/>
  <c r="AF35" i="124"/>
  <c r="AE35" i="124"/>
  <c r="AC35" i="124"/>
  <c r="AB35" i="124"/>
  <c r="AA35" i="124"/>
  <c r="Z35" i="124"/>
  <c r="P35" i="124"/>
  <c r="L35" i="124"/>
  <c r="AF34" i="124"/>
  <c r="AE34" i="124"/>
  <c r="AC34" i="124"/>
  <c r="AB34" i="124"/>
  <c r="AA34" i="124"/>
  <c r="Z34" i="124"/>
  <c r="P34" i="124"/>
  <c r="L34" i="124"/>
  <c r="AV33" i="124"/>
  <c r="AU33" i="124"/>
  <c r="AF33" i="124"/>
  <c r="AE33" i="124"/>
  <c r="Y33" i="125" s="1"/>
  <c r="AC33" i="124"/>
  <c r="AB33" i="124"/>
  <c r="AA33" i="124"/>
  <c r="Z33" i="124"/>
  <c r="P33" i="124"/>
  <c r="L33" i="124"/>
  <c r="AV32" i="124"/>
  <c r="AU32" i="124"/>
  <c r="AF32" i="124"/>
  <c r="AE32" i="124"/>
  <c r="AC32" i="124"/>
  <c r="AB32" i="124"/>
  <c r="AA32" i="124"/>
  <c r="Z32" i="124"/>
  <c r="P32" i="124"/>
  <c r="L32" i="124"/>
  <c r="AV31" i="124"/>
  <c r="AU31" i="124"/>
  <c r="AF31" i="124"/>
  <c r="AE31" i="124"/>
  <c r="AC31" i="124"/>
  <c r="AB31" i="124"/>
  <c r="AA31" i="124"/>
  <c r="Z31" i="124"/>
  <c r="P31" i="124"/>
  <c r="L31" i="124"/>
  <c r="AV30" i="124"/>
  <c r="AU30" i="124"/>
  <c r="AF30" i="124"/>
  <c r="AE30" i="124"/>
  <c r="AC30" i="124"/>
  <c r="AB30" i="124"/>
  <c r="AA30" i="124"/>
  <c r="Z30" i="124"/>
  <c r="P30" i="124"/>
  <c r="L30" i="124"/>
  <c r="AV29" i="124"/>
  <c r="AU29" i="124"/>
  <c r="AF29" i="124"/>
  <c r="AE29" i="124"/>
  <c r="AC29" i="124"/>
  <c r="AB29" i="124"/>
  <c r="AA29" i="124"/>
  <c r="Z29" i="124"/>
  <c r="P29" i="124"/>
  <c r="L29" i="124"/>
  <c r="AF28" i="124"/>
  <c r="AE28" i="124"/>
  <c r="AC28" i="124"/>
  <c r="AB28" i="124"/>
  <c r="AA28" i="124"/>
  <c r="Z28" i="124"/>
  <c r="P28" i="124"/>
  <c r="BB28" i="125" s="1"/>
  <c r="L28" i="124"/>
  <c r="AV27" i="124"/>
  <c r="AU27" i="124"/>
  <c r="AF27" i="124"/>
  <c r="AE27" i="124"/>
  <c r="AC27" i="124"/>
  <c r="AB27" i="124"/>
  <c r="AA27" i="124"/>
  <c r="Z27" i="124"/>
  <c r="P27" i="124"/>
  <c r="L27" i="124"/>
  <c r="AV26" i="124"/>
  <c r="AU26" i="124"/>
  <c r="AF26" i="124"/>
  <c r="AE26" i="124"/>
  <c r="AC26" i="124"/>
  <c r="AB26" i="124"/>
  <c r="AA26" i="124"/>
  <c r="Z26" i="124"/>
  <c r="P26" i="124"/>
  <c r="BB26" i="125" s="1"/>
  <c r="L26" i="124"/>
  <c r="AV25" i="124"/>
  <c r="AU25" i="124"/>
  <c r="AF25" i="124"/>
  <c r="AE25" i="124"/>
  <c r="AG25" i="124" s="1"/>
  <c r="AC25" i="124"/>
  <c r="AB25" i="124"/>
  <c r="AA25" i="124"/>
  <c r="Z25" i="124"/>
  <c r="P25" i="124"/>
  <c r="L25" i="124"/>
  <c r="AV24" i="124"/>
  <c r="AU24" i="124"/>
  <c r="AF24" i="124"/>
  <c r="AE24" i="124"/>
  <c r="AC24" i="124"/>
  <c r="AB24" i="124"/>
  <c r="AA24" i="124"/>
  <c r="Z24" i="124"/>
  <c r="P24" i="124"/>
  <c r="L24" i="124"/>
  <c r="AV23" i="124"/>
  <c r="AU23" i="124"/>
  <c r="AF23" i="124"/>
  <c r="AE23" i="124"/>
  <c r="AC23" i="124"/>
  <c r="AB23" i="124"/>
  <c r="AA23" i="124"/>
  <c r="Z23" i="124"/>
  <c r="P23" i="124"/>
  <c r="L23" i="124"/>
  <c r="AV22" i="124"/>
  <c r="AU22" i="124"/>
  <c r="AF22" i="124"/>
  <c r="AE22" i="124"/>
  <c r="AH22" i="124" s="1"/>
  <c r="AC22" i="124"/>
  <c r="AB22" i="124"/>
  <c r="AA22" i="124"/>
  <c r="Z22" i="124"/>
  <c r="P22" i="124"/>
  <c r="L22" i="124"/>
  <c r="AF21" i="124"/>
  <c r="AE21" i="124"/>
  <c r="AH21" i="124" s="1"/>
  <c r="AC21" i="124"/>
  <c r="AB21" i="124"/>
  <c r="AA21" i="124"/>
  <c r="Z21" i="124"/>
  <c r="P21" i="124"/>
  <c r="L21" i="124"/>
  <c r="AV20" i="124"/>
  <c r="AU20" i="124"/>
  <c r="AF20" i="124"/>
  <c r="AE20" i="124"/>
  <c r="AH20" i="124" s="1"/>
  <c r="AC20" i="124"/>
  <c r="AB20" i="124"/>
  <c r="AA20" i="124"/>
  <c r="Z20" i="124"/>
  <c r="P20" i="124"/>
  <c r="L20" i="124"/>
  <c r="AV19" i="124"/>
  <c r="AU19" i="124"/>
  <c r="AF19" i="124"/>
  <c r="AE19" i="124"/>
  <c r="AH19" i="124" s="1"/>
  <c r="AC19" i="124"/>
  <c r="AB19" i="124"/>
  <c r="AA19" i="124"/>
  <c r="Z19" i="124"/>
  <c r="P19" i="124"/>
  <c r="L19" i="124"/>
  <c r="AV18" i="124"/>
  <c r="AU18" i="124"/>
  <c r="AF18" i="124"/>
  <c r="AE18" i="124"/>
  <c r="AH18" i="124" s="1"/>
  <c r="AC18" i="124"/>
  <c r="AB18" i="124"/>
  <c r="AA18" i="124"/>
  <c r="Z18" i="124"/>
  <c r="P18" i="124"/>
  <c r="L18" i="124"/>
  <c r="AV17" i="124"/>
  <c r="AU17" i="124"/>
  <c r="AF17" i="124"/>
  <c r="AE17" i="124"/>
  <c r="AH17" i="124" s="1"/>
  <c r="AC17" i="124"/>
  <c r="AB17" i="124"/>
  <c r="AA17" i="124"/>
  <c r="Z17" i="124"/>
  <c r="P17" i="124"/>
  <c r="L17" i="124"/>
  <c r="AV16" i="124"/>
  <c r="AU16" i="124"/>
  <c r="AF16" i="124"/>
  <c r="AE16" i="124"/>
  <c r="AH16" i="124" s="1"/>
  <c r="AC16" i="124"/>
  <c r="AB16" i="124"/>
  <c r="AA16" i="124"/>
  <c r="Z16" i="124"/>
  <c r="P16" i="124"/>
  <c r="L16" i="124"/>
  <c r="AV15" i="124"/>
  <c r="AU15" i="124"/>
  <c r="AF15" i="124"/>
  <c r="AE15" i="124"/>
  <c r="AH15" i="124" s="1"/>
  <c r="AC15" i="124"/>
  <c r="AB15" i="124"/>
  <c r="AA15" i="124"/>
  <c r="Z15" i="124"/>
  <c r="P15" i="124"/>
  <c r="L15" i="124"/>
  <c r="AV14" i="124"/>
  <c r="AU14" i="124"/>
  <c r="AF14" i="124"/>
  <c r="AE14" i="124"/>
  <c r="AH14" i="124" s="1"/>
  <c r="AC14" i="124"/>
  <c r="AB14" i="124"/>
  <c r="AA14" i="124"/>
  <c r="Z14" i="124"/>
  <c r="P14" i="124"/>
  <c r="L14" i="124"/>
  <c r="AF13" i="124"/>
  <c r="AE13" i="124"/>
  <c r="AH13" i="124" s="1"/>
  <c r="AC13" i="124"/>
  <c r="AB13" i="124"/>
  <c r="AA13" i="124"/>
  <c r="Z13" i="124"/>
  <c r="P13" i="124"/>
  <c r="L13" i="124"/>
  <c r="AV12" i="124"/>
  <c r="AU12" i="124"/>
  <c r="AF12" i="124"/>
  <c r="AE12" i="124"/>
  <c r="AH12" i="124" s="1"/>
  <c r="AC12" i="124"/>
  <c r="AB12" i="124"/>
  <c r="AA12" i="124"/>
  <c r="Z12" i="124"/>
  <c r="P12" i="124"/>
  <c r="L12" i="124"/>
  <c r="AV11" i="124"/>
  <c r="AU11" i="124"/>
  <c r="AF11" i="124"/>
  <c r="AE11" i="124"/>
  <c r="AH11" i="124" s="1"/>
  <c r="AC11" i="124"/>
  <c r="AB11" i="124"/>
  <c r="AA11" i="124"/>
  <c r="Z11" i="124"/>
  <c r="P11" i="124"/>
  <c r="L11" i="124"/>
  <c r="AV10" i="124"/>
  <c r="AU10" i="124"/>
  <c r="AF10" i="124"/>
  <c r="AE10" i="124"/>
  <c r="AH10" i="124" s="1"/>
  <c r="AC10" i="124"/>
  <c r="AB10" i="124"/>
  <c r="AA10" i="124"/>
  <c r="Z10" i="124"/>
  <c r="P10" i="124"/>
  <c r="L10" i="124"/>
  <c r="AV9" i="124"/>
  <c r="AU9" i="124"/>
  <c r="AF9" i="124"/>
  <c r="AE9" i="124"/>
  <c r="AH9" i="124" s="1"/>
  <c r="AC9" i="124"/>
  <c r="AB9" i="124"/>
  <c r="AA9" i="124"/>
  <c r="Z9" i="124"/>
  <c r="P9" i="124"/>
  <c r="L9" i="124"/>
  <c r="AV8" i="124"/>
  <c r="AU8" i="124"/>
  <c r="AF8" i="124"/>
  <c r="AE8" i="124"/>
  <c r="AH8" i="124" s="1"/>
  <c r="AC8" i="124"/>
  <c r="AB8" i="124"/>
  <c r="AA8" i="124"/>
  <c r="Z8" i="124"/>
  <c r="P8" i="124"/>
  <c r="L8" i="124"/>
  <c r="AV7" i="124"/>
  <c r="AU7" i="124"/>
  <c r="AF7" i="124"/>
  <c r="AE7" i="124"/>
  <c r="AH7" i="124" s="1"/>
  <c r="AC7" i="124"/>
  <c r="AB7" i="124"/>
  <c r="AA7" i="124"/>
  <c r="Z7" i="124"/>
  <c r="P7" i="124"/>
  <c r="L7" i="124"/>
  <c r="AV6" i="124"/>
  <c r="AU6" i="124"/>
  <c r="AF6" i="124"/>
  <c r="AE6" i="124"/>
  <c r="AH6" i="124" s="1"/>
  <c r="AC6" i="124"/>
  <c r="AB6" i="124"/>
  <c r="AA6" i="124"/>
  <c r="Z6" i="124"/>
  <c r="P6" i="124"/>
  <c r="L6" i="124"/>
  <c r="AV5" i="124"/>
  <c r="AU5" i="124"/>
  <c r="AF5" i="124"/>
  <c r="AE5" i="124"/>
  <c r="AH5" i="124" s="1"/>
  <c r="AC5" i="124"/>
  <c r="AB5" i="124"/>
  <c r="AA5" i="124"/>
  <c r="Z5" i="124"/>
  <c r="P5" i="124"/>
  <c r="L5" i="124"/>
  <c r="E1" i="124"/>
  <c r="BI7" i="25"/>
  <c r="BH7" i="25"/>
  <c r="BJ7" i="25"/>
  <c r="BH6" i="25"/>
  <c r="BI6" i="25"/>
  <c r="BJ6" i="25"/>
  <c r="BI8" i="25"/>
  <c r="BH8" i="25"/>
  <c r="BB11" i="127" l="1"/>
  <c r="M6" i="25"/>
  <c r="L6" i="25"/>
  <c r="Z26" i="125"/>
  <c r="Y36" i="125"/>
  <c r="AC42" i="125"/>
  <c r="DL32" i="125"/>
  <c r="DK32" i="125"/>
  <c r="DN32" i="125"/>
  <c r="DM32" i="125"/>
  <c r="DL40" i="125"/>
  <c r="DK40" i="125"/>
  <c r="DN40" i="125"/>
  <c r="DM40" i="125"/>
  <c r="Z24" i="125"/>
  <c r="Y38" i="125"/>
  <c r="DL31" i="125"/>
  <c r="DK31" i="125"/>
  <c r="DN31" i="125"/>
  <c r="DM31" i="125"/>
  <c r="DL33" i="125"/>
  <c r="DK33" i="125"/>
  <c r="DN33" i="125"/>
  <c r="DM33" i="125"/>
  <c r="DL39" i="125"/>
  <c r="DK39" i="125"/>
  <c r="DN39" i="125"/>
  <c r="DM39" i="125"/>
  <c r="DL41" i="125"/>
  <c r="DK41" i="125"/>
  <c r="DN41" i="125"/>
  <c r="DM41" i="125"/>
  <c r="AW42" i="125"/>
  <c r="DL30" i="125"/>
  <c r="DK30" i="125"/>
  <c r="DN30" i="125"/>
  <c r="DM30" i="125"/>
  <c r="DL34" i="125"/>
  <c r="DK34" i="125"/>
  <c r="DN34" i="125"/>
  <c r="DM34" i="125"/>
  <c r="DL38" i="125"/>
  <c r="DK38" i="125"/>
  <c r="DN38" i="125"/>
  <c r="DM38" i="125"/>
  <c r="Y40" i="125"/>
  <c r="DM7" i="127"/>
  <c r="DL7" i="127"/>
  <c r="DK7" i="127"/>
  <c r="DN7" i="127"/>
  <c r="DM9" i="127"/>
  <c r="DN9" i="127"/>
  <c r="DL9" i="127"/>
  <c r="DK9" i="127"/>
  <c r="DM13" i="127"/>
  <c r="DL13" i="127"/>
  <c r="DK13" i="127"/>
  <c r="DN13" i="127"/>
  <c r="DM15" i="127"/>
  <c r="DN15" i="127"/>
  <c r="DL15" i="127"/>
  <c r="DK15" i="127"/>
  <c r="DM31" i="127"/>
  <c r="DL31" i="127"/>
  <c r="DK31" i="127"/>
  <c r="DN31" i="127"/>
  <c r="DM33" i="127"/>
  <c r="DK33" i="127"/>
  <c r="DN33" i="127"/>
  <c r="DL33" i="127"/>
  <c r="DM39" i="127"/>
  <c r="DL39" i="127"/>
  <c r="DK39" i="127"/>
  <c r="DN39" i="127"/>
  <c r="DM41" i="127"/>
  <c r="DK41" i="127"/>
  <c r="DN41" i="127"/>
  <c r="DL41" i="127"/>
  <c r="DM6" i="127"/>
  <c r="DK6" i="127"/>
  <c r="DN6" i="127"/>
  <c r="DL6" i="127"/>
  <c r="DM8" i="127"/>
  <c r="DL8" i="127"/>
  <c r="DK8" i="127"/>
  <c r="DN8" i="127"/>
  <c r="DM10" i="127"/>
  <c r="DK10" i="127"/>
  <c r="DN10" i="127"/>
  <c r="DL10" i="127"/>
  <c r="DV14" i="127"/>
  <c r="DM14" i="127"/>
  <c r="DL14" i="127"/>
  <c r="DK14" i="127"/>
  <c r="DN14" i="127"/>
  <c r="DM16" i="127"/>
  <c r="DK16" i="127"/>
  <c r="DN16" i="127"/>
  <c r="DL16" i="127"/>
  <c r="DM30" i="127"/>
  <c r="DL30" i="127"/>
  <c r="DK30" i="127"/>
  <c r="DN30" i="127"/>
  <c r="DM32" i="127"/>
  <c r="DN32" i="127"/>
  <c r="DL32" i="127"/>
  <c r="DK32" i="127"/>
  <c r="DM34" i="127"/>
  <c r="DL34" i="127"/>
  <c r="DK34" i="127"/>
  <c r="DN34" i="127"/>
  <c r="DM38" i="127"/>
  <c r="DL38" i="127"/>
  <c r="DK38" i="127"/>
  <c r="DN38" i="127"/>
  <c r="DM40" i="127"/>
  <c r="DN40" i="127"/>
  <c r="DL40" i="127"/>
  <c r="DK40" i="127"/>
  <c r="P44" i="127"/>
  <c r="DM44" i="127"/>
  <c r="DN7" i="125"/>
  <c r="DM7" i="125"/>
  <c r="DL7" i="125"/>
  <c r="DK7" i="125"/>
  <c r="DN9" i="125"/>
  <c r="DM9" i="125"/>
  <c r="DL9" i="125"/>
  <c r="DK9" i="125"/>
  <c r="DN6" i="125"/>
  <c r="DM6" i="125"/>
  <c r="DL6" i="125"/>
  <c r="DK6" i="125"/>
  <c r="DN8" i="125"/>
  <c r="DM8" i="125"/>
  <c r="DL8" i="125"/>
  <c r="DK8" i="125"/>
  <c r="DN10" i="125"/>
  <c r="DM10" i="125"/>
  <c r="DL10" i="125"/>
  <c r="DK10" i="125"/>
  <c r="DN13" i="125"/>
  <c r="DM13" i="125"/>
  <c r="DK13" i="125"/>
  <c r="DL13" i="125"/>
  <c r="DN15" i="125"/>
  <c r="DK15" i="125"/>
  <c r="DM15" i="125"/>
  <c r="DL15" i="125"/>
  <c r="DN17" i="125"/>
  <c r="DM17" i="125"/>
  <c r="DL17" i="125"/>
  <c r="DK17" i="125"/>
  <c r="DN19" i="125"/>
  <c r="DM19" i="125"/>
  <c r="DL19" i="125"/>
  <c r="DK19" i="125"/>
  <c r="DN21" i="125"/>
  <c r="DM21" i="125"/>
  <c r="DL21" i="125"/>
  <c r="DK21" i="125"/>
  <c r="DN23" i="125"/>
  <c r="DK23" i="125"/>
  <c r="DM23" i="125"/>
  <c r="DL23" i="125"/>
  <c r="DN25" i="125"/>
  <c r="DM25" i="125"/>
  <c r="DK25" i="125"/>
  <c r="DL25" i="125"/>
  <c r="DN27" i="125"/>
  <c r="DM27" i="125"/>
  <c r="DL27" i="125"/>
  <c r="DK27" i="125"/>
  <c r="DN14" i="125"/>
  <c r="DM14" i="125"/>
  <c r="DL14" i="125"/>
  <c r="DK14" i="125"/>
  <c r="DN16" i="125"/>
  <c r="DM16" i="125"/>
  <c r="DK16" i="125"/>
  <c r="DL16" i="125"/>
  <c r="DN18" i="125"/>
  <c r="DK18" i="125"/>
  <c r="DM18" i="125"/>
  <c r="DL18" i="125"/>
  <c r="DN20" i="125"/>
  <c r="DM20" i="125"/>
  <c r="DK20" i="125"/>
  <c r="DL20" i="125"/>
  <c r="DN22" i="125"/>
  <c r="DM22" i="125"/>
  <c r="DK22" i="125"/>
  <c r="DL22" i="125"/>
  <c r="DN24" i="125"/>
  <c r="DM24" i="125"/>
  <c r="DL24" i="125"/>
  <c r="DK24" i="125"/>
  <c r="DN26" i="125"/>
  <c r="DK26" i="125"/>
  <c r="DM26" i="125"/>
  <c r="DL26" i="125"/>
  <c r="DN28" i="125"/>
  <c r="DM28" i="125"/>
  <c r="DK28" i="125"/>
  <c r="DL28" i="125"/>
  <c r="P7" i="25"/>
  <c r="DL19" i="127"/>
  <c r="DK19" i="127"/>
  <c r="DN19" i="127"/>
  <c r="DN18" i="127"/>
  <c r="DL18" i="127"/>
  <c r="DK18" i="127"/>
  <c r="DL20" i="127"/>
  <c r="DN20" i="127"/>
  <c r="DK20" i="127"/>
  <c r="DN22" i="127"/>
  <c r="DL22" i="127"/>
  <c r="DK22" i="127"/>
  <c r="DN24" i="127"/>
  <c r="DK24" i="127"/>
  <c r="DL24" i="127"/>
  <c r="DN26" i="127"/>
  <c r="DK26" i="127"/>
  <c r="DL26" i="127"/>
  <c r="DK28" i="127"/>
  <c r="DL28" i="127"/>
  <c r="DN28" i="127"/>
  <c r="DK17" i="127"/>
  <c r="DN17" i="127"/>
  <c r="DL17" i="127"/>
  <c r="DK21" i="127"/>
  <c r="DL21" i="127"/>
  <c r="DN21" i="127"/>
  <c r="DL23" i="127"/>
  <c r="DN23" i="127"/>
  <c r="DK23" i="127"/>
  <c r="DK25" i="127"/>
  <c r="DL25" i="127"/>
  <c r="DN25" i="127"/>
  <c r="DL27" i="127"/>
  <c r="DK27" i="127"/>
  <c r="DN27" i="127"/>
  <c r="Y35" i="127"/>
  <c r="DK44" i="125"/>
  <c r="BQ42" i="125"/>
  <c r="CH47" i="125"/>
  <c r="DH47" i="125"/>
  <c r="CB49" i="125"/>
  <c r="BS27" i="125"/>
  <c r="DQ27" i="125"/>
  <c r="DR27" i="125"/>
  <c r="BR27" i="125"/>
  <c r="DS27" i="125"/>
  <c r="BP27" i="125"/>
  <c r="BR31" i="125"/>
  <c r="DQ31" i="125"/>
  <c r="BP31" i="125"/>
  <c r="DR31" i="125"/>
  <c r="DS31" i="125"/>
  <c r="BP33" i="125"/>
  <c r="DR33" i="125"/>
  <c r="DS33" i="125"/>
  <c r="DQ33" i="125"/>
  <c r="BR33" i="125"/>
  <c r="BS39" i="125"/>
  <c r="BR39" i="125"/>
  <c r="DQ39" i="125"/>
  <c r="BP39" i="125"/>
  <c r="DR39" i="125"/>
  <c r="DS39" i="125"/>
  <c r="BS41" i="125"/>
  <c r="BP41" i="125"/>
  <c r="DR41" i="125"/>
  <c r="DS41" i="125"/>
  <c r="BR41" i="125"/>
  <c r="DQ41" i="125"/>
  <c r="BR46" i="125"/>
  <c r="DS46" i="125"/>
  <c r="DQ46" i="125"/>
  <c r="BP46" i="125"/>
  <c r="DR46" i="125"/>
  <c r="DQ48" i="125"/>
  <c r="BR48" i="125"/>
  <c r="DS48" i="125"/>
  <c r="DR48" i="125"/>
  <c r="BP48" i="125"/>
  <c r="BS50" i="125"/>
  <c r="BR50" i="125"/>
  <c r="DS50" i="125"/>
  <c r="BP50" i="125"/>
  <c r="DQ50" i="125"/>
  <c r="DR50" i="125"/>
  <c r="BS6" i="125"/>
  <c r="DR6" i="125"/>
  <c r="BR6" i="125"/>
  <c r="DQ6" i="125"/>
  <c r="BP6" i="125"/>
  <c r="DS6" i="125"/>
  <c r="BS8" i="125"/>
  <c r="BP8" i="125"/>
  <c r="DR8" i="125"/>
  <c r="DS8" i="125"/>
  <c r="BR8" i="125"/>
  <c r="DQ8" i="125"/>
  <c r="BS10" i="125"/>
  <c r="BP10" i="125"/>
  <c r="BR10" i="125"/>
  <c r="DQ10" i="125"/>
  <c r="DR10" i="125"/>
  <c r="DS10" i="125"/>
  <c r="BS14" i="125"/>
  <c r="DR14" i="125"/>
  <c r="BR14" i="125"/>
  <c r="DQ14" i="125"/>
  <c r="BP14" i="125"/>
  <c r="DS14" i="125"/>
  <c r="BS16" i="125"/>
  <c r="BP16" i="125"/>
  <c r="DR16" i="125"/>
  <c r="DS16" i="125"/>
  <c r="BR16" i="125"/>
  <c r="DQ16" i="125"/>
  <c r="BS18" i="125"/>
  <c r="BP18" i="125"/>
  <c r="DR18" i="125"/>
  <c r="BR18" i="125"/>
  <c r="DQ18" i="125"/>
  <c r="DS18" i="125"/>
  <c r="BS20" i="125"/>
  <c r="BP20" i="125"/>
  <c r="DR20" i="125"/>
  <c r="DS20" i="125"/>
  <c r="DQ20" i="125"/>
  <c r="BR20" i="125"/>
  <c r="BS22" i="125"/>
  <c r="BR22" i="125"/>
  <c r="DQ22" i="125"/>
  <c r="BP22" i="125"/>
  <c r="DR22" i="125"/>
  <c r="DS22" i="125"/>
  <c r="BP24" i="125"/>
  <c r="DR24" i="125"/>
  <c r="DS24" i="125"/>
  <c r="BR24" i="125"/>
  <c r="DQ24" i="125"/>
  <c r="L26" i="125"/>
  <c r="BP26" i="125"/>
  <c r="DR26" i="125"/>
  <c r="BR26" i="125"/>
  <c r="DQ26" i="125"/>
  <c r="DS26" i="125"/>
  <c r="BS44" i="125"/>
  <c r="DQ44" i="125"/>
  <c r="DR44" i="125"/>
  <c r="BR44" i="125"/>
  <c r="DS44" i="125"/>
  <c r="BP44" i="125"/>
  <c r="CU44" i="125"/>
  <c r="J26" i="125"/>
  <c r="BP28" i="125"/>
  <c r="DR28" i="125"/>
  <c r="DS28" i="125"/>
  <c r="DQ28" i="125"/>
  <c r="BR28" i="125"/>
  <c r="BR30" i="125"/>
  <c r="DS30" i="125"/>
  <c r="DQ30" i="125"/>
  <c r="BP30" i="125"/>
  <c r="DR30" i="125"/>
  <c r="DQ32" i="125"/>
  <c r="BR32" i="125"/>
  <c r="DS32" i="125"/>
  <c r="DR32" i="125"/>
  <c r="BP32" i="125"/>
  <c r="BR34" i="125"/>
  <c r="DS34" i="125"/>
  <c r="BP34" i="125"/>
  <c r="DQ34" i="125"/>
  <c r="DR34" i="125"/>
  <c r="BS38" i="125"/>
  <c r="BR38" i="125"/>
  <c r="DS38" i="125"/>
  <c r="BP38" i="125"/>
  <c r="DQ38" i="125"/>
  <c r="DR38" i="125"/>
  <c r="BS40" i="125"/>
  <c r="DQ40" i="125"/>
  <c r="BR40" i="125"/>
  <c r="DS40" i="125"/>
  <c r="DR40" i="125"/>
  <c r="BP40" i="125"/>
  <c r="BS42" i="125"/>
  <c r="BR42" i="125"/>
  <c r="DS42" i="125"/>
  <c r="BP42" i="125"/>
  <c r="DQ42" i="125"/>
  <c r="DR42" i="125"/>
  <c r="I44" i="125"/>
  <c r="BS45" i="125"/>
  <c r="BP45" i="125"/>
  <c r="DR45" i="125"/>
  <c r="DS45" i="125"/>
  <c r="DQ45" i="125"/>
  <c r="BR45" i="125"/>
  <c r="BS47" i="125"/>
  <c r="BP47" i="125"/>
  <c r="BR47" i="125"/>
  <c r="DQ47" i="125"/>
  <c r="DR47" i="125"/>
  <c r="DS47" i="125"/>
  <c r="BS49" i="125"/>
  <c r="BP49" i="125"/>
  <c r="DR49" i="125"/>
  <c r="DS49" i="125"/>
  <c r="BR49" i="125"/>
  <c r="DQ49" i="125"/>
  <c r="BT47" i="125"/>
  <c r="CU47" i="125"/>
  <c r="CN49" i="125"/>
  <c r="BS7" i="125"/>
  <c r="DQ7" i="125"/>
  <c r="DR7" i="125"/>
  <c r="BR7" i="125"/>
  <c r="DS7" i="125"/>
  <c r="BP7" i="125"/>
  <c r="BS9" i="125"/>
  <c r="BR9" i="125"/>
  <c r="DS9" i="125"/>
  <c r="DQ9" i="125"/>
  <c r="BP9" i="125"/>
  <c r="DR9" i="125"/>
  <c r="BS13" i="125"/>
  <c r="BR13" i="125"/>
  <c r="DS13" i="125"/>
  <c r="BP13" i="125"/>
  <c r="DQ13" i="125"/>
  <c r="DR13" i="125"/>
  <c r="BS15" i="125"/>
  <c r="DQ15" i="125"/>
  <c r="BR15" i="125"/>
  <c r="DR15" i="125"/>
  <c r="DS15" i="125"/>
  <c r="BP15" i="125"/>
  <c r="BS17" i="125"/>
  <c r="BR17" i="125"/>
  <c r="DS17" i="125"/>
  <c r="BP17" i="125"/>
  <c r="DQ17" i="125"/>
  <c r="DR17" i="125"/>
  <c r="BS19" i="125"/>
  <c r="DQ19" i="125"/>
  <c r="DR19" i="125"/>
  <c r="BR19" i="125"/>
  <c r="DS19" i="125"/>
  <c r="BP19" i="125"/>
  <c r="BS21" i="125"/>
  <c r="BR21" i="125"/>
  <c r="DS21" i="125"/>
  <c r="DQ21" i="125"/>
  <c r="BP21" i="125"/>
  <c r="DR21" i="125"/>
  <c r="DQ23" i="125"/>
  <c r="BR23" i="125"/>
  <c r="DS23" i="125"/>
  <c r="DR23" i="125"/>
  <c r="BP23" i="125"/>
  <c r="BR25" i="125"/>
  <c r="DS25" i="125"/>
  <c r="BP25" i="125"/>
  <c r="DQ25" i="125"/>
  <c r="DR25" i="125"/>
  <c r="I42" i="125"/>
  <c r="BS43" i="125"/>
  <c r="DR43" i="125"/>
  <c r="BR43" i="125"/>
  <c r="DQ43" i="125"/>
  <c r="BP43" i="125"/>
  <c r="DS43" i="125"/>
  <c r="AG44" i="125"/>
  <c r="DI44" i="125"/>
  <c r="BV47" i="125"/>
  <c r="CV47" i="125"/>
  <c r="CA49" i="125"/>
  <c r="CY49" i="125"/>
  <c r="AG10" i="126"/>
  <c r="X38" i="127"/>
  <c r="BS7" i="127"/>
  <c r="BP7" i="127"/>
  <c r="BR7" i="127"/>
  <c r="DQ7" i="127"/>
  <c r="DR7" i="127"/>
  <c r="DS7" i="127"/>
  <c r="BS9" i="127"/>
  <c r="BP9" i="127"/>
  <c r="BR9" i="127"/>
  <c r="DS9" i="127"/>
  <c r="DQ9" i="127"/>
  <c r="DR9" i="127"/>
  <c r="BP13" i="127"/>
  <c r="BR13" i="127"/>
  <c r="DS13" i="127"/>
  <c r="DQ13" i="127"/>
  <c r="DR13" i="127"/>
  <c r="BS42" i="127"/>
  <c r="BR42" i="127"/>
  <c r="BP42" i="127"/>
  <c r="DS42" i="127"/>
  <c r="DQ42" i="127"/>
  <c r="DR42" i="127"/>
  <c r="BS43" i="127"/>
  <c r="BR43" i="127"/>
  <c r="BP43" i="127"/>
  <c r="DS43" i="127"/>
  <c r="DQ43" i="127"/>
  <c r="DR43" i="127"/>
  <c r="BS48" i="127"/>
  <c r="BP48" i="127"/>
  <c r="BR48" i="127"/>
  <c r="DQ48" i="127"/>
  <c r="DR48" i="127"/>
  <c r="DS48" i="127"/>
  <c r="BS15" i="127"/>
  <c r="BP15" i="127"/>
  <c r="BR15" i="127"/>
  <c r="DQ15" i="127"/>
  <c r="DS15" i="127"/>
  <c r="DR15" i="127"/>
  <c r="BS17" i="127"/>
  <c r="BP17" i="127"/>
  <c r="BR17" i="127"/>
  <c r="DS17" i="127"/>
  <c r="DQ17" i="127"/>
  <c r="DR17" i="127"/>
  <c r="BS19" i="127"/>
  <c r="BP19" i="127"/>
  <c r="BR19" i="127"/>
  <c r="DQ19" i="127"/>
  <c r="DS19" i="127"/>
  <c r="DR19" i="127"/>
  <c r="BS21" i="127"/>
  <c r="BR21" i="127"/>
  <c r="BP21" i="127"/>
  <c r="DS21" i="127"/>
  <c r="DQ21" i="127"/>
  <c r="DR21" i="127"/>
  <c r="BS23" i="127"/>
  <c r="BP23" i="127"/>
  <c r="BR23" i="127"/>
  <c r="DQ23" i="127"/>
  <c r="DS23" i="127"/>
  <c r="DR23" i="127"/>
  <c r="BS25" i="127"/>
  <c r="BP25" i="127"/>
  <c r="BR25" i="127"/>
  <c r="DS25" i="127"/>
  <c r="DQ25" i="127"/>
  <c r="DR25" i="127"/>
  <c r="BS27" i="127"/>
  <c r="BP27" i="127"/>
  <c r="BR27" i="127"/>
  <c r="DQ27" i="127"/>
  <c r="DR27" i="127"/>
  <c r="DS27" i="127"/>
  <c r="BS31" i="127"/>
  <c r="BR31" i="127"/>
  <c r="BP31" i="127"/>
  <c r="DR31" i="127"/>
  <c r="DS31" i="127"/>
  <c r="DQ31" i="127"/>
  <c r="BR33" i="127"/>
  <c r="BP33" i="127"/>
  <c r="DR33" i="127"/>
  <c r="DS33" i="127"/>
  <c r="DQ33" i="127"/>
  <c r="T42" i="127"/>
  <c r="BS45" i="127"/>
  <c r="BR45" i="127"/>
  <c r="BP45" i="127"/>
  <c r="DR45" i="127"/>
  <c r="DS45" i="127"/>
  <c r="DQ45" i="127"/>
  <c r="BS47" i="127"/>
  <c r="BR47" i="127"/>
  <c r="BP47" i="127"/>
  <c r="DQ47" i="127"/>
  <c r="DR47" i="127"/>
  <c r="DS47" i="127"/>
  <c r="BB48" i="127"/>
  <c r="BR50" i="127"/>
  <c r="BP50" i="127"/>
  <c r="DS50" i="127"/>
  <c r="DQ50" i="127"/>
  <c r="DR50" i="127"/>
  <c r="BB15" i="127"/>
  <c r="BS6" i="127"/>
  <c r="BP6" i="127"/>
  <c r="BR6" i="127"/>
  <c r="DR6" i="127"/>
  <c r="DS6" i="127"/>
  <c r="DQ6" i="127"/>
  <c r="BS8" i="127"/>
  <c r="BR8" i="127"/>
  <c r="BP8" i="127"/>
  <c r="DR8" i="127"/>
  <c r="DS8" i="127"/>
  <c r="DQ8" i="127"/>
  <c r="BS10" i="127"/>
  <c r="BR10" i="127"/>
  <c r="BP10" i="127"/>
  <c r="DR10" i="127"/>
  <c r="DS10" i="127"/>
  <c r="DQ10" i="127"/>
  <c r="BR14" i="127"/>
  <c r="BP14" i="127"/>
  <c r="DS14" i="127"/>
  <c r="DQ14" i="127"/>
  <c r="DR14" i="127"/>
  <c r="DP35" i="127"/>
  <c r="DS35" i="127" s="1"/>
  <c r="BS39" i="127"/>
  <c r="BR39" i="127"/>
  <c r="BP39" i="127"/>
  <c r="DR39" i="127"/>
  <c r="DS39" i="127"/>
  <c r="DQ39" i="127"/>
  <c r="BS41" i="127"/>
  <c r="BR41" i="127"/>
  <c r="BP41" i="127"/>
  <c r="DR41" i="127"/>
  <c r="DS41" i="127"/>
  <c r="DQ41" i="127"/>
  <c r="AP42" i="127"/>
  <c r="BS44" i="127"/>
  <c r="BP44" i="127"/>
  <c r="BR44" i="127"/>
  <c r="DQ44" i="127"/>
  <c r="DR44" i="127"/>
  <c r="DS44" i="127"/>
  <c r="T47" i="127"/>
  <c r="BP38" i="127"/>
  <c r="BR38" i="127"/>
  <c r="DS38" i="127"/>
  <c r="DQ38" i="127"/>
  <c r="DR38" i="127"/>
  <c r="BS40" i="127"/>
  <c r="BP40" i="127"/>
  <c r="BR40" i="127"/>
  <c r="DQ40" i="127"/>
  <c r="DR40" i="127"/>
  <c r="DS40" i="127"/>
  <c r="BS16" i="127"/>
  <c r="BR16" i="127"/>
  <c r="BP16" i="127"/>
  <c r="DR16" i="127"/>
  <c r="DS16" i="127"/>
  <c r="DQ16" i="127"/>
  <c r="BS18" i="127"/>
  <c r="BR18" i="127"/>
  <c r="BP18" i="127"/>
  <c r="DS18" i="127"/>
  <c r="DQ18" i="127"/>
  <c r="DR18" i="127"/>
  <c r="BS20" i="127"/>
  <c r="BR20" i="127"/>
  <c r="BP20" i="127"/>
  <c r="DR20" i="127"/>
  <c r="DS20" i="127"/>
  <c r="DQ20" i="127"/>
  <c r="BS22" i="127"/>
  <c r="BR22" i="127"/>
  <c r="BP22" i="127"/>
  <c r="DS22" i="127"/>
  <c r="DQ22" i="127"/>
  <c r="DR22" i="127"/>
  <c r="BS24" i="127"/>
  <c r="BR24" i="127"/>
  <c r="BP24" i="127"/>
  <c r="DR24" i="127"/>
  <c r="DS24" i="127"/>
  <c r="DQ24" i="127"/>
  <c r="BR26" i="127"/>
  <c r="BP26" i="127"/>
  <c r="DR26" i="127"/>
  <c r="DS26" i="127"/>
  <c r="DQ26" i="127"/>
  <c r="BS28" i="127"/>
  <c r="BR28" i="127"/>
  <c r="BP28" i="127"/>
  <c r="DR28" i="127"/>
  <c r="DS28" i="127"/>
  <c r="DQ28" i="127"/>
  <c r="BS30" i="127"/>
  <c r="BP30" i="127"/>
  <c r="BR30" i="127"/>
  <c r="DS30" i="127"/>
  <c r="DQ30" i="127"/>
  <c r="DR30" i="127"/>
  <c r="BS32" i="127"/>
  <c r="BP32" i="127"/>
  <c r="BR32" i="127"/>
  <c r="DQ32" i="127"/>
  <c r="DR32" i="127"/>
  <c r="DS32" i="127"/>
  <c r="BS34" i="127"/>
  <c r="BR34" i="127"/>
  <c r="BP34" i="127"/>
  <c r="DS34" i="127"/>
  <c r="DQ34" i="127"/>
  <c r="DR34" i="127"/>
  <c r="BS46" i="127"/>
  <c r="BP46" i="127"/>
  <c r="BR46" i="127"/>
  <c r="DS46" i="127"/>
  <c r="DQ46" i="127"/>
  <c r="DR46" i="127"/>
  <c r="BS49" i="127"/>
  <c r="BR49" i="127"/>
  <c r="BP49" i="127"/>
  <c r="DR49" i="127"/>
  <c r="DQ49" i="127"/>
  <c r="DS49" i="127"/>
  <c r="P3" i="25"/>
  <c r="Q3" i="25" s="1"/>
  <c r="M7" i="25"/>
  <c r="CS3" i="25"/>
  <c r="I6" i="25"/>
  <c r="CS2" i="25"/>
  <c r="DP13" i="127"/>
  <c r="BS13" i="127"/>
  <c r="DV38" i="127"/>
  <c r="BS38" i="127"/>
  <c r="L33" i="127"/>
  <c r="BS33" i="127"/>
  <c r="AT50" i="127"/>
  <c r="BS50" i="127"/>
  <c r="AI26" i="127"/>
  <c r="BS26" i="127"/>
  <c r="J14" i="127"/>
  <c r="BS14" i="127"/>
  <c r="DV37" i="127"/>
  <c r="CJ44" i="127"/>
  <c r="AQ33" i="125"/>
  <c r="BS33" i="125"/>
  <c r="BS46" i="125"/>
  <c r="AX46" i="125"/>
  <c r="CZ48" i="125"/>
  <c r="BS48" i="125"/>
  <c r="CA46" i="125"/>
  <c r="CM46" i="125"/>
  <c r="CZ46" i="125"/>
  <c r="BT50" i="125"/>
  <c r="DH50" i="125"/>
  <c r="X26" i="125"/>
  <c r="BB27" i="125"/>
  <c r="AE23" i="125"/>
  <c r="BS23" i="125"/>
  <c r="L25" i="125"/>
  <c r="BS25" i="125"/>
  <c r="DO28" i="125"/>
  <c r="BS28" i="125"/>
  <c r="DO30" i="125"/>
  <c r="BS30" i="125"/>
  <c r="DP32" i="125"/>
  <c r="BS32" i="125"/>
  <c r="DV35" i="125"/>
  <c r="M42" i="125"/>
  <c r="AG42" i="125"/>
  <c r="CO42" i="125"/>
  <c r="M44" i="125"/>
  <c r="AO44" i="125"/>
  <c r="S46" i="125"/>
  <c r="BU42" i="125"/>
  <c r="CN42" i="125"/>
  <c r="DD42" i="125"/>
  <c r="BV44" i="125"/>
  <c r="CV44" i="125"/>
  <c r="CC46" i="125"/>
  <c r="CN46" i="125"/>
  <c r="BU48" i="125"/>
  <c r="DG48" i="125"/>
  <c r="CH50" i="125"/>
  <c r="Z32" i="125"/>
  <c r="Y35" i="125"/>
  <c r="Y39" i="125"/>
  <c r="L32" i="125"/>
  <c r="DP34" i="125"/>
  <c r="BS34" i="125"/>
  <c r="Q42" i="125"/>
  <c r="AO42" i="125"/>
  <c r="DA42" i="125"/>
  <c r="Q44" i="125"/>
  <c r="AW44" i="125"/>
  <c r="Z46" i="125"/>
  <c r="CB42" i="125"/>
  <c r="CU42" i="125"/>
  <c r="DF42" i="125"/>
  <c r="CH44" i="125"/>
  <c r="BT46" i="125"/>
  <c r="CH46" i="125"/>
  <c r="CT46" i="125"/>
  <c r="DH46" i="125"/>
  <c r="CB47" i="125"/>
  <c r="CM47" i="125"/>
  <c r="CZ47" i="125"/>
  <c r="CH48" i="125"/>
  <c r="BT49" i="125"/>
  <c r="CG49" i="125"/>
  <c r="CT49" i="125"/>
  <c r="DH49" i="125"/>
  <c r="CT50" i="125"/>
  <c r="DO24" i="125"/>
  <c r="BS24" i="125"/>
  <c r="DO26" i="125"/>
  <c r="BS26" i="125"/>
  <c r="J31" i="125"/>
  <c r="BS31" i="125"/>
  <c r="Y42" i="125"/>
  <c r="AS42" i="125"/>
  <c r="DP42" i="125"/>
  <c r="AC44" i="125"/>
  <c r="CP44" i="125"/>
  <c r="AH46" i="125"/>
  <c r="CE42" i="125"/>
  <c r="CX42" i="125"/>
  <c r="CJ44" i="125"/>
  <c r="DG44" i="125"/>
  <c r="BU46" i="125"/>
  <c r="CI46" i="125"/>
  <c r="CV46" i="125"/>
  <c r="DI46" i="125"/>
  <c r="CC47" i="125"/>
  <c r="CQ47" i="125"/>
  <c r="CU48" i="125"/>
  <c r="BU49" i="125"/>
  <c r="CI49" i="125"/>
  <c r="CU49" i="125"/>
  <c r="DI49" i="125"/>
  <c r="DU43" i="125"/>
  <c r="BH43" i="125"/>
  <c r="DW43" i="125"/>
  <c r="BN43" i="125"/>
  <c r="H43" i="125"/>
  <c r="DI43" i="125"/>
  <c r="DD43" i="125"/>
  <c r="CX43" i="125"/>
  <c r="CT43" i="125"/>
  <c r="CN43" i="125"/>
  <c r="DG43" i="125"/>
  <c r="CY43" i="125"/>
  <c r="CS43" i="125"/>
  <c r="CL43" i="125"/>
  <c r="CH43" i="125"/>
  <c r="CC43" i="125"/>
  <c r="BY43" i="125"/>
  <c r="DF43" i="125"/>
  <c r="CW43" i="125"/>
  <c r="CR43" i="125"/>
  <c r="CK43" i="125"/>
  <c r="CG43" i="125"/>
  <c r="CB43" i="125"/>
  <c r="BV43" i="125"/>
  <c r="BQ43" i="125"/>
  <c r="AK43" i="125"/>
  <c r="DV43" i="125"/>
  <c r="DU45" i="125"/>
  <c r="DW45" i="125"/>
  <c r="BN45" i="125"/>
  <c r="BH45" i="125"/>
  <c r="H45" i="125"/>
  <c r="DG45" i="125"/>
  <c r="CZ45" i="125"/>
  <c r="CV45" i="125"/>
  <c r="CR45" i="125"/>
  <c r="CL45" i="125"/>
  <c r="CH45" i="125"/>
  <c r="CC45" i="125"/>
  <c r="BY45" i="125"/>
  <c r="DF45" i="125"/>
  <c r="CX45" i="125"/>
  <c r="CS45" i="125"/>
  <c r="CK45" i="125"/>
  <c r="CE45" i="125"/>
  <c r="BZ45" i="125"/>
  <c r="BQ45" i="125"/>
  <c r="BX45" i="125"/>
  <c r="AE45" i="125"/>
  <c r="S45" i="125"/>
  <c r="DD45" i="125"/>
  <c r="CW45" i="125"/>
  <c r="CQ45" i="125"/>
  <c r="CJ45" i="125"/>
  <c r="CD45" i="125"/>
  <c r="BV45" i="125"/>
  <c r="BM45" i="125"/>
  <c r="AU45" i="125"/>
  <c r="Z45" i="125"/>
  <c r="O45" i="125"/>
  <c r="AG31" i="126"/>
  <c r="AH31" i="126"/>
  <c r="BT43" i="125"/>
  <c r="CM43" i="125"/>
  <c r="CM45" i="125"/>
  <c r="CY45" i="125"/>
  <c r="X24" i="125"/>
  <c r="Z28" i="125"/>
  <c r="AA23" i="125"/>
  <c r="J24" i="125"/>
  <c r="L28" i="125"/>
  <c r="I43" i="125"/>
  <c r="AO43" i="125"/>
  <c r="CO43" i="125"/>
  <c r="J45" i="125"/>
  <c r="DV50" i="125"/>
  <c r="BN50" i="125"/>
  <c r="BH50" i="125"/>
  <c r="DW50" i="125"/>
  <c r="H50" i="125"/>
  <c r="DF50" i="125"/>
  <c r="CY50" i="125"/>
  <c r="CU50" i="125"/>
  <c r="CQ50" i="125"/>
  <c r="CK50" i="125"/>
  <c r="CG50" i="125"/>
  <c r="CB50" i="125"/>
  <c r="BV50" i="125"/>
  <c r="BQ50" i="125"/>
  <c r="DG50" i="125"/>
  <c r="CX50" i="125"/>
  <c r="CS50" i="125"/>
  <c r="CL50" i="125"/>
  <c r="CE50" i="125"/>
  <c r="BZ50" i="125"/>
  <c r="DD50" i="125"/>
  <c r="CW50" i="125"/>
  <c r="CR50" i="125"/>
  <c r="CJ50" i="125"/>
  <c r="CD50" i="125"/>
  <c r="BY50" i="125"/>
  <c r="BM50" i="125"/>
  <c r="CY48" i="127"/>
  <c r="CL48" i="127"/>
  <c r="Z48" i="127"/>
  <c r="CQ48" i="127"/>
  <c r="K48" i="127"/>
  <c r="BV48" i="125"/>
  <c r="BU50" i="125"/>
  <c r="DI50" i="125"/>
  <c r="Z23" i="125"/>
  <c r="Z25" i="125"/>
  <c r="X28" i="125"/>
  <c r="X29" i="125"/>
  <c r="AG39" i="124"/>
  <c r="AU23" i="125"/>
  <c r="L24" i="125"/>
  <c r="L30" i="125"/>
  <c r="AA33" i="125"/>
  <c r="DU42" i="125"/>
  <c r="BN42" i="125"/>
  <c r="BH42" i="125"/>
  <c r="DW42" i="125"/>
  <c r="H42" i="125"/>
  <c r="DH42" i="125"/>
  <c r="CW42" i="125"/>
  <c r="CS42" i="125"/>
  <c r="CM42" i="125"/>
  <c r="CI42" i="125"/>
  <c r="CD42" i="125"/>
  <c r="BZ42" i="125"/>
  <c r="BT42" i="125"/>
  <c r="DG42" i="125"/>
  <c r="CZ42" i="125"/>
  <c r="CV42" i="125"/>
  <c r="CR42" i="125"/>
  <c r="CL42" i="125"/>
  <c r="CH42" i="125"/>
  <c r="CC42" i="125"/>
  <c r="BY42" i="125"/>
  <c r="U42" i="125"/>
  <c r="AK42" i="125"/>
  <c r="BA42" i="125"/>
  <c r="DV42" i="125"/>
  <c r="M43" i="125"/>
  <c r="AC43" i="125"/>
  <c r="AS43" i="125"/>
  <c r="DA43" i="125"/>
  <c r="DO44" i="125"/>
  <c r="BN44" i="125"/>
  <c r="DW44" i="125"/>
  <c r="BH44" i="125"/>
  <c r="H44" i="125"/>
  <c r="DH44" i="125"/>
  <c r="CW44" i="125"/>
  <c r="CS44" i="125"/>
  <c r="CM44" i="125"/>
  <c r="CI44" i="125"/>
  <c r="CD44" i="125"/>
  <c r="BZ44" i="125"/>
  <c r="BT44" i="125"/>
  <c r="DF44" i="125"/>
  <c r="CY44" i="125"/>
  <c r="CT44" i="125"/>
  <c r="CL44" i="125"/>
  <c r="CG44" i="125"/>
  <c r="CA44" i="125"/>
  <c r="BA44" i="125"/>
  <c r="AK44" i="125"/>
  <c r="U44" i="125"/>
  <c r="DD44" i="125"/>
  <c r="CX44" i="125"/>
  <c r="CR44" i="125"/>
  <c r="CK44" i="125"/>
  <c r="CE44" i="125"/>
  <c r="BY44" i="125"/>
  <c r="BQ44" i="125"/>
  <c r="Y44" i="125"/>
  <c r="AS44" i="125"/>
  <c r="DU44" i="125"/>
  <c r="T45" i="125"/>
  <c r="DJ45" i="125"/>
  <c r="AG20" i="126"/>
  <c r="AH20" i="126"/>
  <c r="CS47" i="127"/>
  <c r="CA47" i="127"/>
  <c r="CF47" i="127"/>
  <c r="J48" i="127"/>
  <c r="BV42" i="125"/>
  <c r="CG42" i="125"/>
  <c r="CQ42" i="125"/>
  <c r="CY42" i="125"/>
  <c r="DI42" i="125"/>
  <c r="BZ43" i="125"/>
  <c r="CI43" i="125"/>
  <c r="CU43" i="125"/>
  <c r="DH43" i="125"/>
  <c r="CB44" i="125"/>
  <c r="CN44" i="125"/>
  <c r="CZ44" i="125"/>
  <c r="BT45" i="125"/>
  <c r="CG45" i="125"/>
  <c r="CT45" i="125"/>
  <c r="DH45" i="125"/>
  <c r="CB48" i="125"/>
  <c r="CN48" i="125"/>
  <c r="CA50" i="125"/>
  <c r="CM50" i="125"/>
  <c r="CZ50" i="125"/>
  <c r="DI47" i="127"/>
  <c r="L3" i="25"/>
  <c r="H2" i="25"/>
  <c r="J7" i="25"/>
  <c r="H6" i="25"/>
  <c r="P8" i="25"/>
  <c r="I7" i="25"/>
  <c r="U43" i="125"/>
  <c r="BA43" i="125"/>
  <c r="AJ45" i="125"/>
  <c r="CD43" i="125"/>
  <c r="CZ43" i="125"/>
  <c r="CA45" i="125"/>
  <c r="BB23" i="125"/>
  <c r="Y43" i="125"/>
  <c r="AP45" i="125"/>
  <c r="BN48" i="125"/>
  <c r="BH48" i="125"/>
  <c r="DW48" i="125"/>
  <c r="H48" i="125"/>
  <c r="DH48" i="125"/>
  <c r="CW48" i="125"/>
  <c r="CS48" i="125"/>
  <c r="CM48" i="125"/>
  <c r="CI48" i="125"/>
  <c r="CD48" i="125"/>
  <c r="BZ48" i="125"/>
  <c r="BT48" i="125"/>
  <c r="DF48" i="125"/>
  <c r="CY48" i="125"/>
  <c r="CT48" i="125"/>
  <c r="CL48" i="125"/>
  <c r="CG48" i="125"/>
  <c r="CA48" i="125"/>
  <c r="DD48" i="125"/>
  <c r="CX48" i="125"/>
  <c r="CR48" i="125"/>
  <c r="CK48" i="125"/>
  <c r="CE48" i="125"/>
  <c r="BY48" i="125"/>
  <c r="BQ48" i="125"/>
  <c r="BU43" i="125"/>
  <c r="CE43" i="125"/>
  <c r="CQ43" i="125"/>
  <c r="CB45" i="125"/>
  <c r="CN45" i="125"/>
  <c r="CJ48" i="125"/>
  <c r="CV48" i="125"/>
  <c r="DI48" i="125"/>
  <c r="CI50" i="125"/>
  <c r="CV50" i="125"/>
  <c r="DG48" i="127"/>
  <c r="G38" i="101"/>
  <c r="X23" i="125"/>
  <c r="BB24" i="125"/>
  <c r="Z30" i="125"/>
  <c r="Y34" i="125"/>
  <c r="Y37" i="125"/>
  <c r="AG38" i="124"/>
  <c r="Y41" i="125"/>
  <c r="L29" i="125"/>
  <c r="Q43" i="125"/>
  <c r="AG43" i="125"/>
  <c r="AW43" i="125"/>
  <c r="DP43" i="125"/>
  <c r="X45" i="125"/>
  <c r="DT45" i="125"/>
  <c r="DG44" i="127"/>
  <c r="BQ44" i="127"/>
  <c r="CL44" i="127"/>
  <c r="AN44" i="127"/>
  <c r="AQ48" i="127"/>
  <c r="BM42" i="125"/>
  <c r="CA42" i="125"/>
  <c r="CJ42" i="125"/>
  <c r="CT42" i="125"/>
  <c r="BM43" i="125"/>
  <c r="CA43" i="125"/>
  <c r="CJ43" i="125"/>
  <c r="CV43" i="125"/>
  <c r="BM44" i="125"/>
  <c r="CC44" i="125"/>
  <c r="CQ44" i="125"/>
  <c r="BU45" i="125"/>
  <c r="CI45" i="125"/>
  <c r="CU45" i="125"/>
  <c r="DI45" i="125"/>
  <c r="BM48" i="125"/>
  <c r="CC48" i="125"/>
  <c r="CQ48" i="125"/>
  <c r="CC50" i="125"/>
  <c r="CN50" i="125"/>
  <c r="BM48" i="127"/>
  <c r="BH47" i="125"/>
  <c r="DW47" i="125"/>
  <c r="BN47" i="125"/>
  <c r="H47" i="125"/>
  <c r="DI47" i="125"/>
  <c r="DD47" i="125"/>
  <c r="CX47" i="125"/>
  <c r="CT47" i="125"/>
  <c r="CN47" i="125"/>
  <c r="CJ47" i="125"/>
  <c r="CE47" i="125"/>
  <c r="CA47" i="125"/>
  <c r="BU47" i="125"/>
  <c r="BM47" i="125"/>
  <c r="DV49" i="125"/>
  <c r="BH49" i="125"/>
  <c r="BN49" i="125"/>
  <c r="DW49" i="125"/>
  <c r="H49" i="125"/>
  <c r="DG49" i="125"/>
  <c r="CZ49" i="125"/>
  <c r="CV49" i="125"/>
  <c r="CR49" i="125"/>
  <c r="CL49" i="125"/>
  <c r="CH49" i="125"/>
  <c r="CC49" i="125"/>
  <c r="BY49" i="125"/>
  <c r="CE42" i="127"/>
  <c r="BT42" i="127"/>
  <c r="BM46" i="125"/>
  <c r="BY46" i="125"/>
  <c r="CD46" i="125"/>
  <c r="CJ46" i="125"/>
  <c r="CR46" i="125"/>
  <c r="CW46" i="125"/>
  <c r="DD46" i="125"/>
  <c r="BQ47" i="125"/>
  <c r="BY47" i="125"/>
  <c r="CD47" i="125"/>
  <c r="CK47" i="125"/>
  <c r="CR47" i="125"/>
  <c r="CW47" i="125"/>
  <c r="DF47" i="125"/>
  <c r="BM49" i="125"/>
  <c r="BV49" i="125"/>
  <c r="CD49" i="125"/>
  <c r="CJ49" i="125"/>
  <c r="CQ49" i="125"/>
  <c r="CW49" i="125"/>
  <c r="DD49" i="125"/>
  <c r="CS42" i="127"/>
  <c r="CS4" i="25"/>
  <c r="L7" i="25"/>
  <c r="H7" i="25"/>
  <c r="K7" i="25"/>
  <c r="DT46" i="125"/>
  <c r="DW46" i="125"/>
  <c r="BN46" i="125"/>
  <c r="BH46" i="125"/>
  <c r="H46" i="125"/>
  <c r="DF46" i="125"/>
  <c r="CY46" i="125"/>
  <c r="CU46" i="125"/>
  <c r="CQ46" i="125"/>
  <c r="CK46" i="125"/>
  <c r="CG46" i="125"/>
  <c r="CB46" i="125"/>
  <c r="BV46" i="125"/>
  <c r="BQ46" i="125"/>
  <c r="AP46" i="125"/>
  <c r="BZ46" i="125"/>
  <c r="CE46" i="125"/>
  <c r="CL46" i="125"/>
  <c r="CS46" i="125"/>
  <c r="CX46" i="125"/>
  <c r="DG46" i="125"/>
  <c r="BZ47" i="125"/>
  <c r="CG47" i="125"/>
  <c r="CL47" i="125"/>
  <c r="CS47" i="125"/>
  <c r="CY47" i="125"/>
  <c r="DG47" i="125"/>
  <c r="BQ49" i="125"/>
  <c r="BZ49" i="125"/>
  <c r="CE49" i="125"/>
  <c r="CK49" i="125"/>
  <c r="CS49" i="125"/>
  <c r="CX49" i="125"/>
  <c r="DF49" i="125"/>
  <c r="P2" i="25"/>
  <c r="Q2" i="25" s="1"/>
  <c r="K6" i="25"/>
  <c r="P6" i="25"/>
  <c r="J6" i="25"/>
  <c r="H8" i="25"/>
  <c r="BH6" i="125"/>
  <c r="BN6" i="125"/>
  <c r="DW6" i="125"/>
  <c r="H6" i="125"/>
  <c r="H12" i="125"/>
  <c r="BH18" i="125"/>
  <c r="BN18" i="125"/>
  <c r="DW18" i="125"/>
  <c r="H18" i="125"/>
  <c r="DU22" i="125"/>
  <c r="BH22" i="125"/>
  <c r="BN22" i="125"/>
  <c r="DW22" i="125"/>
  <c r="H22" i="125"/>
  <c r="DU25" i="125"/>
  <c r="DV27" i="125"/>
  <c r="DW27" i="125"/>
  <c r="BH27" i="125"/>
  <c r="BN27" i="125"/>
  <c r="H27" i="125"/>
  <c r="X25" i="125"/>
  <c r="Z27" i="125"/>
  <c r="J25" i="125"/>
  <c r="J27" i="125"/>
  <c r="J29" i="125"/>
  <c r="AI33" i="125"/>
  <c r="DU34" i="125"/>
  <c r="BH34" i="125"/>
  <c r="DW34" i="125"/>
  <c r="BN34" i="125"/>
  <c r="H34" i="125"/>
  <c r="DU35" i="125"/>
  <c r="H35" i="125"/>
  <c r="DU36" i="125"/>
  <c r="H36" i="125"/>
  <c r="DU37" i="125"/>
  <c r="H37" i="125"/>
  <c r="DU38" i="125"/>
  <c r="BH38" i="125"/>
  <c r="BN38" i="125"/>
  <c r="DW38" i="125"/>
  <c r="H38" i="125"/>
  <c r="DU39" i="125"/>
  <c r="BH39" i="125"/>
  <c r="DW39" i="125"/>
  <c r="BN39" i="125"/>
  <c r="H39" i="125"/>
  <c r="DU40" i="125"/>
  <c r="BN40" i="125"/>
  <c r="BH40" i="125"/>
  <c r="DW40" i="125"/>
  <c r="H40" i="125"/>
  <c r="DU41" i="125"/>
  <c r="DW41" i="125"/>
  <c r="BN41" i="125"/>
  <c r="BH41" i="125"/>
  <c r="H41" i="125"/>
  <c r="BN8" i="125"/>
  <c r="DW8" i="125"/>
  <c r="BH8" i="125"/>
  <c r="H8" i="125"/>
  <c r="BH10" i="125"/>
  <c r="BN10" i="125"/>
  <c r="DW10" i="125"/>
  <c r="H10" i="125"/>
  <c r="BH14" i="125"/>
  <c r="BN14" i="125"/>
  <c r="DW14" i="125"/>
  <c r="H14" i="125"/>
  <c r="BN20" i="125"/>
  <c r="BH20" i="125"/>
  <c r="DW20" i="125"/>
  <c r="H20" i="125"/>
  <c r="DU27" i="125"/>
  <c r="DV31" i="125"/>
  <c r="BN31" i="125"/>
  <c r="BH31" i="125"/>
  <c r="DW31" i="125"/>
  <c r="H31" i="125"/>
  <c r="X27" i="125"/>
  <c r="H5" i="125"/>
  <c r="DW7" i="125"/>
  <c r="BN7" i="125"/>
  <c r="BH7" i="125"/>
  <c r="H7" i="125"/>
  <c r="DW9" i="125"/>
  <c r="BN9" i="125"/>
  <c r="BH9" i="125"/>
  <c r="H9" i="125"/>
  <c r="H11" i="125"/>
  <c r="DW13" i="125"/>
  <c r="BH13" i="125"/>
  <c r="BN13" i="125"/>
  <c r="H13" i="125"/>
  <c r="BN15" i="125"/>
  <c r="BH15" i="125"/>
  <c r="DW15" i="125"/>
  <c r="H15" i="125"/>
  <c r="DW17" i="125"/>
  <c r="BN17" i="125"/>
  <c r="BH17" i="125"/>
  <c r="H17" i="125"/>
  <c r="DW19" i="125"/>
  <c r="BH19" i="125"/>
  <c r="BN19" i="125"/>
  <c r="H19" i="125"/>
  <c r="DW21" i="125"/>
  <c r="BH21" i="125"/>
  <c r="BN21" i="125"/>
  <c r="H21" i="125"/>
  <c r="BN23" i="125"/>
  <c r="BH23" i="125"/>
  <c r="DW23" i="125"/>
  <c r="H23" i="125"/>
  <c r="AI23" i="125"/>
  <c r="DV24" i="125"/>
  <c r="BN24" i="125"/>
  <c r="DW24" i="125"/>
  <c r="BH24" i="125"/>
  <c r="H24" i="125"/>
  <c r="DU24" i="125"/>
  <c r="DV26" i="125"/>
  <c r="BH26" i="125"/>
  <c r="BN26" i="125"/>
  <c r="DW26" i="125"/>
  <c r="H26" i="125"/>
  <c r="DU26" i="125"/>
  <c r="L27" i="125"/>
  <c r="DV28" i="125"/>
  <c r="BN28" i="125"/>
  <c r="BH28" i="125"/>
  <c r="DW28" i="125"/>
  <c r="H28" i="125"/>
  <c r="DU28" i="125"/>
  <c r="DV30" i="125"/>
  <c r="BH30" i="125"/>
  <c r="BN30" i="125"/>
  <c r="DW30" i="125"/>
  <c r="H30" i="125"/>
  <c r="DU30" i="125"/>
  <c r="L31" i="125"/>
  <c r="BN32" i="125"/>
  <c r="DW32" i="125"/>
  <c r="BH32" i="125"/>
  <c r="H32" i="125"/>
  <c r="DP35" i="125"/>
  <c r="DQ35" i="125" s="1"/>
  <c r="DP36" i="125"/>
  <c r="DQ36" i="125" s="1"/>
  <c r="DP37" i="125"/>
  <c r="DR37" i="125" s="1"/>
  <c r="DP38" i="125"/>
  <c r="DP39" i="125"/>
  <c r="DP40" i="125"/>
  <c r="DP41" i="125"/>
  <c r="BN16" i="125"/>
  <c r="DW16" i="125"/>
  <c r="BH16" i="125"/>
  <c r="H16" i="125"/>
  <c r="DV25" i="125"/>
  <c r="DW25" i="125"/>
  <c r="BN25" i="125"/>
  <c r="BH25" i="125"/>
  <c r="H25" i="125"/>
  <c r="DV29" i="125"/>
  <c r="H29" i="125"/>
  <c r="DU29" i="125"/>
  <c r="DU31" i="125"/>
  <c r="BB25" i="125"/>
  <c r="Z29" i="125"/>
  <c r="Z31" i="125"/>
  <c r="J23" i="125"/>
  <c r="AQ23" i="125"/>
  <c r="DO25" i="125"/>
  <c r="DO27" i="125"/>
  <c r="J28" i="125"/>
  <c r="DO29" i="125"/>
  <c r="J30" i="125"/>
  <c r="DO31" i="125"/>
  <c r="J32" i="125"/>
  <c r="DW33" i="125"/>
  <c r="BN33" i="125"/>
  <c r="BH33" i="125"/>
  <c r="H33" i="125"/>
  <c r="DV33" i="125"/>
  <c r="DV34" i="125"/>
  <c r="DV36" i="125"/>
  <c r="DV37" i="125"/>
  <c r="DV38" i="125"/>
  <c r="DV39" i="125"/>
  <c r="DV40" i="125"/>
  <c r="DV41" i="125"/>
  <c r="J57" i="119"/>
  <c r="J32" i="119"/>
  <c r="J38" i="119" s="1"/>
  <c r="DO5" i="127"/>
  <c r="DV16" i="127"/>
  <c r="DF43" i="127"/>
  <c r="BN43" i="127"/>
  <c r="DW43" i="127"/>
  <c r="BH43" i="127"/>
  <c r="DU43" i="127"/>
  <c r="BQ43" i="127"/>
  <c r="DI43" i="127"/>
  <c r="DV34" i="127"/>
  <c r="DO37" i="127"/>
  <c r="DW37" i="127" s="1"/>
  <c r="DO38" i="127"/>
  <c r="AJ43" i="127"/>
  <c r="DF47" i="127"/>
  <c r="BN47" i="127"/>
  <c r="DW47" i="127"/>
  <c r="BH47" i="127"/>
  <c r="DJ47" i="127"/>
  <c r="AH17" i="126"/>
  <c r="X39" i="127"/>
  <c r="DW6" i="127"/>
  <c r="DW8" i="127"/>
  <c r="DV10" i="127"/>
  <c r="J12" i="127"/>
  <c r="DP15" i="127"/>
  <c r="DW15" i="127"/>
  <c r="DP17" i="127"/>
  <c r="DW17" i="127"/>
  <c r="DV19" i="127"/>
  <c r="DV21" i="127"/>
  <c r="DV23" i="127"/>
  <c r="DP39" i="127"/>
  <c r="I42" i="127"/>
  <c r="AC42" i="127"/>
  <c r="CF42" i="127"/>
  <c r="P43" i="127"/>
  <c r="AR43" i="127"/>
  <c r="CT44" i="127"/>
  <c r="BH44" i="127"/>
  <c r="BN44" i="127"/>
  <c r="DW44" i="127"/>
  <c r="AR44" i="127"/>
  <c r="L47" i="127"/>
  <c r="AJ47" i="127"/>
  <c r="CD43" i="127"/>
  <c r="CX43" i="127"/>
  <c r="CA44" i="127"/>
  <c r="CU44" i="127"/>
  <c r="DI44" i="127"/>
  <c r="CI47" i="127"/>
  <c r="CY47" i="127"/>
  <c r="BY48" i="127"/>
  <c r="J9" i="127"/>
  <c r="DP11" i="127"/>
  <c r="DS11" i="127" s="1"/>
  <c r="DV18" i="127"/>
  <c r="DP20" i="127"/>
  <c r="DW20" i="127"/>
  <c r="DV22" i="127"/>
  <c r="DP24" i="127"/>
  <c r="DW24" i="127"/>
  <c r="DW38" i="127"/>
  <c r="DV40" i="127"/>
  <c r="AF43" i="127"/>
  <c r="CN43" i="127"/>
  <c r="Z13" i="127"/>
  <c r="Y37" i="127"/>
  <c r="DW31" i="127"/>
  <c r="DV33" i="127"/>
  <c r="DO39" i="127"/>
  <c r="DW39" i="127" s="1"/>
  <c r="DP40" i="127"/>
  <c r="CZ42" i="127"/>
  <c r="BN42" i="127"/>
  <c r="DW42" i="127"/>
  <c r="BH42" i="127"/>
  <c r="U42" i="127"/>
  <c r="AT42" i="127"/>
  <c r="L43" i="127"/>
  <c r="DG45" i="127"/>
  <c r="BH45" i="127"/>
  <c r="BN45" i="127"/>
  <c r="DW45" i="127"/>
  <c r="AF47" i="127"/>
  <c r="CX50" i="127"/>
  <c r="BN50" i="127"/>
  <c r="DW50" i="127"/>
  <c r="BH50" i="127"/>
  <c r="BY42" i="127"/>
  <c r="CT42" i="127"/>
  <c r="BU43" i="127"/>
  <c r="CQ43" i="127"/>
  <c r="CG47" i="127"/>
  <c r="CX47" i="127"/>
  <c r="DH50" i="127"/>
  <c r="Z14" i="127"/>
  <c r="AH13" i="126"/>
  <c r="X26" i="127"/>
  <c r="Y38" i="127"/>
  <c r="DV12" i="127"/>
  <c r="DV13" i="127"/>
  <c r="DP14" i="127"/>
  <c r="DU25" i="127"/>
  <c r="AQ26" i="127"/>
  <c r="AS26" i="127" s="1"/>
  <c r="DP32" i="127"/>
  <c r="DO33" i="127"/>
  <c r="DW33" i="127" s="1"/>
  <c r="L35" i="127"/>
  <c r="DO41" i="127"/>
  <c r="L42" i="127"/>
  <c r="AG42" i="127"/>
  <c r="T43" i="127"/>
  <c r="DO43" i="127"/>
  <c r="L44" i="127"/>
  <c r="DO44" i="127"/>
  <c r="BN46" i="127"/>
  <c r="DW46" i="127"/>
  <c r="BH46" i="127"/>
  <c r="P47" i="127"/>
  <c r="AR47" i="127"/>
  <c r="DF48" i="127"/>
  <c r="BH48" i="127"/>
  <c r="BN48" i="127"/>
  <c r="DW48" i="127"/>
  <c r="AA48" i="127"/>
  <c r="DG49" i="127"/>
  <c r="BN49" i="127"/>
  <c r="BH49" i="127"/>
  <c r="DW49" i="127"/>
  <c r="DB50" i="127"/>
  <c r="CJ42" i="127"/>
  <c r="DD42" i="127"/>
  <c r="CE43" i="127"/>
  <c r="CB44" i="127"/>
  <c r="CY44" i="127"/>
  <c r="BZ47" i="127"/>
  <c r="CN47" i="127"/>
  <c r="CC48" i="127"/>
  <c r="CZ48" i="127"/>
  <c r="BT50" i="127"/>
  <c r="AG34" i="124"/>
  <c r="AG9" i="126"/>
  <c r="AH19" i="126"/>
  <c r="AG26" i="124"/>
  <c r="AG37" i="126"/>
  <c r="AD49" i="127"/>
  <c r="AX49" i="127"/>
  <c r="DJ49" i="127"/>
  <c r="BY49" i="127"/>
  <c r="CL49" i="127"/>
  <c r="CW49" i="127"/>
  <c r="DH49" i="127"/>
  <c r="J18" i="127"/>
  <c r="DP22" i="127"/>
  <c r="J23" i="127"/>
  <c r="L34" i="127"/>
  <c r="M34" i="127" s="1"/>
  <c r="DU35" i="127"/>
  <c r="J49" i="127"/>
  <c r="AH49" i="127"/>
  <c r="BB49" i="127"/>
  <c r="BM49" i="127"/>
  <c r="CC49" i="127"/>
  <c r="CM49" i="127"/>
  <c r="CZ49" i="127"/>
  <c r="BB10" i="127"/>
  <c r="X35" i="127"/>
  <c r="DP10" i="127"/>
  <c r="DV17" i="127"/>
  <c r="DP18" i="127"/>
  <c r="DP23" i="127"/>
  <c r="DU34" i="127"/>
  <c r="J35" i="127"/>
  <c r="DV35" i="127"/>
  <c r="M42" i="127"/>
  <c r="Y42" i="127"/>
  <c r="AJ42" i="127"/>
  <c r="AU42" i="127"/>
  <c r="AB43" i="127"/>
  <c r="AV43" i="127"/>
  <c r="X44" i="127"/>
  <c r="BX44" i="127"/>
  <c r="AB47" i="127"/>
  <c r="AV47" i="127"/>
  <c r="R48" i="127"/>
  <c r="AI48" i="127"/>
  <c r="CP48" i="127"/>
  <c r="R49" i="127"/>
  <c r="AL49" i="127"/>
  <c r="CP49" i="127"/>
  <c r="BM42" i="127"/>
  <c r="CA42" i="127"/>
  <c r="CL42" i="127"/>
  <c r="CW42" i="127"/>
  <c r="DH42" i="127"/>
  <c r="BV43" i="127"/>
  <c r="CI43" i="127"/>
  <c r="CU43" i="127"/>
  <c r="DD43" i="127"/>
  <c r="CC44" i="127"/>
  <c r="CQ44" i="127"/>
  <c r="CZ44" i="127"/>
  <c r="BT47" i="127"/>
  <c r="CB47" i="127"/>
  <c r="CK47" i="127"/>
  <c r="CT47" i="127"/>
  <c r="CG48" i="127"/>
  <c r="CR48" i="127"/>
  <c r="CD49" i="127"/>
  <c r="CR49" i="127"/>
  <c r="CE50" i="127"/>
  <c r="J10" i="127"/>
  <c r="Y36" i="127"/>
  <c r="Q42" i="127"/>
  <c r="AB42" i="127"/>
  <c r="AK42" i="127"/>
  <c r="BX42" i="127"/>
  <c r="AF44" i="127"/>
  <c r="CF44" i="127"/>
  <c r="V48" i="127"/>
  <c r="AL48" i="127"/>
  <c r="V49" i="127"/>
  <c r="AT49" i="127"/>
  <c r="DB49" i="127"/>
  <c r="Z50" i="127"/>
  <c r="CD42" i="127"/>
  <c r="CM42" i="127"/>
  <c r="BZ43" i="127"/>
  <c r="CK43" i="127"/>
  <c r="CW43" i="127"/>
  <c r="BU44" i="127"/>
  <c r="CH44" i="127"/>
  <c r="BU47" i="127"/>
  <c r="CE47" i="127"/>
  <c r="CM47" i="127"/>
  <c r="CU47" i="127"/>
  <c r="BV48" i="127"/>
  <c r="CH48" i="127"/>
  <c r="CV48" i="127"/>
  <c r="BT49" i="127"/>
  <c r="CH49" i="127"/>
  <c r="CV49" i="127"/>
  <c r="CS50" i="127"/>
  <c r="DU5" i="127"/>
  <c r="H5" i="127"/>
  <c r="DV36" i="127"/>
  <c r="H36" i="127"/>
  <c r="DU36" i="127"/>
  <c r="DU41" i="127"/>
  <c r="P45" i="127"/>
  <c r="AR45" i="127"/>
  <c r="DT46" i="127"/>
  <c r="H46" i="127"/>
  <c r="DF46" i="127"/>
  <c r="CY46" i="127"/>
  <c r="CU46" i="127"/>
  <c r="CQ46" i="127"/>
  <c r="CK46" i="127"/>
  <c r="CG46" i="127"/>
  <c r="CB46" i="127"/>
  <c r="BV46" i="127"/>
  <c r="DG46" i="127"/>
  <c r="CX46" i="127"/>
  <c r="CS46" i="127"/>
  <c r="CL46" i="127"/>
  <c r="CE46" i="127"/>
  <c r="BZ46" i="127"/>
  <c r="CF46" i="127"/>
  <c r="AR46" i="127"/>
  <c r="AB46" i="127"/>
  <c r="L46" i="127"/>
  <c r="CS45" i="127"/>
  <c r="Z15" i="127"/>
  <c r="X36" i="127"/>
  <c r="J15" i="127"/>
  <c r="DU16" i="127"/>
  <c r="H16" i="127"/>
  <c r="J20" i="127"/>
  <c r="H21" i="127"/>
  <c r="DO25" i="127"/>
  <c r="DW25" i="127" s="1"/>
  <c r="H25" i="127"/>
  <c r="DV28" i="127"/>
  <c r="H28" i="127"/>
  <c r="H32" i="127"/>
  <c r="L41" i="127"/>
  <c r="DV41" i="127"/>
  <c r="R45" i="127"/>
  <c r="AX45" i="127"/>
  <c r="AJ46" i="127"/>
  <c r="AX50" i="127"/>
  <c r="CD45" i="127"/>
  <c r="CV45" i="127"/>
  <c r="BQ46" i="127"/>
  <c r="CI46" i="127"/>
  <c r="CR46" i="127"/>
  <c r="DI46" i="127"/>
  <c r="BU50" i="127"/>
  <c r="CW50" i="127"/>
  <c r="BA16" i="127"/>
  <c r="AH30" i="126"/>
  <c r="Y40" i="127"/>
  <c r="DU6" i="127"/>
  <c r="H6" i="127"/>
  <c r="DU8" i="127"/>
  <c r="H8" i="127"/>
  <c r="DU13" i="127"/>
  <c r="H13" i="127"/>
  <c r="J16" i="127"/>
  <c r="DU17" i="127"/>
  <c r="H17" i="127"/>
  <c r="J21" i="127"/>
  <c r="H22" i="127"/>
  <c r="J25" i="127"/>
  <c r="H26" i="127"/>
  <c r="L32" i="127"/>
  <c r="H33" i="127"/>
  <c r="DP33" i="127"/>
  <c r="H34" i="127"/>
  <c r="DO34" i="127"/>
  <c r="L36" i="127"/>
  <c r="M36" i="127" s="1"/>
  <c r="H37" i="127"/>
  <c r="DP37" i="127"/>
  <c r="DR37" i="127" s="1"/>
  <c r="H38" i="127"/>
  <c r="DP38" i="127"/>
  <c r="H39" i="127"/>
  <c r="DU39" i="127"/>
  <c r="L40" i="127"/>
  <c r="L45" i="127"/>
  <c r="T45" i="127"/>
  <c r="AF45" i="127"/>
  <c r="DO45" i="127"/>
  <c r="T46" i="127"/>
  <c r="AN46" i="127"/>
  <c r="DO46" i="127"/>
  <c r="J50" i="127"/>
  <c r="AH50" i="127"/>
  <c r="BY45" i="127"/>
  <c r="CG45" i="127"/>
  <c r="CQ45" i="127"/>
  <c r="CW45" i="127"/>
  <c r="BT46" i="127"/>
  <c r="CC46" i="127"/>
  <c r="CJ46" i="127"/>
  <c r="CT46" i="127"/>
  <c r="BZ50" i="127"/>
  <c r="CM50" i="127"/>
  <c r="DU7" i="127"/>
  <c r="H7" i="127"/>
  <c r="AN7" i="127" s="1"/>
  <c r="DV9" i="127"/>
  <c r="H9" i="127"/>
  <c r="DU11" i="127"/>
  <c r="H11" i="127"/>
  <c r="DU15" i="127"/>
  <c r="H15" i="127"/>
  <c r="H19" i="127"/>
  <c r="H20" i="127"/>
  <c r="H24" i="127"/>
  <c r="H41" i="127"/>
  <c r="H45" i="127"/>
  <c r="DI45" i="127"/>
  <c r="DD45" i="127"/>
  <c r="CX45" i="127"/>
  <c r="CT45" i="127"/>
  <c r="CN45" i="127"/>
  <c r="CJ45" i="127"/>
  <c r="CE45" i="127"/>
  <c r="CA45" i="127"/>
  <c r="BU45" i="127"/>
  <c r="BQ45" i="127"/>
  <c r="DH45" i="127"/>
  <c r="CZ45" i="127"/>
  <c r="CU45" i="127"/>
  <c r="CM45" i="127"/>
  <c r="CH45" i="127"/>
  <c r="CB45" i="127"/>
  <c r="BT45" i="127"/>
  <c r="BM45" i="127"/>
  <c r="BC45" i="127"/>
  <c r="AJ45" i="127"/>
  <c r="V45" i="127"/>
  <c r="Q45" i="127"/>
  <c r="J45" i="127"/>
  <c r="X45" i="127"/>
  <c r="AF46" i="127"/>
  <c r="CC45" i="127"/>
  <c r="CK45" i="127"/>
  <c r="BY46" i="127"/>
  <c r="CH46" i="127"/>
  <c r="CN46" i="127"/>
  <c r="CW46" i="127"/>
  <c r="DH46" i="127"/>
  <c r="J11" i="127"/>
  <c r="DU12" i="127"/>
  <c r="H12" i="127"/>
  <c r="J19" i="127"/>
  <c r="J24" i="127"/>
  <c r="DV30" i="127"/>
  <c r="H30" i="127"/>
  <c r="J36" i="127"/>
  <c r="H40" i="127"/>
  <c r="DU40" i="127"/>
  <c r="I45" i="127"/>
  <c r="AB45" i="127"/>
  <c r="P46" i="127"/>
  <c r="BX46" i="127"/>
  <c r="DV50" i="127"/>
  <c r="H50" i="127"/>
  <c r="DG50" i="127"/>
  <c r="CZ50" i="127"/>
  <c r="CV50" i="127"/>
  <c r="CR50" i="127"/>
  <c r="CL50" i="127"/>
  <c r="CH50" i="127"/>
  <c r="CC50" i="127"/>
  <c r="BY50" i="127"/>
  <c r="BM50" i="127"/>
  <c r="DF50" i="127"/>
  <c r="CY50" i="127"/>
  <c r="CU50" i="127"/>
  <c r="CQ50" i="127"/>
  <c r="CK50" i="127"/>
  <c r="CG50" i="127"/>
  <c r="CB50" i="127"/>
  <c r="BV50" i="127"/>
  <c r="DD50" i="127"/>
  <c r="CT50" i="127"/>
  <c r="CJ50" i="127"/>
  <c r="CA50" i="127"/>
  <c r="BQ50" i="127"/>
  <c r="DJ50" i="127"/>
  <c r="BB50" i="127"/>
  <c r="AL50" i="127"/>
  <c r="V50" i="127"/>
  <c r="AD50" i="127"/>
  <c r="BV45" i="127"/>
  <c r="CL45" i="127"/>
  <c r="DF45" i="127"/>
  <c r="CA46" i="127"/>
  <c r="CZ46" i="127"/>
  <c r="CI50" i="127"/>
  <c r="DI50" i="127"/>
  <c r="AG6" i="126"/>
  <c r="V9" i="127"/>
  <c r="BB12" i="127"/>
  <c r="Z12" i="127"/>
  <c r="Y16" i="127"/>
  <c r="AG28" i="126"/>
  <c r="X37" i="127"/>
  <c r="AG38" i="126"/>
  <c r="X40" i="127"/>
  <c r="Y41" i="127"/>
  <c r="DU10" i="127"/>
  <c r="H10" i="127"/>
  <c r="AN10" i="127" s="1"/>
  <c r="DV11" i="127"/>
  <c r="DP12" i="127"/>
  <c r="DQ12" i="127" s="1"/>
  <c r="J13" i="127"/>
  <c r="DU14" i="127"/>
  <c r="H14" i="127"/>
  <c r="DV15" i="127"/>
  <c r="DP16" i="127"/>
  <c r="J17" i="127"/>
  <c r="DU18" i="127"/>
  <c r="H18" i="127"/>
  <c r="BC18" i="127" s="1"/>
  <c r="DV20" i="127"/>
  <c r="DP21" i="127"/>
  <c r="J22" i="127"/>
  <c r="H23" i="127"/>
  <c r="DV24" i="127"/>
  <c r="AU25" i="127"/>
  <c r="AA26" i="127"/>
  <c r="AC26" i="127" s="1"/>
  <c r="DV27" i="127"/>
  <c r="H27" i="127"/>
  <c r="DV29" i="127"/>
  <c r="H29" i="127"/>
  <c r="DU31" i="127"/>
  <c r="H31" i="127"/>
  <c r="DO32" i="127"/>
  <c r="DT32" i="127" s="1"/>
  <c r="J33" i="127"/>
  <c r="DU33" i="127"/>
  <c r="J34" i="127"/>
  <c r="DP34" i="127"/>
  <c r="H35" i="127"/>
  <c r="DO35" i="127"/>
  <c r="DW35" i="127" s="1"/>
  <c r="L37" i="127"/>
  <c r="DU37" i="127"/>
  <c r="L38" i="127"/>
  <c r="M38" i="127" s="1"/>
  <c r="DU38" i="127"/>
  <c r="L39" i="127"/>
  <c r="M39" i="127" s="1"/>
  <c r="P39" i="127" s="1"/>
  <c r="Q39" i="127" s="1"/>
  <c r="DV39" i="127"/>
  <c r="DO40" i="127"/>
  <c r="DW40" i="127" s="1"/>
  <c r="BH40" i="127" s="1"/>
  <c r="DP41" i="127"/>
  <c r="DO42" i="127"/>
  <c r="H42" i="127"/>
  <c r="DF42" i="127"/>
  <c r="CY42" i="127"/>
  <c r="CU42" i="127"/>
  <c r="CQ42" i="127"/>
  <c r="CK42" i="127"/>
  <c r="CG42" i="127"/>
  <c r="CB42" i="127"/>
  <c r="BV42" i="127"/>
  <c r="DI42" i="127"/>
  <c r="CV42" i="127"/>
  <c r="CN42" i="127"/>
  <c r="CI42" i="127"/>
  <c r="CC42" i="127"/>
  <c r="BU42" i="127"/>
  <c r="P42" i="127"/>
  <c r="X42" i="127"/>
  <c r="AF42" i="127"/>
  <c r="AN42" i="127"/>
  <c r="BC42" i="127"/>
  <c r="DT43" i="127"/>
  <c r="H43" i="127"/>
  <c r="DG43" i="127"/>
  <c r="CZ43" i="127"/>
  <c r="CV43" i="127"/>
  <c r="CR43" i="127"/>
  <c r="CL43" i="127"/>
  <c r="CH43" i="127"/>
  <c r="CC43" i="127"/>
  <c r="BY43" i="127"/>
  <c r="BM43" i="127"/>
  <c r="DH43" i="127"/>
  <c r="CY43" i="127"/>
  <c r="CT43" i="127"/>
  <c r="CM43" i="127"/>
  <c r="CG43" i="127"/>
  <c r="CA43" i="127"/>
  <c r="BT43" i="127"/>
  <c r="BX43" i="127"/>
  <c r="X43" i="127"/>
  <c r="AN43" i="127"/>
  <c r="CF43" i="127"/>
  <c r="DT44" i="127"/>
  <c r="H44" i="127"/>
  <c r="DH44" i="127"/>
  <c r="CW44" i="127"/>
  <c r="CS44" i="127"/>
  <c r="CM44" i="127"/>
  <c r="CI44" i="127"/>
  <c r="CD44" i="127"/>
  <c r="BZ44" i="127"/>
  <c r="BT44" i="127"/>
  <c r="DD44" i="127"/>
  <c r="CX44" i="127"/>
  <c r="CR44" i="127"/>
  <c r="CK44" i="127"/>
  <c r="CE44" i="127"/>
  <c r="BY44" i="127"/>
  <c r="DU44" i="127"/>
  <c r="AJ44" i="127"/>
  <c r="T44" i="127"/>
  <c r="AB44" i="127"/>
  <c r="AV44" i="127"/>
  <c r="M45" i="127"/>
  <c r="U45" i="127"/>
  <c r="AN45" i="127"/>
  <c r="X46" i="127"/>
  <c r="AV46" i="127"/>
  <c r="DU46" i="127"/>
  <c r="R50" i="127"/>
  <c r="AP50" i="127"/>
  <c r="CP50" i="127"/>
  <c r="BQ42" i="127"/>
  <c r="BZ42" i="127"/>
  <c r="CH42" i="127"/>
  <c r="CR42" i="127"/>
  <c r="CX42" i="127"/>
  <c r="DG42" i="127"/>
  <c r="CB43" i="127"/>
  <c r="CJ43" i="127"/>
  <c r="CS43" i="127"/>
  <c r="BM44" i="127"/>
  <c r="BV44" i="127"/>
  <c r="CG44" i="127"/>
  <c r="CN44" i="127"/>
  <c r="CV44" i="127"/>
  <c r="DF44" i="127"/>
  <c r="BZ45" i="127"/>
  <c r="CI45" i="127"/>
  <c r="CR45" i="127"/>
  <c r="CY45" i="127"/>
  <c r="BM46" i="127"/>
  <c r="BU46" i="127"/>
  <c r="CD46" i="127"/>
  <c r="CM46" i="127"/>
  <c r="CV46" i="127"/>
  <c r="DD46" i="127"/>
  <c r="CD50" i="127"/>
  <c r="CN50" i="127"/>
  <c r="H47" i="127"/>
  <c r="DH47" i="127"/>
  <c r="DG47" i="127"/>
  <c r="CZ47" i="127"/>
  <c r="CV47" i="127"/>
  <c r="CR47" i="127"/>
  <c r="CL47" i="127"/>
  <c r="CH47" i="127"/>
  <c r="CC47" i="127"/>
  <c r="BY47" i="127"/>
  <c r="BM47" i="127"/>
  <c r="X47" i="127"/>
  <c r="AN47" i="127"/>
  <c r="BX47" i="127"/>
  <c r="H48" i="127"/>
  <c r="DI48" i="127"/>
  <c r="DD48" i="127"/>
  <c r="CX48" i="127"/>
  <c r="CT48" i="127"/>
  <c r="CN48" i="127"/>
  <c r="CJ48" i="127"/>
  <c r="CE48" i="127"/>
  <c r="CA48" i="127"/>
  <c r="BU48" i="127"/>
  <c r="BQ48" i="127"/>
  <c r="DH48" i="127"/>
  <c r="CW48" i="127"/>
  <c r="CS48" i="127"/>
  <c r="CM48" i="127"/>
  <c r="CI48" i="127"/>
  <c r="CD48" i="127"/>
  <c r="BZ48" i="127"/>
  <c r="BT48" i="127"/>
  <c r="S48" i="127"/>
  <c r="AD48" i="127"/>
  <c r="AT48" i="127"/>
  <c r="DV49" i="127"/>
  <c r="H49" i="127"/>
  <c r="DF49" i="127"/>
  <c r="CY49" i="127"/>
  <c r="CU49" i="127"/>
  <c r="CQ49" i="127"/>
  <c r="CK49" i="127"/>
  <c r="CG49" i="127"/>
  <c r="CB49" i="127"/>
  <c r="BV49" i="127"/>
  <c r="DI49" i="127"/>
  <c r="DD49" i="127"/>
  <c r="CX49" i="127"/>
  <c r="CT49" i="127"/>
  <c r="CN49" i="127"/>
  <c r="CJ49" i="127"/>
  <c r="CE49" i="127"/>
  <c r="CA49" i="127"/>
  <c r="BU49" i="127"/>
  <c r="BQ49" i="127"/>
  <c r="Z49" i="127"/>
  <c r="AP49" i="127"/>
  <c r="BQ47" i="127"/>
  <c r="BV47" i="127"/>
  <c r="CD47" i="127"/>
  <c r="CJ47" i="127"/>
  <c r="CQ47" i="127"/>
  <c r="CW47" i="127"/>
  <c r="DD47" i="127"/>
  <c r="CB48" i="127"/>
  <c r="CK48" i="127"/>
  <c r="CU48" i="127"/>
  <c r="BZ49" i="127"/>
  <c r="CI49" i="127"/>
  <c r="CS49" i="127"/>
  <c r="AG10" i="124"/>
  <c r="AG11" i="126"/>
  <c r="AG33" i="126"/>
  <c r="Y39" i="127"/>
  <c r="AG39" i="126"/>
  <c r="AG5" i="124"/>
  <c r="AG6" i="124"/>
  <c r="AG7" i="124"/>
  <c r="AG8" i="124"/>
  <c r="AG9" i="124"/>
  <c r="AG11" i="124"/>
  <c r="AG12" i="124"/>
  <c r="AG13" i="124"/>
  <c r="AG22" i="124"/>
  <c r="AG28" i="124"/>
  <c r="AG37" i="124"/>
  <c r="AG24" i="124"/>
  <c r="AG7" i="126"/>
  <c r="AG21" i="126"/>
  <c r="AG27" i="126"/>
  <c r="AH29" i="126"/>
  <c r="AH34" i="126"/>
  <c r="AG34" i="126"/>
  <c r="AG23" i="124"/>
  <c r="AG27" i="124"/>
  <c r="AG40" i="124"/>
  <c r="AG8" i="126"/>
  <c r="AG12" i="126"/>
  <c r="AG13" i="126"/>
  <c r="AH18" i="126"/>
  <c r="AG26" i="126"/>
  <c r="AH32" i="126"/>
  <c r="AG40" i="126"/>
  <c r="H16" i="101"/>
  <c r="K16" i="101" s="1"/>
  <c r="G17" i="101"/>
  <c r="H37" i="101"/>
  <c r="K37" i="101" s="1"/>
  <c r="K38" i="101" s="1"/>
  <c r="D43" i="101" s="1"/>
  <c r="D46" i="101" s="1"/>
  <c r="K10" i="101"/>
  <c r="K4" i="25"/>
  <c r="K3" i="25"/>
  <c r="K2" i="25"/>
  <c r="K8" i="25"/>
  <c r="J4" i="25"/>
  <c r="J3" i="25"/>
  <c r="J2" i="25"/>
  <c r="J8" i="25"/>
  <c r="I4" i="25"/>
  <c r="M3" i="25"/>
  <c r="I3" i="25"/>
  <c r="I2" i="25"/>
  <c r="I8" i="25"/>
  <c r="H3" i="25"/>
  <c r="P4" i="25"/>
  <c r="Q4" i="25" s="1"/>
  <c r="H4" i="25"/>
  <c r="AH23" i="124"/>
  <c r="AH24" i="124"/>
  <c r="AH25" i="124"/>
  <c r="AH26" i="124"/>
  <c r="AH27" i="124"/>
  <c r="AH28" i="124"/>
  <c r="X30" i="125"/>
  <c r="X31" i="125"/>
  <c r="X32" i="125"/>
  <c r="BA35" i="125"/>
  <c r="I35" i="125"/>
  <c r="K35" i="125" s="1"/>
  <c r="AH35" i="124"/>
  <c r="I36" i="125"/>
  <c r="BA36" i="125"/>
  <c r="AH36" i="124"/>
  <c r="BA37" i="125"/>
  <c r="I37" i="125"/>
  <c r="AH37" i="124"/>
  <c r="I38" i="125"/>
  <c r="BA38" i="125"/>
  <c r="AH38" i="124"/>
  <c r="BA39" i="125"/>
  <c r="I39" i="125"/>
  <c r="AH39" i="124"/>
  <c r="BA40" i="125"/>
  <c r="I40" i="125"/>
  <c r="AH40" i="124"/>
  <c r="L5" i="125"/>
  <c r="M5" i="125" s="1"/>
  <c r="O5" i="125" s="1"/>
  <c r="X5" i="125"/>
  <c r="DO5" i="125"/>
  <c r="DT5" i="125" s="1"/>
  <c r="DU5" i="125"/>
  <c r="L6" i="125"/>
  <c r="X6" i="125"/>
  <c r="DO6" i="125"/>
  <c r="DT6" i="125" s="1"/>
  <c r="DU6" i="125"/>
  <c r="L7" i="125"/>
  <c r="X7" i="125"/>
  <c r="DO7" i="125"/>
  <c r="DT7" i="125" s="1"/>
  <c r="DU7" i="125"/>
  <c r="L8" i="125"/>
  <c r="X8" i="125"/>
  <c r="DO8" i="125"/>
  <c r="DT8" i="125" s="1"/>
  <c r="DU8" i="125"/>
  <c r="L9" i="125"/>
  <c r="X9" i="125"/>
  <c r="DO9" i="125"/>
  <c r="DT9" i="125" s="1"/>
  <c r="DU9" i="125"/>
  <c r="L10" i="125"/>
  <c r="X10" i="125"/>
  <c r="DO10" i="125"/>
  <c r="DT10" i="125" s="1"/>
  <c r="DU10" i="125"/>
  <c r="L11" i="125"/>
  <c r="M11" i="125" s="1"/>
  <c r="P11" i="125" s="1"/>
  <c r="X11" i="125"/>
  <c r="DO11" i="125"/>
  <c r="DU11" i="125"/>
  <c r="L12" i="125"/>
  <c r="M12" i="125" s="1"/>
  <c r="X12" i="125"/>
  <c r="DO12" i="125"/>
  <c r="DT12" i="125" s="1"/>
  <c r="DU12" i="125"/>
  <c r="L13" i="125"/>
  <c r="X13" i="125"/>
  <c r="DO13" i="125"/>
  <c r="DT13" i="125" s="1"/>
  <c r="DU13" i="125"/>
  <c r="L14" i="125"/>
  <c r="X14" i="125"/>
  <c r="DO14" i="125"/>
  <c r="DT14" i="125" s="1"/>
  <c r="DU14" i="125"/>
  <c r="L15" i="125"/>
  <c r="X15" i="125"/>
  <c r="DO15" i="125"/>
  <c r="DT15" i="125" s="1"/>
  <c r="DU15" i="125"/>
  <c r="L16" i="125"/>
  <c r="X16" i="125"/>
  <c r="DO16" i="125"/>
  <c r="DT16" i="125" s="1"/>
  <c r="DU16" i="125"/>
  <c r="L17" i="125"/>
  <c r="X17" i="125"/>
  <c r="DO17" i="125"/>
  <c r="DT17" i="125" s="1"/>
  <c r="DU17" i="125"/>
  <c r="L18" i="125"/>
  <c r="X18" i="125"/>
  <c r="DO18" i="125"/>
  <c r="DT18" i="125" s="1"/>
  <c r="DU18" i="125"/>
  <c r="L19" i="125"/>
  <c r="X19" i="125"/>
  <c r="DO19" i="125"/>
  <c r="DT19" i="125" s="1"/>
  <c r="DU19" i="125"/>
  <c r="L20" i="125"/>
  <c r="X20" i="125"/>
  <c r="DO20" i="125"/>
  <c r="DT20" i="125" s="1"/>
  <c r="DU20" i="125"/>
  <c r="L21" i="125"/>
  <c r="X21" i="125"/>
  <c r="DO21" i="125"/>
  <c r="DT21" i="125" s="1"/>
  <c r="DU21" i="125"/>
  <c r="L22" i="125"/>
  <c r="X22" i="125"/>
  <c r="AI22" i="125"/>
  <c r="DV23" i="125"/>
  <c r="DP23" i="125"/>
  <c r="BA23" i="125"/>
  <c r="AW23" i="125"/>
  <c r="AS23" i="125"/>
  <c r="AO23" i="125"/>
  <c r="AK23" i="125"/>
  <c r="AG23" i="125"/>
  <c r="AC23" i="125"/>
  <c r="Y23" i="125"/>
  <c r="I23" i="125"/>
  <c r="L23" i="125"/>
  <c r="M23" i="125" s="1"/>
  <c r="W23" i="125"/>
  <c r="AM23" i="125"/>
  <c r="DO23" i="125"/>
  <c r="V24" i="125"/>
  <c r="V25" i="125"/>
  <c r="V26" i="125"/>
  <c r="V27" i="125"/>
  <c r="V28" i="125"/>
  <c r="AG14" i="124"/>
  <c r="AG15" i="124"/>
  <c r="AG16" i="124"/>
  <c r="AG17" i="124"/>
  <c r="AG18" i="124"/>
  <c r="AG19" i="124"/>
  <c r="AG20" i="124"/>
  <c r="AG21" i="124"/>
  <c r="AG29" i="124"/>
  <c r="AG30" i="124"/>
  <c r="AG31" i="124"/>
  <c r="AG32" i="124"/>
  <c r="AG33" i="124"/>
  <c r="AG41" i="124"/>
  <c r="I5" i="125"/>
  <c r="Y5" i="125"/>
  <c r="BA5" i="125"/>
  <c r="DP5" i="125"/>
  <c r="DS5" i="125" s="1"/>
  <c r="DV5" i="125"/>
  <c r="I6" i="125"/>
  <c r="M6" i="125"/>
  <c r="P6" i="125" s="1"/>
  <c r="Q6" i="125" s="1"/>
  <c r="Y6" i="125"/>
  <c r="BA6" i="125"/>
  <c r="DP6" i="125"/>
  <c r="DV6" i="125"/>
  <c r="I7" i="125"/>
  <c r="M7" i="125"/>
  <c r="P7" i="125" s="1"/>
  <c r="Q7" i="125" s="1"/>
  <c r="Y7" i="125"/>
  <c r="BA7" i="125"/>
  <c r="DP7" i="125"/>
  <c r="DV7" i="125"/>
  <c r="I8" i="125"/>
  <c r="M8" i="125"/>
  <c r="P8" i="125" s="1"/>
  <c r="Q8" i="125" s="1"/>
  <c r="Y8" i="125"/>
  <c r="BA8" i="125"/>
  <c r="DP8" i="125"/>
  <c r="DV8" i="125"/>
  <c r="I9" i="125"/>
  <c r="M9" i="125"/>
  <c r="P9" i="125" s="1"/>
  <c r="Q9" i="125" s="1"/>
  <c r="Y9" i="125"/>
  <c r="BA9" i="125"/>
  <c r="DP9" i="125"/>
  <c r="DV9" i="125"/>
  <c r="I10" i="125"/>
  <c r="M10" i="125"/>
  <c r="P10" i="125" s="1"/>
  <c r="Q10" i="125" s="1"/>
  <c r="Y10" i="125"/>
  <c r="BA10" i="125"/>
  <c r="DP10" i="125"/>
  <c r="DV10" i="125"/>
  <c r="I11" i="125"/>
  <c r="Y11" i="125"/>
  <c r="BA11" i="125"/>
  <c r="DP11" i="125"/>
  <c r="DR11" i="125" s="1"/>
  <c r="DV11" i="125"/>
  <c r="I12" i="125"/>
  <c r="Y12" i="125"/>
  <c r="BA12" i="125"/>
  <c r="DP12" i="125"/>
  <c r="DS12" i="125" s="1"/>
  <c r="DV12" i="125"/>
  <c r="I13" i="125"/>
  <c r="M13" i="125"/>
  <c r="P13" i="125" s="1"/>
  <c r="Q13" i="125" s="1"/>
  <c r="Y13" i="125"/>
  <c r="BA13" i="125"/>
  <c r="DP13" i="125"/>
  <c r="DV13" i="125"/>
  <c r="I14" i="125"/>
  <c r="M14" i="125"/>
  <c r="P14" i="125" s="1"/>
  <c r="Q14" i="125" s="1"/>
  <c r="Y14" i="125"/>
  <c r="BA14" i="125"/>
  <c r="DP14" i="125"/>
  <c r="DV14" i="125"/>
  <c r="I15" i="125"/>
  <c r="M15" i="125"/>
  <c r="P15" i="125" s="1"/>
  <c r="Q15" i="125" s="1"/>
  <c r="Y15" i="125"/>
  <c r="BA15" i="125"/>
  <c r="DP15" i="125"/>
  <c r="DV15" i="125"/>
  <c r="I16" i="125"/>
  <c r="M16" i="125"/>
  <c r="P16" i="125" s="1"/>
  <c r="Q16" i="125" s="1"/>
  <c r="Y16" i="125"/>
  <c r="BA16" i="125"/>
  <c r="DP16" i="125"/>
  <c r="DV16" i="125"/>
  <c r="I17" i="125"/>
  <c r="M17" i="125"/>
  <c r="P17" i="125" s="1"/>
  <c r="Q17" i="125" s="1"/>
  <c r="Y17" i="125"/>
  <c r="BA17" i="125"/>
  <c r="DP17" i="125"/>
  <c r="DV17" i="125"/>
  <c r="I18" i="125"/>
  <c r="M18" i="125"/>
  <c r="P18" i="125" s="1"/>
  <c r="Q18" i="125" s="1"/>
  <c r="Y18" i="125"/>
  <c r="BA18" i="125"/>
  <c r="DP18" i="125"/>
  <c r="DV18" i="125"/>
  <c r="I19" i="125"/>
  <c r="M19" i="125"/>
  <c r="P19" i="125" s="1"/>
  <c r="Q19" i="125" s="1"/>
  <c r="Y19" i="125"/>
  <c r="BA19" i="125"/>
  <c r="DP19" i="125"/>
  <c r="DV19" i="125"/>
  <c r="I20" i="125"/>
  <c r="M20" i="125"/>
  <c r="P20" i="125" s="1"/>
  <c r="Q20" i="125" s="1"/>
  <c r="Y20" i="125"/>
  <c r="BA20" i="125"/>
  <c r="DP20" i="125"/>
  <c r="DV20" i="125"/>
  <c r="I21" i="125"/>
  <c r="M21" i="125"/>
  <c r="P21" i="125" s="1"/>
  <c r="Q21" i="125" s="1"/>
  <c r="Y21" i="125"/>
  <c r="BA21" i="125"/>
  <c r="DP21" i="125"/>
  <c r="DV21" i="125"/>
  <c r="I22" i="125"/>
  <c r="M22" i="125"/>
  <c r="P22" i="125" s="1"/>
  <c r="Q22" i="125" s="1"/>
  <c r="Z22" i="125"/>
  <c r="AE22" i="125"/>
  <c r="AJ22" i="125"/>
  <c r="AU22" i="125"/>
  <c r="BB29" i="125"/>
  <c r="V29" i="125"/>
  <c r="AH29" i="124"/>
  <c r="BB30" i="125"/>
  <c r="V30" i="125"/>
  <c r="AH30" i="124"/>
  <c r="BB31" i="125"/>
  <c r="V31" i="125"/>
  <c r="AH31" i="124"/>
  <c r="V32" i="125"/>
  <c r="BA32" i="125"/>
  <c r="AH32" i="124"/>
  <c r="V33" i="125"/>
  <c r="BA33" i="125"/>
  <c r="I33" i="125"/>
  <c r="AH33" i="124"/>
  <c r="I34" i="125"/>
  <c r="BA34" i="125"/>
  <c r="AH34" i="124"/>
  <c r="BA41" i="125"/>
  <c r="I41" i="125"/>
  <c r="AH41" i="124"/>
  <c r="J5" i="125"/>
  <c r="V5" i="125"/>
  <c r="Z5" i="125"/>
  <c r="BB5" i="125"/>
  <c r="J6" i="125"/>
  <c r="V6" i="125"/>
  <c r="Z6" i="125"/>
  <c r="BB6" i="125"/>
  <c r="J7" i="125"/>
  <c r="V7" i="125"/>
  <c r="Z7" i="125"/>
  <c r="BB7" i="125"/>
  <c r="J8" i="125"/>
  <c r="V8" i="125"/>
  <c r="Z8" i="125"/>
  <c r="BB8" i="125"/>
  <c r="J9" i="125"/>
  <c r="V9" i="125"/>
  <c r="Z9" i="125"/>
  <c r="BB9" i="125"/>
  <c r="J10" i="125"/>
  <c r="V10" i="125"/>
  <c r="Z10" i="125"/>
  <c r="BB10" i="125"/>
  <c r="J11" i="125"/>
  <c r="K11" i="125" s="1"/>
  <c r="V11" i="125"/>
  <c r="Z11" i="125"/>
  <c r="BB11" i="125"/>
  <c r="J12" i="125"/>
  <c r="V12" i="125"/>
  <c r="Z12" i="125"/>
  <c r="BB12" i="125"/>
  <c r="J13" i="125"/>
  <c r="V13" i="125"/>
  <c r="Z13" i="125"/>
  <c r="BB13" i="125"/>
  <c r="J14" i="125"/>
  <c r="V14" i="125"/>
  <c r="Z14" i="125"/>
  <c r="BB14" i="125"/>
  <c r="J15" i="125"/>
  <c r="V15" i="125"/>
  <c r="Z15" i="125"/>
  <c r="BB15" i="125"/>
  <c r="J16" i="125"/>
  <c r="V16" i="125"/>
  <c r="Z16" i="125"/>
  <c r="BB16" i="125"/>
  <c r="J17" i="125"/>
  <c r="V17" i="125"/>
  <c r="Z17" i="125"/>
  <c r="BB17" i="125"/>
  <c r="J18" i="125"/>
  <c r="V18" i="125"/>
  <c r="Z18" i="125"/>
  <c r="BB18" i="125"/>
  <c r="J19" i="125"/>
  <c r="V19" i="125"/>
  <c r="Z19" i="125"/>
  <c r="BB19" i="125"/>
  <c r="J20" i="125"/>
  <c r="V20" i="125"/>
  <c r="Z20" i="125"/>
  <c r="BB20" i="125"/>
  <c r="J21" i="125"/>
  <c r="V21" i="125"/>
  <c r="Z21" i="125"/>
  <c r="BB21" i="125"/>
  <c r="J22" i="125"/>
  <c r="V22" i="125"/>
  <c r="AA22" i="125"/>
  <c r="AF22" i="125"/>
  <c r="AQ22" i="125"/>
  <c r="AV22" i="125"/>
  <c r="BB22" i="125"/>
  <c r="DU23" i="125"/>
  <c r="AG35" i="124"/>
  <c r="AG36" i="124"/>
  <c r="W5" i="125"/>
  <c r="AA5" i="125"/>
  <c r="AE5" i="125"/>
  <c r="AI5" i="125"/>
  <c r="AM5" i="125"/>
  <c r="AQ5" i="125"/>
  <c r="AU5" i="125"/>
  <c r="K6" i="125"/>
  <c r="O6" i="125"/>
  <c r="W6" i="125"/>
  <c r="AA6" i="125"/>
  <c r="AB6" i="125" s="1"/>
  <c r="AE6" i="125"/>
  <c r="AF6" i="125" s="1"/>
  <c r="AI6" i="125"/>
  <c r="AJ6" i="125" s="1"/>
  <c r="AM6" i="125"/>
  <c r="AN6" i="125" s="1"/>
  <c r="AQ6" i="125"/>
  <c r="AR6" i="125" s="1"/>
  <c r="AU6" i="125"/>
  <c r="AV6" i="125" s="1"/>
  <c r="BC6" i="125"/>
  <c r="K7" i="125"/>
  <c r="O7" i="125"/>
  <c r="W7" i="125"/>
  <c r="AA7" i="125"/>
  <c r="AB7" i="125" s="1"/>
  <c r="AE7" i="125"/>
  <c r="AG7" i="125" s="1"/>
  <c r="AI7" i="125"/>
  <c r="AJ7" i="125" s="1"/>
  <c r="AM7" i="125"/>
  <c r="AN7" i="125" s="1"/>
  <c r="AQ7" i="125"/>
  <c r="AR7" i="125" s="1"/>
  <c r="AU7" i="125"/>
  <c r="AW7" i="125" s="1"/>
  <c r="AX7" i="125" s="1"/>
  <c r="BC7" i="125"/>
  <c r="K8" i="125"/>
  <c r="O8" i="125"/>
  <c r="W8" i="125"/>
  <c r="AA8" i="125"/>
  <c r="AC8" i="125" s="1"/>
  <c r="AE8" i="125"/>
  <c r="AF8" i="125" s="1"/>
  <c r="AI8" i="125"/>
  <c r="AJ8" i="125" s="1"/>
  <c r="AM8" i="125"/>
  <c r="AO8" i="125" s="1"/>
  <c r="AP8" i="125" s="1"/>
  <c r="AQ8" i="125"/>
  <c r="AS8" i="125" s="1"/>
  <c r="AT8" i="125" s="1"/>
  <c r="AU8" i="125"/>
  <c r="AV8" i="125" s="1"/>
  <c r="BC8" i="125"/>
  <c r="K9" i="125"/>
  <c r="O9" i="125"/>
  <c r="W9" i="125"/>
  <c r="AA9" i="125"/>
  <c r="AB9" i="125" s="1"/>
  <c r="AE9" i="125"/>
  <c r="AG9" i="125" s="1"/>
  <c r="AI9" i="125"/>
  <c r="AK9" i="125" s="1"/>
  <c r="AL9" i="125" s="1"/>
  <c r="AM9" i="125"/>
  <c r="AO9" i="125" s="1"/>
  <c r="AP9" i="125" s="1"/>
  <c r="AQ9" i="125"/>
  <c r="AR9" i="125" s="1"/>
  <c r="AU9" i="125"/>
  <c r="AW9" i="125" s="1"/>
  <c r="AX9" i="125" s="1"/>
  <c r="BC9" i="125"/>
  <c r="K10" i="125"/>
  <c r="O10" i="125"/>
  <c r="W10" i="125"/>
  <c r="AA10" i="125"/>
  <c r="AB10" i="125" s="1"/>
  <c r="AE10" i="125"/>
  <c r="AF10" i="125" s="1"/>
  <c r="AI10" i="125"/>
  <c r="AJ10" i="125" s="1"/>
  <c r="AM10" i="125"/>
  <c r="AN10" i="125" s="1"/>
  <c r="AQ10" i="125"/>
  <c r="AR10" i="125" s="1"/>
  <c r="AU10" i="125"/>
  <c r="AV10" i="125" s="1"/>
  <c r="BC10" i="125"/>
  <c r="W11" i="125"/>
  <c r="AA11" i="125"/>
  <c r="AE11" i="125"/>
  <c r="AG11" i="125" s="1"/>
  <c r="AI11" i="125"/>
  <c r="AM11" i="125"/>
  <c r="AN11" i="125" s="1"/>
  <c r="AQ11" i="125"/>
  <c r="AU11" i="125"/>
  <c r="AW11" i="125" s="1"/>
  <c r="K12" i="125"/>
  <c r="W12" i="125"/>
  <c r="AA12" i="125"/>
  <c r="AC12" i="125" s="1"/>
  <c r="AE12" i="125"/>
  <c r="AF12" i="125" s="1"/>
  <c r="AI12" i="125"/>
  <c r="AJ12" i="125" s="1"/>
  <c r="AM12" i="125"/>
  <c r="AO12" i="125" s="1"/>
  <c r="AQ12" i="125"/>
  <c r="AS12" i="125" s="1"/>
  <c r="AU12" i="125"/>
  <c r="AV12" i="125" s="1"/>
  <c r="BC12" i="125"/>
  <c r="K13" i="125"/>
  <c r="O13" i="125"/>
  <c r="W13" i="125"/>
  <c r="AA13" i="125"/>
  <c r="AB13" i="125" s="1"/>
  <c r="AE13" i="125"/>
  <c r="AG13" i="125" s="1"/>
  <c r="AI13" i="125"/>
  <c r="AK13" i="125" s="1"/>
  <c r="AL13" i="125" s="1"/>
  <c r="AM13" i="125"/>
  <c r="AO13" i="125" s="1"/>
  <c r="AP13" i="125" s="1"/>
  <c r="AQ13" i="125"/>
  <c r="AR13" i="125" s="1"/>
  <c r="AU13" i="125"/>
  <c r="AW13" i="125" s="1"/>
  <c r="AX13" i="125" s="1"/>
  <c r="BC13" i="125"/>
  <c r="K14" i="125"/>
  <c r="O14" i="125"/>
  <c r="W14" i="125"/>
  <c r="AA14" i="125"/>
  <c r="AB14" i="125" s="1"/>
  <c r="AE14" i="125"/>
  <c r="AF14" i="125" s="1"/>
  <c r="AI14" i="125"/>
  <c r="AJ14" i="125" s="1"/>
  <c r="AM14" i="125"/>
  <c r="AN14" i="125" s="1"/>
  <c r="AQ14" i="125"/>
  <c r="AR14" i="125" s="1"/>
  <c r="AU14" i="125"/>
  <c r="AV14" i="125" s="1"/>
  <c r="BC14" i="125"/>
  <c r="K15" i="125"/>
  <c r="O15" i="125"/>
  <c r="W15" i="125"/>
  <c r="AA15" i="125"/>
  <c r="AB15" i="125" s="1"/>
  <c r="AE15" i="125"/>
  <c r="AG15" i="125" s="1"/>
  <c r="AI15" i="125"/>
  <c r="AJ15" i="125" s="1"/>
  <c r="AM15" i="125"/>
  <c r="AN15" i="125" s="1"/>
  <c r="AQ15" i="125"/>
  <c r="AR15" i="125" s="1"/>
  <c r="AU15" i="125"/>
  <c r="AW15" i="125" s="1"/>
  <c r="AX15" i="125" s="1"/>
  <c r="BC15" i="125"/>
  <c r="K16" i="125"/>
  <c r="O16" i="125"/>
  <c r="W16" i="125"/>
  <c r="AA16" i="125"/>
  <c r="AC16" i="125" s="1"/>
  <c r="AE16" i="125"/>
  <c r="AF16" i="125" s="1"/>
  <c r="AI16" i="125"/>
  <c r="AJ16" i="125" s="1"/>
  <c r="AM16" i="125"/>
  <c r="AO16" i="125" s="1"/>
  <c r="AP16" i="125" s="1"/>
  <c r="AQ16" i="125"/>
  <c r="AS16" i="125" s="1"/>
  <c r="AT16" i="125" s="1"/>
  <c r="AU16" i="125"/>
  <c r="AV16" i="125" s="1"/>
  <c r="BC16" i="125"/>
  <c r="K17" i="125"/>
  <c r="O17" i="125"/>
  <c r="W17" i="125"/>
  <c r="AA17" i="125"/>
  <c r="AB17" i="125" s="1"/>
  <c r="AE17" i="125"/>
  <c r="AG17" i="125" s="1"/>
  <c r="AI17" i="125"/>
  <c r="AK17" i="125" s="1"/>
  <c r="AL17" i="125" s="1"/>
  <c r="AM17" i="125"/>
  <c r="AO17" i="125" s="1"/>
  <c r="AP17" i="125" s="1"/>
  <c r="AQ17" i="125"/>
  <c r="AR17" i="125" s="1"/>
  <c r="AU17" i="125"/>
  <c r="AW17" i="125" s="1"/>
  <c r="AX17" i="125" s="1"/>
  <c r="BC17" i="125"/>
  <c r="K18" i="125"/>
  <c r="O18" i="125"/>
  <c r="W18" i="125"/>
  <c r="AA18" i="125"/>
  <c r="AB18" i="125" s="1"/>
  <c r="AE18" i="125"/>
  <c r="AF18" i="125" s="1"/>
  <c r="AI18" i="125"/>
  <c r="AJ18" i="125" s="1"/>
  <c r="AM18" i="125"/>
  <c r="AN18" i="125" s="1"/>
  <c r="AQ18" i="125"/>
  <c r="AR18" i="125" s="1"/>
  <c r="AU18" i="125"/>
  <c r="AV18" i="125" s="1"/>
  <c r="BC18" i="125"/>
  <c r="K19" i="125"/>
  <c r="O19" i="125"/>
  <c r="W19" i="125"/>
  <c r="AA19" i="125"/>
  <c r="AB19" i="125" s="1"/>
  <c r="AE19" i="125"/>
  <c r="AG19" i="125" s="1"/>
  <c r="AI19" i="125"/>
  <c r="AJ19" i="125" s="1"/>
  <c r="AM19" i="125"/>
  <c r="AN19" i="125" s="1"/>
  <c r="AQ19" i="125"/>
  <c r="AR19" i="125" s="1"/>
  <c r="AU19" i="125"/>
  <c r="AW19" i="125" s="1"/>
  <c r="AX19" i="125" s="1"/>
  <c r="BC19" i="125"/>
  <c r="K20" i="125"/>
  <c r="O20" i="125"/>
  <c r="W20" i="125"/>
  <c r="AA20" i="125"/>
  <c r="AC20" i="125" s="1"/>
  <c r="AE20" i="125"/>
  <c r="AF20" i="125" s="1"/>
  <c r="AI20" i="125"/>
  <c r="AJ20" i="125" s="1"/>
  <c r="AM20" i="125"/>
  <c r="AO20" i="125" s="1"/>
  <c r="AP20" i="125" s="1"/>
  <c r="AQ20" i="125"/>
  <c r="AS20" i="125" s="1"/>
  <c r="AT20" i="125" s="1"/>
  <c r="AU20" i="125"/>
  <c r="AV20" i="125" s="1"/>
  <c r="BC20" i="125"/>
  <c r="K21" i="125"/>
  <c r="O21" i="125"/>
  <c r="W21" i="125"/>
  <c r="AA21" i="125"/>
  <c r="AB21" i="125" s="1"/>
  <c r="AE21" i="125"/>
  <c r="AG21" i="125" s="1"/>
  <c r="AI21" i="125"/>
  <c r="AK21" i="125" s="1"/>
  <c r="AL21" i="125" s="1"/>
  <c r="AM21" i="125"/>
  <c r="AO21" i="125" s="1"/>
  <c r="AP21" i="125" s="1"/>
  <c r="AQ21" i="125"/>
  <c r="AR21" i="125" s="1"/>
  <c r="AU21" i="125"/>
  <c r="AW21" i="125" s="1"/>
  <c r="AX21" i="125" s="1"/>
  <c r="BC21" i="125"/>
  <c r="DV22" i="125"/>
  <c r="DP22" i="125"/>
  <c r="BA22" i="125"/>
  <c r="AW22" i="125"/>
  <c r="AX22" i="125" s="1"/>
  <c r="AS22" i="125"/>
  <c r="AT22" i="125" s="1"/>
  <c r="AO22" i="125"/>
  <c r="AP22" i="125" s="1"/>
  <c r="AK22" i="125"/>
  <c r="AL22" i="125" s="1"/>
  <c r="AG22" i="125"/>
  <c r="AC22" i="125"/>
  <c r="Y22" i="125"/>
  <c r="K22" i="125"/>
  <c r="O22" i="125"/>
  <c r="W22" i="125"/>
  <c r="AB22" i="125"/>
  <c r="AH22" i="125"/>
  <c r="AM22" i="125"/>
  <c r="AN22" i="125" s="1"/>
  <c r="AR22" i="125"/>
  <c r="BC22" i="125"/>
  <c r="DO22" i="125"/>
  <c r="DT22" i="125" s="1"/>
  <c r="V23" i="125"/>
  <c r="W24" i="125"/>
  <c r="AA24" i="125"/>
  <c r="AE24" i="125"/>
  <c r="AI24" i="125"/>
  <c r="AM24" i="125"/>
  <c r="AQ24" i="125"/>
  <c r="AU24" i="125"/>
  <c r="W25" i="125"/>
  <c r="AA25" i="125"/>
  <c r="AE25" i="125"/>
  <c r="AI25" i="125"/>
  <c r="AM25" i="125"/>
  <c r="AQ25" i="125"/>
  <c r="AU25" i="125"/>
  <c r="W26" i="125"/>
  <c r="AA26" i="125"/>
  <c r="AE26" i="125"/>
  <c r="AI26" i="125"/>
  <c r="AM26" i="125"/>
  <c r="AQ26" i="125"/>
  <c r="AU26" i="125"/>
  <c r="W27" i="125"/>
  <c r="AA27" i="125"/>
  <c r="AE27" i="125"/>
  <c r="AI27" i="125"/>
  <c r="AM27" i="125"/>
  <c r="AQ27" i="125"/>
  <c r="AU27" i="125"/>
  <c r="W28" i="125"/>
  <c r="AA28" i="125"/>
  <c r="AE28" i="125"/>
  <c r="AI28" i="125"/>
  <c r="AM28" i="125"/>
  <c r="AQ28" i="125"/>
  <c r="AU28" i="125"/>
  <c r="W29" i="125"/>
  <c r="AA29" i="125"/>
  <c r="AC29" i="125" s="1"/>
  <c r="AE29" i="125"/>
  <c r="AG29" i="125" s="1"/>
  <c r="AI29" i="125"/>
  <c r="AK29" i="125" s="1"/>
  <c r="AM29" i="125"/>
  <c r="AO29" i="125" s="1"/>
  <c r="AQ29" i="125"/>
  <c r="AS29" i="125" s="1"/>
  <c r="AU29" i="125"/>
  <c r="AW29" i="125" s="1"/>
  <c r="W30" i="125"/>
  <c r="AA30" i="125"/>
  <c r="AE30" i="125"/>
  <c r="AI30" i="125"/>
  <c r="AM30" i="125"/>
  <c r="AQ30" i="125"/>
  <c r="AU30" i="125"/>
  <c r="W31" i="125"/>
  <c r="AA31" i="125"/>
  <c r="AE31" i="125"/>
  <c r="AI31" i="125"/>
  <c r="AM31" i="125"/>
  <c r="AQ31" i="125"/>
  <c r="AU31" i="125"/>
  <c r="DU32" i="125"/>
  <c r="DO32" i="125"/>
  <c r="DT32" i="125" s="1"/>
  <c r="W32" i="125"/>
  <c r="AA32" i="125"/>
  <c r="AE32" i="125"/>
  <c r="AI32" i="125"/>
  <c r="AM32" i="125"/>
  <c r="AQ32" i="125"/>
  <c r="AU32" i="125"/>
  <c r="DU33" i="125"/>
  <c r="DO33" i="125"/>
  <c r="X33" i="125"/>
  <c r="L33" i="125"/>
  <c r="M33" i="125" s="1"/>
  <c r="BB33" i="125"/>
  <c r="W33" i="125"/>
  <c r="AC33" i="125"/>
  <c r="AM33" i="125"/>
  <c r="AO33" i="125" s="1"/>
  <c r="AS33" i="125"/>
  <c r="I24" i="125"/>
  <c r="M24" i="125"/>
  <c r="P24" i="125" s="1"/>
  <c r="Q24" i="125"/>
  <c r="S24" i="125" s="1"/>
  <c r="Y24" i="125"/>
  <c r="AC24" i="125"/>
  <c r="AG24" i="125"/>
  <c r="AK24" i="125"/>
  <c r="AO24" i="125"/>
  <c r="AP24" i="125" s="1"/>
  <c r="AS24" i="125"/>
  <c r="AW24" i="125"/>
  <c r="AX24" i="125" s="1"/>
  <c r="BA24" i="125"/>
  <c r="DP24" i="125"/>
  <c r="I25" i="125"/>
  <c r="M25" i="125"/>
  <c r="P25" i="125" s="1"/>
  <c r="Q25" i="125" s="1"/>
  <c r="Y25" i="125"/>
  <c r="AC25" i="125"/>
  <c r="AG25" i="125"/>
  <c r="AK25" i="125"/>
  <c r="AL25" i="125" s="1"/>
  <c r="AO25" i="125"/>
  <c r="AP25" i="125" s="1"/>
  <c r="AS25" i="125"/>
  <c r="AT25" i="125" s="1"/>
  <c r="AW25" i="125"/>
  <c r="BA25" i="125"/>
  <c r="DP25" i="125"/>
  <c r="I26" i="125"/>
  <c r="M26" i="125"/>
  <c r="P26" i="125" s="1"/>
  <c r="Y26" i="125"/>
  <c r="AC26" i="125"/>
  <c r="AG26" i="125"/>
  <c r="AK26" i="125"/>
  <c r="AO26" i="125"/>
  <c r="AP26" i="125" s="1"/>
  <c r="AS26" i="125"/>
  <c r="AW26" i="125"/>
  <c r="BA26" i="125"/>
  <c r="DP26" i="125"/>
  <c r="I27" i="125"/>
  <c r="M27" i="125"/>
  <c r="P27" i="125" s="1"/>
  <c r="Q27" i="125" s="1"/>
  <c r="Y27" i="125"/>
  <c r="AC27" i="125"/>
  <c r="AG27" i="125"/>
  <c r="AK27" i="125"/>
  <c r="AL27" i="125" s="1"/>
  <c r="AO27" i="125"/>
  <c r="AP27" i="125" s="1"/>
  <c r="AS27" i="125"/>
  <c r="AT27" i="125" s="1"/>
  <c r="AW27" i="125"/>
  <c r="AX27" i="125" s="1"/>
  <c r="BA27" i="125"/>
  <c r="DP27" i="125"/>
  <c r="I28" i="125"/>
  <c r="M28" i="125"/>
  <c r="P28" i="125" s="1"/>
  <c r="Q28" i="125"/>
  <c r="S28" i="125" s="1"/>
  <c r="Y28" i="125"/>
  <c r="AC28" i="125"/>
  <c r="AG28" i="125"/>
  <c r="AK28" i="125"/>
  <c r="AO28" i="125"/>
  <c r="AP28" i="125" s="1"/>
  <c r="AS28" i="125"/>
  <c r="AW28" i="125"/>
  <c r="AX28" i="125" s="1"/>
  <c r="BA28" i="125"/>
  <c r="DP28" i="125"/>
  <c r="I29" i="125"/>
  <c r="M29" i="125"/>
  <c r="Y29" i="125"/>
  <c r="BA29" i="125"/>
  <c r="DP29" i="125"/>
  <c r="DR29" i="125" s="1"/>
  <c r="I30" i="125"/>
  <c r="M30" i="125"/>
  <c r="P30" i="125" s="1"/>
  <c r="Y30" i="125"/>
  <c r="AC30" i="125"/>
  <c r="AG30" i="125"/>
  <c r="AK30" i="125"/>
  <c r="AO30" i="125"/>
  <c r="AP30" i="125" s="1"/>
  <c r="AS30" i="125"/>
  <c r="AW30" i="125"/>
  <c r="BA30" i="125"/>
  <c r="DP30" i="125"/>
  <c r="I31" i="125"/>
  <c r="M31" i="125"/>
  <c r="P31" i="125" s="1"/>
  <c r="Q31" i="125" s="1"/>
  <c r="Y31" i="125"/>
  <c r="AC31" i="125"/>
  <c r="AG31" i="125"/>
  <c r="AK31" i="125"/>
  <c r="AL31" i="125" s="1"/>
  <c r="AO31" i="125"/>
  <c r="AP31" i="125" s="1"/>
  <c r="AS31" i="125"/>
  <c r="AT31" i="125" s="1"/>
  <c r="AW31" i="125"/>
  <c r="AX31" i="125" s="1"/>
  <c r="BA31" i="125"/>
  <c r="DP31" i="125"/>
  <c r="I32" i="125"/>
  <c r="M32" i="125"/>
  <c r="P32" i="125" s="1"/>
  <c r="Q32" i="125"/>
  <c r="U32" i="125" s="1"/>
  <c r="Y32" i="125"/>
  <c r="AC32" i="125"/>
  <c r="AG32" i="125"/>
  <c r="AK32" i="125"/>
  <c r="AO32" i="125"/>
  <c r="AP32" i="125" s="1"/>
  <c r="AS32" i="125"/>
  <c r="AW32" i="125"/>
  <c r="AX32" i="125" s="1"/>
  <c r="BB32" i="125"/>
  <c r="DV32" i="125"/>
  <c r="J33" i="125"/>
  <c r="Z33" i="125"/>
  <c r="AE33" i="125"/>
  <c r="AG33" i="125" s="1"/>
  <c r="AK33" i="125"/>
  <c r="AU33" i="125"/>
  <c r="AW33" i="125" s="1"/>
  <c r="DP33" i="125"/>
  <c r="DV47" i="125"/>
  <c r="DP47" i="125"/>
  <c r="DA47" i="125"/>
  <c r="CO47" i="125"/>
  <c r="BA47" i="125"/>
  <c r="AW47" i="125"/>
  <c r="AS47" i="125"/>
  <c r="AO47" i="125"/>
  <c r="AK47" i="125"/>
  <c r="AG47" i="125"/>
  <c r="AC47" i="125"/>
  <c r="Y47" i="125"/>
  <c r="U47" i="125"/>
  <c r="Q47" i="125"/>
  <c r="M47" i="125"/>
  <c r="I47" i="125"/>
  <c r="DU47" i="125"/>
  <c r="DO47" i="125"/>
  <c r="CF47" i="125"/>
  <c r="BX47" i="125"/>
  <c r="AV47" i="125"/>
  <c r="AR47" i="125"/>
  <c r="AN47" i="125"/>
  <c r="AJ47" i="125"/>
  <c r="AF47" i="125"/>
  <c r="AB47" i="125"/>
  <c r="X47" i="125"/>
  <c r="T47" i="125"/>
  <c r="P47" i="125"/>
  <c r="L47" i="125"/>
  <c r="DJ47" i="125"/>
  <c r="DB47" i="125"/>
  <c r="CP47" i="125"/>
  <c r="BB47" i="125"/>
  <c r="AX47" i="125"/>
  <c r="AT47" i="125"/>
  <c r="AP47" i="125"/>
  <c r="AL47" i="125"/>
  <c r="AH47" i="125"/>
  <c r="AD47" i="125"/>
  <c r="Z47" i="125"/>
  <c r="V47" i="125"/>
  <c r="R47" i="125"/>
  <c r="J47" i="125"/>
  <c r="W47" i="125"/>
  <c r="AM47" i="125"/>
  <c r="BC47" i="125"/>
  <c r="DV48" i="125"/>
  <c r="DP48" i="125"/>
  <c r="DA48" i="125"/>
  <c r="CO48" i="125"/>
  <c r="BA48" i="125"/>
  <c r="AW48" i="125"/>
  <c r="AS48" i="125"/>
  <c r="AO48" i="125"/>
  <c r="AK48" i="125"/>
  <c r="AG48" i="125"/>
  <c r="AC48" i="125"/>
  <c r="Y48" i="125"/>
  <c r="U48" i="125"/>
  <c r="Q48" i="125"/>
  <c r="M48" i="125"/>
  <c r="I48" i="125"/>
  <c r="DU48" i="125"/>
  <c r="DO48" i="125"/>
  <c r="CF48" i="125"/>
  <c r="BX48" i="125"/>
  <c r="AV48" i="125"/>
  <c r="AR48" i="125"/>
  <c r="AN48" i="125"/>
  <c r="AJ48" i="125"/>
  <c r="AF48" i="125"/>
  <c r="AB48" i="125"/>
  <c r="X48" i="125"/>
  <c r="T48" i="125"/>
  <c r="P48" i="125"/>
  <c r="L48" i="125"/>
  <c r="DT48" i="125"/>
  <c r="DK48" i="125"/>
  <c r="BW48" i="125"/>
  <c r="BO48" i="125"/>
  <c r="BC48" i="125"/>
  <c r="DJ48" i="125"/>
  <c r="DB48" i="125"/>
  <c r="CP48" i="125"/>
  <c r="BB48" i="125"/>
  <c r="AX48" i="125"/>
  <c r="AT48" i="125"/>
  <c r="AP48" i="125"/>
  <c r="AL48" i="125"/>
  <c r="AH48" i="125"/>
  <c r="AD48" i="125"/>
  <c r="Z48" i="125"/>
  <c r="V48" i="125"/>
  <c r="R48" i="125"/>
  <c r="J48" i="125"/>
  <c r="W48" i="125"/>
  <c r="AM48" i="125"/>
  <c r="J34" i="125"/>
  <c r="V34" i="125"/>
  <c r="Z34" i="125"/>
  <c r="BB34" i="125"/>
  <c r="J35" i="125"/>
  <c r="V35" i="125"/>
  <c r="Z35" i="125"/>
  <c r="BB35" i="125"/>
  <c r="J36" i="125"/>
  <c r="V36" i="125"/>
  <c r="Z36" i="125"/>
  <c r="BB36" i="125"/>
  <c r="J37" i="125"/>
  <c r="V37" i="125"/>
  <c r="Z37" i="125"/>
  <c r="BB37" i="125"/>
  <c r="J38" i="125"/>
  <c r="V38" i="125"/>
  <c r="Z38" i="125"/>
  <c r="BB38" i="125"/>
  <c r="J39" i="125"/>
  <c r="V39" i="125"/>
  <c r="Z39" i="125"/>
  <c r="BB39" i="125"/>
  <c r="J40" i="125"/>
  <c r="V40" i="125"/>
  <c r="Z40" i="125"/>
  <c r="BB40" i="125"/>
  <c r="J41" i="125"/>
  <c r="V41" i="125"/>
  <c r="Z41" i="125"/>
  <c r="BB41" i="125"/>
  <c r="J42" i="125"/>
  <c r="R42" i="125"/>
  <c r="V42" i="125"/>
  <c r="Z42" i="125"/>
  <c r="AD42" i="125"/>
  <c r="AH42" i="125"/>
  <c r="AL42" i="125"/>
  <c r="AP42" i="125"/>
  <c r="AT42" i="125"/>
  <c r="AX42" i="125"/>
  <c r="BB42" i="125"/>
  <c r="CP42" i="125"/>
  <c r="DB42" i="125"/>
  <c r="DJ42" i="125"/>
  <c r="J43" i="125"/>
  <c r="R43" i="125"/>
  <c r="V43" i="125"/>
  <c r="Z43" i="125"/>
  <c r="AD43" i="125"/>
  <c r="AH43" i="125"/>
  <c r="AL43" i="125"/>
  <c r="AP43" i="125"/>
  <c r="AT43" i="125"/>
  <c r="AX43" i="125"/>
  <c r="BB43" i="125"/>
  <c r="CP43" i="125"/>
  <c r="DB43" i="125"/>
  <c r="DJ43" i="125"/>
  <c r="J44" i="125"/>
  <c r="R44" i="125"/>
  <c r="V44" i="125"/>
  <c r="Z44" i="125"/>
  <c r="AD44" i="125"/>
  <c r="AH44" i="125"/>
  <c r="AL44" i="125"/>
  <c r="AP44" i="125"/>
  <c r="AT44" i="125"/>
  <c r="AX44" i="125"/>
  <c r="BB44" i="125"/>
  <c r="CF44" i="125"/>
  <c r="DB44" i="125"/>
  <c r="K45" i="125"/>
  <c r="P45" i="125"/>
  <c r="V45" i="125"/>
  <c r="AA45" i="125"/>
  <c r="AF45" i="125"/>
  <c r="AL45" i="125"/>
  <c r="AQ45" i="125"/>
  <c r="AV45" i="125"/>
  <c r="BB45" i="125"/>
  <c r="BO45" i="125"/>
  <c r="CP45" i="125"/>
  <c r="DK45" i="125"/>
  <c r="J46" i="125"/>
  <c r="O46" i="125"/>
  <c r="T46" i="125"/>
  <c r="AA46" i="125"/>
  <c r="AI46" i="125"/>
  <c r="AQ46" i="125"/>
  <c r="BO46" i="125"/>
  <c r="DK46" i="125"/>
  <c r="K47" i="125"/>
  <c r="AA47" i="125"/>
  <c r="AQ47" i="125"/>
  <c r="BO47" i="125"/>
  <c r="DK47" i="125"/>
  <c r="K48" i="125"/>
  <c r="AA48" i="125"/>
  <c r="AQ48" i="125"/>
  <c r="K34" i="125"/>
  <c r="W34" i="125"/>
  <c r="AA34" i="125"/>
  <c r="AC34" i="125" s="1"/>
  <c r="AD34" i="125" s="1"/>
  <c r="AE34" i="125"/>
  <c r="AG34" i="125" s="1"/>
  <c r="AI34" i="125"/>
  <c r="AK34" i="125" s="1"/>
  <c r="AL34" i="125" s="1"/>
  <c r="AM34" i="125"/>
  <c r="AO34" i="125" s="1"/>
  <c r="AP34" i="125" s="1"/>
  <c r="AQ34" i="125"/>
  <c r="AS34" i="125" s="1"/>
  <c r="AT34" i="125" s="1"/>
  <c r="AU34" i="125"/>
  <c r="AW34" i="125" s="1"/>
  <c r="AX34" i="125" s="1"/>
  <c r="BC34" i="125"/>
  <c r="W35" i="125"/>
  <c r="AA35" i="125"/>
  <c r="AC35" i="125" s="1"/>
  <c r="AD35" i="125" s="1"/>
  <c r="AE35" i="125"/>
  <c r="AG35" i="125" s="1"/>
  <c r="AH35" i="125" s="1"/>
  <c r="AI35" i="125"/>
  <c r="AK35" i="125" s="1"/>
  <c r="AL35" i="125" s="1"/>
  <c r="AM35" i="125"/>
  <c r="AO35" i="125" s="1"/>
  <c r="AP35" i="125" s="1"/>
  <c r="AQ35" i="125"/>
  <c r="AS35" i="125" s="1"/>
  <c r="AT35" i="125" s="1"/>
  <c r="AU35" i="125"/>
  <c r="AW35" i="125" s="1"/>
  <c r="AX35" i="125" s="1"/>
  <c r="BC35" i="125"/>
  <c r="K36" i="125"/>
  <c r="W36" i="125"/>
  <c r="AA36" i="125"/>
  <c r="AC36" i="125" s="1"/>
  <c r="AE36" i="125"/>
  <c r="AG36" i="125" s="1"/>
  <c r="AH36" i="125" s="1"/>
  <c r="AI36" i="125"/>
  <c r="AK36" i="125" s="1"/>
  <c r="AL36" i="125" s="1"/>
  <c r="AM36" i="125"/>
  <c r="AO36" i="125" s="1"/>
  <c r="AP36" i="125" s="1"/>
  <c r="AQ36" i="125"/>
  <c r="AS36" i="125" s="1"/>
  <c r="AT36" i="125" s="1"/>
  <c r="AU36" i="125"/>
  <c r="AW36" i="125" s="1"/>
  <c r="AX36" i="125" s="1"/>
  <c r="BC36" i="125"/>
  <c r="W37" i="125"/>
  <c r="AA37" i="125"/>
  <c r="AC37" i="125" s="1"/>
  <c r="AE37" i="125"/>
  <c r="AG37" i="125" s="1"/>
  <c r="AI37" i="125"/>
  <c r="AK37" i="125" s="1"/>
  <c r="AL37" i="125" s="1"/>
  <c r="AM37" i="125"/>
  <c r="AO37" i="125" s="1"/>
  <c r="AQ37" i="125"/>
  <c r="AS37" i="125" s="1"/>
  <c r="AU37" i="125"/>
  <c r="AW37" i="125" s="1"/>
  <c r="K38" i="125"/>
  <c r="W38" i="125"/>
  <c r="AA38" i="125"/>
  <c r="AC38" i="125" s="1"/>
  <c r="AD38" i="125" s="1"/>
  <c r="AE38" i="125"/>
  <c r="AG38" i="125" s="1"/>
  <c r="AI38" i="125"/>
  <c r="AK38" i="125" s="1"/>
  <c r="AL38" i="125" s="1"/>
  <c r="AM38" i="125"/>
  <c r="AO38" i="125" s="1"/>
  <c r="AP38" i="125" s="1"/>
  <c r="AQ38" i="125"/>
  <c r="AS38" i="125" s="1"/>
  <c r="AT38" i="125" s="1"/>
  <c r="AU38" i="125"/>
  <c r="AW38" i="125" s="1"/>
  <c r="AX38" i="125" s="1"/>
  <c r="BC38" i="125"/>
  <c r="K39" i="125"/>
  <c r="W39" i="125"/>
  <c r="AA39" i="125"/>
  <c r="AC39" i="125" s="1"/>
  <c r="AD39" i="125" s="1"/>
  <c r="AE39" i="125"/>
  <c r="AG39" i="125" s="1"/>
  <c r="AH39" i="125" s="1"/>
  <c r="AI39" i="125"/>
  <c r="AK39" i="125" s="1"/>
  <c r="AL39" i="125" s="1"/>
  <c r="AM39" i="125"/>
  <c r="AO39" i="125" s="1"/>
  <c r="AP39" i="125" s="1"/>
  <c r="AQ39" i="125"/>
  <c r="AS39" i="125" s="1"/>
  <c r="AT39" i="125" s="1"/>
  <c r="AU39" i="125"/>
  <c r="AW39" i="125" s="1"/>
  <c r="AX39" i="125" s="1"/>
  <c r="BC39" i="125"/>
  <c r="K40" i="125"/>
  <c r="W40" i="125"/>
  <c r="AA40" i="125"/>
  <c r="AC40" i="125" s="1"/>
  <c r="AE40" i="125"/>
  <c r="AG40" i="125" s="1"/>
  <c r="AH40" i="125" s="1"/>
  <c r="AI40" i="125"/>
  <c r="AK40" i="125" s="1"/>
  <c r="AL40" i="125" s="1"/>
  <c r="AM40" i="125"/>
  <c r="AO40" i="125" s="1"/>
  <c r="AP40" i="125" s="1"/>
  <c r="AQ40" i="125"/>
  <c r="AS40" i="125" s="1"/>
  <c r="AT40" i="125" s="1"/>
  <c r="AU40" i="125"/>
  <c r="AW40" i="125" s="1"/>
  <c r="AX40" i="125" s="1"/>
  <c r="BC40" i="125"/>
  <c r="K41" i="125"/>
  <c r="W41" i="125"/>
  <c r="AA41" i="125"/>
  <c r="AC41" i="125" s="1"/>
  <c r="AE41" i="125"/>
  <c r="AG41" i="125" s="1"/>
  <c r="AI41" i="125"/>
  <c r="AK41" i="125" s="1"/>
  <c r="AL41" i="125" s="1"/>
  <c r="AM41" i="125"/>
  <c r="AO41" i="125" s="1"/>
  <c r="AP41" i="125" s="1"/>
  <c r="AQ41" i="125"/>
  <c r="AS41" i="125" s="1"/>
  <c r="AT41" i="125" s="1"/>
  <c r="AU41" i="125"/>
  <c r="AW41" i="125" s="1"/>
  <c r="AX41" i="125" s="1"/>
  <c r="BC41" i="125"/>
  <c r="K42" i="125"/>
  <c r="O42" i="125"/>
  <c r="S42" i="125"/>
  <c r="W42" i="125"/>
  <c r="AA42" i="125"/>
  <c r="AE42" i="125"/>
  <c r="AI42" i="125"/>
  <c r="AM42" i="125"/>
  <c r="AQ42" i="125"/>
  <c r="AU42" i="125"/>
  <c r="BC42" i="125"/>
  <c r="BO42" i="125"/>
  <c r="BW42" i="125"/>
  <c r="DK42" i="125"/>
  <c r="DT42" i="125"/>
  <c r="K43" i="125"/>
  <c r="O43" i="125"/>
  <c r="S43" i="125"/>
  <c r="W43" i="125"/>
  <c r="AA43" i="125"/>
  <c r="AE43" i="125"/>
  <c r="AI43" i="125"/>
  <c r="AM43" i="125"/>
  <c r="AQ43" i="125"/>
  <c r="AU43" i="125"/>
  <c r="BC43" i="125"/>
  <c r="BO43" i="125"/>
  <c r="BW43" i="125"/>
  <c r="DK43" i="125"/>
  <c r="DT43" i="125"/>
  <c r="DV44" i="125"/>
  <c r="DP44" i="125"/>
  <c r="DA44" i="125"/>
  <c r="CO44" i="125"/>
  <c r="K44" i="125"/>
  <c r="O44" i="125"/>
  <c r="S44" i="125"/>
  <c r="W44" i="125"/>
  <c r="AA44" i="125"/>
  <c r="AE44" i="125"/>
  <c r="AI44" i="125"/>
  <c r="AM44" i="125"/>
  <c r="AQ44" i="125"/>
  <c r="AU44" i="125"/>
  <c r="BC44" i="125"/>
  <c r="BO44" i="125"/>
  <c r="BW44" i="125"/>
  <c r="DV45" i="125"/>
  <c r="DP45" i="125"/>
  <c r="DA45" i="125"/>
  <c r="CO45" i="125"/>
  <c r="BA45" i="125"/>
  <c r="AW45" i="125"/>
  <c r="AS45" i="125"/>
  <c r="AO45" i="125"/>
  <c r="AK45" i="125"/>
  <c r="AG45" i="125"/>
  <c r="AC45" i="125"/>
  <c r="Y45" i="125"/>
  <c r="U45" i="125"/>
  <c r="Q45" i="125"/>
  <c r="M45" i="125"/>
  <c r="I45" i="125"/>
  <c r="L45" i="125"/>
  <c r="R45" i="125"/>
  <c r="W45" i="125"/>
  <c r="AB45" i="125"/>
  <c r="AH45" i="125"/>
  <c r="AM45" i="125"/>
  <c r="AR45" i="125"/>
  <c r="AX45" i="125"/>
  <c r="BC45" i="125"/>
  <c r="CF45" i="125"/>
  <c r="DB45" i="125"/>
  <c r="DO45" i="125"/>
  <c r="K46" i="125"/>
  <c r="P46" i="125"/>
  <c r="V46" i="125"/>
  <c r="AD46" i="125"/>
  <c r="AL46" i="125"/>
  <c r="AT46" i="125"/>
  <c r="BB46" i="125"/>
  <c r="O47" i="125"/>
  <c r="AE47" i="125"/>
  <c r="AU47" i="125"/>
  <c r="DT47" i="125"/>
  <c r="O48" i="125"/>
  <c r="AE48" i="125"/>
  <c r="AU48" i="125"/>
  <c r="L34" i="125"/>
  <c r="X34" i="125"/>
  <c r="AB34" i="125"/>
  <c r="AF34" i="125"/>
  <c r="AJ34" i="125"/>
  <c r="AN34" i="125"/>
  <c r="AR34" i="125"/>
  <c r="AV34" i="125"/>
  <c r="DO34" i="125"/>
  <c r="DT34" i="125" s="1"/>
  <c r="L35" i="125"/>
  <c r="X35" i="125"/>
  <c r="AB35" i="125"/>
  <c r="AF35" i="125"/>
  <c r="AJ35" i="125"/>
  <c r="AN35" i="125"/>
  <c r="AR35" i="125"/>
  <c r="AV35" i="125"/>
  <c r="DO35" i="125"/>
  <c r="DT35" i="125" s="1"/>
  <c r="L36" i="125"/>
  <c r="X36" i="125"/>
  <c r="AF36" i="125"/>
  <c r="AJ36" i="125"/>
  <c r="AN36" i="125"/>
  <c r="AR36" i="125"/>
  <c r="AV36" i="125"/>
  <c r="DO36" i="125"/>
  <c r="DT36" i="125" s="1"/>
  <c r="L37" i="125"/>
  <c r="X37" i="125"/>
  <c r="AB37" i="125"/>
  <c r="DO37" i="125"/>
  <c r="L38" i="125"/>
  <c r="X38" i="125"/>
  <c r="AB38" i="125"/>
  <c r="AF38" i="125"/>
  <c r="AJ38" i="125"/>
  <c r="AN38" i="125"/>
  <c r="AR38" i="125"/>
  <c r="AV38" i="125"/>
  <c r="DO38" i="125"/>
  <c r="DT38" i="125" s="1"/>
  <c r="L39" i="125"/>
  <c r="X39" i="125"/>
  <c r="AB39" i="125"/>
  <c r="AF39" i="125"/>
  <c r="AJ39" i="125"/>
  <c r="AN39" i="125"/>
  <c r="AR39" i="125"/>
  <c r="AV39" i="125"/>
  <c r="DO39" i="125"/>
  <c r="DT39" i="125" s="1"/>
  <c r="L40" i="125"/>
  <c r="X40" i="125"/>
  <c r="AB40" i="125"/>
  <c r="AF40" i="125"/>
  <c r="AJ40" i="125"/>
  <c r="AN40" i="125"/>
  <c r="AR40" i="125"/>
  <c r="AV40" i="125"/>
  <c r="DO40" i="125"/>
  <c r="DT40" i="125" s="1"/>
  <c r="L41" i="125"/>
  <c r="X41" i="125"/>
  <c r="AB41" i="125"/>
  <c r="AF41" i="125"/>
  <c r="AJ41" i="125"/>
  <c r="AN41" i="125"/>
  <c r="AR41" i="125"/>
  <c r="AV41" i="125"/>
  <c r="DO41" i="125"/>
  <c r="DT41" i="125" s="1"/>
  <c r="L42" i="125"/>
  <c r="N42" i="125" s="1"/>
  <c r="P42" i="125"/>
  <c r="T42" i="125"/>
  <c r="X42" i="125"/>
  <c r="AB42" i="125"/>
  <c r="AF42" i="125"/>
  <c r="AJ42" i="125"/>
  <c r="AN42" i="125"/>
  <c r="AR42" i="125"/>
  <c r="AV42" i="125"/>
  <c r="BX42" i="125"/>
  <c r="CF42" i="125"/>
  <c r="DO42" i="125"/>
  <c r="L43" i="125"/>
  <c r="N43" i="125" s="1"/>
  <c r="P43" i="125"/>
  <c r="T43" i="125"/>
  <c r="X43" i="125"/>
  <c r="AB43" i="125"/>
  <c r="AF43" i="125"/>
  <c r="AJ43" i="125"/>
  <c r="AN43" i="125"/>
  <c r="AR43" i="125"/>
  <c r="AV43" i="125"/>
  <c r="BX43" i="125"/>
  <c r="CF43" i="125"/>
  <c r="DO43" i="125"/>
  <c r="L44" i="125"/>
  <c r="P44" i="125"/>
  <c r="T44" i="125"/>
  <c r="X44" i="125"/>
  <c r="AB44" i="125"/>
  <c r="AF44" i="125"/>
  <c r="AJ44" i="125"/>
  <c r="AN44" i="125"/>
  <c r="AR44" i="125"/>
  <c r="AV44" i="125"/>
  <c r="BX44" i="125"/>
  <c r="DJ44" i="125"/>
  <c r="DT44" i="125"/>
  <c r="AD45" i="125"/>
  <c r="AI45" i="125"/>
  <c r="AN45" i="125"/>
  <c r="AT45" i="125"/>
  <c r="BW45" i="125"/>
  <c r="DV46" i="125"/>
  <c r="DP46" i="125"/>
  <c r="DA46" i="125"/>
  <c r="CO46" i="125"/>
  <c r="BA46" i="125"/>
  <c r="AW46" i="125"/>
  <c r="AS46" i="125"/>
  <c r="AO46" i="125"/>
  <c r="AK46" i="125"/>
  <c r="AG46" i="125"/>
  <c r="AC46" i="125"/>
  <c r="Y46" i="125"/>
  <c r="U46" i="125"/>
  <c r="Q46" i="125"/>
  <c r="M46" i="125"/>
  <c r="I46" i="125"/>
  <c r="DU46" i="125"/>
  <c r="DO46" i="125"/>
  <c r="CF46" i="125"/>
  <c r="BX46" i="125"/>
  <c r="AV46" i="125"/>
  <c r="AR46" i="125"/>
  <c r="AN46" i="125"/>
  <c r="AJ46" i="125"/>
  <c r="AF46" i="125"/>
  <c r="AB46" i="125"/>
  <c r="X46" i="125"/>
  <c r="DJ46" i="125"/>
  <c r="DB46" i="125"/>
  <c r="CP46" i="125"/>
  <c r="L46" i="125"/>
  <c r="R46" i="125"/>
  <c r="W46" i="125"/>
  <c r="AE46" i="125"/>
  <c r="AM46" i="125"/>
  <c r="AU46" i="125"/>
  <c r="BC46" i="125"/>
  <c r="BW46" i="125"/>
  <c r="S47" i="125"/>
  <c r="AI47" i="125"/>
  <c r="BW47" i="125"/>
  <c r="S48" i="125"/>
  <c r="AI48" i="125"/>
  <c r="J49" i="125"/>
  <c r="R49" i="125"/>
  <c r="V49" i="125"/>
  <c r="Z49" i="125"/>
  <c r="AD49" i="125"/>
  <c r="AH49" i="125"/>
  <c r="AL49" i="125"/>
  <c r="AP49" i="125"/>
  <c r="AT49" i="125"/>
  <c r="AX49" i="125"/>
  <c r="BB49" i="125"/>
  <c r="CP49" i="125"/>
  <c r="DB49" i="125"/>
  <c r="DJ49" i="125"/>
  <c r="J50" i="125"/>
  <c r="R50" i="125"/>
  <c r="V50" i="125"/>
  <c r="Z50" i="125"/>
  <c r="AD50" i="125"/>
  <c r="AH50" i="125"/>
  <c r="AL50" i="125"/>
  <c r="AP50" i="125"/>
  <c r="AT50" i="125"/>
  <c r="AX50" i="125"/>
  <c r="BB50" i="125"/>
  <c r="CP50" i="125"/>
  <c r="DB50" i="125"/>
  <c r="DJ50" i="125"/>
  <c r="AG14" i="126"/>
  <c r="AG15" i="126"/>
  <c r="AG16" i="126"/>
  <c r="Y22" i="127"/>
  <c r="Z22" i="127"/>
  <c r="Y23" i="127"/>
  <c r="Z23" i="127"/>
  <c r="Z24" i="127"/>
  <c r="Y24" i="127"/>
  <c r="Z25" i="127"/>
  <c r="Y25" i="127"/>
  <c r="AG41" i="126"/>
  <c r="I5" i="127"/>
  <c r="Y5" i="127"/>
  <c r="BA5" i="127"/>
  <c r="DP5" i="127"/>
  <c r="DQ5" i="127" s="1"/>
  <c r="DV5" i="127"/>
  <c r="I6" i="127"/>
  <c r="Y6" i="127"/>
  <c r="BA6" i="127"/>
  <c r="DP6" i="127"/>
  <c r="DV6" i="127"/>
  <c r="I7" i="127"/>
  <c r="Y7" i="127"/>
  <c r="BA7" i="127"/>
  <c r="DP7" i="127"/>
  <c r="DV7" i="127"/>
  <c r="I8" i="127"/>
  <c r="K8" i="127" s="1"/>
  <c r="Y8" i="127"/>
  <c r="BA8" i="127"/>
  <c r="DP8" i="127"/>
  <c r="DV8" i="127"/>
  <c r="I9" i="127"/>
  <c r="K9" i="127" s="1"/>
  <c r="Y9" i="127"/>
  <c r="I10" i="127"/>
  <c r="Y10" i="127"/>
  <c r="I11" i="127"/>
  <c r="Y11" i="127"/>
  <c r="I12" i="127"/>
  <c r="K12" i="127" s="1"/>
  <c r="Y12" i="127"/>
  <c r="I13" i="127"/>
  <c r="Y13" i="127"/>
  <c r="I14" i="127"/>
  <c r="K14" i="127" s="1"/>
  <c r="Y14" i="127"/>
  <c r="I15" i="127"/>
  <c r="K15" i="127" s="1"/>
  <c r="Y15" i="127"/>
  <c r="I16" i="127"/>
  <c r="K16" i="127" s="1"/>
  <c r="K49" i="125"/>
  <c r="O49" i="125"/>
  <c r="S49" i="125"/>
  <c r="W49" i="125"/>
  <c r="AA49" i="125"/>
  <c r="AE49" i="125"/>
  <c r="AI49" i="125"/>
  <c r="AM49" i="125"/>
  <c r="AQ49" i="125"/>
  <c r="AU49" i="125"/>
  <c r="BC49" i="125"/>
  <c r="BO49" i="125"/>
  <c r="BW49" i="125"/>
  <c r="DK49" i="125"/>
  <c r="DT49" i="125"/>
  <c r="K50" i="125"/>
  <c r="O50" i="125"/>
  <c r="S50" i="125"/>
  <c r="W50" i="125"/>
  <c r="AA50" i="125"/>
  <c r="AE50" i="125"/>
  <c r="AI50" i="125"/>
  <c r="AM50" i="125"/>
  <c r="AQ50" i="125"/>
  <c r="AU50" i="125"/>
  <c r="BC50" i="125"/>
  <c r="BO50" i="125"/>
  <c r="BW50" i="125"/>
  <c r="DK50" i="125"/>
  <c r="DT50" i="125"/>
  <c r="AH14" i="126"/>
  <c r="AH15" i="126"/>
  <c r="BB16" i="127"/>
  <c r="V16" i="127"/>
  <c r="BB17" i="127"/>
  <c r="V17" i="127"/>
  <c r="BA17" i="127"/>
  <c r="I17" i="127"/>
  <c r="K17" i="127" s="1"/>
  <c r="BB18" i="127"/>
  <c r="V18" i="127"/>
  <c r="BA18" i="127"/>
  <c r="I18" i="127"/>
  <c r="K18" i="127" s="1"/>
  <c r="BB19" i="127"/>
  <c r="V19" i="127"/>
  <c r="BA19" i="127"/>
  <c r="I19" i="127"/>
  <c r="K19" i="127" s="1"/>
  <c r="I20" i="127"/>
  <c r="BB20" i="127"/>
  <c r="V20" i="127"/>
  <c r="BA20" i="127"/>
  <c r="I21" i="127"/>
  <c r="BB21" i="127"/>
  <c r="V21" i="127"/>
  <c r="BA21" i="127"/>
  <c r="BA32" i="127"/>
  <c r="V32" i="127"/>
  <c r="I32" i="127"/>
  <c r="V33" i="127"/>
  <c r="BA33" i="127"/>
  <c r="I33" i="127"/>
  <c r="V34" i="127"/>
  <c r="I34" i="127"/>
  <c r="K34" i="127" s="1"/>
  <c r="BA34" i="127"/>
  <c r="BA41" i="127"/>
  <c r="I41" i="127"/>
  <c r="K41" i="127" s="1"/>
  <c r="AH41" i="126"/>
  <c r="J5" i="127"/>
  <c r="V5" i="127"/>
  <c r="Z5" i="127"/>
  <c r="BB5" i="127"/>
  <c r="J6" i="127"/>
  <c r="V6" i="127"/>
  <c r="Z6" i="127"/>
  <c r="BB6" i="127"/>
  <c r="J7" i="127"/>
  <c r="V7" i="127"/>
  <c r="Z7" i="127"/>
  <c r="BB7" i="127"/>
  <c r="J8" i="127"/>
  <c r="V8" i="127"/>
  <c r="Z8" i="127"/>
  <c r="BB8" i="127"/>
  <c r="BC8" i="127" s="1"/>
  <c r="Z9" i="127"/>
  <c r="AQ9" i="127"/>
  <c r="AR9" i="127" s="1"/>
  <c r="Z10" i="127"/>
  <c r="Z11" i="127"/>
  <c r="L49" i="125"/>
  <c r="P49" i="125"/>
  <c r="T49" i="125"/>
  <c r="X49" i="125"/>
  <c r="AB49" i="125"/>
  <c r="AF49" i="125"/>
  <c r="AJ49" i="125"/>
  <c r="AN49" i="125"/>
  <c r="AR49" i="125"/>
  <c r="AV49" i="125"/>
  <c r="BX49" i="125"/>
  <c r="CF49" i="125"/>
  <c r="DO49" i="125"/>
  <c r="DU49" i="125"/>
  <c r="L50" i="125"/>
  <c r="P50" i="125"/>
  <c r="T50" i="125"/>
  <c r="X50" i="125"/>
  <c r="AB50" i="125"/>
  <c r="AF50" i="125"/>
  <c r="AJ50" i="125"/>
  <c r="AN50" i="125"/>
  <c r="AR50" i="125"/>
  <c r="AV50" i="125"/>
  <c r="BX50" i="125"/>
  <c r="CF50" i="125"/>
  <c r="DO50" i="125"/>
  <c r="DU50" i="125"/>
  <c r="AG5" i="126"/>
  <c r="Z16" i="127"/>
  <c r="Z17" i="127"/>
  <c r="Y17" i="127"/>
  <c r="Z18" i="127"/>
  <c r="Y18" i="127"/>
  <c r="Z19" i="127"/>
  <c r="Y19" i="127"/>
  <c r="Y20" i="127"/>
  <c r="Z20" i="127"/>
  <c r="Y21" i="127"/>
  <c r="Z21" i="127"/>
  <c r="AG22" i="126"/>
  <c r="AG23" i="126"/>
  <c r="AG24" i="126"/>
  <c r="Z33" i="127"/>
  <c r="Y33" i="127"/>
  <c r="Z34" i="127"/>
  <c r="Y34" i="127"/>
  <c r="AG35" i="126"/>
  <c r="AG36" i="126"/>
  <c r="W5" i="127"/>
  <c r="AA5" i="127"/>
  <c r="AE5" i="127"/>
  <c r="AI5" i="127"/>
  <c r="AM5" i="127"/>
  <c r="AQ5" i="127"/>
  <c r="AU5" i="127"/>
  <c r="K6" i="127"/>
  <c r="W6" i="127"/>
  <c r="AA6" i="127"/>
  <c r="AC6" i="127" s="1"/>
  <c r="AE6" i="127"/>
  <c r="AG6" i="127" s="1"/>
  <c r="AI6" i="127"/>
  <c r="AK6" i="127" s="1"/>
  <c r="AM6" i="127"/>
  <c r="AO6" i="127" s="1"/>
  <c r="AQ6" i="127"/>
  <c r="AS6" i="127" s="1"/>
  <c r="AU6" i="127"/>
  <c r="AW6" i="127" s="1"/>
  <c r="W7" i="127"/>
  <c r="AA7" i="127"/>
  <c r="AC7" i="127" s="1"/>
  <c r="AE7" i="127"/>
  <c r="AI7" i="127"/>
  <c r="AK7" i="127" s="1"/>
  <c r="AM7" i="127"/>
  <c r="AO7" i="127" s="1"/>
  <c r="AQ7" i="127"/>
  <c r="AS7" i="127" s="1"/>
  <c r="AU7" i="127"/>
  <c r="W8" i="127"/>
  <c r="AA8" i="127"/>
  <c r="AE8" i="127"/>
  <c r="AG8" i="127" s="1"/>
  <c r="AI8" i="127"/>
  <c r="AK8" i="127" s="1"/>
  <c r="AL8" i="127" s="1"/>
  <c r="AM8" i="127"/>
  <c r="AO8" i="127" s="1"/>
  <c r="AP8" i="127" s="1"/>
  <c r="AQ8" i="127"/>
  <c r="AU8" i="127"/>
  <c r="AW8" i="127" s="1"/>
  <c r="AX8" i="127" s="1"/>
  <c r="DU9" i="127"/>
  <c r="DO9" i="127"/>
  <c r="DT9" i="127" s="1"/>
  <c r="AU9" i="127"/>
  <c r="AW9" i="127" s="1"/>
  <c r="AX9" i="127" s="1"/>
  <c r="W9" i="127"/>
  <c r="AA9" i="127"/>
  <c r="AC9" i="127" s="1"/>
  <c r="AE9" i="127"/>
  <c r="AG9" i="127" s="1"/>
  <c r="AI9" i="127"/>
  <c r="AK9" i="127" s="1"/>
  <c r="AL9" i="127" s="1"/>
  <c r="AM9" i="127"/>
  <c r="AN9" i="127" s="1"/>
  <c r="BA9" i="127"/>
  <c r="BA10" i="127"/>
  <c r="BA11" i="127"/>
  <c r="BA12" i="127"/>
  <c r="BC12" i="127" s="1"/>
  <c r="BA13" i="127"/>
  <c r="BA14" i="127"/>
  <c r="BC14" i="127" s="1"/>
  <c r="BA15" i="127"/>
  <c r="I49" i="125"/>
  <c r="M49" i="125"/>
  <c r="Q49" i="125"/>
  <c r="U49" i="125"/>
  <c r="Y49" i="125"/>
  <c r="AC49" i="125"/>
  <c r="AG49" i="125"/>
  <c r="AK49" i="125"/>
  <c r="AO49" i="125"/>
  <c r="AS49" i="125"/>
  <c r="AW49" i="125"/>
  <c r="BA49" i="125"/>
  <c r="CO49" i="125"/>
  <c r="DA49" i="125"/>
  <c r="DP49" i="125"/>
  <c r="I50" i="125"/>
  <c r="M50" i="125"/>
  <c r="Q50" i="125"/>
  <c r="U50" i="125"/>
  <c r="Y50" i="125"/>
  <c r="AC50" i="125"/>
  <c r="AG50" i="125"/>
  <c r="AK50" i="125"/>
  <c r="AO50" i="125"/>
  <c r="AS50" i="125"/>
  <c r="AW50" i="125"/>
  <c r="BA50" i="125"/>
  <c r="CO50" i="125"/>
  <c r="DA50" i="125"/>
  <c r="DP50" i="125"/>
  <c r="I22" i="127"/>
  <c r="BB22" i="127"/>
  <c r="BC22" i="127" s="1"/>
  <c r="V22" i="127"/>
  <c r="BA22" i="127"/>
  <c r="AH22" i="126"/>
  <c r="I23" i="127"/>
  <c r="K23" i="127" s="1"/>
  <c r="BB23" i="127"/>
  <c r="V23" i="127"/>
  <c r="BA23" i="127"/>
  <c r="AH23" i="126"/>
  <c r="BB24" i="127"/>
  <c r="V24" i="127"/>
  <c r="BA24" i="127"/>
  <c r="I24" i="127"/>
  <c r="K24" i="127" s="1"/>
  <c r="AH24" i="126"/>
  <c r="V25" i="127"/>
  <c r="I25" i="127"/>
  <c r="K25" i="127" s="1"/>
  <c r="AH25" i="126"/>
  <c r="X32" i="127"/>
  <c r="X33" i="127"/>
  <c r="X34" i="127"/>
  <c r="V35" i="127"/>
  <c r="BA35" i="127"/>
  <c r="I35" i="127"/>
  <c r="K35" i="127" s="1"/>
  <c r="AH35" i="126"/>
  <c r="V36" i="127"/>
  <c r="I36" i="127"/>
  <c r="K36" i="127" s="1"/>
  <c r="AH36" i="126"/>
  <c r="BA37" i="127"/>
  <c r="I37" i="127"/>
  <c r="AH37" i="126"/>
  <c r="I38" i="127"/>
  <c r="K38" i="127" s="1"/>
  <c r="BA38" i="127"/>
  <c r="AH38" i="126"/>
  <c r="I39" i="127"/>
  <c r="BA39" i="127"/>
  <c r="BC39" i="127" s="1"/>
  <c r="AH39" i="126"/>
  <c r="BA40" i="127"/>
  <c r="I40" i="127"/>
  <c r="X41" i="127"/>
  <c r="L5" i="127"/>
  <c r="X5" i="127"/>
  <c r="L6" i="127"/>
  <c r="X6" i="127"/>
  <c r="AJ6" i="127"/>
  <c r="DO6" i="127"/>
  <c r="L7" i="127"/>
  <c r="X7" i="127"/>
  <c r="DO7" i="127"/>
  <c r="L8" i="127"/>
  <c r="X8" i="127"/>
  <c r="AJ8" i="127"/>
  <c r="DO8" i="127"/>
  <c r="DT8" i="127" s="1"/>
  <c r="L9" i="127"/>
  <c r="X9" i="127"/>
  <c r="BB9" i="127"/>
  <c r="BC9" i="127" s="1"/>
  <c r="DP9" i="127"/>
  <c r="V10" i="127"/>
  <c r="V11" i="127"/>
  <c r="V12" i="127"/>
  <c r="V13" i="127"/>
  <c r="V14" i="127"/>
  <c r="V15" i="127"/>
  <c r="W10" i="127"/>
  <c r="AA10" i="127"/>
  <c r="AC10" i="127" s="1"/>
  <c r="AE10" i="127"/>
  <c r="AG10" i="127" s="1"/>
  <c r="AI10" i="127"/>
  <c r="AK10" i="127" s="1"/>
  <c r="AM10" i="127"/>
  <c r="AO10" i="127" s="1"/>
  <c r="AQ10" i="127"/>
  <c r="AS10" i="127" s="1"/>
  <c r="AU10" i="127"/>
  <c r="AW10" i="127" s="1"/>
  <c r="W11" i="127"/>
  <c r="AA11" i="127"/>
  <c r="AC11" i="127" s="1"/>
  <c r="AE11" i="127"/>
  <c r="AG11" i="127" s="1"/>
  <c r="AI11" i="127"/>
  <c r="AK11" i="127" s="1"/>
  <c r="AM11" i="127"/>
  <c r="AO11" i="127" s="1"/>
  <c r="AQ11" i="127"/>
  <c r="AS11" i="127" s="1"/>
  <c r="AU11" i="127"/>
  <c r="AW11" i="127" s="1"/>
  <c r="W12" i="127"/>
  <c r="AA12" i="127"/>
  <c r="AC12" i="127" s="1"/>
  <c r="AE12" i="127"/>
  <c r="AG12" i="127" s="1"/>
  <c r="AI12" i="127"/>
  <c r="AK12" i="127" s="1"/>
  <c r="AL12" i="127" s="1"/>
  <c r="AM12" i="127"/>
  <c r="AQ12" i="127"/>
  <c r="AS12" i="127" s="1"/>
  <c r="AT12" i="127" s="1"/>
  <c r="AU12" i="127"/>
  <c r="AW12" i="127" s="1"/>
  <c r="AX12" i="127" s="1"/>
  <c r="W13" i="127"/>
  <c r="AA13" i="127"/>
  <c r="AC13" i="127" s="1"/>
  <c r="AE13" i="127"/>
  <c r="AG13" i="127" s="1"/>
  <c r="AI13" i="127"/>
  <c r="AK13" i="127" s="1"/>
  <c r="AM13" i="127"/>
  <c r="AO13" i="127" s="1"/>
  <c r="AQ13" i="127"/>
  <c r="AS13" i="127" s="1"/>
  <c r="AT13" i="127" s="1"/>
  <c r="AU13" i="127"/>
  <c r="AW13" i="127" s="1"/>
  <c r="W14" i="127"/>
  <c r="AA14" i="127"/>
  <c r="AC14" i="127" s="1"/>
  <c r="AE14" i="127"/>
  <c r="AG14" i="127" s="1"/>
  <c r="AI14" i="127"/>
  <c r="AK14" i="127" s="1"/>
  <c r="AL14" i="127" s="1"/>
  <c r="AM14" i="127"/>
  <c r="AO14" i="127" s="1"/>
  <c r="AP14" i="127" s="1"/>
  <c r="AQ14" i="127"/>
  <c r="AS14" i="127" s="1"/>
  <c r="AT14" i="127" s="1"/>
  <c r="AU14" i="127"/>
  <c r="AW14" i="127" s="1"/>
  <c r="AX14" i="127" s="1"/>
  <c r="W15" i="127"/>
  <c r="AA15" i="127"/>
  <c r="AC15" i="127" s="1"/>
  <c r="AE15" i="127"/>
  <c r="AG15" i="127" s="1"/>
  <c r="AI15" i="127"/>
  <c r="AK15" i="127" s="1"/>
  <c r="AM15" i="127"/>
  <c r="AO15" i="127" s="1"/>
  <c r="AP15" i="127" s="1"/>
  <c r="AQ15" i="127"/>
  <c r="AS15" i="127" s="1"/>
  <c r="AU15" i="127"/>
  <c r="AW15" i="127" s="1"/>
  <c r="W16" i="127"/>
  <c r="AA16" i="127"/>
  <c r="AC16" i="127" s="1"/>
  <c r="AE16" i="127"/>
  <c r="AG16" i="127" s="1"/>
  <c r="AI16" i="127"/>
  <c r="AK16" i="127" s="1"/>
  <c r="AM16" i="127"/>
  <c r="AO16" i="127" s="1"/>
  <c r="AQ16" i="127"/>
  <c r="AS16" i="127" s="1"/>
  <c r="AT16" i="127" s="1"/>
  <c r="AU16" i="127"/>
  <c r="AW16" i="127" s="1"/>
  <c r="W17" i="127"/>
  <c r="AA17" i="127"/>
  <c r="AC17" i="127" s="1"/>
  <c r="AE17" i="127"/>
  <c r="AG17" i="127" s="1"/>
  <c r="AI17" i="127"/>
  <c r="AK17" i="127" s="1"/>
  <c r="AL17" i="127" s="1"/>
  <c r="AM17" i="127"/>
  <c r="AO17" i="127" s="1"/>
  <c r="AP17" i="127" s="1"/>
  <c r="AQ17" i="127"/>
  <c r="AS17" i="127" s="1"/>
  <c r="AT17" i="127" s="1"/>
  <c r="AU17" i="127"/>
  <c r="AW17" i="127" s="1"/>
  <c r="AX17" i="127" s="1"/>
  <c r="BC17" i="127"/>
  <c r="W18" i="127"/>
  <c r="AA18" i="127"/>
  <c r="AC18" i="127" s="1"/>
  <c r="AE18" i="127"/>
  <c r="AG18" i="127" s="1"/>
  <c r="AI18" i="127"/>
  <c r="AK18" i="127" s="1"/>
  <c r="AM18" i="127"/>
  <c r="AO18" i="127" s="1"/>
  <c r="AQ18" i="127"/>
  <c r="AS18" i="127" s="1"/>
  <c r="AU18" i="127"/>
  <c r="AW18" i="127" s="1"/>
  <c r="DU19" i="127"/>
  <c r="DO19" i="127"/>
  <c r="DW19" i="127" s="1"/>
  <c r="W19" i="127"/>
  <c r="AA19" i="127"/>
  <c r="AC19" i="127" s="1"/>
  <c r="AE19" i="127"/>
  <c r="AG19" i="127" s="1"/>
  <c r="AI19" i="127"/>
  <c r="AK19" i="127" s="1"/>
  <c r="AM19" i="127"/>
  <c r="AO19" i="127" s="1"/>
  <c r="AQ19" i="127"/>
  <c r="AS19" i="127" s="1"/>
  <c r="AU19" i="127"/>
  <c r="AW19" i="127" s="1"/>
  <c r="AX19" i="127" s="1"/>
  <c r="DP19" i="127"/>
  <c r="L10" i="127"/>
  <c r="X10" i="127"/>
  <c r="DO10" i="127"/>
  <c r="L11" i="127"/>
  <c r="X11" i="127"/>
  <c r="DO11" i="127"/>
  <c r="L12" i="127"/>
  <c r="X12" i="127"/>
  <c r="AV12" i="127"/>
  <c r="DO12" i="127"/>
  <c r="L13" i="127"/>
  <c r="X13" i="127"/>
  <c r="AJ13" i="127"/>
  <c r="DO13" i="127"/>
  <c r="DW13" i="127" s="1"/>
  <c r="L14" i="127"/>
  <c r="X14" i="127"/>
  <c r="AF14" i="127"/>
  <c r="AN14" i="127"/>
  <c r="AV14" i="127"/>
  <c r="DO14" i="127"/>
  <c r="DT14" i="127" s="1"/>
  <c r="L15" i="127"/>
  <c r="X15" i="127"/>
  <c r="DO15" i="127"/>
  <c r="DT15" i="127" s="1"/>
  <c r="L16" i="127"/>
  <c r="X16" i="127"/>
  <c r="AN16" i="127"/>
  <c r="DO16" i="127"/>
  <c r="DW16" i="127" s="1"/>
  <c r="L17" i="127"/>
  <c r="X17" i="127"/>
  <c r="DO17" i="127"/>
  <c r="DT17" i="127" s="1"/>
  <c r="L18" i="127"/>
  <c r="X18" i="127"/>
  <c r="DO18" i="127"/>
  <c r="DW18" i="127" s="1"/>
  <c r="L19" i="127"/>
  <c r="X19" i="127"/>
  <c r="L20" i="127"/>
  <c r="X20" i="127"/>
  <c r="DO20" i="127"/>
  <c r="DU20" i="127"/>
  <c r="L21" i="127"/>
  <c r="X21" i="127"/>
  <c r="DO21" i="127"/>
  <c r="DU21" i="127"/>
  <c r="L22" i="127"/>
  <c r="X22" i="127"/>
  <c r="DO22" i="127"/>
  <c r="DW22" i="127" s="1"/>
  <c r="DU22" i="127"/>
  <c r="L23" i="127"/>
  <c r="X23" i="127"/>
  <c r="DO23" i="127"/>
  <c r="DW23" i="127" s="1"/>
  <c r="DU23" i="127"/>
  <c r="L24" i="127"/>
  <c r="X24" i="127"/>
  <c r="DO24" i="127"/>
  <c r="DU24" i="127"/>
  <c r="L25" i="127"/>
  <c r="X25" i="127"/>
  <c r="DV26" i="127"/>
  <c r="DP26" i="127"/>
  <c r="BA26" i="127"/>
  <c r="AK26" i="127"/>
  <c r="Y26" i="127"/>
  <c r="I26" i="127"/>
  <c r="DU26" i="127"/>
  <c r="DO26" i="127"/>
  <c r="DW26" i="127" s="1"/>
  <c r="BB26" i="127"/>
  <c r="Z26" i="127"/>
  <c r="V26" i="127"/>
  <c r="J26" i="127"/>
  <c r="W26" i="127"/>
  <c r="AE26" i="127"/>
  <c r="AG26" i="127" s="1"/>
  <c r="AM26" i="127"/>
  <c r="AU26" i="127"/>
  <c r="AW26" i="127" s="1"/>
  <c r="K20" i="127"/>
  <c r="W20" i="127"/>
  <c r="AA20" i="127"/>
  <c r="AC20" i="127" s="1"/>
  <c r="AE20" i="127"/>
  <c r="AG20" i="127" s="1"/>
  <c r="AI20" i="127"/>
  <c r="AK20" i="127" s="1"/>
  <c r="AL20" i="127" s="1"/>
  <c r="AM20" i="127"/>
  <c r="AO20" i="127" s="1"/>
  <c r="AQ20" i="127"/>
  <c r="AS20" i="127" s="1"/>
  <c r="AT20" i="127" s="1"/>
  <c r="AU20" i="127"/>
  <c r="AW20" i="127" s="1"/>
  <c r="K21" i="127"/>
  <c r="W21" i="127"/>
  <c r="AA21" i="127"/>
  <c r="AC21" i="127" s="1"/>
  <c r="AE21" i="127"/>
  <c r="AG21" i="127" s="1"/>
  <c r="AI21" i="127"/>
  <c r="AK21" i="127" s="1"/>
  <c r="AM21" i="127"/>
  <c r="AO21" i="127" s="1"/>
  <c r="AP21" i="127" s="1"/>
  <c r="AQ21" i="127"/>
  <c r="AS21" i="127" s="1"/>
  <c r="AU21" i="127"/>
  <c r="AW21" i="127" s="1"/>
  <c r="K22" i="127"/>
  <c r="W22" i="127"/>
  <c r="AA22" i="127"/>
  <c r="AC22" i="127" s="1"/>
  <c r="AE22" i="127"/>
  <c r="AG22" i="127" s="1"/>
  <c r="AI22" i="127"/>
  <c r="AK22" i="127" s="1"/>
  <c r="AM22" i="127"/>
  <c r="AO22" i="127" s="1"/>
  <c r="AQ22" i="127"/>
  <c r="AS22" i="127" s="1"/>
  <c r="AU22" i="127"/>
  <c r="AW22" i="127" s="1"/>
  <c r="W23" i="127"/>
  <c r="AA23" i="127"/>
  <c r="AC23" i="127" s="1"/>
  <c r="AE23" i="127"/>
  <c r="AG23" i="127" s="1"/>
  <c r="AI23" i="127"/>
  <c r="AK23" i="127" s="1"/>
  <c r="AM23" i="127"/>
  <c r="AO23" i="127" s="1"/>
  <c r="AQ23" i="127"/>
  <c r="AS23" i="127" s="1"/>
  <c r="AU23" i="127"/>
  <c r="AW23" i="127" s="1"/>
  <c r="W24" i="127"/>
  <c r="AA24" i="127"/>
  <c r="AC24" i="127" s="1"/>
  <c r="AE24" i="127"/>
  <c r="AG24" i="127" s="1"/>
  <c r="AI24" i="127"/>
  <c r="AK24" i="127" s="1"/>
  <c r="AM24" i="127"/>
  <c r="AO24" i="127" s="1"/>
  <c r="AQ24" i="127"/>
  <c r="AS24" i="127" s="1"/>
  <c r="AU24" i="127"/>
  <c r="AW24" i="127" s="1"/>
  <c r="DV25" i="127"/>
  <c r="DP25" i="127"/>
  <c r="BA25" i="127"/>
  <c r="AW25" i="127"/>
  <c r="AX25" i="127" s="1"/>
  <c r="BB25" i="127"/>
  <c r="W25" i="127"/>
  <c r="AA25" i="127"/>
  <c r="AC25" i="127" s="1"/>
  <c r="AE25" i="127"/>
  <c r="AG25" i="127" s="1"/>
  <c r="AH25" i="127" s="1"/>
  <c r="AI25" i="127"/>
  <c r="AK25" i="127" s="1"/>
  <c r="AL25" i="127" s="1"/>
  <c r="AM25" i="127"/>
  <c r="AO25" i="127" s="1"/>
  <c r="AP25" i="127" s="1"/>
  <c r="AQ25" i="127"/>
  <c r="AR25" i="127" s="1"/>
  <c r="L26" i="127"/>
  <c r="M26" i="127" s="1"/>
  <c r="J27" i="127"/>
  <c r="V27" i="127"/>
  <c r="Z27" i="127"/>
  <c r="BB27" i="127"/>
  <c r="J28" i="127"/>
  <c r="V28" i="127"/>
  <c r="Z28" i="127"/>
  <c r="BB28" i="127"/>
  <c r="J29" i="127"/>
  <c r="V29" i="127"/>
  <c r="Z29" i="127"/>
  <c r="BB29" i="127"/>
  <c r="J30" i="127"/>
  <c r="V30" i="127"/>
  <c r="Z30" i="127"/>
  <c r="BB30" i="127"/>
  <c r="Y31" i="127"/>
  <c r="W27" i="127"/>
  <c r="AA27" i="127"/>
  <c r="AE27" i="127"/>
  <c r="AG27" i="127" s="1"/>
  <c r="AI27" i="127"/>
  <c r="AM27" i="127"/>
  <c r="AO27" i="127" s="1"/>
  <c r="AP27" i="127" s="1"/>
  <c r="AQ27" i="127"/>
  <c r="AS27" i="127" s="1"/>
  <c r="AT27" i="127" s="1"/>
  <c r="AU27" i="127"/>
  <c r="W28" i="127"/>
  <c r="AA28" i="127"/>
  <c r="AE28" i="127"/>
  <c r="AG28" i="127" s="1"/>
  <c r="AI28" i="127"/>
  <c r="AK28" i="127" s="1"/>
  <c r="AM28" i="127"/>
  <c r="AQ28" i="127"/>
  <c r="AU28" i="127"/>
  <c r="AW28" i="127" s="1"/>
  <c r="AX28" i="127" s="1"/>
  <c r="W29" i="127"/>
  <c r="AA29" i="127"/>
  <c r="AC29" i="127" s="1"/>
  <c r="AE29" i="127"/>
  <c r="AI29" i="127"/>
  <c r="AK29" i="127" s="1"/>
  <c r="AM29" i="127"/>
  <c r="AO29" i="127" s="1"/>
  <c r="AQ29" i="127"/>
  <c r="AS29" i="127" s="1"/>
  <c r="AU29" i="127"/>
  <c r="AW29" i="127" s="1"/>
  <c r="W30" i="127"/>
  <c r="AA30" i="127"/>
  <c r="AB30" i="127" s="1"/>
  <c r="AE30" i="127"/>
  <c r="AI30" i="127"/>
  <c r="AK30" i="127" s="1"/>
  <c r="AL30" i="127" s="1"/>
  <c r="AM30" i="127"/>
  <c r="AQ30" i="127"/>
  <c r="AR30" i="127" s="1"/>
  <c r="AU30" i="127"/>
  <c r="BB31" i="127"/>
  <c r="Z31" i="127"/>
  <c r="V31" i="127"/>
  <c r="J31" i="127"/>
  <c r="AU31" i="127"/>
  <c r="AW31" i="127" s="1"/>
  <c r="AX31" i="127" s="1"/>
  <c r="AQ31" i="127"/>
  <c r="AS31" i="127" s="1"/>
  <c r="AM31" i="127"/>
  <c r="AO31" i="127" s="1"/>
  <c r="AP31" i="127" s="1"/>
  <c r="AI31" i="127"/>
  <c r="AE31" i="127"/>
  <c r="AG31" i="127" s="1"/>
  <c r="AA31" i="127"/>
  <c r="W31" i="127"/>
  <c r="L31" i="127"/>
  <c r="M31" i="127" s="1"/>
  <c r="DV31" i="127"/>
  <c r="P34" i="127"/>
  <c r="Q34" i="127" s="1"/>
  <c r="S34" i="127" s="1"/>
  <c r="L27" i="127"/>
  <c r="M27" i="127" s="1"/>
  <c r="P27" i="127" s="1"/>
  <c r="Q27" i="127" s="1"/>
  <c r="X27" i="127"/>
  <c r="AN27" i="127"/>
  <c r="DO27" i="127"/>
  <c r="DU27" i="127"/>
  <c r="L28" i="127"/>
  <c r="X28" i="127"/>
  <c r="DO28" i="127"/>
  <c r="DU28" i="127"/>
  <c r="L29" i="127"/>
  <c r="X29" i="127"/>
  <c r="DO29" i="127"/>
  <c r="DU29" i="127"/>
  <c r="L30" i="127"/>
  <c r="X30" i="127"/>
  <c r="AN30" i="127"/>
  <c r="DO30" i="127"/>
  <c r="DT30" i="127" s="1"/>
  <c r="DU30" i="127"/>
  <c r="AK31" i="127"/>
  <c r="AL31" i="127" s="1"/>
  <c r="BA31" i="127"/>
  <c r="DO31" i="127"/>
  <c r="DT31" i="127" s="1"/>
  <c r="I27" i="127"/>
  <c r="Y27" i="127"/>
  <c r="AC27" i="127"/>
  <c r="AK27" i="127"/>
  <c r="AL27" i="127" s="1"/>
  <c r="AW27" i="127"/>
  <c r="AX27" i="127" s="1"/>
  <c r="BA27" i="127"/>
  <c r="DP27" i="127"/>
  <c r="I28" i="127"/>
  <c r="M28" i="127"/>
  <c r="P28" i="127" s="1"/>
  <c r="Y28" i="127"/>
  <c r="AO28" i="127"/>
  <c r="BA28" i="127"/>
  <c r="DP28" i="127"/>
  <c r="I29" i="127"/>
  <c r="Y29" i="127"/>
  <c r="BA29" i="127"/>
  <c r="DP29" i="127"/>
  <c r="DS29" i="127" s="1"/>
  <c r="I30" i="127"/>
  <c r="Y30" i="127"/>
  <c r="AG30" i="127"/>
  <c r="AH30" i="127" s="1"/>
  <c r="AO30" i="127"/>
  <c r="AP30" i="127" s="1"/>
  <c r="AW30" i="127"/>
  <c r="AX30" i="127" s="1"/>
  <c r="BA30" i="127"/>
  <c r="DP30" i="127"/>
  <c r="I31" i="127"/>
  <c r="X31" i="127"/>
  <c r="DP31" i="127"/>
  <c r="AU32" i="127"/>
  <c r="AQ32" i="127"/>
  <c r="AS32" i="127" s="1"/>
  <c r="AT32" i="127" s="1"/>
  <c r="AM32" i="127"/>
  <c r="AI32" i="127"/>
  <c r="AK32" i="127" s="1"/>
  <c r="AL32" i="127" s="1"/>
  <c r="AE32" i="127"/>
  <c r="AA32" i="127"/>
  <c r="AC32" i="127" s="1"/>
  <c r="AD32" i="127" s="1"/>
  <c r="W32" i="127"/>
  <c r="BB32" i="127"/>
  <c r="Z32" i="127"/>
  <c r="DV32" i="127"/>
  <c r="P38" i="127"/>
  <c r="Q38" i="127" s="1"/>
  <c r="R38" i="127" s="1"/>
  <c r="DT38" i="127"/>
  <c r="J32" i="127"/>
  <c r="Y32" i="127"/>
  <c r="AG32" i="127"/>
  <c r="AH32" i="127" s="1"/>
  <c r="AO32" i="127"/>
  <c r="DU32" i="127"/>
  <c r="M33" i="127"/>
  <c r="P33" i="127" s="1"/>
  <c r="Q33" i="127" s="1"/>
  <c r="S33" i="127" s="1"/>
  <c r="BB33" i="127"/>
  <c r="BC33" i="127" s="1"/>
  <c r="BB34" i="127"/>
  <c r="Z35" i="127"/>
  <c r="BB35" i="127"/>
  <c r="DT39" i="127"/>
  <c r="W33" i="127"/>
  <c r="AA33" i="127"/>
  <c r="AE33" i="127"/>
  <c r="AI33" i="127"/>
  <c r="AM33" i="127"/>
  <c r="AQ33" i="127"/>
  <c r="AU33" i="127"/>
  <c r="O34" i="127"/>
  <c r="W34" i="127"/>
  <c r="AA34" i="127"/>
  <c r="AE34" i="127"/>
  <c r="AI34" i="127"/>
  <c r="AM34" i="127"/>
  <c r="AQ34" i="127"/>
  <c r="AU34" i="127"/>
  <c r="W35" i="127"/>
  <c r="AA35" i="127"/>
  <c r="AE35" i="127"/>
  <c r="AI35" i="127"/>
  <c r="AM35" i="127"/>
  <c r="AQ35" i="127"/>
  <c r="AU35" i="127"/>
  <c r="AU36" i="127"/>
  <c r="AQ36" i="127"/>
  <c r="AR36" i="127" s="1"/>
  <c r="AM36" i="127"/>
  <c r="AI36" i="127"/>
  <c r="AJ36" i="127" s="1"/>
  <c r="AE36" i="127"/>
  <c r="AA36" i="127"/>
  <c r="AB36" i="127" s="1"/>
  <c r="BB36" i="127"/>
  <c r="Z36" i="127"/>
  <c r="W36" i="127"/>
  <c r="BA36" i="127"/>
  <c r="DO36" i="127"/>
  <c r="DT36" i="127" s="1"/>
  <c r="DT40" i="127"/>
  <c r="M40" i="127"/>
  <c r="P40" i="127" s="1"/>
  <c r="Q40" i="127" s="1"/>
  <c r="S40" i="127" s="1"/>
  <c r="M41" i="127"/>
  <c r="P41" i="127" s="1"/>
  <c r="Q41" i="127" s="1"/>
  <c r="S41" i="127" s="1"/>
  <c r="DP36" i="127"/>
  <c r="DS36" i="127" s="1"/>
  <c r="J37" i="127"/>
  <c r="V37" i="127"/>
  <c r="Z37" i="127"/>
  <c r="BB37" i="127"/>
  <c r="J38" i="127"/>
  <c r="V38" i="127"/>
  <c r="Z38" i="127"/>
  <c r="BB38" i="127"/>
  <c r="J39" i="127"/>
  <c r="K39" i="127" s="1"/>
  <c r="V39" i="127"/>
  <c r="Z39" i="127"/>
  <c r="BB39" i="127"/>
  <c r="J40" i="127"/>
  <c r="V40" i="127"/>
  <c r="Z40" i="127"/>
  <c r="BB40" i="127"/>
  <c r="J41" i="127"/>
  <c r="R41" i="127"/>
  <c r="V41" i="127"/>
  <c r="Z41" i="127"/>
  <c r="BB41" i="127"/>
  <c r="J42" i="127"/>
  <c r="R42" i="127"/>
  <c r="V42" i="127"/>
  <c r="Z42" i="127"/>
  <c r="AD42" i="127"/>
  <c r="AH42" i="127"/>
  <c r="AL42" i="127"/>
  <c r="AQ42" i="127"/>
  <c r="AV42" i="127"/>
  <c r="W37" i="127"/>
  <c r="AA37" i="127"/>
  <c r="AE37" i="127"/>
  <c r="AI37" i="127"/>
  <c r="AM37" i="127"/>
  <c r="AQ37" i="127"/>
  <c r="AU37" i="127"/>
  <c r="O38" i="127"/>
  <c r="W38" i="127"/>
  <c r="AA38" i="127"/>
  <c r="AE38" i="127"/>
  <c r="AI38" i="127"/>
  <c r="AM38" i="127"/>
  <c r="AQ38" i="127"/>
  <c r="AU38" i="127"/>
  <c r="W39" i="127"/>
  <c r="AA39" i="127"/>
  <c r="AE39" i="127"/>
  <c r="AI39" i="127"/>
  <c r="AM39" i="127"/>
  <c r="AQ39" i="127"/>
  <c r="AU39" i="127"/>
  <c r="W40" i="127"/>
  <c r="AA40" i="127"/>
  <c r="AE40" i="127"/>
  <c r="AI40" i="127"/>
  <c r="AM40" i="127"/>
  <c r="AQ40" i="127"/>
  <c r="AU40" i="127"/>
  <c r="O41" i="127"/>
  <c r="W41" i="127"/>
  <c r="AA41" i="127"/>
  <c r="AE41" i="127"/>
  <c r="AI41" i="127"/>
  <c r="AM41" i="127"/>
  <c r="AQ41" i="127"/>
  <c r="AU41" i="127"/>
  <c r="DT42" i="127"/>
  <c r="DK42" i="127"/>
  <c r="DJ42" i="127"/>
  <c r="DB42" i="127"/>
  <c r="CP42" i="127"/>
  <c r="BB42" i="127"/>
  <c r="AX42" i="127"/>
  <c r="DV42" i="127"/>
  <c r="DP42" i="127"/>
  <c r="DA42" i="127"/>
  <c r="CO42" i="127"/>
  <c r="BA42" i="127"/>
  <c r="AW42" i="127"/>
  <c r="AS42" i="127"/>
  <c r="AO42" i="127"/>
  <c r="K42" i="127"/>
  <c r="O42" i="127"/>
  <c r="S42" i="127"/>
  <c r="W42" i="127"/>
  <c r="AA42" i="127"/>
  <c r="AE42" i="127"/>
  <c r="AI42" i="127"/>
  <c r="AM42" i="127"/>
  <c r="AR42" i="127"/>
  <c r="BO42" i="127"/>
  <c r="BW42" i="127"/>
  <c r="DU42" i="127"/>
  <c r="I43" i="127"/>
  <c r="M43" i="127"/>
  <c r="Q43" i="127"/>
  <c r="U43" i="127"/>
  <c r="Y43" i="127"/>
  <c r="AC43" i="127"/>
  <c r="AG43" i="127"/>
  <c r="AK43" i="127"/>
  <c r="AO43" i="127"/>
  <c r="AS43" i="127"/>
  <c r="AW43" i="127"/>
  <c r="BA43" i="127"/>
  <c r="CO43" i="127"/>
  <c r="DA43" i="127"/>
  <c r="DP43" i="127"/>
  <c r="DV43" i="127"/>
  <c r="I44" i="127"/>
  <c r="M44" i="127"/>
  <c r="Q44" i="127"/>
  <c r="U44" i="127"/>
  <c r="Y44" i="127"/>
  <c r="AC44" i="127"/>
  <c r="AG44" i="127"/>
  <c r="AK44" i="127"/>
  <c r="AO44" i="127"/>
  <c r="AS44" i="127"/>
  <c r="AW44" i="127"/>
  <c r="BA44" i="127"/>
  <c r="CO44" i="127"/>
  <c r="DA44" i="127"/>
  <c r="DP44" i="127"/>
  <c r="DV44" i="127"/>
  <c r="Y45" i="127"/>
  <c r="AC45" i="127"/>
  <c r="AG45" i="127"/>
  <c r="AK45" i="127"/>
  <c r="AO45" i="127"/>
  <c r="AT45" i="127"/>
  <c r="BW45" i="127"/>
  <c r="DU45" i="127"/>
  <c r="J43" i="127"/>
  <c r="R43" i="127"/>
  <c r="V43" i="127"/>
  <c r="Z43" i="127"/>
  <c r="AD43" i="127"/>
  <c r="AH43" i="127"/>
  <c r="AL43" i="127"/>
  <c r="AP43" i="127"/>
  <c r="AT43" i="127"/>
  <c r="AX43" i="127"/>
  <c r="BB43" i="127"/>
  <c r="CP43" i="127"/>
  <c r="DB43" i="127"/>
  <c r="DJ43" i="127"/>
  <c r="J44" i="127"/>
  <c r="R44" i="127"/>
  <c r="V44" i="127"/>
  <c r="Z44" i="127"/>
  <c r="AD44" i="127"/>
  <c r="AH44" i="127"/>
  <c r="AL44" i="127"/>
  <c r="AP44" i="127"/>
  <c r="AT44" i="127"/>
  <c r="AX44" i="127"/>
  <c r="BB44" i="127"/>
  <c r="CP44" i="127"/>
  <c r="DB44" i="127"/>
  <c r="DJ44" i="127"/>
  <c r="Z45" i="127"/>
  <c r="AD45" i="127"/>
  <c r="AH45" i="127"/>
  <c r="AL45" i="127"/>
  <c r="AP45" i="127"/>
  <c r="AU45" i="127"/>
  <c r="BX45" i="127"/>
  <c r="CF45" i="127"/>
  <c r="K43" i="127"/>
  <c r="O43" i="127"/>
  <c r="S43" i="127"/>
  <c r="W43" i="127"/>
  <c r="AA43" i="127"/>
  <c r="AE43" i="127"/>
  <c r="AI43" i="127"/>
  <c r="AM43" i="127"/>
  <c r="AQ43" i="127"/>
  <c r="AU43" i="127"/>
  <c r="BC43" i="127"/>
  <c r="BO43" i="127"/>
  <c r="BW43" i="127"/>
  <c r="DK43" i="127"/>
  <c r="K44" i="127"/>
  <c r="O44" i="127"/>
  <c r="S44" i="127"/>
  <c r="W44" i="127"/>
  <c r="AA44" i="127"/>
  <c r="AE44" i="127"/>
  <c r="AI44" i="127"/>
  <c r="AM44" i="127"/>
  <c r="AQ44" i="127"/>
  <c r="AU44" i="127"/>
  <c r="BC44" i="127"/>
  <c r="BO44" i="127"/>
  <c r="BW44" i="127"/>
  <c r="DK44" i="127"/>
  <c r="DT45" i="127"/>
  <c r="DK45" i="127"/>
  <c r="DJ45" i="127"/>
  <c r="DB45" i="127"/>
  <c r="CP45" i="127"/>
  <c r="DV45" i="127"/>
  <c r="DP45" i="127"/>
  <c r="DA45" i="127"/>
  <c r="CO45" i="127"/>
  <c r="BA45" i="127"/>
  <c r="AW45" i="127"/>
  <c r="AS45" i="127"/>
  <c r="K45" i="127"/>
  <c r="O45" i="127"/>
  <c r="S45" i="127"/>
  <c r="W45" i="127"/>
  <c r="AA45" i="127"/>
  <c r="AE45" i="127"/>
  <c r="AI45" i="127"/>
  <c r="AM45" i="127"/>
  <c r="AQ45" i="127"/>
  <c r="AV45" i="127"/>
  <c r="BB45" i="127"/>
  <c r="BO45" i="127"/>
  <c r="I46" i="127"/>
  <c r="M46" i="127"/>
  <c r="Q46" i="127"/>
  <c r="U46" i="127"/>
  <c r="Y46" i="127"/>
  <c r="AC46" i="127"/>
  <c r="AG46" i="127"/>
  <c r="AK46" i="127"/>
  <c r="AO46" i="127"/>
  <c r="AS46" i="127"/>
  <c r="AW46" i="127"/>
  <c r="BA46" i="127"/>
  <c r="CO46" i="127"/>
  <c r="DA46" i="127"/>
  <c r="DP46" i="127"/>
  <c r="DV46" i="127"/>
  <c r="I47" i="127"/>
  <c r="M47" i="127"/>
  <c r="Q47" i="127"/>
  <c r="U47" i="127"/>
  <c r="Y47" i="127"/>
  <c r="AC47" i="127"/>
  <c r="AG47" i="127"/>
  <c r="AK47" i="127"/>
  <c r="AO47" i="127"/>
  <c r="AS47" i="127"/>
  <c r="AW47" i="127"/>
  <c r="BA47" i="127"/>
  <c r="CO47" i="127"/>
  <c r="DA47" i="127"/>
  <c r="DK47" i="127"/>
  <c r="DV48" i="127"/>
  <c r="DP48" i="127"/>
  <c r="DA48" i="127"/>
  <c r="CO48" i="127"/>
  <c r="BA48" i="127"/>
  <c r="AW48" i="127"/>
  <c r="AS48" i="127"/>
  <c r="AO48" i="127"/>
  <c r="AK48" i="127"/>
  <c r="AG48" i="127"/>
  <c r="AC48" i="127"/>
  <c r="Y48" i="127"/>
  <c r="U48" i="127"/>
  <c r="Q48" i="127"/>
  <c r="M48" i="127"/>
  <c r="I48" i="127"/>
  <c r="DU48" i="127"/>
  <c r="DO48" i="127"/>
  <c r="CF48" i="127"/>
  <c r="BX48" i="127"/>
  <c r="AV48" i="127"/>
  <c r="AR48" i="127"/>
  <c r="AN48" i="127"/>
  <c r="AJ48" i="127"/>
  <c r="AF48" i="127"/>
  <c r="AB48" i="127"/>
  <c r="X48" i="127"/>
  <c r="T48" i="127"/>
  <c r="P48" i="127"/>
  <c r="L48" i="127"/>
  <c r="O48" i="127"/>
  <c r="W48" i="127"/>
  <c r="AE48" i="127"/>
  <c r="AM48" i="127"/>
  <c r="AU48" i="127"/>
  <c r="BC48" i="127"/>
  <c r="DT48" i="127"/>
  <c r="J46" i="127"/>
  <c r="R46" i="127"/>
  <c r="V46" i="127"/>
  <c r="Z46" i="127"/>
  <c r="AD46" i="127"/>
  <c r="AH46" i="127"/>
  <c r="AL46" i="127"/>
  <c r="AP46" i="127"/>
  <c r="AT46" i="127"/>
  <c r="AX46" i="127"/>
  <c r="BB46" i="127"/>
  <c r="CP46" i="127"/>
  <c r="DB46" i="127"/>
  <c r="DJ46" i="127"/>
  <c r="J47" i="127"/>
  <c r="R47" i="127"/>
  <c r="V47" i="127"/>
  <c r="Z47" i="127"/>
  <c r="AD47" i="127"/>
  <c r="AH47" i="127"/>
  <c r="AL47" i="127"/>
  <c r="AP47" i="127"/>
  <c r="AT47" i="127"/>
  <c r="AX47" i="127"/>
  <c r="BB47" i="127"/>
  <c r="CP47" i="127"/>
  <c r="DB47" i="127"/>
  <c r="AH48" i="127"/>
  <c r="AP48" i="127"/>
  <c r="AX48" i="127"/>
  <c r="DB48" i="127"/>
  <c r="DJ48" i="127"/>
  <c r="K46" i="127"/>
  <c r="O46" i="127"/>
  <c r="S46" i="127"/>
  <c r="W46" i="127"/>
  <c r="AA46" i="127"/>
  <c r="AE46" i="127"/>
  <c r="AI46" i="127"/>
  <c r="AM46" i="127"/>
  <c r="AQ46" i="127"/>
  <c r="AU46" i="127"/>
  <c r="BC46" i="127"/>
  <c r="BO46" i="127"/>
  <c r="BW46" i="127"/>
  <c r="DK46" i="127"/>
  <c r="DV47" i="127"/>
  <c r="DP47" i="127"/>
  <c r="DU47" i="127"/>
  <c r="DO47" i="127"/>
  <c r="K47" i="127"/>
  <c r="O47" i="127"/>
  <c r="S47" i="127"/>
  <c r="W47" i="127"/>
  <c r="AA47" i="127"/>
  <c r="AE47" i="127"/>
  <c r="AI47" i="127"/>
  <c r="AM47" i="127"/>
  <c r="AQ47" i="127"/>
  <c r="AU47" i="127"/>
  <c r="BC47" i="127"/>
  <c r="BO47" i="127"/>
  <c r="BW47" i="127"/>
  <c r="DT47" i="127"/>
  <c r="BO48" i="127"/>
  <c r="BW48" i="127"/>
  <c r="DK48" i="127"/>
  <c r="K49" i="127"/>
  <c r="O49" i="127"/>
  <c r="S49" i="127"/>
  <c r="W49" i="127"/>
  <c r="AA49" i="127"/>
  <c r="AE49" i="127"/>
  <c r="AI49" i="127"/>
  <c r="AM49" i="127"/>
  <c r="AQ49" i="127"/>
  <c r="AU49" i="127"/>
  <c r="BC49" i="127"/>
  <c r="BO49" i="127"/>
  <c r="BW49" i="127"/>
  <c r="DK49" i="127"/>
  <c r="DT49" i="127"/>
  <c r="K50" i="127"/>
  <c r="O50" i="127"/>
  <c r="S50" i="127"/>
  <c r="W50" i="127"/>
  <c r="AA50" i="127"/>
  <c r="AE50" i="127"/>
  <c r="AI50" i="127"/>
  <c r="AM50" i="127"/>
  <c r="AQ50" i="127"/>
  <c r="AU50" i="127"/>
  <c r="BC50" i="127"/>
  <c r="BO50" i="127"/>
  <c r="BW50" i="127"/>
  <c r="DK50" i="127"/>
  <c r="DT50" i="127"/>
  <c r="L49" i="127"/>
  <c r="P49" i="127"/>
  <c r="T49" i="127"/>
  <c r="X49" i="127"/>
  <c r="AB49" i="127"/>
  <c r="AF49" i="127"/>
  <c r="AJ49" i="127"/>
  <c r="AN49" i="127"/>
  <c r="AR49" i="127"/>
  <c r="AV49" i="127"/>
  <c r="BX49" i="127"/>
  <c r="CF49" i="127"/>
  <c r="DO49" i="127"/>
  <c r="DU49" i="127"/>
  <c r="L50" i="127"/>
  <c r="P50" i="127"/>
  <c r="T50" i="127"/>
  <c r="X50" i="127"/>
  <c r="AB50" i="127"/>
  <c r="AF50" i="127"/>
  <c r="AJ50" i="127"/>
  <c r="AN50" i="127"/>
  <c r="AR50" i="127"/>
  <c r="AV50" i="127"/>
  <c r="BX50" i="127"/>
  <c r="CF50" i="127"/>
  <c r="DO50" i="127"/>
  <c r="DU50" i="127"/>
  <c r="I49" i="127"/>
  <c r="M49" i="127"/>
  <c r="Q49" i="127"/>
  <c r="U49" i="127"/>
  <c r="Y49" i="127"/>
  <c r="AC49" i="127"/>
  <c r="AG49" i="127"/>
  <c r="AK49" i="127"/>
  <c r="AO49" i="127"/>
  <c r="AS49" i="127"/>
  <c r="AW49" i="127"/>
  <c r="BA49" i="127"/>
  <c r="CO49" i="127"/>
  <c r="DA49" i="127"/>
  <c r="DP49" i="127"/>
  <c r="I50" i="127"/>
  <c r="M50" i="127"/>
  <c r="Q50" i="127"/>
  <c r="U50" i="127"/>
  <c r="Y50" i="127"/>
  <c r="AC50" i="127"/>
  <c r="AG50" i="127"/>
  <c r="AK50" i="127"/>
  <c r="AO50" i="127"/>
  <c r="AS50" i="127"/>
  <c r="AW50" i="127"/>
  <c r="BA50" i="127"/>
  <c r="CO50" i="127"/>
  <c r="DA50" i="127"/>
  <c r="DP50" i="127"/>
  <c r="L6" i="120"/>
  <c r="BH3" i="25"/>
  <c r="Z7" i="25"/>
  <c r="AD3" i="25"/>
  <c r="AJ7" i="25"/>
  <c r="AN7" i="25"/>
  <c r="BG7" i="25"/>
  <c r="AD7" i="25"/>
  <c r="W3" i="25"/>
  <c r="BE7" i="25"/>
  <c r="BJ3" i="25"/>
  <c r="BI3" i="25"/>
  <c r="AJ3" i="25"/>
  <c r="BE3" i="25"/>
  <c r="AN3" i="25"/>
  <c r="AZ3" i="25"/>
  <c r="AV7" i="25"/>
  <c r="W7" i="25"/>
  <c r="BG3" i="25"/>
  <c r="AV3" i="25"/>
  <c r="AR3" i="25"/>
  <c r="AR7" i="25"/>
  <c r="AZ7" i="25"/>
  <c r="X3" i="25"/>
  <c r="X7" i="25"/>
  <c r="BI2" i="25"/>
  <c r="AD6" i="25"/>
  <c r="Z6" i="25"/>
  <c r="W6" i="25"/>
  <c r="W8" i="25"/>
  <c r="X8" i="25"/>
  <c r="AD4" i="25"/>
  <c r="BI4" i="25"/>
  <c r="X4" i="25"/>
  <c r="W4" i="25"/>
  <c r="AD8" i="25"/>
  <c r="BH4" i="25"/>
  <c r="BJ4" i="25"/>
  <c r="X6" i="25"/>
  <c r="BJ8" i="25"/>
  <c r="BR35" i="125" l="1"/>
  <c r="DR35" i="125"/>
  <c r="BP35" i="125"/>
  <c r="DW35" i="125"/>
  <c r="DS35" i="125"/>
  <c r="BS35" i="125" s="1"/>
  <c r="BP36" i="125"/>
  <c r="AN37" i="125"/>
  <c r="BR36" i="125"/>
  <c r="DQ37" i="125"/>
  <c r="DR36" i="125"/>
  <c r="DS36" i="125"/>
  <c r="BS36" i="125" s="1"/>
  <c r="AB36" i="125"/>
  <c r="DW36" i="125"/>
  <c r="BR35" i="127"/>
  <c r="DT35" i="127"/>
  <c r="BC36" i="127"/>
  <c r="BS35" i="127"/>
  <c r="DR35" i="127"/>
  <c r="DQ35" i="127"/>
  <c r="BP35" i="127"/>
  <c r="BS36" i="127"/>
  <c r="O36" i="127"/>
  <c r="P36" i="127"/>
  <c r="Q36" i="127" s="1"/>
  <c r="S36" i="127" s="1"/>
  <c r="DQ36" i="127"/>
  <c r="BR36" i="127"/>
  <c r="BP36" i="127"/>
  <c r="DR36" i="127"/>
  <c r="AC36" i="127"/>
  <c r="AD36" i="127" s="1"/>
  <c r="N30" i="127"/>
  <c r="DT37" i="127"/>
  <c r="K5" i="125"/>
  <c r="K37" i="125"/>
  <c r="AF37" i="125"/>
  <c r="DT37" i="125"/>
  <c r="DS37" i="125"/>
  <c r="AV37" i="125"/>
  <c r="BC37" i="125"/>
  <c r="AR37" i="125"/>
  <c r="AX37" i="125"/>
  <c r="DW37" i="125"/>
  <c r="AT37" i="125"/>
  <c r="AJ37" i="125"/>
  <c r="AP37" i="125"/>
  <c r="DQ37" i="127"/>
  <c r="DS37" i="127"/>
  <c r="AV5" i="127"/>
  <c r="AT12" i="125"/>
  <c r="AP12" i="125"/>
  <c r="BC5" i="125"/>
  <c r="AF12" i="127"/>
  <c r="P12" i="125"/>
  <c r="Q12" i="125" s="1"/>
  <c r="U12" i="125" s="1"/>
  <c r="O12" i="125"/>
  <c r="DR5" i="125"/>
  <c r="DR12" i="125"/>
  <c r="DQ5" i="125"/>
  <c r="DQ12" i="125"/>
  <c r="DS29" i="125"/>
  <c r="DS12" i="127"/>
  <c r="DQ11" i="127"/>
  <c r="DR12" i="127"/>
  <c r="DR11" i="127"/>
  <c r="K5" i="127"/>
  <c r="DR5" i="127"/>
  <c r="DS5" i="127"/>
  <c r="O11" i="125"/>
  <c r="BC11" i="125"/>
  <c r="AJ11" i="125"/>
  <c r="Q11" i="125"/>
  <c r="U11" i="125" s="1"/>
  <c r="DT11" i="125"/>
  <c r="AX11" i="125"/>
  <c r="AR11" i="125"/>
  <c r="AB11" i="125"/>
  <c r="DQ29" i="125"/>
  <c r="DS11" i="125"/>
  <c r="DQ11" i="125"/>
  <c r="BC11" i="127"/>
  <c r="K11" i="127"/>
  <c r="N44" i="125"/>
  <c r="N48" i="125"/>
  <c r="N43" i="127"/>
  <c r="DE47" i="127"/>
  <c r="N33" i="127"/>
  <c r="N47" i="127"/>
  <c r="N47" i="125"/>
  <c r="AY44" i="125"/>
  <c r="N46" i="125"/>
  <c r="N38" i="127"/>
  <c r="N36" i="127"/>
  <c r="AZ50" i="127"/>
  <c r="DR29" i="127"/>
  <c r="DQ29" i="127"/>
  <c r="DE48" i="125"/>
  <c r="DE47" i="125"/>
  <c r="N7" i="25"/>
  <c r="N6" i="25"/>
  <c r="N50" i="127"/>
  <c r="N34" i="127"/>
  <c r="AL29" i="127"/>
  <c r="AY46" i="125"/>
  <c r="AY42" i="125"/>
  <c r="DE46" i="125"/>
  <c r="DE45" i="125"/>
  <c r="AY48" i="125"/>
  <c r="N42" i="127"/>
  <c r="AZ45" i="125"/>
  <c r="N32" i="127"/>
  <c r="AY43" i="125"/>
  <c r="N40" i="127"/>
  <c r="K17" i="101"/>
  <c r="D22" i="101" s="1"/>
  <c r="D25" i="101" s="1"/>
  <c r="H17" i="101"/>
  <c r="DE50" i="127"/>
  <c r="DE42" i="127"/>
  <c r="DE46" i="127"/>
  <c r="DE45" i="127"/>
  <c r="AF8" i="25"/>
  <c r="AF6" i="25"/>
  <c r="AF7" i="25"/>
  <c r="AK5" i="125"/>
  <c r="P5" i="125"/>
  <c r="P29" i="125"/>
  <c r="AT29" i="125"/>
  <c r="AW5" i="125"/>
  <c r="AG5" i="125"/>
  <c r="AL29" i="125"/>
  <c r="AO5" i="125"/>
  <c r="AP29" i="125"/>
  <c r="AR5" i="125"/>
  <c r="AB5" i="125"/>
  <c r="DT7" i="127"/>
  <c r="DW7" i="127"/>
  <c r="AS8" i="127"/>
  <c r="AT8" i="127" s="1"/>
  <c r="AR8" i="127"/>
  <c r="DT29" i="127"/>
  <c r="DT27" i="127"/>
  <c r="DW27" i="127"/>
  <c r="AJ11" i="127"/>
  <c r="BC7" i="127"/>
  <c r="R39" i="127"/>
  <c r="S39" i="127"/>
  <c r="M37" i="127"/>
  <c r="N37" i="127"/>
  <c r="DE49" i="127"/>
  <c r="DT10" i="127"/>
  <c r="DW10" i="127"/>
  <c r="AC8" i="127"/>
  <c r="AD8" i="127" s="1"/>
  <c r="AB8" i="127"/>
  <c r="AR11" i="127"/>
  <c r="AB11" i="127"/>
  <c r="DT28" i="127"/>
  <c r="DW28" i="127"/>
  <c r="AT24" i="127"/>
  <c r="AP23" i="127"/>
  <c r="AW7" i="127"/>
  <c r="AX7" i="127" s="1"/>
  <c r="AV7" i="127"/>
  <c r="AG7" i="127"/>
  <c r="AF7" i="127"/>
  <c r="DT41" i="127"/>
  <c r="DW41" i="127"/>
  <c r="BH39" i="127"/>
  <c r="AN18" i="127"/>
  <c r="AJ17" i="127"/>
  <c r="DT12" i="127"/>
  <c r="AO12" i="127"/>
  <c r="AP12" i="127" s="1"/>
  <c r="AN12" i="127"/>
  <c r="AL11" i="127"/>
  <c r="AX10" i="127"/>
  <c r="DT34" i="127"/>
  <c r="DW34" i="127"/>
  <c r="M35" i="127"/>
  <c r="N35" i="127"/>
  <c r="BH38" i="127"/>
  <c r="AB28" i="127"/>
  <c r="AL22" i="127"/>
  <c r="AT7" i="127"/>
  <c r="N39" i="127"/>
  <c r="AF5" i="127"/>
  <c r="BC10" i="127"/>
  <c r="DW14" i="127"/>
  <c r="DW9" i="127"/>
  <c r="DE43" i="127"/>
  <c r="K37" i="127"/>
  <c r="AX29" i="127"/>
  <c r="AR28" i="127"/>
  <c r="AL21" i="127"/>
  <c r="AX11" i="127"/>
  <c r="K32" i="127"/>
  <c r="AT29" i="127"/>
  <c r="AP28" i="127"/>
  <c r="AL24" i="127"/>
  <c r="AX23" i="127"/>
  <c r="AX21" i="127"/>
  <c r="DT24" i="127"/>
  <c r="DT21" i="127"/>
  <c r="DT11" i="127"/>
  <c r="AT11" i="127"/>
  <c r="AP7" i="127"/>
  <c r="BC41" i="127"/>
  <c r="K33" i="127"/>
  <c r="BC20" i="127"/>
  <c r="K10" i="127"/>
  <c r="K7" i="127"/>
  <c r="AZ49" i="127"/>
  <c r="AV16" i="127"/>
  <c r="DW32" i="127"/>
  <c r="DW36" i="127"/>
  <c r="DW21" i="127"/>
  <c r="N46" i="127"/>
  <c r="Q28" i="127"/>
  <c r="S28" i="127" s="1"/>
  <c r="AF29" i="127"/>
  <c r="AP24" i="127"/>
  <c r="DE44" i="127"/>
  <c r="O33" i="127"/>
  <c r="AP29" i="127"/>
  <c r="AL28" i="127"/>
  <c r="AX24" i="127"/>
  <c r="AT21" i="127"/>
  <c r="AP18" i="127"/>
  <c r="AP11" i="127"/>
  <c r="AF9" i="127"/>
  <c r="BC24" i="127"/>
  <c r="AL7" i="127"/>
  <c r="N44" i="127"/>
  <c r="BC19" i="127"/>
  <c r="DT33" i="127"/>
  <c r="BC16" i="127"/>
  <c r="DW30" i="127"/>
  <c r="AR6" i="127"/>
  <c r="AY44" i="127"/>
  <c r="O39" i="127"/>
  <c r="AF32" i="127"/>
  <c r="AV32" i="127"/>
  <c r="AN31" i="127"/>
  <c r="BC30" i="127"/>
  <c r="AX22" i="127"/>
  <c r="AR19" i="127"/>
  <c r="AF18" i="127"/>
  <c r="AR17" i="127"/>
  <c r="AF16" i="127"/>
  <c r="AJ15" i="127"/>
  <c r="AB13" i="127"/>
  <c r="AV10" i="127"/>
  <c r="AT19" i="127"/>
  <c r="AL18" i="127"/>
  <c r="AP13" i="127"/>
  <c r="AT10" i="127"/>
  <c r="AN5" i="127"/>
  <c r="BC37" i="127"/>
  <c r="BC23" i="127"/>
  <c r="S38" i="127"/>
  <c r="BC28" i="127"/>
  <c r="AT22" i="127"/>
  <c r="AL16" i="127"/>
  <c r="AJ5" i="127"/>
  <c r="BC6" i="127"/>
  <c r="BC21" i="127"/>
  <c r="K13" i="127"/>
  <c r="AR15" i="127"/>
  <c r="DT22" i="127"/>
  <c r="AJ19" i="127"/>
  <c r="DT18" i="127"/>
  <c r="DT13" i="127"/>
  <c r="AP19" i="127"/>
  <c r="AX18" i="127"/>
  <c r="BC13" i="127"/>
  <c r="AL13" i="127"/>
  <c r="AP10" i="127"/>
  <c r="DE48" i="127"/>
  <c r="K40" i="127"/>
  <c r="AK36" i="127"/>
  <c r="AL36" i="127" s="1"/>
  <c r="AP32" i="127"/>
  <c r="AN32" i="127"/>
  <c r="M32" i="127"/>
  <c r="O32" i="127" s="1"/>
  <c r="AS30" i="127"/>
  <c r="AT30" i="127" s="1"/>
  <c r="AC30" i="127"/>
  <c r="BC29" i="127"/>
  <c r="AP22" i="127"/>
  <c r="AB19" i="127"/>
  <c r="AV18" i="127"/>
  <c r="AB17" i="127"/>
  <c r="AR13" i="127"/>
  <c r="AF10" i="127"/>
  <c r="AL19" i="127"/>
  <c r="DT19" i="127"/>
  <c r="AT18" i="127"/>
  <c r="AX13" i="127"/>
  <c r="AL10" i="127"/>
  <c r="AO9" i="127"/>
  <c r="AP9" i="127" s="1"/>
  <c r="DT6" i="127"/>
  <c r="DT5" i="127"/>
  <c r="BC40" i="127"/>
  <c r="BC35" i="127"/>
  <c r="AS9" i="127"/>
  <c r="AT9" i="127" s="1"/>
  <c r="N41" i="127"/>
  <c r="AF3" i="25"/>
  <c r="AS5" i="127"/>
  <c r="AC5" i="127"/>
  <c r="N49" i="127"/>
  <c r="R40" i="127"/>
  <c r="AS36" i="127"/>
  <c r="AT36" i="127" s="1"/>
  <c r="AS25" i="127"/>
  <c r="AT25" i="127" s="1"/>
  <c r="AT23" i="127"/>
  <c r="AP20" i="127"/>
  <c r="AV19" i="127"/>
  <c r="AF19" i="127"/>
  <c r="AJ18" i="127"/>
  <c r="AN17" i="127"/>
  <c r="AR16" i="127"/>
  <c r="AB16" i="127"/>
  <c r="AV15" i="127"/>
  <c r="AF15" i="127"/>
  <c r="AJ14" i="127"/>
  <c r="AN13" i="127"/>
  <c r="AR12" i="127"/>
  <c r="AB12" i="127"/>
  <c r="AV11" i="127"/>
  <c r="AF11" i="127"/>
  <c r="AJ10" i="127"/>
  <c r="AX16" i="127"/>
  <c r="BC15" i="127"/>
  <c r="AL15" i="127"/>
  <c r="AJ9" i="127"/>
  <c r="AN8" i="127"/>
  <c r="AR7" i="127"/>
  <c r="AB7" i="127"/>
  <c r="AV6" i="127"/>
  <c r="AF6" i="127"/>
  <c r="AL6" i="127"/>
  <c r="AO5" i="127"/>
  <c r="AB15" i="127"/>
  <c r="AX15" i="127"/>
  <c r="AB6" i="127"/>
  <c r="AX6" i="127"/>
  <c r="AH6" i="127"/>
  <c r="BC5" i="127"/>
  <c r="AK5" i="127"/>
  <c r="AD29" i="127"/>
  <c r="AY50" i="127"/>
  <c r="AS28" i="127"/>
  <c r="AT28" i="127" s="1"/>
  <c r="AC28" i="127"/>
  <c r="AD28" i="127" s="1"/>
  <c r="AV29" i="127"/>
  <c r="DT23" i="127"/>
  <c r="DT20" i="127"/>
  <c r="AY42" i="127"/>
  <c r="O40" i="127"/>
  <c r="AJ32" i="127"/>
  <c r="AV31" i="127"/>
  <c r="AG29" i="127"/>
  <c r="AY29" i="127" s="1"/>
  <c r="BC27" i="127"/>
  <c r="BC31" i="127"/>
  <c r="AB31" i="127"/>
  <c r="AT31" i="127"/>
  <c r="AL23" i="127"/>
  <c r="AX20" i="127"/>
  <c r="AN19" i="127"/>
  <c r="AR18" i="127"/>
  <c r="AB18" i="127"/>
  <c r="AV17" i="127"/>
  <c r="AF17" i="127"/>
  <c r="DT16" i="127"/>
  <c r="AJ16" i="127"/>
  <c r="AN15" i="127"/>
  <c r="AR14" i="127"/>
  <c r="AB14" i="127"/>
  <c r="AV13" i="127"/>
  <c r="AF13" i="127"/>
  <c r="AJ12" i="127"/>
  <c r="AN11" i="127"/>
  <c r="AR10" i="127"/>
  <c r="AB10" i="127"/>
  <c r="AP16" i="127"/>
  <c r="AT15" i="127"/>
  <c r="AB9" i="127"/>
  <c r="AV8" i="127"/>
  <c r="AF8" i="127"/>
  <c r="AJ7" i="127"/>
  <c r="AN6" i="127"/>
  <c r="AR5" i="127"/>
  <c r="AB5" i="127"/>
  <c r="AT6" i="127"/>
  <c r="AW5" i="127"/>
  <c r="AG5" i="127"/>
  <c r="N45" i="127"/>
  <c r="AZ48" i="127"/>
  <c r="AZ44" i="127"/>
  <c r="H38" i="101"/>
  <c r="AF4" i="25"/>
  <c r="N3" i="25"/>
  <c r="P26" i="127"/>
  <c r="AH9" i="127"/>
  <c r="S27" i="127"/>
  <c r="U27" i="127"/>
  <c r="T27" i="127"/>
  <c r="R27" i="127"/>
  <c r="AH8" i="127"/>
  <c r="AP6" i="127"/>
  <c r="R28" i="127"/>
  <c r="AH31" i="127"/>
  <c r="AH7" i="127"/>
  <c r="O31" i="127"/>
  <c r="P31" i="127"/>
  <c r="Q31" i="127" s="1"/>
  <c r="AW39" i="127"/>
  <c r="AX39" i="127" s="1"/>
  <c r="AV39" i="127"/>
  <c r="AB38" i="127"/>
  <c r="AC38" i="127"/>
  <c r="AO37" i="127"/>
  <c r="AP37" i="127" s="1"/>
  <c r="AN37" i="127"/>
  <c r="AF36" i="127"/>
  <c r="AG36" i="127"/>
  <c r="AF35" i="127"/>
  <c r="AG35" i="127"/>
  <c r="AS34" i="127"/>
  <c r="AT34" i="127" s="1"/>
  <c r="AR34" i="127"/>
  <c r="AY49" i="127"/>
  <c r="AZ47" i="127"/>
  <c r="N48" i="127"/>
  <c r="AY46" i="127"/>
  <c r="AZ43" i="127"/>
  <c r="AK41" i="127"/>
  <c r="AL41" i="127" s="1"/>
  <c r="AJ41" i="127"/>
  <c r="AV40" i="127"/>
  <c r="AW40" i="127"/>
  <c r="AX40" i="127" s="1"/>
  <c r="AF40" i="127"/>
  <c r="AG40" i="127"/>
  <c r="AS39" i="127"/>
  <c r="AT39" i="127" s="1"/>
  <c r="AR39" i="127"/>
  <c r="AC39" i="127"/>
  <c r="AB39" i="127"/>
  <c r="AO38" i="127"/>
  <c r="AP38" i="127" s="1"/>
  <c r="AN38" i="127"/>
  <c r="AK37" i="127"/>
  <c r="AL37" i="127" s="1"/>
  <c r="AJ37" i="127"/>
  <c r="U41" i="127"/>
  <c r="T41" i="127"/>
  <c r="AR35" i="127"/>
  <c r="AS35" i="127"/>
  <c r="AT35" i="127" s="1"/>
  <c r="AB35" i="127"/>
  <c r="AC35" i="127"/>
  <c r="AO34" i="127"/>
  <c r="AP34" i="127" s="1"/>
  <c r="AN34" i="127"/>
  <c r="AK33" i="127"/>
  <c r="AJ33" i="127"/>
  <c r="AB32" i="127"/>
  <c r="AV30" i="127"/>
  <c r="AF30" i="127"/>
  <c r="AJ29" i="127"/>
  <c r="AN28" i="127"/>
  <c r="AR27" i="127"/>
  <c r="AB27" i="127"/>
  <c r="N27" i="127"/>
  <c r="O28" i="127"/>
  <c r="O27" i="127"/>
  <c r="AH28" i="127"/>
  <c r="AD25" i="127"/>
  <c r="BC25" i="127"/>
  <c r="AH24" i="127"/>
  <c r="AY23" i="127"/>
  <c r="AD23" i="127"/>
  <c r="AH20" i="127"/>
  <c r="AN25" i="127"/>
  <c r="AR24" i="127"/>
  <c r="AB24" i="127"/>
  <c r="N24" i="127"/>
  <c r="M24" i="127"/>
  <c r="AV23" i="127"/>
  <c r="AF23" i="127"/>
  <c r="AJ22" i="127"/>
  <c r="AN21" i="127"/>
  <c r="AR20" i="127"/>
  <c r="AB20" i="127"/>
  <c r="N20" i="127"/>
  <c r="M20" i="127"/>
  <c r="AH19" i="127"/>
  <c r="AH18" i="127"/>
  <c r="AH17" i="127"/>
  <c r="AH16" i="127"/>
  <c r="AH15" i="127"/>
  <c r="AH14" i="127"/>
  <c r="AH13" i="127"/>
  <c r="AH12" i="127"/>
  <c r="AH11" i="127"/>
  <c r="AH10" i="127"/>
  <c r="N50" i="125"/>
  <c r="R31" i="125"/>
  <c r="T31" i="125"/>
  <c r="U31" i="125"/>
  <c r="S31" i="125"/>
  <c r="AD20" i="125"/>
  <c r="AD16" i="125"/>
  <c r="AD12" i="125"/>
  <c r="AD8" i="125"/>
  <c r="R22" i="125"/>
  <c r="T22" i="125"/>
  <c r="U22" i="125"/>
  <c r="S22" i="125"/>
  <c r="T20" i="125"/>
  <c r="R20" i="125"/>
  <c r="U20" i="125"/>
  <c r="S20" i="125"/>
  <c r="R18" i="125"/>
  <c r="S18" i="125"/>
  <c r="T18" i="125"/>
  <c r="U18" i="125"/>
  <c r="T16" i="125"/>
  <c r="R16" i="125"/>
  <c r="U16" i="125"/>
  <c r="S16" i="125"/>
  <c r="R14" i="125"/>
  <c r="S14" i="125"/>
  <c r="T14" i="125"/>
  <c r="U14" i="125"/>
  <c r="R12" i="125"/>
  <c r="R10" i="125"/>
  <c r="S10" i="125"/>
  <c r="T10" i="125"/>
  <c r="U10" i="125"/>
  <c r="T8" i="125"/>
  <c r="R8" i="125"/>
  <c r="U8" i="125"/>
  <c r="S8" i="125"/>
  <c r="R6" i="125"/>
  <c r="S6" i="125"/>
  <c r="T6" i="125"/>
  <c r="U6" i="125"/>
  <c r="AO41" i="127"/>
  <c r="AP41" i="127" s="1"/>
  <c r="AN41" i="127"/>
  <c r="AK40" i="127"/>
  <c r="AL40" i="127" s="1"/>
  <c r="AJ40" i="127"/>
  <c r="AG39" i="127"/>
  <c r="AF39" i="127"/>
  <c r="AR38" i="127"/>
  <c r="AS38" i="127"/>
  <c r="AT38" i="127" s="1"/>
  <c r="AV36" i="127"/>
  <c r="AW36" i="127"/>
  <c r="AX36" i="127" s="1"/>
  <c r="AV35" i="127"/>
  <c r="AW35" i="127"/>
  <c r="AX35" i="127" s="1"/>
  <c r="AC34" i="127"/>
  <c r="AB34" i="127"/>
  <c r="AO33" i="127"/>
  <c r="AN33" i="127"/>
  <c r="AZ46" i="127"/>
  <c r="AZ45" i="127"/>
  <c r="AY45" i="127"/>
  <c r="AY43" i="127"/>
  <c r="AW41" i="127"/>
  <c r="AX41" i="127" s="1"/>
  <c r="AV41" i="127"/>
  <c r="AG41" i="127"/>
  <c r="AF41" i="127"/>
  <c r="AS40" i="127"/>
  <c r="AT40" i="127" s="1"/>
  <c r="AR40" i="127"/>
  <c r="AC40" i="127"/>
  <c r="AB40" i="127"/>
  <c r="AO39" i="127"/>
  <c r="AP39" i="127" s="1"/>
  <c r="AN39" i="127"/>
  <c r="BC38" i="127"/>
  <c r="AJ38" i="127"/>
  <c r="AK38" i="127"/>
  <c r="AL38" i="127" s="1"/>
  <c r="AW37" i="127"/>
  <c r="AX37" i="127" s="1"/>
  <c r="AV37" i="127"/>
  <c r="AG37" i="127"/>
  <c r="AF37" i="127"/>
  <c r="AZ42" i="127"/>
  <c r="AN36" i="127"/>
  <c r="AO36" i="127"/>
  <c r="AP36" i="127" s="1"/>
  <c r="AN35" i="127"/>
  <c r="AO35" i="127"/>
  <c r="AP35" i="127" s="1"/>
  <c r="BC34" i="127"/>
  <c r="AK34" i="127"/>
  <c r="AL34" i="127" s="1"/>
  <c r="AJ34" i="127"/>
  <c r="AW33" i="127"/>
  <c r="AX33" i="127" s="1"/>
  <c r="AV33" i="127"/>
  <c r="AG33" i="127"/>
  <c r="AF33" i="127"/>
  <c r="T36" i="127"/>
  <c r="R36" i="127"/>
  <c r="U36" i="127"/>
  <c r="AY27" i="127"/>
  <c r="AJ28" i="127"/>
  <c r="R34" i="127"/>
  <c r="U34" i="127"/>
  <c r="T34" i="127"/>
  <c r="AR31" i="127"/>
  <c r="N31" i="127"/>
  <c r="K30" i="127"/>
  <c r="K29" i="127"/>
  <c r="K28" i="127"/>
  <c r="K27" i="127"/>
  <c r="AH27" i="127"/>
  <c r="AY24" i="127"/>
  <c r="AD24" i="127"/>
  <c r="AH21" i="127"/>
  <c r="AY20" i="127"/>
  <c r="AD20" i="127"/>
  <c r="AJ25" i="127"/>
  <c r="AN24" i="127"/>
  <c r="AR23" i="127"/>
  <c r="AB23" i="127"/>
  <c r="N23" i="127"/>
  <c r="M23" i="127"/>
  <c r="AV22" i="127"/>
  <c r="AF22" i="127"/>
  <c r="AJ21" i="127"/>
  <c r="AN20" i="127"/>
  <c r="AY19" i="127"/>
  <c r="AD19" i="127"/>
  <c r="AY18" i="127"/>
  <c r="AD18" i="127"/>
  <c r="AY17" i="127"/>
  <c r="AD17" i="127"/>
  <c r="AY16" i="127"/>
  <c r="AD16" i="127"/>
  <c r="AY15" i="127"/>
  <c r="AD15" i="127"/>
  <c r="AY14" i="127"/>
  <c r="AD14" i="127"/>
  <c r="AY13" i="127"/>
  <c r="AD13" i="127"/>
  <c r="AD12" i="127"/>
  <c r="AY11" i="127"/>
  <c r="AD11" i="127"/>
  <c r="AY10" i="127"/>
  <c r="AD10" i="127"/>
  <c r="N49" i="125"/>
  <c r="AZ39" i="125"/>
  <c r="AZ35" i="125"/>
  <c r="T27" i="125"/>
  <c r="R27" i="125"/>
  <c r="U27" i="125"/>
  <c r="S27" i="125"/>
  <c r="AH21" i="125"/>
  <c r="AH19" i="125"/>
  <c r="AH17" i="125"/>
  <c r="AH15" i="125"/>
  <c r="AH13" i="125"/>
  <c r="AH11" i="125"/>
  <c r="AH9" i="125"/>
  <c r="AH7" i="125"/>
  <c r="AH5" i="125"/>
  <c r="AY48" i="127"/>
  <c r="AY47" i="127"/>
  <c r="AS41" i="127"/>
  <c r="AT41" i="127" s="1"/>
  <c r="AR41" i="127"/>
  <c r="AC41" i="127"/>
  <c r="AB41" i="127"/>
  <c r="AN40" i="127"/>
  <c r="AO40" i="127"/>
  <c r="AP40" i="127" s="1"/>
  <c r="AK39" i="127"/>
  <c r="AL39" i="127" s="1"/>
  <c r="AJ39" i="127"/>
  <c r="AW38" i="127"/>
  <c r="AX38" i="127" s="1"/>
  <c r="AV38" i="127"/>
  <c r="AG38" i="127"/>
  <c r="AF38" i="127"/>
  <c r="AS37" i="127"/>
  <c r="AT37" i="127" s="1"/>
  <c r="AR37" i="127"/>
  <c r="AC37" i="127"/>
  <c r="AB37" i="127"/>
  <c r="U40" i="127"/>
  <c r="T40" i="127"/>
  <c r="AJ35" i="127"/>
  <c r="AK35" i="127"/>
  <c r="AL35" i="127" s="1"/>
  <c r="AW34" i="127"/>
  <c r="AX34" i="127" s="1"/>
  <c r="AV34" i="127"/>
  <c r="AG34" i="127"/>
  <c r="AF34" i="127"/>
  <c r="AS33" i="127"/>
  <c r="AR33" i="127"/>
  <c r="AC33" i="127"/>
  <c r="AB33" i="127"/>
  <c r="R33" i="127"/>
  <c r="U33" i="127"/>
  <c r="T33" i="127"/>
  <c r="AR32" i="127"/>
  <c r="P32" i="127"/>
  <c r="Q32" i="127" s="1"/>
  <c r="M30" i="127"/>
  <c r="AC31" i="127"/>
  <c r="AR29" i="127"/>
  <c r="AB29" i="127"/>
  <c r="N29" i="127"/>
  <c r="AV28" i="127"/>
  <c r="AF28" i="127"/>
  <c r="AJ27" i="127"/>
  <c r="AJ31" i="127"/>
  <c r="K31" i="127"/>
  <c r="AD27" i="127"/>
  <c r="AH22" i="127"/>
  <c r="AY21" i="127"/>
  <c r="AD21" i="127"/>
  <c r="AF25" i="127"/>
  <c r="AJ24" i="127"/>
  <c r="AN23" i="127"/>
  <c r="AR22" i="127"/>
  <c r="AB22" i="127"/>
  <c r="N22" i="127"/>
  <c r="M22" i="127"/>
  <c r="AV21" i="127"/>
  <c r="AF21" i="127"/>
  <c r="AJ20" i="127"/>
  <c r="AV25" i="127"/>
  <c r="DT25" i="127"/>
  <c r="AY50" i="125"/>
  <c r="AY6" i="127"/>
  <c r="AD7" i="127"/>
  <c r="P33" i="125"/>
  <c r="U21" i="125"/>
  <c r="T21" i="125"/>
  <c r="S21" i="125"/>
  <c r="R21" i="125"/>
  <c r="T19" i="125"/>
  <c r="S19" i="125"/>
  <c r="U19" i="125"/>
  <c r="R19" i="125"/>
  <c r="U17" i="125"/>
  <c r="T17" i="125"/>
  <c r="S17" i="125"/>
  <c r="R17" i="125"/>
  <c r="T15" i="125"/>
  <c r="S15" i="125"/>
  <c r="U15" i="125"/>
  <c r="R15" i="125"/>
  <c r="U13" i="125"/>
  <c r="T13" i="125"/>
  <c r="S13" i="125"/>
  <c r="R13" i="125"/>
  <c r="S11" i="125"/>
  <c r="U9" i="125"/>
  <c r="T9" i="125"/>
  <c r="S9" i="125"/>
  <c r="R9" i="125"/>
  <c r="T7" i="125"/>
  <c r="S7" i="125"/>
  <c r="U7" i="125"/>
  <c r="R7" i="125"/>
  <c r="P23" i="125"/>
  <c r="U39" i="127"/>
  <c r="T39" i="127"/>
  <c r="AW32" i="127"/>
  <c r="T38" i="127"/>
  <c r="U38" i="127"/>
  <c r="BC32" i="127"/>
  <c r="AF31" i="127"/>
  <c r="M29" i="127"/>
  <c r="AJ30" i="127"/>
  <c r="AN29" i="127"/>
  <c r="N28" i="127"/>
  <c r="AV27" i="127"/>
  <c r="AF27" i="127"/>
  <c r="AH23" i="127"/>
  <c r="AY22" i="127"/>
  <c r="AD22" i="127"/>
  <c r="K26" i="127"/>
  <c r="AO26" i="127"/>
  <c r="AY26" i="127" s="1"/>
  <c r="AB25" i="127"/>
  <c r="N25" i="127"/>
  <c r="M25" i="127"/>
  <c r="AV24" i="127"/>
  <c r="AF24" i="127"/>
  <c r="AJ23" i="127"/>
  <c r="AN22" i="127"/>
  <c r="AR21" i="127"/>
  <c r="AB21" i="127"/>
  <c r="N21" i="127"/>
  <c r="M21" i="127"/>
  <c r="AV20" i="127"/>
  <c r="AF20" i="127"/>
  <c r="N19" i="127"/>
  <c r="M19" i="127"/>
  <c r="N18" i="127"/>
  <c r="M18" i="127"/>
  <c r="N17" i="127"/>
  <c r="M17" i="127"/>
  <c r="N16" i="127"/>
  <c r="M16" i="127"/>
  <c r="N15" i="127"/>
  <c r="M15" i="127"/>
  <c r="N14" i="127"/>
  <c r="M14" i="127"/>
  <c r="N13" i="127"/>
  <c r="M13" i="127"/>
  <c r="N12" i="127"/>
  <c r="M12" i="127"/>
  <c r="N11" i="127"/>
  <c r="M11" i="127"/>
  <c r="N10" i="127"/>
  <c r="M10" i="127"/>
  <c r="N9" i="127"/>
  <c r="M9" i="127"/>
  <c r="N8" i="127"/>
  <c r="M8" i="127"/>
  <c r="N7" i="127"/>
  <c r="M7" i="127"/>
  <c r="N6" i="127"/>
  <c r="M6" i="127"/>
  <c r="N5" i="127"/>
  <c r="M5" i="127"/>
  <c r="AY49" i="125"/>
  <c r="AV9" i="127"/>
  <c r="AD9" i="127"/>
  <c r="AD6" i="127"/>
  <c r="T25" i="125"/>
  <c r="R25" i="125"/>
  <c r="U25" i="125"/>
  <c r="S25" i="125"/>
  <c r="AZ50" i="125"/>
  <c r="DE49" i="125"/>
  <c r="N45" i="125"/>
  <c r="DE44" i="125"/>
  <c r="AZ43" i="125"/>
  <c r="DE42" i="125"/>
  <c r="AH38" i="125"/>
  <c r="AZ38" i="125" s="1"/>
  <c r="AH34" i="125"/>
  <c r="AZ34" i="125" s="1"/>
  <c r="AZ48" i="125"/>
  <c r="AZ47" i="125"/>
  <c r="AL32" i="125"/>
  <c r="AT30" i="125"/>
  <c r="AD30" i="125"/>
  <c r="AY30" i="125"/>
  <c r="AX29" i="125"/>
  <c r="AH29" i="125"/>
  <c r="AL28" i="125"/>
  <c r="U28" i="125"/>
  <c r="AT26" i="125"/>
  <c r="AY26" i="125"/>
  <c r="AD26" i="125"/>
  <c r="AX25" i="125"/>
  <c r="AH25" i="125"/>
  <c r="AL24" i="125"/>
  <c r="U24" i="125"/>
  <c r="AN32" i="125"/>
  <c r="BC31" i="125"/>
  <c r="AJ31" i="125"/>
  <c r="BC30" i="125"/>
  <c r="AJ30" i="125"/>
  <c r="BC29" i="125"/>
  <c r="AJ29" i="125"/>
  <c r="BC28" i="125"/>
  <c r="AJ28" i="125"/>
  <c r="BC27" i="125"/>
  <c r="AJ27" i="125"/>
  <c r="BC26" i="125"/>
  <c r="AJ26" i="125"/>
  <c r="BC25" i="125"/>
  <c r="AJ25" i="125"/>
  <c r="BC24" i="125"/>
  <c r="AJ24" i="125"/>
  <c r="AY22" i="125"/>
  <c r="AS21" i="125"/>
  <c r="AT21" i="125" s="1"/>
  <c r="AC21" i="125"/>
  <c r="AK20" i="125"/>
  <c r="AL20" i="125" s="1"/>
  <c r="AS19" i="125"/>
  <c r="AT19" i="125" s="1"/>
  <c r="AC19" i="125"/>
  <c r="AK18" i="125"/>
  <c r="AL18" i="125" s="1"/>
  <c r="AS17" i="125"/>
  <c r="AT17" i="125" s="1"/>
  <c r="AC17" i="125"/>
  <c r="AK16" i="125"/>
  <c r="AL16" i="125" s="1"/>
  <c r="AS15" i="125"/>
  <c r="AT15" i="125" s="1"/>
  <c r="AC15" i="125"/>
  <c r="AK14" i="125"/>
  <c r="AL14" i="125" s="1"/>
  <c r="AS13" i="125"/>
  <c r="AT13" i="125" s="1"/>
  <c r="AC13" i="125"/>
  <c r="AK12" i="125"/>
  <c r="AL12" i="125" s="1"/>
  <c r="AS11" i="125"/>
  <c r="AT11" i="125" s="1"/>
  <c r="AC11" i="125"/>
  <c r="AK10" i="125"/>
  <c r="AL10" i="125" s="1"/>
  <c r="AS9" i="125"/>
  <c r="AT9" i="125" s="1"/>
  <c r="AC9" i="125"/>
  <c r="AK8" i="125"/>
  <c r="AL8" i="125" s="1"/>
  <c r="AS7" i="125"/>
  <c r="AT7" i="125" s="1"/>
  <c r="AC7" i="125"/>
  <c r="AK6" i="125"/>
  <c r="AL6" i="125" s="1"/>
  <c r="AS5" i="125"/>
  <c r="AC5" i="125"/>
  <c r="AY23" i="125"/>
  <c r="AN21" i="125"/>
  <c r="AR20" i="125"/>
  <c r="AB20" i="125"/>
  <c r="N20" i="125"/>
  <c r="AV19" i="125"/>
  <c r="AF19" i="125"/>
  <c r="AN17" i="125"/>
  <c r="AR16" i="125"/>
  <c r="AB16" i="125"/>
  <c r="N16" i="125"/>
  <c r="AV15" i="125"/>
  <c r="AF15" i="125"/>
  <c r="AN13" i="125"/>
  <c r="AR12" i="125"/>
  <c r="AB12" i="125"/>
  <c r="N12" i="125"/>
  <c r="AV11" i="125"/>
  <c r="AF11" i="125"/>
  <c r="AN9" i="125"/>
  <c r="AR8" i="125"/>
  <c r="AB8" i="125"/>
  <c r="N8" i="125"/>
  <c r="AV7" i="125"/>
  <c r="AF7" i="125"/>
  <c r="AN5" i="125"/>
  <c r="AZ49" i="125"/>
  <c r="N41" i="125"/>
  <c r="M41" i="125"/>
  <c r="N40" i="125"/>
  <c r="M40" i="125"/>
  <c r="N39" i="125"/>
  <c r="M39" i="125"/>
  <c r="N38" i="125"/>
  <c r="M38" i="125"/>
  <c r="N37" i="125"/>
  <c r="M37" i="125"/>
  <c r="N36" i="125"/>
  <c r="M36" i="125"/>
  <c r="N35" i="125"/>
  <c r="M35" i="125"/>
  <c r="N34" i="125"/>
  <c r="M34" i="125"/>
  <c r="AZ42" i="125"/>
  <c r="AH41" i="125"/>
  <c r="AH37" i="125"/>
  <c r="AH32" i="125"/>
  <c r="R32" i="125"/>
  <c r="T32" i="125"/>
  <c r="AD29" i="125"/>
  <c r="AY29" i="125"/>
  <c r="AH28" i="125"/>
  <c r="T28" i="125"/>
  <c r="R28" i="125"/>
  <c r="AY25" i="125"/>
  <c r="AD25" i="125"/>
  <c r="AH24" i="125"/>
  <c r="T24" i="125"/>
  <c r="R24" i="125"/>
  <c r="AJ32" i="125"/>
  <c r="S32" i="125"/>
  <c r="AV31" i="125"/>
  <c r="AF31" i="125"/>
  <c r="O31" i="125"/>
  <c r="AV30" i="125"/>
  <c r="AF30" i="125"/>
  <c r="O30" i="125"/>
  <c r="AV29" i="125"/>
  <c r="AF29" i="125"/>
  <c r="O29" i="125"/>
  <c r="AV28" i="125"/>
  <c r="AF28" i="125"/>
  <c r="O28" i="125"/>
  <c r="AV27" i="125"/>
  <c r="AF27" i="125"/>
  <c r="O27" i="125"/>
  <c r="AV26" i="125"/>
  <c r="AF26" i="125"/>
  <c r="O26" i="125"/>
  <c r="AV25" i="125"/>
  <c r="AF25" i="125"/>
  <c r="O25" i="125"/>
  <c r="AV24" i="125"/>
  <c r="AF24" i="125"/>
  <c r="O24" i="125"/>
  <c r="N29" i="125"/>
  <c r="AW20" i="125"/>
  <c r="AX20" i="125" s="1"/>
  <c r="AG20" i="125"/>
  <c r="AO19" i="125"/>
  <c r="AP19" i="125" s="1"/>
  <c r="AW18" i="125"/>
  <c r="AX18" i="125" s="1"/>
  <c r="AG18" i="125"/>
  <c r="AW16" i="125"/>
  <c r="AX16" i="125" s="1"/>
  <c r="AG16" i="125"/>
  <c r="AO15" i="125"/>
  <c r="AP15" i="125" s="1"/>
  <c r="AW14" i="125"/>
  <c r="AX14" i="125" s="1"/>
  <c r="AG14" i="125"/>
  <c r="AW12" i="125"/>
  <c r="AX12" i="125" s="1"/>
  <c r="AG12" i="125"/>
  <c r="AO11" i="125"/>
  <c r="AP11" i="125" s="1"/>
  <c r="AW10" i="125"/>
  <c r="AX10" i="125" s="1"/>
  <c r="AG10" i="125"/>
  <c r="AW8" i="125"/>
  <c r="AX8" i="125" s="1"/>
  <c r="AG8" i="125"/>
  <c r="AO7" i="125"/>
  <c r="AP7" i="125" s="1"/>
  <c r="AW6" i="125"/>
  <c r="AX6" i="125" s="1"/>
  <c r="AG6" i="125"/>
  <c r="N31" i="125"/>
  <c r="AJ21" i="125"/>
  <c r="AN20" i="125"/>
  <c r="N19" i="125"/>
  <c r="AJ17" i="125"/>
  <c r="AN16" i="125"/>
  <c r="N15" i="125"/>
  <c r="AJ13" i="125"/>
  <c r="AN12" i="125"/>
  <c r="N11" i="125"/>
  <c r="AJ9" i="125"/>
  <c r="AN8" i="125"/>
  <c r="N7" i="125"/>
  <c r="AJ5" i="125"/>
  <c r="AZ46" i="125"/>
  <c r="AY45" i="125"/>
  <c r="AY41" i="125"/>
  <c r="AY40" i="125"/>
  <c r="AY39" i="125"/>
  <c r="AY38" i="125"/>
  <c r="AY37" i="125"/>
  <c r="AY36" i="125"/>
  <c r="AY35" i="125"/>
  <c r="AY34" i="125"/>
  <c r="AD41" i="125"/>
  <c r="AD37" i="125"/>
  <c r="AT32" i="125"/>
  <c r="AD32" i="125"/>
  <c r="AY32" i="125"/>
  <c r="AH31" i="125"/>
  <c r="AL30" i="125"/>
  <c r="AT28" i="125"/>
  <c r="AY28" i="125"/>
  <c r="AD28" i="125"/>
  <c r="AH27" i="125"/>
  <c r="AL26" i="125"/>
  <c r="AT24" i="125"/>
  <c r="AY24" i="125"/>
  <c r="AD24" i="125"/>
  <c r="AV32" i="125"/>
  <c r="AF32" i="125"/>
  <c r="O32" i="125"/>
  <c r="AR31" i="125"/>
  <c r="AB31" i="125"/>
  <c r="K31" i="125"/>
  <c r="AR30" i="125"/>
  <c r="AB30" i="125"/>
  <c r="K30" i="125"/>
  <c r="AR29" i="125"/>
  <c r="AB29" i="125"/>
  <c r="K29" i="125"/>
  <c r="AR28" i="125"/>
  <c r="AB28" i="125"/>
  <c r="K28" i="125"/>
  <c r="AR27" i="125"/>
  <c r="AB27" i="125"/>
  <c r="K27" i="125"/>
  <c r="AR26" i="125"/>
  <c r="AB26" i="125"/>
  <c r="K26" i="125"/>
  <c r="AR25" i="125"/>
  <c r="AB25" i="125"/>
  <c r="K25" i="125"/>
  <c r="AR24" i="125"/>
  <c r="AB24" i="125"/>
  <c r="K24" i="125"/>
  <c r="AK19" i="125"/>
  <c r="AL19" i="125" s="1"/>
  <c r="AS18" i="125"/>
  <c r="AT18" i="125" s="1"/>
  <c r="AC18" i="125"/>
  <c r="AK15" i="125"/>
  <c r="AL15" i="125" s="1"/>
  <c r="AS14" i="125"/>
  <c r="AT14" i="125" s="1"/>
  <c r="AC14" i="125"/>
  <c r="AK11" i="125"/>
  <c r="AL11" i="125" s="1"/>
  <c r="AS10" i="125"/>
  <c r="AT10" i="125" s="1"/>
  <c r="AC10" i="125"/>
  <c r="AK7" i="125"/>
  <c r="AL7" i="125" s="1"/>
  <c r="AS6" i="125"/>
  <c r="AT6" i="125" s="1"/>
  <c r="AC6" i="125"/>
  <c r="AD22" i="125"/>
  <c r="AZ22" i="125" s="1"/>
  <c r="N22" i="125"/>
  <c r="AV21" i="125"/>
  <c r="AF21" i="125"/>
  <c r="N18" i="125"/>
  <c r="AV17" i="125"/>
  <c r="AF17" i="125"/>
  <c r="N14" i="125"/>
  <c r="AV13" i="125"/>
  <c r="AF13" i="125"/>
  <c r="N10" i="125"/>
  <c r="AV9" i="125"/>
  <c r="AF9" i="125"/>
  <c r="N6" i="125"/>
  <c r="AV5" i="125"/>
  <c r="AF5" i="125"/>
  <c r="N27" i="125"/>
  <c r="DE50" i="125"/>
  <c r="AZ44" i="125"/>
  <c r="DE43" i="125"/>
  <c r="AD40" i="125"/>
  <c r="AZ40" i="125" s="1"/>
  <c r="AD36" i="125"/>
  <c r="AZ36" i="125" s="1"/>
  <c r="AY47" i="125"/>
  <c r="AD31" i="125"/>
  <c r="AZ31" i="125" s="1"/>
  <c r="AY31" i="125"/>
  <c r="AX30" i="125"/>
  <c r="AH30" i="125"/>
  <c r="Q30" i="125"/>
  <c r="N28" i="125"/>
  <c r="AY27" i="125"/>
  <c r="AD27" i="125"/>
  <c r="AX26" i="125"/>
  <c r="AH26" i="125"/>
  <c r="Q26" i="125"/>
  <c r="AY33" i="125"/>
  <c r="AR32" i="125"/>
  <c r="AB32" i="125"/>
  <c r="K32" i="125"/>
  <c r="DT31" i="125"/>
  <c r="AN31" i="125"/>
  <c r="DT30" i="125"/>
  <c r="AN30" i="125"/>
  <c r="DT29" i="125"/>
  <c r="AN29" i="125"/>
  <c r="DT28" i="125"/>
  <c r="AN28" i="125"/>
  <c r="DT27" i="125"/>
  <c r="AN27" i="125"/>
  <c r="DT26" i="125"/>
  <c r="AN26" i="125"/>
  <c r="DT25" i="125"/>
  <c r="AN25" i="125"/>
  <c r="DT24" i="125"/>
  <c r="AN24" i="125"/>
  <c r="N32" i="125"/>
  <c r="AX33" i="125"/>
  <c r="K33" i="125"/>
  <c r="BC32" i="125"/>
  <c r="N30" i="125"/>
  <c r="AO18" i="125"/>
  <c r="AP18" i="125" s="1"/>
  <c r="AO14" i="125"/>
  <c r="AP14" i="125" s="1"/>
  <c r="AO10" i="125"/>
  <c r="AP10" i="125" s="1"/>
  <c r="AO6" i="125"/>
  <c r="AP6" i="125" s="1"/>
  <c r="K23" i="125"/>
  <c r="AT23" i="125"/>
  <c r="AP23" i="125"/>
  <c r="N21" i="125"/>
  <c r="N17" i="125"/>
  <c r="N13" i="125"/>
  <c r="N9" i="125"/>
  <c r="N5" i="125"/>
  <c r="N24" i="125"/>
  <c r="N25" i="125"/>
  <c r="N26" i="125"/>
  <c r="AD48" i="122"/>
  <c r="AE48" i="122"/>
  <c r="AF48" i="122"/>
  <c r="AG48" i="122"/>
  <c r="AH48" i="122"/>
  <c r="AI48" i="122"/>
  <c r="AJ48" i="122"/>
  <c r="AK48" i="122"/>
  <c r="AL48" i="122"/>
  <c r="AM48" i="122"/>
  <c r="AN48" i="122"/>
  <c r="AO48" i="122"/>
  <c r="AP48" i="122"/>
  <c r="AQ48" i="122"/>
  <c r="AR48" i="122"/>
  <c r="AS48" i="122"/>
  <c r="AT48" i="122"/>
  <c r="AU48" i="122"/>
  <c r="AV48" i="122"/>
  <c r="AW48" i="122"/>
  <c r="AX48" i="122"/>
  <c r="AY48" i="122"/>
  <c r="AZ48" i="122"/>
  <c r="BA48" i="122"/>
  <c r="BB48" i="122"/>
  <c r="AD49" i="122"/>
  <c r="AE49" i="122"/>
  <c r="AF49" i="122"/>
  <c r="AG49" i="122"/>
  <c r="AH49" i="122"/>
  <c r="AI49" i="122"/>
  <c r="AJ49" i="122"/>
  <c r="AK49" i="122"/>
  <c r="AL49" i="122"/>
  <c r="AM49" i="122"/>
  <c r="AN49" i="122"/>
  <c r="AO49" i="122"/>
  <c r="AP49" i="122"/>
  <c r="AQ49" i="122"/>
  <c r="AR49" i="122"/>
  <c r="AS49" i="122"/>
  <c r="AT49" i="122"/>
  <c r="AU49" i="122"/>
  <c r="AV49" i="122"/>
  <c r="AW49" i="122"/>
  <c r="AX49" i="122"/>
  <c r="AY49" i="122"/>
  <c r="AZ49" i="122"/>
  <c r="BA49" i="122"/>
  <c r="BB49" i="122"/>
  <c r="AD50" i="122"/>
  <c r="AE50" i="122"/>
  <c r="AF50" i="122"/>
  <c r="AG50" i="122"/>
  <c r="AH50" i="122"/>
  <c r="AI50" i="122"/>
  <c r="AJ50" i="122"/>
  <c r="AK50" i="122"/>
  <c r="AL50" i="122"/>
  <c r="AM50" i="122"/>
  <c r="AN50" i="122"/>
  <c r="AO50" i="122"/>
  <c r="AP50" i="122"/>
  <c r="AQ50" i="122"/>
  <c r="AR50" i="122"/>
  <c r="AS50" i="122"/>
  <c r="AT50" i="122"/>
  <c r="AU50" i="122"/>
  <c r="AV50" i="122"/>
  <c r="AW50" i="122"/>
  <c r="AX50" i="122"/>
  <c r="AY50" i="122"/>
  <c r="AZ50" i="122"/>
  <c r="BA50" i="122"/>
  <c r="BB50" i="122"/>
  <c r="AD51" i="122"/>
  <c r="AE51" i="122"/>
  <c r="AF51" i="122"/>
  <c r="AG51" i="122"/>
  <c r="AH51" i="122"/>
  <c r="AI51" i="122"/>
  <c r="AJ51" i="122"/>
  <c r="AK51" i="122"/>
  <c r="AL51" i="122"/>
  <c r="AM51" i="122"/>
  <c r="AN51" i="122"/>
  <c r="AO51" i="122"/>
  <c r="AP51" i="122"/>
  <c r="AQ51" i="122"/>
  <c r="AR51" i="122"/>
  <c r="AS51" i="122"/>
  <c r="AT51" i="122"/>
  <c r="AU51" i="122"/>
  <c r="AV51" i="122"/>
  <c r="AW51" i="122"/>
  <c r="AX51" i="122"/>
  <c r="AY51" i="122"/>
  <c r="AZ51" i="122"/>
  <c r="BA51" i="122"/>
  <c r="BB51" i="122"/>
  <c r="AD52" i="122"/>
  <c r="AE52" i="122"/>
  <c r="AF52" i="122"/>
  <c r="AG52" i="122"/>
  <c r="AH52" i="122"/>
  <c r="AI52" i="122"/>
  <c r="AJ52" i="122"/>
  <c r="AK52" i="122"/>
  <c r="AL52" i="122"/>
  <c r="AM52" i="122"/>
  <c r="AN52" i="122"/>
  <c r="AO52" i="122"/>
  <c r="AP52" i="122"/>
  <c r="AQ52" i="122"/>
  <c r="AR52" i="122"/>
  <c r="AS52" i="122"/>
  <c r="AT52" i="122"/>
  <c r="AU52" i="122"/>
  <c r="AV52" i="122"/>
  <c r="AW52" i="122"/>
  <c r="AX52" i="122"/>
  <c r="AY52" i="122"/>
  <c r="AZ52" i="122"/>
  <c r="BA52" i="122"/>
  <c r="BB52" i="122"/>
  <c r="AD53" i="122"/>
  <c r="AE53" i="122"/>
  <c r="AF53" i="122"/>
  <c r="AG53" i="122"/>
  <c r="AH53" i="122"/>
  <c r="AI53" i="122"/>
  <c r="AJ53" i="122"/>
  <c r="AK53" i="122"/>
  <c r="AL53" i="122"/>
  <c r="AM53" i="122"/>
  <c r="AN53" i="122"/>
  <c r="AO53" i="122"/>
  <c r="AP53" i="122"/>
  <c r="AQ53" i="122"/>
  <c r="AR53" i="122"/>
  <c r="AS53" i="122"/>
  <c r="AT53" i="122"/>
  <c r="AU53" i="122"/>
  <c r="AV53" i="122"/>
  <c r="AW53" i="122"/>
  <c r="AX53" i="122"/>
  <c r="AY53" i="122"/>
  <c r="AZ53" i="122"/>
  <c r="BA53" i="122"/>
  <c r="BB53" i="122"/>
  <c r="AD54" i="122"/>
  <c r="AE54" i="122"/>
  <c r="AF54" i="122"/>
  <c r="AG54" i="122"/>
  <c r="AH54" i="122"/>
  <c r="AI54" i="122"/>
  <c r="AJ54" i="122"/>
  <c r="AK54" i="122"/>
  <c r="AL54" i="122"/>
  <c r="AM54" i="122"/>
  <c r="AN54" i="122"/>
  <c r="AO54" i="122"/>
  <c r="AP54" i="122"/>
  <c r="AQ54" i="122"/>
  <c r="AR54" i="122"/>
  <c r="AS54" i="122"/>
  <c r="AT54" i="122"/>
  <c r="AU54" i="122"/>
  <c r="AV54" i="122"/>
  <c r="AW54" i="122"/>
  <c r="AX54" i="122"/>
  <c r="AY54" i="122"/>
  <c r="AZ54" i="122"/>
  <c r="BA54" i="122"/>
  <c r="BB54" i="122"/>
  <c r="AD55" i="122"/>
  <c r="AE55" i="122"/>
  <c r="AF55" i="122"/>
  <c r="AG55" i="122"/>
  <c r="AH55" i="122"/>
  <c r="AI55" i="122"/>
  <c r="AJ55" i="122"/>
  <c r="AK55" i="122"/>
  <c r="AL55" i="122"/>
  <c r="AM55" i="122"/>
  <c r="AN55" i="122"/>
  <c r="AO55" i="122"/>
  <c r="AP55" i="122"/>
  <c r="AQ55" i="122"/>
  <c r="AR55" i="122"/>
  <c r="AS55" i="122"/>
  <c r="AT55" i="122"/>
  <c r="AU55" i="122"/>
  <c r="AV55" i="122"/>
  <c r="AW55" i="122"/>
  <c r="AX55" i="122"/>
  <c r="AY55" i="122"/>
  <c r="AZ55" i="122"/>
  <c r="BA55" i="122"/>
  <c r="BB55" i="122"/>
  <c r="AD56" i="122"/>
  <c r="AE56" i="122"/>
  <c r="AF56" i="122"/>
  <c r="AG56" i="122"/>
  <c r="AH56" i="122"/>
  <c r="AI56" i="122"/>
  <c r="AJ56" i="122"/>
  <c r="AK56" i="122"/>
  <c r="AL56" i="122"/>
  <c r="AM56" i="122"/>
  <c r="AN56" i="122"/>
  <c r="AO56" i="122"/>
  <c r="AP56" i="122"/>
  <c r="AQ56" i="122"/>
  <c r="AR56" i="122"/>
  <c r="AS56" i="122"/>
  <c r="AT56" i="122"/>
  <c r="AU56" i="122"/>
  <c r="AV56" i="122"/>
  <c r="AW56" i="122"/>
  <c r="AX56" i="122"/>
  <c r="AY56" i="122"/>
  <c r="AZ56" i="122"/>
  <c r="BA56" i="122"/>
  <c r="BB56" i="122"/>
  <c r="AD57" i="122"/>
  <c r="AE57" i="122"/>
  <c r="AF57" i="122"/>
  <c r="AG57" i="122"/>
  <c r="AH57" i="122"/>
  <c r="AI57" i="122"/>
  <c r="AJ57" i="122"/>
  <c r="AK57" i="122"/>
  <c r="AL57" i="122"/>
  <c r="AM57" i="122"/>
  <c r="AN57" i="122"/>
  <c r="AO57" i="122"/>
  <c r="AP57" i="122"/>
  <c r="AQ57" i="122"/>
  <c r="AR57" i="122"/>
  <c r="AS57" i="122"/>
  <c r="AT57" i="122"/>
  <c r="AU57" i="122"/>
  <c r="AV57" i="122"/>
  <c r="AW57" i="122"/>
  <c r="AX57" i="122"/>
  <c r="AY57" i="122"/>
  <c r="AZ57" i="122"/>
  <c r="BA57" i="122"/>
  <c r="BB57" i="122"/>
  <c r="AD58" i="122"/>
  <c r="AE58" i="122"/>
  <c r="AF58" i="122"/>
  <c r="AG58" i="122"/>
  <c r="AH58" i="122"/>
  <c r="AI58" i="122"/>
  <c r="AJ58" i="122"/>
  <c r="AK58" i="122"/>
  <c r="AL58" i="122"/>
  <c r="AM58" i="122"/>
  <c r="AN58" i="122"/>
  <c r="AO58" i="122"/>
  <c r="AP58" i="122"/>
  <c r="AQ58" i="122"/>
  <c r="AR58" i="122"/>
  <c r="AS58" i="122"/>
  <c r="AT58" i="122"/>
  <c r="AU58" i="122"/>
  <c r="AV58" i="122"/>
  <c r="AW58" i="122"/>
  <c r="AX58" i="122"/>
  <c r="AY58" i="122"/>
  <c r="AZ58" i="122"/>
  <c r="BA58" i="122"/>
  <c r="BB58" i="122"/>
  <c r="AD59" i="122"/>
  <c r="AE59" i="122"/>
  <c r="AF59" i="122"/>
  <c r="AG59" i="122"/>
  <c r="AH59" i="122"/>
  <c r="AI59" i="122"/>
  <c r="AJ59" i="122"/>
  <c r="AK59" i="122"/>
  <c r="AL59" i="122"/>
  <c r="AM59" i="122"/>
  <c r="AN59" i="122"/>
  <c r="AO59" i="122"/>
  <c r="AP59" i="122"/>
  <c r="AQ59" i="122"/>
  <c r="AR59" i="122"/>
  <c r="AS59" i="122"/>
  <c r="AT59" i="122"/>
  <c r="AU59" i="122"/>
  <c r="AV59" i="122"/>
  <c r="AW59" i="122"/>
  <c r="AX59" i="122"/>
  <c r="AY59" i="122"/>
  <c r="AZ59" i="122"/>
  <c r="BA59" i="122"/>
  <c r="BB59" i="122"/>
  <c r="AD60" i="122"/>
  <c r="AE60" i="122"/>
  <c r="AF60" i="122"/>
  <c r="AG60" i="122"/>
  <c r="AH60" i="122"/>
  <c r="AI60" i="122"/>
  <c r="AJ60" i="122"/>
  <c r="AK60" i="122"/>
  <c r="AL60" i="122"/>
  <c r="AM60" i="122"/>
  <c r="AN60" i="122"/>
  <c r="AO60" i="122"/>
  <c r="AP60" i="122"/>
  <c r="AQ60" i="122"/>
  <c r="AR60" i="122"/>
  <c r="AS60" i="122"/>
  <c r="AT60" i="122"/>
  <c r="AU60" i="122"/>
  <c r="AV60" i="122"/>
  <c r="AW60" i="122"/>
  <c r="AX60" i="122"/>
  <c r="AY60" i="122"/>
  <c r="AZ60" i="122"/>
  <c r="BA60" i="122"/>
  <c r="BB60" i="122"/>
  <c r="AD61" i="122"/>
  <c r="AE61" i="122"/>
  <c r="AF61" i="122"/>
  <c r="AG61" i="122"/>
  <c r="AH61" i="122"/>
  <c r="AI61" i="122"/>
  <c r="AJ61" i="122"/>
  <c r="AK61" i="122"/>
  <c r="AL61" i="122"/>
  <c r="AM61" i="122"/>
  <c r="AN61" i="122"/>
  <c r="AO61" i="122"/>
  <c r="AP61" i="122"/>
  <c r="AQ61" i="122"/>
  <c r="AR61" i="122"/>
  <c r="AS61" i="122"/>
  <c r="AT61" i="122"/>
  <c r="AU61" i="122"/>
  <c r="AV61" i="122"/>
  <c r="AW61" i="122"/>
  <c r="AX61" i="122"/>
  <c r="AY61" i="122"/>
  <c r="AZ61" i="122"/>
  <c r="BA61" i="122"/>
  <c r="BB61" i="122"/>
  <c r="AD62" i="122"/>
  <c r="AE62" i="122"/>
  <c r="AF62" i="122"/>
  <c r="AG62" i="122"/>
  <c r="AH62" i="122"/>
  <c r="AI62" i="122"/>
  <c r="AJ62" i="122"/>
  <c r="AK62" i="122"/>
  <c r="AL62" i="122"/>
  <c r="AM62" i="122"/>
  <c r="AN62" i="122"/>
  <c r="AO62" i="122"/>
  <c r="AP62" i="122"/>
  <c r="AQ62" i="122"/>
  <c r="AR62" i="122"/>
  <c r="AS62" i="122"/>
  <c r="AT62" i="122"/>
  <c r="AU62" i="122"/>
  <c r="AV62" i="122"/>
  <c r="AW62" i="122"/>
  <c r="AX62" i="122"/>
  <c r="AY62" i="122"/>
  <c r="AZ62" i="122"/>
  <c r="BA62" i="122"/>
  <c r="BB62" i="122"/>
  <c r="AD63" i="122"/>
  <c r="AE63" i="122"/>
  <c r="AF63" i="122"/>
  <c r="AG63" i="122"/>
  <c r="AH63" i="122"/>
  <c r="AI63" i="122"/>
  <c r="AJ63" i="122"/>
  <c r="AK63" i="122"/>
  <c r="AL63" i="122"/>
  <c r="AM63" i="122"/>
  <c r="AN63" i="122"/>
  <c r="AO63" i="122"/>
  <c r="AP63" i="122"/>
  <c r="AQ63" i="122"/>
  <c r="AR63" i="122"/>
  <c r="AS63" i="122"/>
  <c r="AT63" i="122"/>
  <c r="AU63" i="122"/>
  <c r="AV63" i="122"/>
  <c r="AW63" i="122"/>
  <c r="AX63" i="122"/>
  <c r="AY63" i="122"/>
  <c r="AZ63" i="122"/>
  <c r="BA63" i="122"/>
  <c r="BB63" i="122"/>
  <c r="AD64" i="122"/>
  <c r="AE64" i="122"/>
  <c r="AF64" i="122"/>
  <c r="AG64" i="122"/>
  <c r="AH64" i="122"/>
  <c r="AI64" i="122"/>
  <c r="AJ64" i="122"/>
  <c r="AK64" i="122"/>
  <c r="AL64" i="122"/>
  <c r="AM64" i="122"/>
  <c r="AN64" i="122"/>
  <c r="AO64" i="122"/>
  <c r="AP64" i="122"/>
  <c r="AQ64" i="122"/>
  <c r="AR64" i="122"/>
  <c r="AS64" i="122"/>
  <c r="AT64" i="122"/>
  <c r="AU64" i="122"/>
  <c r="AV64" i="122"/>
  <c r="AW64" i="122"/>
  <c r="AX64" i="122"/>
  <c r="AY64" i="122"/>
  <c r="AZ64" i="122"/>
  <c r="BA64" i="122"/>
  <c r="BB64" i="122"/>
  <c r="AD65" i="122"/>
  <c r="AE65" i="122"/>
  <c r="AF65" i="122"/>
  <c r="AG65" i="122"/>
  <c r="AH65" i="122"/>
  <c r="AI65" i="122"/>
  <c r="AJ65" i="122"/>
  <c r="AK65" i="122"/>
  <c r="AL65" i="122"/>
  <c r="AM65" i="122"/>
  <c r="AN65" i="122"/>
  <c r="AO65" i="122"/>
  <c r="AP65" i="122"/>
  <c r="AQ65" i="122"/>
  <c r="AR65" i="122"/>
  <c r="AS65" i="122"/>
  <c r="AT65" i="122"/>
  <c r="AU65" i="122"/>
  <c r="AV65" i="122"/>
  <c r="AW65" i="122"/>
  <c r="AX65" i="122"/>
  <c r="AY65" i="122"/>
  <c r="AZ65" i="122"/>
  <c r="BA65" i="122"/>
  <c r="BB65" i="122"/>
  <c r="AD66" i="122"/>
  <c r="AE66" i="122"/>
  <c r="AF66" i="122"/>
  <c r="AG66" i="122"/>
  <c r="AH66" i="122"/>
  <c r="AI66" i="122"/>
  <c r="AJ66" i="122"/>
  <c r="AK66" i="122"/>
  <c r="AL66" i="122"/>
  <c r="AM66" i="122"/>
  <c r="AN66" i="122"/>
  <c r="AO66" i="122"/>
  <c r="AP66" i="122"/>
  <c r="AQ66" i="122"/>
  <c r="AR66" i="122"/>
  <c r="AS66" i="122"/>
  <c r="AT66" i="122"/>
  <c r="AU66" i="122"/>
  <c r="AV66" i="122"/>
  <c r="AW66" i="122"/>
  <c r="AX66" i="122"/>
  <c r="AY66" i="122"/>
  <c r="AZ66" i="122"/>
  <c r="BA66" i="122"/>
  <c r="BB66" i="122"/>
  <c r="AD67" i="122"/>
  <c r="AE67" i="122"/>
  <c r="AF67" i="122"/>
  <c r="AG67" i="122"/>
  <c r="AH67" i="122"/>
  <c r="AI67" i="122"/>
  <c r="AJ67" i="122"/>
  <c r="AK67" i="122"/>
  <c r="AL67" i="122"/>
  <c r="AM67" i="122"/>
  <c r="AN67" i="122"/>
  <c r="AO67" i="122"/>
  <c r="AP67" i="122"/>
  <c r="AQ67" i="122"/>
  <c r="AR67" i="122"/>
  <c r="AS67" i="122"/>
  <c r="AT67" i="122"/>
  <c r="AU67" i="122"/>
  <c r="AV67" i="122"/>
  <c r="AW67" i="122"/>
  <c r="AX67" i="122"/>
  <c r="AY67" i="122"/>
  <c r="AZ67" i="122"/>
  <c r="BA67" i="122"/>
  <c r="BB67" i="122"/>
  <c r="AD68" i="122"/>
  <c r="AE68" i="122"/>
  <c r="AF68" i="122"/>
  <c r="AG68" i="122"/>
  <c r="AH68" i="122"/>
  <c r="AI68" i="122"/>
  <c r="AJ68" i="122"/>
  <c r="AK68" i="122"/>
  <c r="AL68" i="122"/>
  <c r="AM68" i="122"/>
  <c r="AN68" i="122"/>
  <c r="AO68" i="122"/>
  <c r="AP68" i="122"/>
  <c r="AQ68" i="122"/>
  <c r="AR68" i="122"/>
  <c r="AS68" i="122"/>
  <c r="AT68" i="122"/>
  <c r="AU68" i="122"/>
  <c r="AV68" i="122"/>
  <c r="AW68" i="122"/>
  <c r="AX68" i="122"/>
  <c r="AY68" i="122"/>
  <c r="AZ68" i="122"/>
  <c r="BA68" i="122"/>
  <c r="BB68" i="122"/>
  <c r="AD69" i="122"/>
  <c r="AE69" i="122"/>
  <c r="AF69" i="122"/>
  <c r="AG69" i="122"/>
  <c r="AH69" i="122"/>
  <c r="AI69" i="122"/>
  <c r="AJ69" i="122"/>
  <c r="AK69" i="122"/>
  <c r="AL69" i="122"/>
  <c r="AM69" i="122"/>
  <c r="AN69" i="122"/>
  <c r="AO69" i="122"/>
  <c r="AP69" i="122"/>
  <c r="AQ69" i="122"/>
  <c r="AR69" i="122"/>
  <c r="AS69" i="122"/>
  <c r="AT69" i="122"/>
  <c r="AU69" i="122"/>
  <c r="AV69" i="122"/>
  <c r="AW69" i="122"/>
  <c r="AX69" i="122"/>
  <c r="AY69" i="122"/>
  <c r="AZ69" i="122"/>
  <c r="BA69" i="122"/>
  <c r="BB69" i="122"/>
  <c r="AD70" i="122"/>
  <c r="AE70" i="122"/>
  <c r="AF70" i="122"/>
  <c r="AG70" i="122"/>
  <c r="AH70" i="122"/>
  <c r="AI70" i="122"/>
  <c r="AJ70" i="122"/>
  <c r="AK70" i="122"/>
  <c r="AL70" i="122"/>
  <c r="AM70" i="122"/>
  <c r="AN70" i="122"/>
  <c r="AO70" i="122"/>
  <c r="AP70" i="122"/>
  <c r="AQ70" i="122"/>
  <c r="AR70" i="122"/>
  <c r="AS70" i="122"/>
  <c r="AT70" i="122"/>
  <c r="AU70" i="122"/>
  <c r="AV70" i="122"/>
  <c r="AW70" i="122"/>
  <c r="AX70" i="122"/>
  <c r="AY70" i="122"/>
  <c r="AZ70" i="122"/>
  <c r="BA70" i="122"/>
  <c r="BB70" i="122"/>
  <c r="AD71" i="122"/>
  <c r="AE71" i="122"/>
  <c r="AF71" i="122"/>
  <c r="AG71" i="122"/>
  <c r="AH71" i="122"/>
  <c r="AI71" i="122"/>
  <c r="AJ71" i="122"/>
  <c r="AK71" i="122"/>
  <c r="AL71" i="122"/>
  <c r="AM71" i="122"/>
  <c r="AN71" i="122"/>
  <c r="AO71" i="122"/>
  <c r="AP71" i="122"/>
  <c r="AQ71" i="122"/>
  <c r="AR71" i="122"/>
  <c r="AS71" i="122"/>
  <c r="AT71" i="122"/>
  <c r="AU71" i="122"/>
  <c r="AV71" i="122"/>
  <c r="AW71" i="122"/>
  <c r="AX71" i="122"/>
  <c r="AY71" i="122"/>
  <c r="AZ71" i="122"/>
  <c r="BA71" i="122"/>
  <c r="BB71" i="122"/>
  <c r="AD72" i="122"/>
  <c r="AE72" i="122"/>
  <c r="AF72" i="122"/>
  <c r="AG72" i="122"/>
  <c r="AH72" i="122"/>
  <c r="AI72" i="122"/>
  <c r="AJ72" i="122"/>
  <c r="AK72" i="122"/>
  <c r="AL72" i="122"/>
  <c r="AM72" i="122"/>
  <c r="AN72" i="122"/>
  <c r="AO72" i="122"/>
  <c r="AP72" i="122"/>
  <c r="AQ72" i="122"/>
  <c r="AR72" i="122"/>
  <c r="AS72" i="122"/>
  <c r="AT72" i="122"/>
  <c r="AU72" i="122"/>
  <c r="AV72" i="122"/>
  <c r="AW72" i="122"/>
  <c r="AX72" i="122"/>
  <c r="AY72" i="122"/>
  <c r="AZ72" i="122"/>
  <c r="BA72" i="122"/>
  <c r="BB72" i="122"/>
  <c r="AD73" i="122"/>
  <c r="AE73" i="122"/>
  <c r="AF73" i="122"/>
  <c r="AG73" i="122"/>
  <c r="AH73" i="122"/>
  <c r="AI73" i="122"/>
  <c r="AJ73" i="122"/>
  <c r="AK73" i="122"/>
  <c r="AL73" i="122"/>
  <c r="AM73" i="122"/>
  <c r="AN73" i="122"/>
  <c r="AO73" i="122"/>
  <c r="AP73" i="122"/>
  <c r="AQ73" i="122"/>
  <c r="AR73" i="122"/>
  <c r="AS73" i="122"/>
  <c r="AT73" i="122"/>
  <c r="AU73" i="122"/>
  <c r="AV73" i="122"/>
  <c r="AW73" i="122"/>
  <c r="AX73" i="122"/>
  <c r="AY73" i="122"/>
  <c r="AZ73" i="122"/>
  <c r="BA73" i="122"/>
  <c r="BB73" i="122"/>
  <c r="AD74" i="122"/>
  <c r="AE74" i="122"/>
  <c r="AF74" i="122"/>
  <c r="AG74" i="122"/>
  <c r="AH74" i="122"/>
  <c r="AI74" i="122"/>
  <c r="AJ74" i="122"/>
  <c r="AK74" i="122"/>
  <c r="AL74" i="122"/>
  <c r="AM74" i="122"/>
  <c r="AN74" i="122"/>
  <c r="AO74" i="122"/>
  <c r="AP74" i="122"/>
  <c r="AQ74" i="122"/>
  <c r="AR74" i="122"/>
  <c r="AS74" i="122"/>
  <c r="AT74" i="122"/>
  <c r="AU74" i="122"/>
  <c r="AV74" i="122"/>
  <c r="AW74" i="122"/>
  <c r="AX74" i="122"/>
  <c r="AY74" i="122"/>
  <c r="AZ74" i="122"/>
  <c r="BA74" i="122"/>
  <c r="BB74" i="122"/>
  <c r="AD75" i="122"/>
  <c r="AE75" i="122"/>
  <c r="AF75" i="122"/>
  <c r="AG75" i="122"/>
  <c r="AH75" i="122"/>
  <c r="AI75" i="122"/>
  <c r="AJ75" i="122"/>
  <c r="AK75" i="122"/>
  <c r="AL75" i="122"/>
  <c r="AM75" i="122"/>
  <c r="AN75" i="122"/>
  <c r="AO75" i="122"/>
  <c r="AP75" i="122"/>
  <c r="AQ75" i="122"/>
  <c r="AR75" i="122"/>
  <c r="AS75" i="122"/>
  <c r="AT75" i="122"/>
  <c r="AU75" i="122"/>
  <c r="AV75" i="122"/>
  <c r="AW75" i="122"/>
  <c r="AX75" i="122"/>
  <c r="AY75" i="122"/>
  <c r="AZ75" i="122"/>
  <c r="BA75" i="122"/>
  <c r="BB75" i="122"/>
  <c r="AD76" i="122"/>
  <c r="AE76" i="122"/>
  <c r="AF76" i="122"/>
  <c r="AG76" i="122"/>
  <c r="AH76" i="122"/>
  <c r="AI76" i="122"/>
  <c r="AJ76" i="122"/>
  <c r="AK76" i="122"/>
  <c r="AL76" i="122"/>
  <c r="AM76" i="122"/>
  <c r="AN76" i="122"/>
  <c r="AO76" i="122"/>
  <c r="AP76" i="122"/>
  <c r="AQ76" i="122"/>
  <c r="AR76" i="122"/>
  <c r="AS76" i="122"/>
  <c r="AT76" i="122"/>
  <c r="AU76" i="122"/>
  <c r="AV76" i="122"/>
  <c r="AW76" i="122"/>
  <c r="AX76" i="122"/>
  <c r="AY76" i="122"/>
  <c r="AZ76" i="122"/>
  <c r="BA76" i="122"/>
  <c r="BB76" i="122"/>
  <c r="AD77" i="122"/>
  <c r="AE77" i="122"/>
  <c r="AF77" i="122"/>
  <c r="AG77" i="122"/>
  <c r="AH77" i="122"/>
  <c r="AI77" i="122"/>
  <c r="AJ77" i="122"/>
  <c r="AK77" i="122"/>
  <c r="AL77" i="122"/>
  <c r="AM77" i="122"/>
  <c r="AN77" i="122"/>
  <c r="AO77" i="122"/>
  <c r="AP77" i="122"/>
  <c r="AQ77" i="122"/>
  <c r="AR77" i="122"/>
  <c r="AS77" i="122"/>
  <c r="AT77" i="122"/>
  <c r="AU77" i="122"/>
  <c r="AV77" i="122"/>
  <c r="AW77" i="122"/>
  <c r="AX77" i="122"/>
  <c r="AY77" i="122"/>
  <c r="AZ77" i="122"/>
  <c r="BA77" i="122"/>
  <c r="BB77" i="122"/>
  <c r="AD78" i="122"/>
  <c r="AE78" i="122"/>
  <c r="AF78" i="122"/>
  <c r="AG78" i="122"/>
  <c r="AH78" i="122"/>
  <c r="AI78" i="122"/>
  <c r="AJ78" i="122"/>
  <c r="AK78" i="122"/>
  <c r="AL78" i="122"/>
  <c r="AM78" i="122"/>
  <c r="AN78" i="122"/>
  <c r="AO78" i="122"/>
  <c r="AP78" i="122"/>
  <c r="AQ78" i="122"/>
  <c r="AR78" i="122"/>
  <c r="AS78" i="122"/>
  <c r="AT78" i="122"/>
  <c r="AU78" i="122"/>
  <c r="AV78" i="122"/>
  <c r="AW78" i="122"/>
  <c r="AX78" i="122"/>
  <c r="AY78" i="122"/>
  <c r="AZ78" i="122"/>
  <c r="BA78" i="122"/>
  <c r="BB78" i="122"/>
  <c r="AD79" i="122"/>
  <c r="AE79" i="122"/>
  <c r="AF79" i="122"/>
  <c r="AG79" i="122"/>
  <c r="AH79" i="122"/>
  <c r="AI79" i="122"/>
  <c r="AJ79" i="122"/>
  <c r="AK79" i="122"/>
  <c r="AL79" i="122"/>
  <c r="AM79" i="122"/>
  <c r="AN79" i="122"/>
  <c r="AO79" i="122"/>
  <c r="AP79" i="122"/>
  <c r="AQ79" i="122"/>
  <c r="AR79" i="122"/>
  <c r="AS79" i="122"/>
  <c r="AT79" i="122"/>
  <c r="AU79" i="122"/>
  <c r="AV79" i="122"/>
  <c r="AW79" i="122"/>
  <c r="AX79" i="122"/>
  <c r="AY79" i="122"/>
  <c r="AZ79" i="122"/>
  <c r="BA79" i="122"/>
  <c r="BB79" i="122"/>
  <c r="AD80" i="122"/>
  <c r="AE80" i="122"/>
  <c r="AF80" i="122"/>
  <c r="AG80" i="122"/>
  <c r="AH80" i="122"/>
  <c r="AI80" i="122"/>
  <c r="AJ80" i="122"/>
  <c r="AK80" i="122"/>
  <c r="AL80" i="122"/>
  <c r="AM80" i="122"/>
  <c r="AN80" i="122"/>
  <c r="AO80" i="122"/>
  <c r="AP80" i="122"/>
  <c r="AQ80" i="122"/>
  <c r="AR80" i="122"/>
  <c r="AS80" i="122"/>
  <c r="AT80" i="122"/>
  <c r="AU80" i="122"/>
  <c r="AV80" i="122"/>
  <c r="AW80" i="122"/>
  <c r="AX80" i="122"/>
  <c r="AY80" i="122"/>
  <c r="AZ80" i="122"/>
  <c r="BA80" i="122"/>
  <c r="BB80" i="122"/>
  <c r="AD9" i="122"/>
  <c r="AD167" i="122"/>
  <c r="AD87" i="122"/>
  <c r="B167" i="122"/>
  <c r="B87" i="122"/>
  <c r="AD7" i="122"/>
  <c r="B7" i="122"/>
  <c r="AC3" i="25"/>
  <c r="AM3" i="25"/>
  <c r="BP3" i="25"/>
  <c r="BN7" i="25"/>
  <c r="R7" i="25"/>
  <c r="AU7" i="25"/>
  <c r="BN3" i="25"/>
  <c r="AC7" i="25"/>
  <c r="AM7" i="25"/>
  <c r="R3" i="25"/>
  <c r="Z3" i="25"/>
  <c r="AQ7" i="25"/>
  <c r="Y7" i="25"/>
  <c r="AY7" i="25"/>
  <c r="AU3" i="25"/>
  <c r="AQ3" i="25"/>
  <c r="BP7" i="25"/>
  <c r="AY3" i="25"/>
  <c r="AI7" i="25"/>
  <c r="AI3" i="25"/>
  <c r="R6" i="25"/>
  <c r="BA8" i="25"/>
  <c r="AU4" i="25"/>
  <c r="AD2" i="25"/>
  <c r="AL4" i="25"/>
  <c r="W2" i="25"/>
  <c r="X2" i="25"/>
  <c r="BG4" i="25"/>
  <c r="BH2" i="25"/>
  <c r="AC4" i="25"/>
  <c r="BJ2" i="25"/>
  <c r="T11" i="125" l="1"/>
  <c r="S12" i="125"/>
  <c r="T12" i="125"/>
  <c r="R11" i="125"/>
  <c r="AF2" i="25"/>
  <c r="Z4" i="25"/>
  <c r="AM4" i="25"/>
  <c r="R8" i="25"/>
  <c r="BC8" i="25"/>
  <c r="R4" i="25"/>
  <c r="AT4" i="25"/>
  <c r="AY4" i="25"/>
  <c r="Z2" i="25"/>
  <c r="Z8" i="25"/>
  <c r="R2" i="25"/>
  <c r="BF4" i="25"/>
  <c r="AP4" i="25"/>
  <c r="AX4" i="25"/>
  <c r="AQ4" i="25"/>
  <c r="AI4" i="25"/>
  <c r="BB4" i="25"/>
  <c r="AH4" i="25"/>
  <c r="AY12" i="127" l="1"/>
  <c r="AZ25" i="127"/>
  <c r="AZ12" i="127"/>
  <c r="AZ24" i="127"/>
  <c r="AZ28" i="127"/>
  <c r="AZ21" i="127"/>
  <c r="AY30" i="127"/>
  <c r="T7" i="25"/>
  <c r="T6" i="25"/>
  <c r="AE7" i="25"/>
  <c r="Q29" i="125"/>
  <c r="AZ27" i="125"/>
  <c r="AZ41" i="125"/>
  <c r="AY8" i="125"/>
  <c r="AT5" i="125"/>
  <c r="Q5" i="125"/>
  <c r="AP5" i="125"/>
  <c r="AZ32" i="125"/>
  <c r="AY12" i="125"/>
  <c r="AX5" i="125"/>
  <c r="AL5" i="125"/>
  <c r="AZ8" i="127"/>
  <c r="BH22" i="127"/>
  <c r="BH10" i="127"/>
  <c r="BH31" i="127"/>
  <c r="BH25" i="127"/>
  <c r="P37" i="127"/>
  <c r="O37" i="127"/>
  <c r="AD30" i="127"/>
  <c r="AY8" i="127"/>
  <c r="AY9" i="127"/>
  <c r="AY25" i="127"/>
  <c r="U28" i="127"/>
  <c r="BH6" i="127"/>
  <c r="P35" i="127"/>
  <c r="O35" i="127"/>
  <c r="BH27" i="127"/>
  <c r="BH32" i="127"/>
  <c r="BH33" i="127"/>
  <c r="AY7" i="127"/>
  <c r="AY28" i="127"/>
  <c r="T28" i="127"/>
  <c r="AZ16" i="127"/>
  <c r="BH36" i="127"/>
  <c r="BH34" i="127"/>
  <c r="BH41" i="127"/>
  <c r="BH28" i="127"/>
  <c r="AZ9" i="127"/>
  <c r="AZ22" i="127"/>
  <c r="AZ7" i="127"/>
  <c r="S4" i="25"/>
  <c r="E16" i="119" s="1"/>
  <c r="AE3" i="25"/>
  <c r="S2" i="25"/>
  <c r="E12" i="119" s="1"/>
  <c r="S3" i="25"/>
  <c r="E11" i="119" s="1"/>
  <c r="AE4" i="25"/>
  <c r="AH5" i="127"/>
  <c r="AD5" i="127"/>
  <c r="AY5" i="127"/>
  <c r="AT33" i="127"/>
  <c r="AZ10" i="127"/>
  <c r="AZ14" i="127"/>
  <c r="AZ18" i="127"/>
  <c r="AX5" i="127"/>
  <c r="AT5" i="127"/>
  <c r="AX32" i="127"/>
  <c r="AZ32" i="127" s="1"/>
  <c r="AP33" i="127"/>
  <c r="AL33" i="127"/>
  <c r="AH29" i="127"/>
  <c r="AL5" i="127"/>
  <c r="AP5" i="127"/>
  <c r="AZ24" i="125"/>
  <c r="AZ28" i="125"/>
  <c r="AZ37" i="125"/>
  <c r="AZ25" i="125"/>
  <c r="AZ29" i="125"/>
  <c r="AZ27" i="127"/>
  <c r="AZ6" i="127"/>
  <c r="AZ11" i="127"/>
  <c r="AZ13" i="127"/>
  <c r="AZ15" i="127"/>
  <c r="AZ17" i="127"/>
  <c r="AZ19" i="127"/>
  <c r="AZ20" i="127"/>
  <c r="O3" i="25"/>
  <c r="D11" i="119" s="1"/>
  <c r="T3" i="25"/>
  <c r="U3" i="25" s="1"/>
  <c r="AN33" i="125"/>
  <c r="AH10" i="125"/>
  <c r="AH16" i="125"/>
  <c r="AZ16" i="125" s="1"/>
  <c r="O34" i="125"/>
  <c r="P34" i="125"/>
  <c r="O36" i="125"/>
  <c r="P36" i="125"/>
  <c r="O38" i="125"/>
  <c r="P38" i="125"/>
  <c r="Q38" i="125" s="1"/>
  <c r="O40" i="125"/>
  <c r="P40" i="125"/>
  <c r="Q40" i="125" s="1"/>
  <c r="AY5" i="125"/>
  <c r="AD5" i="125"/>
  <c r="AY11" i="125"/>
  <c r="AD11" i="125"/>
  <c r="AZ11" i="125" s="1"/>
  <c r="AY17" i="125"/>
  <c r="AD17" i="125"/>
  <c r="AZ17" i="125" s="1"/>
  <c r="AT33" i="125"/>
  <c r="AZ30" i="125"/>
  <c r="P10" i="127"/>
  <c r="Q10" i="127" s="1"/>
  <c r="O10" i="127"/>
  <c r="P12" i="127"/>
  <c r="Q12" i="127" s="1"/>
  <c r="O12" i="127"/>
  <c r="P14" i="127"/>
  <c r="Q14" i="127" s="1"/>
  <c r="O14" i="127"/>
  <c r="P16" i="127"/>
  <c r="Q16" i="127" s="1"/>
  <c r="O16" i="127"/>
  <c r="P18" i="127"/>
  <c r="O18" i="127"/>
  <c r="O25" i="127"/>
  <c r="P25" i="127"/>
  <c r="Q25" i="127" s="1"/>
  <c r="AB26" i="127"/>
  <c r="AJ26" i="127"/>
  <c r="AL26" i="127"/>
  <c r="BC26" i="127"/>
  <c r="AR26" i="127"/>
  <c r="O30" i="127"/>
  <c r="P30" i="127"/>
  <c r="Q30" i="127" s="1"/>
  <c r="AY33" i="127"/>
  <c r="AD33" i="127"/>
  <c r="AH34" i="127"/>
  <c r="O23" i="127"/>
  <c r="P23" i="127"/>
  <c r="AH39" i="127"/>
  <c r="AH35" i="127"/>
  <c r="AY38" i="127"/>
  <c r="AD38" i="127"/>
  <c r="AX26" i="127"/>
  <c r="AT26" i="127"/>
  <c r="O26" i="127"/>
  <c r="AR23" i="125"/>
  <c r="AB23" i="125"/>
  <c r="AX23" i="125"/>
  <c r="AH23" i="125"/>
  <c r="BC23" i="125"/>
  <c r="AJ23" i="125"/>
  <c r="AV23" i="125"/>
  <c r="AF23" i="125"/>
  <c r="AD33" i="125"/>
  <c r="R30" i="125"/>
  <c r="T30" i="125"/>
  <c r="U30" i="125"/>
  <c r="S30" i="125"/>
  <c r="AL33" i="125"/>
  <c r="N23" i="125"/>
  <c r="AH14" i="125"/>
  <c r="AH20" i="125"/>
  <c r="AZ20" i="125" s="1"/>
  <c r="AD23" i="125"/>
  <c r="AY15" i="125"/>
  <c r="AD15" i="125"/>
  <c r="AZ15" i="125" s="1"/>
  <c r="DT23" i="125"/>
  <c r="P5" i="127"/>
  <c r="O5" i="127"/>
  <c r="P7" i="127"/>
  <c r="Q7" i="127" s="1"/>
  <c r="O7" i="127"/>
  <c r="P9" i="127"/>
  <c r="Q9" i="127" s="1"/>
  <c r="O9" i="127"/>
  <c r="P29" i="127"/>
  <c r="O29" i="127"/>
  <c r="Q33" i="125"/>
  <c r="AV26" i="127"/>
  <c r="AH33" i="127"/>
  <c r="AY34" i="127"/>
  <c r="AD34" i="127"/>
  <c r="AY16" i="125"/>
  <c r="AY20" i="125"/>
  <c r="AH33" i="125"/>
  <c r="P20" i="127"/>
  <c r="BH20" i="127" s="1"/>
  <c r="O20" i="127"/>
  <c r="AH26" i="127"/>
  <c r="AY35" i="127"/>
  <c r="AD35" i="127"/>
  <c r="DT26" i="127"/>
  <c r="Q26" i="127"/>
  <c r="AY14" i="125"/>
  <c r="AD14" i="125"/>
  <c r="AH8" i="125"/>
  <c r="AZ8" i="125" s="1"/>
  <c r="AH18" i="125"/>
  <c r="O35" i="125"/>
  <c r="P35" i="125"/>
  <c r="O37" i="125"/>
  <c r="P37" i="125"/>
  <c r="O39" i="125"/>
  <c r="P39" i="125"/>
  <c r="Q39" i="125" s="1"/>
  <c r="O41" i="125"/>
  <c r="P41" i="125"/>
  <c r="Q41" i="125" s="1"/>
  <c r="AY13" i="125"/>
  <c r="AD13" i="125"/>
  <c r="AZ13" i="125" s="1"/>
  <c r="AY21" i="125"/>
  <c r="AD21" i="125"/>
  <c r="AZ21" i="125" s="1"/>
  <c r="AV33" i="125"/>
  <c r="AZ26" i="125"/>
  <c r="P11" i="127"/>
  <c r="Q11" i="127" s="1"/>
  <c r="O11" i="127"/>
  <c r="P13" i="127"/>
  <c r="O13" i="127"/>
  <c r="P15" i="127"/>
  <c r="O15" i="127"/>
  <c r="P17" i="127"/>
  <c r="O17" i="127"/>
  <c r="P19" i="127"/>
  <c r="Q19" i="127" s="1"/>
  <c r="O19" i="127"/>
  <c r="AD26" i="127"/>
  <c r="O23" i="125"/>
  <c r="O33" i="125"/>
  <c r="O22" i="127"/>
  <c r="P22" i="127"/>
  <c r="Q22" i="127" s="1"/>
  <c r="R32" i="127"/>
  <c r="S32" i="127"/>
  <c r="T32" i="127"/>
  <c r="U32" i="127"/>
  <c r="AY37" i="127"/>
  <c r="AD37" i="127"/>
  <c r="AY32" i="127"/>
  <c r="AH37" i="127"/>
  <c r="AY36" i="127"/>
  <c r="P24" i="127"/>
  <c r="O24" i="127"/>
  <c r="AF26" i="127"/>
  <c r="AH40" i="127"/>
  <c r="AH36" i="127"/>
  <c r="AZ36" i="127" s="1"/>
  <c r="S31" i="127"/>
  <c r="U31" i="127"/>
  <c r="R31" i="127"/>
  <c r="T31" i="127"/>
  <c r="AR33" i="125"/>
  <c r="AB33" i="125"/>
  <c r="DT33" i="125"/>
  <c r="AP33" i="125"/>
  <c r="AJ33" i="125"/>
  <c r="BC33" i="125"/>
  <c r="N33" i="125"/>
  <c r="T26" i="125"/>
  <c r="R26" i="125"/>
  <c r="U26" i="125"/>
  <c r="S26" i="125"/>
  <c r="AL23" i="125"/>
  <c r="AY6" i="125"/>
  <c r="AD6" i="125"/>
  <c r="AY10" i="125"/>
  <c r="AD10" i="125"/>
  <c r="AY18" i="125"/>
  <c r="AD18" i="125"/>
  <c r="AH6" i="125"/>
  <c r="AH12" i="125"/>
  <c r="AZ12" i="125" s="1"/>
  <c r="AN23" i="125"/>
  <c r="AY7" i="125"/>
  <c r="AD7" i="125"/>
  <c r="AZ7" i="125" s="1"/>
  <c r="AY9" i="125"/>
  <c r="AD9" i="125"/>
  <c r="AZ9" i="125" s="1"/>
  <c r="AY19" i="125"/>
  <c r="AD19" i="125"/>
  <c r="AZ19" i="125" s="1"/>
  <c r="AF33" i="125"/>
  <c r="P6" i="127"/>
  <c r="Q6" i="127" s="1"/>
  <c r="O6" i="127"/>
  <c r="P8" i="127"/>
  <c r="O8" i="127"/>
  <c r="P21" i="127"/>
  <c r="Q21" i="127" s="1"/>
  <c r="O21" i="127"/>
  <c r="AP26" i="127"/>
  <c r="AN26" i="127"/>
  <c r="Q23" i="125"/>
  <c r="AY31" i="127"/>
  <c r="AD31" i="127"/>
  <c r="AH38" i="127"/>
  <c r="AY41" i="127"/>
  <c r="AD41" i="127"/>
  <c r="N26" i="127"/>
  <c r="AY40" i="127"/>
  <c r="AD40" i="127"/>
  <c r="AH41" i="127"/>
  <c r="AZ23" i="127"/>
  <c r="AY39" i="127"/>
  <c r="AD39" i="127"/>
  <c r="E5" i="123"/>
  <c r="BB3" i="25"/>
  <c r="Y3" i="25"/>
  <c r="AX7" i="25"/>
  <c r="AW3" i="25"/>
  <c r="AG3" i="25"/>
  <c r="AT3" i="25"/>
  <c r="AT7" i="25"/>
  <c r="BF7" i="25"/>
  <c r="BB7" i="25"/>
  <c r="AK7" i="25"/>
  <c r="AG7" i="25"/>
  <c r="AO7" i="25"/>
  <c r="BA3" i="25"/>
  <c r="AH7" i="25"/>
  <c r="AS3" i="25"/>
  <c r="AX3" i="25"/>
  <c r="AP3" i="25"/>
  <c r="AL7" i="25"/>
  <c r="BC3" i="25"/>
  <c r="AB3" i="25"/>
  <c r="AP7" i="25"/>
  <c r="AS7" i="25"/>
  <c r="AB7" i="25"/>
  <c r="AK3" i="25"/>
  <c r="AL3" i="25"/>
  <c r="AH3" i="25"/>
  <c r="AO3" i="25"/>
  <c r="AA7" i="25"/>
  <c r="BA7" i="25"/>
  <c r="AW7" i="25"/>
  <c r="BF3" i="25"/>
  <c r="BC7" i="25"/>
  <c r="AW6" i="25"/>
  <c r="AR2" i="25"/>
  <c r="AO4" i="25"/>
  <c r="AA6" i="25"/>
  <c r="AY8" i="25"/>
  <c r="Y2" i="25"/>
  <c r="BA4" i="25"/>
  <c r="AL2" i="25"/>
  <c r="AC8" i="25"/>
  <c r="AJ4" i="25"/>
  <c r="AJ6" i="25"/>
  <c r="AR4" i="25"/>
  <c r="AM8" i="25"/>
  <c r="AB4" i="25"/>
  <c r="AM6" i="25"/>
  <c r="AH8" i="25"/>
  <c r="AB2" i="25"/>
  <c r="AP6" i="25"/>
  <c r="BC4" i="25"/>
  <c r="AV4" i="25"/>
  <c r="AW2" i="25"/>
  <c r="AC2" i="25"/>
  <c r="AQ6" i="25"/>
  <c r="BC2" i="25"/>
  <c r="BF8" i="25"/>
  <c r="BG2" i="25"/>
  <c r="AZ4" i="25"/>
  <c r="AU6" i="25"/>
  <c r="BG6" i="25"/>
  <c r="BA6" i="25"/>
  <c r="AV6" i="25"/>
  <c r="AX6" i="25"/>
  <c r="BF2" i="25"/>
  <c r="AY2" i="25"/>
  <c r="AL6" i="25"/>
  <c r="Y4" i="25"/>
  <c r="AS6" i="25"/>
  <c r="AX8" i="25"/>
  <c r="AZ6" i="25"/>
  <c r="AB8" i="25"/>
  <c r="AI2" i="25"/>
  <c r="AI6" i="25"/>
  <c r="BB8" i="25"/>
  <c r="AJ8" i="25"/>
  <c r="AW4" i="25"/>
  <c r="AR8" i="25"/>
  <c r="AO6" i="25"/>
  <c r="AT6" i="25"/>
  <c r="AS8" i="25"/>
  <c r="AJ2" i="25"/>
  <c r="AN4" i="25"/>
  <c r="AV8" i="25"/>
  <c r="AW8" i="25"/>
  <c r="AX2" i="25"/>
  <c r="AK2" i="25"/>
  <c r="AZ8" i="25"/>
  <c r="AT2" i="25"/>
  <c r="AR6" i="25"/>
  <c r="AQ2" i="25"/>
  <c r="AK8" i="25"/>
  <c r="AU8" i="25"/>
  <c r="BF6" i="25"/>
  <c r="AH2" i="25"/>
  <c r="AU2" i="25"/>
  <c r="AG6" i="25"/>
  <c r="AH6" i="25"/>
  <c r="AG8" i="25"/>
  <c r="AT8" i="25"/>
  <c r="AN6" i="25"/>
  <c r="AO2" i="25"/>
  <c r="AN8" i="25"/>
  <c r="AG4" i="25"/>
  <c r="AP8" i="25"/>
  <c r="AK4" i="25"/>
  <c r="AO8" i="25"/>
  <c r="BA2" i="25"/>
  <c r="AV2" i="25"/>
  <c r="AG2" i="25"/>
  <c r="AN2" i="25"/>
  <c r="BB2" i="25"/>
  <c r="AK6" i="25"/>
  <c r="BB6" i="25"/>
  <c r="AI8" i="25"/>
  <c r="AC6" i="25"/>
  <c r="AP2" i="25"/>
  <c r="Y8" i="25"/>
  <c r="BG8" i="25"/>
  <c r="AY6" i="25"/>
  <c r="AS2" i="25"/>
  <c r="AB6" i="25"/>
  <c r="AZ2" i="25"/>
  <c r="AM2" i="25"/>
  <c r="BC6" i="25"/>
  <c r="AQ8" i="25"/>
  <c r="Y6" i="25"/>
  <c r="AS4" i="25"/>
  <c r="AL8" i="25"/>
  <c r="Q35" i="125" l="1"/>
  <c r="S35" i="125" s="1"/>
  <c r="BH35" i="125"/>
  <c r="Q36" i="125"/>
  <c r="T36" i="125" s="1"/>
  <c r="BH36" i="125"/>
  <c r="Q37" i="125"/>
  <c r="S37" i="125" s="1"/>
  <c r="T5" i="125"/>
  <c r="S5" i="125"/>
  <c r="R5" i="125"/>
  <c r="U5" i="125"/>
  <c r="AE6" i="25"/>
  <c r="AE8" i="25"/>
  <c r="AE2" i="25"/>
  <c r="AZ30" i="127"/>
  <c r="AZ29" i="127"/>
  <c r="AZ10" i="125"/>
  <c r="U29" i="125"/>
  <c r="S29" i="125"/>
  <c r="R29" i="125"/>
  <c r="T29" i="125"/>
  <c r="Q34" i="125"/>
  <c r="AZ14" i="125"/>
  <c r="BH26" i="127"/>
  <c r="Q18" i="127"/>
  <c r="BH9" i="127"/>
  <c r="BH7" i="127"/>
  <c r="BH19" i="127"/>
  <c r="AZ39" i="127"/>
  <c r="AZ40" i="127"/>
  <c r="Q17" i="127"/>
  <c r="BH17" i="127"/>
  <c r="Q13" i="127"/>
  <c r="BH13" i="127"/>
  <c r="Q23" i="127"/>
  <c r="R23" i="127" s="1"/>
  <c r="BH21" i="127"/>
  <c r="BH14" i="127"/>
  <c r="BH16" i="127"/>
  <c r="BH18" i="127"/>
  <c r="BH23" i="127"/>
  <c r="Q24" i="127"/>
  <c r="R24" i="127" s="1"/>
  <c r="BH24" i="127"/>
  <c r="Q8" i="127"/>
  <c r="BH8" i="127"/>
  <c r="Q15" i="127"/>
  <c r="S15" i="127" s="1"/>
  <c r="BH15" i="127"/>
  <c r="Q35" i="127"/>
  <c r="BH35" i="127"/>
  <c r="Q20" i="127"/>
  <c r="T20" i="127" s="1"/>
  <c r="BH30" i="127"/>
  <c r="Q37" i="127"/>
  <c r="Q5" i="127"/>
  <c r="T5" i="127" s="1"/>
  <c r="Q29" i="127"/>
  <c r="T29" i="127" s="1"/>
  <c r="AZ5" i="127"/>
  <c r="AZ18" i="125"/>
  <c r="AZ5" i="125"/>
  <c r="AZ31" i="127"/>
  <c r="AZ35" i="127"/>
  <c r="AZ34" i="127"/>
  <c r="AZ33" i="127"/>
  <c r="AZ38" i="127"/>
  <c r="T23" i="125"/>
  <c r="S23" i="125"/>
  <c r="U23" i="125"/>
  <c r="R23" i="125"/>
  <c r="S24" i="127"/>
  <c r="T24" i="127"/>
  <c r="AZ26" i="127"/>
  <c r="R17" i="127"/>
  <c r="U17" i="127"/>
  <c r="S17" i="127"/>
  <c r="T17" i="127"/>
  <c r="U13" i="127"/>
  <c r="R13" i="127"/>
  <c r="S13" i="127"/>
  <c r="T13" i="127"/>
  <c r="S20" i="127"/>
  <c r="S33" i="125"/>
  <c r="U33" i="125"/>
  <c r="T33" i="125"/>
  <c r="R33" i="125"/>
  <c r="R9" i="127"/>
  <c r="U9" i="127"/>
  <c r="S9" i="127"/>
  <c r="T9" i="127"/>
  <c r="R18" i="127"/>
  <c r="U18" i="127"/>
  <c r="S18" i="127"/>
  <c r="T18" i="127"/>
  <c r="U14" i="127"/>
  <c r="R14" i="127"/>
  <c r="S14" i="127"/>
  <c r="T14" i="127"/>
  <c r="U10" i="127"/>
  <c r="R10" i="127"/>
  <c r="S10" i="127"/>
  <c r="T10" i="127"/>
  <c r="U40" i="125"/>
  <c r="T40" i="125"/>
  <c r="R40" i="125"/>
  <c r="S40" i="125"/>
  <c r="U36" i="125"/>
  <c r="S36" i="125"/>
  <c r="U8" i="127"/>
  <c r="T8" i="127"/>
  <c r="R8" i="127"/>
  <c r="S8" i="127"/>
  <c r="U39" i="125"/>
  <c r="R39" i="125"/>
  <c r="T39" i="125"/>
  <c r="S39" i="125"/>
  <c r="U23" i="127"/>
  <c r="S23" i="127"/>
  <c r="S30" i="127"/>
  <c r="T30" i="127"/>
  <c r="R30" i="127"/>
  <c r="U30" i="127"/>
  <c r="U21" i="127"/>
  <c r="R21" i="127"/>
  <c r="T21" i="127"/>
  <c r="S21" i="127"/>
  <c r="U6" i="127"/>
  <c r="R6" i="127"/>
  <c r="T6" i="127"/>
  <c r="S6" i="127"/>
  <c r="U41" i="125"/>
  <c r="T41" i="125"/>
  <c r="R41" i="125"/>
  <c r="S41" i="125"/>
  <c r="U37" i="125"/>
  <c r="T37" i="125"/>
  <c r="R37" i="125"/>
  <c r="R25" i="127"/>
  <c r="U25" i="127"/>
  <c r="S25" i="127"/>
  <c r="T25" i="127"/>
  <c r="T35" i="125"/>
  <c r="AZ41" i="127"/>
  <c r="AZ6" i="125"/>
  <c r="AZ37" i="127"/>
  <c r="U22" i="127"/>
  <c r="R22" i="127"/>
  <c r="S22" i="127"/>
  <c r="T22" i="127"/>
  <c r="R19" i="127"/>
  <c r="U19" i="127"/>
  <c r="S19" i="127"/>
  <c r="T19" i="127"/>
  <c r="R15" i="127"/>
  <c r="U11" i="127"/>
  <c r="R11" i="127"/>
  <c r="S11" i="127"/>
  <c r="T11" i="127"/>
  <c r="S26" i="127"/>
  <c r="U26" i="127"/>
  <c r="R26" i="127"/>
  <c r="T26" i="127"/>
  <c r="U7" i="127"/>
  <c r="R7" i="127"/>
  <c r="T7" i="127"/>
  <c r="S7" i="127"/>
  <c r="AZ23" i="125"/>
  <c r="AZ33" i="125"/>
  <c r="R16" i="127"/>
  <c r="U16" i="127"/>
  <c r="S16" i="127"/>
  <c r="T16" i="127"/>
  <c r="U12" i="127"/>
  <c r="R12" i="127"/>
  <c r="S12" i="127"/>
  <c r="T12" i="127"/>
  <c r="U38" i="125"/>
  <c r="T38" i="125"/>
  <c r="R38" i="125"/>
  <c r="S38" i="125"/>
  <c r="U34" i="125"/>
  <c r="T34" i="125"/>
  <c r="R34" i="125"/>
  <c r="S34" i="125"/>
  <c r="A98" i="123"/>
  <c r="A159" i="123"/>
  <c r="A160" i="123" s="1"/>
  <c r="A161" i="123" s="1"/>
  <c r="A162" i="123" s="1"/>
  <c r="A163" i="123" s="1"/>
  <c r="A164" i="123" s="1"/>
  <c r="A165" i="123" s="1"/>
  <c r="A166" i="123" s="1"/>
  <c r="A167" i="123" s="1"/>
  <c r="A168" i="123" s="1"/>
  <c r="A169" i="123" s="1"/>
  <c r="A170" i="123" s="1"/>
  <c r="A171" i="123" s="1"/>
  <c r="A172" i="123" s="1"/>
  <c r="A173" i="123" s="1"/>
  <c r="A174" i="123" s="1"/>
  <c r="A175" i="123" s="1"/>
  <c r="A176" i="123" s="1"/>
  <c r="A177" i="123" s="1"/>
  <c r="A178" i="123" s="1"/>
  <c r="A179" i="123" s="1"/>
  <c r="A180" i="123" s="1"/>
  <c r="A181" i="123" s="1"/>
  <c r="B157" i="123"/>
  <c r="B156" i="123"/>
  <c r="A156" i="123"/>
  <c r="N135" i="123"/>
  <c r="J135" i="123" s="1"/>
  <c r="N134" i="123"/>
  <c r="J134" i="123" s="1"/>
  <c r="N133" i="123"/>
  <c r="J133" i="123" s="1"/>
  <c r="A133" i="123"/>
  <c r="A134" i="123" s="1"/>
  <c r="A135" i="123" s="1"/>
  <c r="A136" i="123" s="1"/>
  <c r="A137" i="123" s="1"/>
  <c r="A138" i="123" s="1"/>
  <c r="A139" i="123" s="1"/>
  <c r="A140" i="123" s="1"/>
  <c r="A141" i="123" s="1"/>
  <c r="A142" i="123" s="1"/>
  <c r="A143" i="123" s="1"/>
  <c r="A144" i="123" s="1"/>
  <c r="A145" i="123" s="1"/>
  <c r="A146" i="123" s="1"/>
  <c r="A147" i="123" s="1"/>
  <c r="A148" i="123" s="1"/>
  <c r="A149" i="123" s="1"/>
  <c r="A150" i="123" s="1"/>
  <c r="A151" i="123" s="1"/>
  <c r="A152" i="123" s="1"/>
  <c r="A153" i="123" s="1"/>
  <c r="A154" i="123" s="1"/>
  <c r="A155" i="123" s="1"/>
  <c r="N132" i="123"/>
  <c r="J132" i="123" s="1"/>
  <c r="N131" i="123"/>
  <c r="J131" i="123" s="1"/>
  <c r="B131" i="123"/>
  <c r="B132" i="123" s="1"/>
  <c r="N130" i="123"/>
  <c r="J130" i="123" s="1"/>
  <c r="B130" i="123"/>
  <c r="A130" i="123"/>
  <c r="N129" i="123"/>
  <c r="J129" i="123" s="1"/>
  <c r="N128" i="123"/>
  <c r="J128" i="123" s="1"/>
  <c r="N127" i="123"/>
  <c r="J127" i="123" s="1"/>
  <c r="N126" i="123"/>
  <c r="J126" i="123" s="1"/>
  <c r="N125" i="123"/>
  <c r="J125" i="123" s="1"/>
  <c r="N124" i="123"/>
  <c r="J124" i="123" s="1"/>
  <c r="N123" i="123"/>
  <c r="J123" i="123" s="1"/>
  <c r="N122" i="123"/>
  <c r="J122" i="123" s="1"/>
  <c r="N121" i="123"/>
  <c r="J121" i="123" s="1"/>
  <c r="N120" i="123"/>
  <c r="J120" i="123" s="1"/>
  <c r="N119" i="123"/>
  <c r="J119" i="123" s="1"/>
  <c r="N118" i="123"/>
  <c r="J118" i="123" s="1"/>
  <c r="N117" i="123"/>
  <c r="J117" i="123" s="1"/>
  <c r="N116" i="123"/>
  <c r="J116" i="123" s="1"/>
  <c r="N115" i="123"/>
  <c r="J115" i="123" s="1"/>
  <c r="N114" i="123"/>
  <c r="J114" i="123" s="1"/>
  <c r="N113" i="123"/>
  <c r="J113" i="123" s="1"/>
  <c r="N112" i="123"/>
  <c r="J112" i="123" s="1"/>
  <c r="N111" i="123"/>
  <c r="J111" i="123" s="1"/>
  <c r="N110" i="123"/>
  <c r="J110" i="123" s="1"/>
  <c r="N109" i="123"/>
  <c r="J109" i="123" s="1"/>
  <c r="N108" i="123"/>
  <c r="J108" i="123" s="1"/>
  <c r="N107" i="123"/>
  <c r="J107" i="123" s="1"/>
  <c r="N106" i="123"/>
  <c r="J106" i="123" s="1"/>
  <c r="N105" i="123"/>
  <c r="J105" i="123" s="1"/>
  <c r="A105" i="123"/>
  <c r="A106" i="123" s="1"/>
  <c r="A107" i="123" s="1"/>
  <c r="A108" i="123" s="1"/>
  <c r="A109" i="123" s="1"/>
  <c r="A110" i="123" s="1"/>
  <c r="A111" i="123" s="1"/>
  <c r="A112" i="123" s="1"/>
  <c r="A113" i="123" s="1"/>
  <c r="A114" i="123" s="1"/>
  <c r="A115" i="123" s="1"/>
  <c r="A116" i="123" s="1"/>
  <c r="A117" i="123" s="1"/>
  <c r="A118" i="123" s="1"/>
  <c r="A119" i="123" s="1"/>
  <c r="A120" i="123" s="1"/>
  <c r="A121" i="123" s="1"/>
  <c r="A122" i="123" s="1"/>
  <c r="A123" i="123" s="1"/>
  <c r="A124" i="123" s="1"/>
  <c r="A125" i="123" s="1"/>
  <c r="A126" i="123" s="1"/>
  <c r="A127" i="123" s="1"/>
  <c r="A128" i="123" s="1"/>
  <c r="A129" i="123" s="1"/>
  <c r="N104" i="123"/>
  <c r="J104" i="123" s="1"/>
  <c r="N103" i="123"/>
  <c r="J103" i="123" s="1"/>
  <c r="B103" i="123"/>
  <c r="C103" i="123" s="1"/>
  <c r="B102" i="123"/>
  <c r="A102" i="123"/>
  <c r="N560" i="123"/>
  <c r="N559" i="123"/>
  <c r="N558" i="123"/>
  <c r="N557" i="123"/>
  <c r="N556" i="123"/>
  <c r="N555" i="123"/>
  <c r="N554" i="123"/>
  <c r="N553" i="123"/>
  <c r="N552" i="123"/>
  <c r="N551" i="123"/>
  <c r="N550" i="123"/>
  <c r="N549" i="123"/>
  <c r="N548" i="123"/>
  <c r="N547" i="123"/>
  <c r="N546" i="123"/>
  <c r="N545" i="123"/>
  <c r="N544" i="123"/>
  <c r="N543" i="123"/>
  <c r="N542" i="123"/>
  <c r="N541" i="123"/>
  <c r="N540" i="123"/>
  <c r="N539" i="123"/>
  <c r="N538" i="123"/>
  <c r="N537" i="123"/>
  <c r="N536" i="123"/>
  <c r="N535" i="123"/>
  <c r="N534" i="123"/>
  <c r="N533" i="123"/>
  <c r="N532" i="123"/>
  <c r="N531" i="123"/>
  <c r="N530" i="123"/>
  <c r="N529" i="123"/>
  <c r="N528" i="123"/>
  <c r="N475" i="123"/>
  <c r="N474" i="123"/>
  <c r="N473" i="123"/>
  <c r="N472" i="123"/>
  <c r="N471" i="123"/>
  <c r="N470" i="123"/>
  <c r="N469" i="123"/>
  <c r="N468" i="123"/>
  <c r="N467" i="123"/>
  <c r="N466" i="123"/>
  <c r="N465" i="123"/>
  <c r="N464" i="123"/>
  <c r="N463" i="123"/>
  <c r="N462" i="123"/>
  <c r="N461" i="123"/>
  <c r="N460" i="123"/>
  <c r="N459" i="123"/>
  <c r="N458" i="123"/>
  <c r="N457" i="123"/>
  <c r="N456" i="123"/>
  <c r="N455" i="123"/>
  <c r="N454" i="123"/>
  <c r="N453" i="123"/>
  <c r="N452" i="123"/>
  <c r="N451" i="123"/>
  <c r="N450" i="123"/>
  <c r="N449" i="123"/>
  <c r="N448" i="123"/>
  <c r="N447" i="123"/>
  <c r="N446" i="123"/>
  <c r="N445" i="123"/>
  <c r="N444" i="123"/>
  <c r="N443" i="123"/>
  <c r="N390" i="123"/>
  <c r="N389" i="123"/>
  <c r="N388" i="123"/>
  <c r="N387" i="123"/>
  <c r="N386" i="123"/>
  <c r="N385" i="123"/>
  <c r="N384" i="123"/>
  <c r="N383" i="123"/>
  <c r="N382" i="123"/>
  <c r="N381" i="123"/>
  <c r="N380" i="123"/>
  <c r="N379" i="123"/>
  <c r="N378" i="123"/>
  <c r="N377" i="123"/>
  <c r="N376" i="123"/>
  <c r="N375" i="123"/>
  <c r="N374" i="123"/>
  <c r="N373" i="123"/>
  <c r="N372" i="123"/>
  <c r="N371" i="123"/>
  <c r="N370" i="123"/>
  <c r="N369" i="123"/>
  <c r="N368" i="123"/>
  <c r="N367" i="123"/>
  <c r="N366" i="123"/>
  <c r="N365" i="123"/>
  <c r="N364" i="123"/>
  <c r="N363" i="123"/>
  <c r="N362" i="123"/>
  <c r="N361" i="123"/>
  <c r="N360" i="123"/>
  <c r="N359" i="123"/>
  <c r="N358" i="123"/>
  <c r="N305" i="123"/>
  <c r="N304" i="123"/>
  <c r="N303" i="123"/>
  <c r="N302" i="123"/>
  <c r="N301" i="123"/>
  <c r="N300" i="123"/>
  <c r="N299" i="123"/>
  <c r="N298" i="123"/>
  <c r="N297" i="123"/>
  <c r="N296" i="123"/>
  <c r="N295" i="123"/>
  <c r="N294" i="123"/>
  <c r="N293" i="123"/>
  <c r="N292" i="123"/>
  <c r="N291" i="123"/>
  <c r="N290" i="123"/>
  <c r="N289" i="123"/>
  <c r="N288" i="123"/>
  <c r="N287" i="123"/>
  <c r="N286" i="123"/>
  <c r="N285" i="123"/>
  <c r="N284" i="123"/>
  <c r="N283" i="123"/>
  <c r="N282" i="123"/>
  <c r="N281" i="123"/>
  <c r="N280" i="123"/>
  <c r="N279" i="123"/>
  <c r="N278" i="123"/>
  <c r="N277" i="123"/>
  <c r="N276" i="123"/>
  <c r="N275" i="123"/>
  <c r="N274" i="123"/>
  <c r="N273" i="123"/>
  <c r="N220" i="123"/>
  <c r="N219" i="123"/>
  <c r="N218" i="123"/>
  <c r="N217" i="123"/>
  <c r="N216" i="123"/>
  <c r="N215" i="123"/>
  <c r="N214" i="123"/>
  <c r="N213" i="123"/>
  <c r="N212" i="123"/>
  <c r="N211" i="123"/>
  <c r="N210" i="123"/>
  <c r="N209" i="123"/>
  <c r="N208" i="123"/>
  <c r="N207" i="123"/>
  <c r="N206" i="123"/>
  <c r="N205" i="123"/>
  <c r="N204" i="123"/>
  <c r="N203" i="123"/>
  <c r="N202" i="123"/>
  <c r="N201" i="123"/>
  <c r="N200" i="123"/>
  <c r="N199" i="123"/>
  <c r="N198" i="123"/>
  <c r="N197" i="123"/>
  <c r="N196" i="123"/>
  <c r="N195" i="123"/>
  <c r="N194" i="123"/>
  <c r="N193" i="123"/>
  <c r="N192" i="123"/>
  <c r="N191" i="123"/>
  <c r="N190" i="123"/>
  <c r="N189" i="123"/>
  <c r="N188" i="123"/>
  <c r="N19" i="123"/>
  <c r="N20" i="123"/>
  <c r="N21" i="123"/>
  <c r="N22" i="123"/>
  <c r="N23" i="123"/>
  <c r="N24" i="123"/>
  <c r="N25" i="123"/>
  <c r="N26" i="123"/>
  <c r="N27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N40" i="123"/>
  <c r="N41" i="123"/>
  <c r="N42" i="123"/>
  <c r="N43" i="123"/>
  <c r="N44" i="123"/>
  <c r="N45" i="123"/>
  <c r="N46" i="123"/>
  <c r="N47" i="123"/>
  <c r="N48" i="123"/>
  <c r="N49" i="123"/>
  <c r="N50" i="123"/>
  <c r="N18" i="123"/>
  <c r="BD7" i="25"/>
  <c r="BD3" i="25"/>
  <c r="AA3" i="25"/>
  <c r="BE6" i="25"/>
  <c r="BE2" i="25"/>
  <c r="BE8" i="25"/>
  <c r="BE4" i="25"/>
  <c r="R35" i="125" l="1"/>
  <c r="U35" i="125"/>
  <c r="R36" i="125"/>
  <c r="R5" i="127"/>
  <c r="U5" i="127"/>
  <c r="T15" i="127"/>
  <c r="T23" i="127"/>
  <c r="U20" i="127"/>
  <c r="U24" i="127"/>
  <c r="U15" i="127"/>
  <c r="R20" i="127"/>
  <c r="U37" i="127"/>
  <c r="T37" i="127"/>
  <c r="S37" i="127"/>
  <c r="R37" i="127"/>
  <c r="S35" i="127"/>
  <c r="U35" i="127"/>
  <c r="R35" i="127"/>
  <c r="T35" i="127"/>
  <c r="S5" i="127"/>
  <c r="S29" i="127"/>
  <c r="U29" i="127"/>
  <c r="R29" i="127"/>
  <c r="B133" i="123"/>
  <c r="B158" i="123"/>
  <c r="C157" i="123"/>
  <c r="B104" i="123"/>
  <c r="AA8" i="25"/>
  <c r="BD6" i="25"/>
  <c r="AA2" i="25"/>
  <c r="BD2" i="25"/>
  <c r="BD4" i="25"/>
  <c r="AA4" i="25"/>
  <c r="BD8" i="25"/>
  <c r="C104" i="123" l="1"/>
  <c r="B105" i="123"/>
  <c r="B159" i="123"/>
  <c r="C158" i="123"/>
  <c r="B134" i="123"/>
  <c r="B135" i="123" l="1"/>
  <c r="B160" i="123"/>
  <c r="C159" i="123"/>
  <c r="B106" i="123"/>
  <c r="C105" i="123"/>
  <c r="B136" i="123" l="1"/>
  <c r="C106" i="123"/>
  <c r="B107" i="123"/>
  <c r="B161" i="123"/>
  <c r="C160" i="123"/>
  <c r="B108" i="123" l="1"/>
  <c r="C107" i="123"/>
  <c r="B137" i="123"/>
  <c r="B162" i="123"/>
  <c r="C161" i="123"/>
  <c r="B138" i="123" l="1"/>
  <c r="C108" i="123"/>
  <c r="B109" i="123"/>
  <c r="B163" i="123"/>
  <c r="C162" i="123"/>
  <c r="B110" i="123" l="1"/>
  <c r="C109" i="123"/>
  <c r="B139" i="123"/>
  <c r="B164" i="123"/>
  <c r="C163" i="123"/>
  <c r="B165" i="123" l="1"/>
  <c r="C164" i="123"/>
  <c r="C110" i="123"/>
  <c r="B111" i="123"/>
  <c r="B140" i="123"/>
  <c r="B112" i="123" l="1"/>
  <c r="C111" i="123"/>
  <c r="B141" i="123"/>
  <c r="B166" i="123"/>
  <c r="C165" i="123"/>
  <c r="C112" i="123" l="1"/>
  <c r="B113" i="123"/>
  <c r="B142" i="123"/>
  <c r="B167" i="123"/>
  <c r="C166" i="123"/>
  <c r="B143" i="123" l="1"/>
  <c r="C167" i="123"/>
  <c r="B168" i="123"/>
  <c r="B114" i="123"/>
  <c r="C113" i="123"/>
  <c r="B169" i="123" l="1"/>
  <c r="C168" i="123"/>
  <c r="C114" i="123"/>
  <c r="B115" i="123"/>
  <c r="B144" i="123"/>
  <c r="B116" i="123" l="1"/>
  <c r="C115" i="123"/>
  <c r="B145" i="123"/>
  <c r="C169" i="123"/>
  <c r="B170" i="123"/>
  <c r="B171" i="123" l="1"/>
  <c r="C170" i="123"/>
  <c r="C116" i="123"/>
  <c r="B117" i="123"/>
  <c r="B146" i="123"/>
  <c r="B147" i="123" l="1"/>
  <c r="B118" i="123"/>
  <c r="C117" i="123"/>
  <c r="C171" i="123"/>
  <c r="B172" i="123"/>
  <c r="C118" i="123" l="1"/>
  <c r="B119" i="123"/>
  <c r="B173" i="123"/>
  <c r="C172" i="123"/>
  <c r="B148" i="123"/>
  <c r="C173" i="123" l="1"/>
  <c r="B174" i="123"/>
  <c r="B120" i="123"/>
  <c r="C119" i="123"/>
  <c r="B149" i="123"/>
  <c r="B150" i="123" l="1"/>
  <c r="B175" i="123"/>
  <c r="C174" i="123"/>
  <c r="C120" i="123"/>
  <c r="B121" i="123"/>
  <c r="B151" i="123" l="1"/>
  <c r="B122" i="123"/>
  <c r="C121" i="123"/>
  <c r="C175" i="123"/>
  <c r="B176" i="123"/>
  <c r="C122" i="123" l="1"/>
  <c r="B123" i="123"/>
  <c r="B177" i="123"/>
  <c r="C176" i="123"/>
  <c r="B152" i="123"/>
  <c r="C177" i="123" l="1"/>
  <c r="B178" i="123"/>
  <c r="B124" i="123"/>
  <c r="C123" i="123"/>
  <c r="B153" i="123"/>
  <c r="B154" i="123" l="1"/>
  <c r="B179" i="123"/>
  <c r="C178" i="123"/>
  <c r="C124" i="123"/>
  <c r="B125" i="123"/>
  <c r="B155" i="123" l="1"/>
  <c r="B126" i="123"/>
  <c r="C125" i="123"/>
  <c r="C179" i="123"/>
  <c r="B180" i="123"/>
  <c r="B181" i="123" l="1"/>
  <c r="C180" i="123"/>
  <c r="C126" i="123"/>
  <c r="B127" i="123"/>
  <c r="B128" i="123" l="1"/>
  <c r="C127" i="123"/>
  <c r="C181" i="123"/>
  <c r="C128" i="123" l="1"/>
  <c r="B129" i="123"/>
  <c r="C129" i="123" l="1"/>
  <c r="A584" i="123" l="1"/>
  <c r="A585" i="123" s="1"/>
  <c r="A586" i="123" s="1"/>
  <c r="A587" i="123" s="1"/>
  <c r="A588" i="123" s="1"/>
  <c r="A589" i="123" s="1"/>
  <c r="A590" i="123" s="1"/>
  <c r="A591" i="123" s="1"/>
  <c r="A592" i="123" s="1"/>
  <c r="A593" i="123" s="1"/>
  <c r="A594" i="123" s="1"/>
  <c r="A595" i="123" s="1"/>
  <c r="A596" i="123" s="1"/>
  <c r="A597" i="123" s="1"/>
  <c r="A598" i="123" s="1"/>
  <c r="A599" i="123" s="1"/>
  <c r="A600" i="123" s="1"/>
  <c r="A601" i="123" s="1"/>
  <c r="A602" i="123" s="1"/>
  <c r="A603" i="123" s="1"/>
  <c r="A604" i="123" s="1"/>
  <c r="A605" i="123" s="1"/>
  <c r="A606" i="123" s="1"/>
  <c r="B582" i="123"/>
  <c r="B581" i="123"/>
  <c r="A581" i="123"/>
  <c r="A558" i="123"/>
  <c r="A559" i="123" s="1"/>
  <c r="A560" i="123" s="1"/>
  <c r="A561" i="123" s="1"/>
  <c r="A562" i="123" s="1"/>
  <c r="A563" i="123" s="1"/>
  <c r="A564" i="123" s="1"/>
  <c r="A565" i="123" s="1"/>
  <c r="A566" i="123" s="1"/>
  <c r="A567" i="123" s="1"/>
  <c r="A568" i="123" s="1"/>
  <c r="A569" i="123" s="1"/>
  <c r="A570" i="123" s="1"/>
  <c r="A571" i="123" s="1"/>
  <c r="A572" i="123" s="1"/>
  <c r="A573" i="123" s="1"/>
  <c r="A574" i="123" s="1"/>
  <c r="A575" i="123" s="1"/>
  <c r="A576" i="123" s="1"/>
  <c r="A577" i="123" s="1"/>
  <c r="A578" i="123" s="1"/>
  <c r="A579" i="123" s="1"/>
  <c r="A580" i="123" s="1"/>
  <c r="B556" i="123"/>
  <c r="B555" i="123"/>
  <c r="A555" i="123"/>
  <c r="A530" i="123"/>
  <c r="A531" i="123" s="1"/>
  <c r="A532" i="123" s="1"/>
  <c r="A533" i="123" s="1"/>
  <c r="A534" i="123" s="1"/>
  <c r="A535" i="123" s="1"/>
  <c r="A536" i="123" s="1"/>
  <c r="A537" i="123" s="1"/>
  <c r="A538" i="123" s="1"/>
  <c r="A539" i="123" s="1"/>
  <c r="A540" i="123" s="1"/>
  <c r="A541" i="123" s="1"/>
  <c r="A542" i="123" s="1"/>
  <c r="A543" i="123" s="1"/>
  <c r="A544" i="123" s="1"/>
  <c r="A545" i="123" s="1"/>
  <c r="A546" i="123" s="1"/>
  <c r="A547" i="123" s="1"/>
  <c r="A548" i="123" s="1"/>
  <c r="A549" i="123" s="1"/>
  <c r="A550" i="123" s="1"/>
  <c r="A551" i="123" s="1"/>
  <c r="A552" i="123" s="1"/>
  <c r="A553" i="123" s="1"/>
  <c r="A554" i="123" s="1"/>
  <c r="B528" i="123"/>
  <c r="B527" i="123"/>
  <c r="A527" i="123"/>
  <c r="A499" i="123"/>
  <c r="A500" i="123" s="1"/>
  <c r="A501" i="123" s="1"/>
  <c r="A502" i="123" s="1"/>
  <c r="A503" i="123" s="1"/>
  <c r="A504" i="123" s="1"/>
  <c r="A505" i="123" s="1"/>
  <c r="A506" i="123" s="1"/>
  <c r="A507" i="123" s="1"/>
  <c r="A508" i="123" s="1"/>
  <c r="A509" i="123" s="1"/>
  <c r="A510" i="123" s="1"/>
  <c r="A511" i="123" s="1"/>
  <c r="A512" i="123" s="1"/>
  <c r="A513" i="123" s="1"/>
  <c r="A514" i="123" s="1"/>
  <c r="A515" i="123" s="1"/>
  <c r="A516" i="123" s="1"/>
  <c r="A517" i="123" s="1"/>
  <c r="A518" i="123" s="1"/>
  <c r="A519" i="123" s="1"/>
  <c r="A520" i="123" s="1"/>
  <c r="A521" i="123" s="1"/>
  <c r="B497" i="123"/>
  <c r="B496" i="123"/>
  <c r="A496" i="123"/>
  <c r="A473" i="123"/>
  <c r="A474" i="123" s="1"/>
  <c r="A475" i="123" s="1"/>
  <c r="A476" i="123" s="1"/>
  <c r="A477" i="123" s="1"/>
  <c r="A478" i="123" s="1"/>
  <c r="A479" i="123" s="1"/>
  <c r="A480" i="123" s="1"/>
  <c r="A481" i="123" s="1"/>
  <c r="A482" i="123" s="1"/>
  <c r="A483" i="123" s="1"/>
  <c r="A484" i="123" s="1"/>
  <c r="A485" i="123" s="1"/>
  <c r="A486" i="123" s="1"/>
  <c r="A487" i="123" s="1"/>
  <c r="A488" i="123" s="1"/>
  <c r="A489" i="123" s="1"/>
  <c r="A490" i="123" s="1"/>
  <c r="A491" i="123" s="1"/>
  <c r="A492" i="123" s="1"/>
  <c r="A493" i="123" s="1"/>
  <c r="A494" i="123" s="1"/>
  <c r="A495" i="123" s="1"/>
  <c r="B471" i="123"/>
  <c r="B470" i="123"/>
  <c r="A470" i="123"/>
  <c r="A446" i="123"/>
  <c r="A447" i="123" s="1"/>
  <c r="A448" i="123" s="1"/>
  <c r="A449" i="123" s="1"/>
  <c r="A450" i="123" s="1"/>
  <c r="A451" i="123" s="1"/>
  <c r="A452" i="123" s="1"/>
  <c r="A453" i="123" s="1"/>
  <c r="A454" i="123" s="1"/>
  <c r="A455" i="123" s="1"/>
  <c r="A456" i="123" s="1"/>
  <c r="A457" i="123" s="1"/>
  <c r="A458" i="123" s="1"/>
  <c r="A459" i="123" s="1"/>
  <c r="A460" i="123" s="1"/>
  <c r="A461" i="123" s="1"/>
  <c r="A462" i="123" s="1"/>
  <c r="A463" i="123" s="1"/>
  <c r="A464" i="123" s="1"/>
  <c r="A465" i="123" s="1"/>
  <c r="A466" i="123" s="1"/>
  <c r="A467" i="123" s="1"/>
  <c r="A468" i="123" s="1"/>
  <c r="A469" i="123" s="1"/>
  <c r="A445" i="123"/>
  <c r="B443" i="123"/>
  <c r="B442" i="123"/>
  <c r="A442" i="123"/>
  <c r="A414" i="123"/>
  <c r="B412" i="123"/>
  <c r="B411" i="123"/>
  <c r="A411" i="123"/>
  <c r="A388" i="123"/>
  <c r="A389" i="123" s="1"/>
  <c r="B386" i="123"/>
  <c r="B385" i="123"/>
  <c r="A385" i="123"/>
  <c r="A360" i="123"/>
  <c r="B358" i="123"/>
  <c r="B357" i="123"/>
  <c r="A357" i="123"/>
  <c r="A329" i="123"/>
  <c r="A330" i="123" s="1"/>
  <c r="A331" i="123" s="1"/>
  <c r="A332" i="123" s="1"/>
  <c r="A333" i="123" s="1"/>
  <c r="A334" i="123" s="1"/>
  <c r="A335" i="123" s="1"/>
  <c r="A336" i="123" s="1"/>
  <c r="A337" i="123" s="1"/>
  <c r="A338" i="123" s="1"/>
  <c r="A339" i="123" s="1"/>
  <c r="A340" i="123" s="1"/>
  <c r="A341" i="123" s="1"/>
  <c r="A342" i="123" s="1"/>
  <c r="A343" i="123" s="1"/>
  <c r="A344" i="123" s="1"/>
  <c r="A345" i="123" s="1"/>
  <c r="A346" i="123" s="1"/>
  <c r="A347" i="123" s="1"/>
  <c r="A348" i="123" s="1"/>
  <c r="A349" i="123" s="1"/>
  <c r="A350" i="123" s="1"/>
  <c r="A351" i="123" s="1"/>
  <c r="B327" i="123"/>
  <c r="B326" i="123"/>
  <c r="A326" i="123"/>
  <c r="A303" i="123"/>
  <c r="A304" i="123" s="1"/>
  <c r="A305" i="123" s="1"/>
  <c r="A306" i="123" s="1"/>
  <c r="A307" i="123" s="1"/>
  <c r="A308" i="123" s="1"/>
  <c r="A309" i="123" s="1"/>
  <c r="A310" i="123" s="1"/>
  <c r="A311" i="123" s="1"/>
  <c r="A312" i="123" s="1"/>
  <c r="A313" i="123" s="1"/>
  <c r="A314" i="123" s="1"/>
  <c r="A315" i="123" s="1"/>
  <c r="A316" i="123" s="1"/>
  <c r="A317" i="123" s="1"/>
  <c r="A318" i="123" s="1"/>
  <c r="A319" i="123" s="1"/>
  <c r="A320" i="123" s="1"/>
  <c r="A321" i="123" s="1"/>
  <c r="A322" i="123" s="1"/>
  <c r="A323" i="123" s="1"/>
  <c r="A324" i="123" s="1"/>
  <c r="A325" i="123" s="1"/>
  <c r="B301" i="123"/>
  <c r="B300" i="123"/>
  <c r="A300" i="123"/>
  <c r="A275" i="123"/>
  <c r="A276" i="123" s="1"/>
  <c r="A277" i="123" s="1"/>
  <c r="A278" i="123" s="1"/>
  <c r="A279" i="123" s="1"/>
  <c r="A280" i="123" s="1"/>
  <c r="A281" i="123" s="1"/>
  <c r="A282" i="123" s="1"/>
  <c r="A283" i="123" s="1"/>
  <c r="A284" i="123" s="1"/>
  <c r="A285" i="123" s="1"/>
  <c r="A286" i="123" s="1"/>
  <c r="A287" i="123" s="1"/>
  <c r="A288" i="123" s="1"/>
  <c r="A289" i="123" s="1"/>
  <c r="A290" i="123" s="1"/>
  <c r="A291" i="123" s="1"/>
  <c r="A292" i="123" s="1"/>
  <c r="A293" i="123" s="1"/>
  <c r="A294" i="123" s="1"/>
  <c r="A295" i="123" s="1"/>
  <c r="A296" i="123" s="1"/>
  <c r="A297" i="123" s="1"/>
  <c r="A298" i="123" s="1"/>
  <c r="A299" i="123" s="1"/>
  <c r="B273" i="123"/>
  <c r="B272" i="123"/>
  <c r="A272" i="123"/>
  <c r="J191" i="123"/>
  <c r="B413" i="123" l="1"/>
  <c r="B414" i="123" s="1"/>
  <c r="B557" i="123"/>
  <c r="B302" i="123"/>
  <c r="B328" i="123"/>
  <c r="B529" i="123"/>
  <c r="B583" i="123"/>
  <c r="B359" i="123"/>
  <c r="B472" i="123"/>
  <c r="B444" i="123"/>
  <c r="B498" i="123"/>
  <c r="B387" i="123"/>
  <c r="A361" i="123"/>
  <c r="A415" i="123"/>
  <c r="A390" i="123"/>
  <c r="B274" i="123"/>
  <c r="A244" i="123"/>
  <c r="A245" i="123" s="1"/>
  <c r="A246" i="123" s="1"/>
  <c r="A247" i="123" s="1"/>
  <c r="A248" i="123" s="1"/>
  <c r="A249" i="123" s="1"/>
  <c r="A250" i="123" s="1"/>
  <c r="A251" i="123" s="1"/>
  <c r="A252" i="123" s="1"/>
  <c r="A253" i="123" s="1"/>
  <c r="A254" i="123" s="1"/>
  <c r="A255" i="123" s="1"/>
  <c r="A256" i="123" s="1"/>
  <c r="A257" i="123" s="1"/>
  <c r="A258" i="123" s="1"/>
  <c r="A259" i="123" s="1"/>
  <c r="A260" i="123" s="1"/>
  <c r="A261" i="123" s="1"/>
  <c r="A262" i="123" s="1"/>
  <c r="A263" i="123" s="1"/>
  <c r="A264" i="123" s="1"/>
  <c r="A265" i="123" s="1"/>
  <c r="A266" i="123" s="1"/>
  <c r="B242" i="123"/>
  <c r="B241" i="123"/>
  <c r="A241" i="123"/>
  <c r="A218" i="123"/>
  <c r="A219" i="123" s="1"/>
  <c r="A220" i="123" s="1"/>
  <c r="A221" i="123" s="1"/>
  <c r="A222" i="123" s="1"/>
  <c r="A223" i="123" s="1"/>
  <c r="A224" i="123" s="1"/>
  <c r="A225" i="123" s="1"/>
  <c r="A226" i="123" s="1"/>
  <c r="A227" i="123" s="1"/>
  <c r="A228" i="123" s="1"/>
  <c r="A229" i="123" s="1"/>
  <c r="A230" i="123" s="1"/>
  <c r="A231" i="123" s="1"/>
  <c r="A232" i="123" s="1"/>
  <c r="A233" i="123" s="1"/>
  <c r="A234" i="123" s="1"/>
  <c r="A235" i="123" s="1"/>
  <c r="A236" i="123" s="1"/>
  <c r="A237" i="123" s="1"/>
  <c r="A238" i="123" s="1"/>
  <c r="A239" i="123" s="1"/>
  <c r="A240" i="123" s="1"/>
  <c r="B216" i="123"/>
  <c r="B215" i="123"/>
  <c r="A215" i="123"/>
  <c r="A190" i="123"/>
  <c r="A191" i="123" s="1"/>
  <c r="A192" i="123" s="1"/>
  <c r="A193" i="123" s="1"/>
  <c r="A194" i="123" s="1"/>
  <c r="A195" i="123" s="1"/>
  <c r="A196" i="123" s="1"/>
  <c r="A197" i="123" s="1"/>
  <c r="A198" i="123" s="1"/>
  <c r="A199" i="123" s="1"/>
  <c r="A200" i="123" s="1"/>
  <c r="A201" i="123" s="1"/>
  <c r="A202" i="123" s="1"/>
  <c r="A203" i="123" s="1"/>
  <c r="A204" i="123" s="1"/>
  <c r="A205" i="123" s="1"/>
  <c r="A206" i="123" s="1"/>
  <c r="A207" i="123" s="1"/>
  <c r="A208" i="123" s="1"/>
  <c r="A209" i="123" s="1"/>
  <c r="A210" i="123" s="1"/>
  <c r="A211" i="123" s="1"/>
  <c r="A212" i="123" s="1"/>
  <c r="A213" i="123" s="1"/>
  <c r="A214" i="123" s="1"/>
  <c r="B188" i="123"/>
  <c r="B187" i="123"/>
  <c r="A187" i="123"/>
  <c r="A17" i="123"/>
  <c r="D528" i="123" s="1"/>
  <c r="A45" i="123"/>
  <c r="A71" i="123"/>
  <c r="B72" i="123"/>
  <c r="A74" i="123"/>
  <c r="A75" i="123" s="1"/>
  <c r="A76" i="123" s="1"/>
  <c r="A77" i="123" s="1"/>
  <c r="A78" i="123" s="1"/>
  <c r="A79" i="123" s="1"/>
  <c r="A80" i="123" s="1"/>
  <c r="A81" i="123" s="1"/>
  <c r="A82" i="123" s="1"/>
  <c r="A83" i="123" s="1"/>
  <c r="A84" i="123" s="1"/>
  <c r="A85" i="123" s="1"/>
  <c r="A86" i="123" s="1"/>
  <c r="A87" i="123" s="1"/>
  <c r="A88" i="123" s="1"/>
  <c r="A89" i="123" s="1"/>
  <c r="A90" i="123" s="1"/>
  <c r="A91" i="123" s="1"/>
  <c r="A92" i="123" s="1"/>
  <c r="A93" i="123" s="1"/>
  <c r="A94" i="123" s="1"/>
  <c r="A95" i="123" s="1"/>
  <c r="A96" i="123" s="1"/>
  <c r="B71" i="123"/>
  <c r="B45" i="123"/>
  <c r="B17" i="123"/>
  <c r="B46" i="123"/>
  <c r="D46" i="123" s="1"/>
  <c r="A48" i="123"/>
  <c r="B360" i="123" l="1"/>
  <c r="D360" i="123" s="1"/>
  <c r="D359" i="123"/>
  <c r="D301" i="123"/>
  <c r="D471" i="123"/>
  <c r="D72" i="123"/>
  <c r="D583" i="123"/>
  <c r="D302" i="123"/>
  <c r="D557" i="123"/>
  <c r="D412" i="123"/>
  <c r="B303" i="123"/>
  <c r="D303" i="123" s="1"/>
  <c r="D444" i="123"/>
  <c r="B558" i="123"/>
  <c r="D558" i="123" s="1"/>
  <c r="D327" i="123"/>
  <c r="D273" i="123"/>
  <c r="D413" i="123"/>
  <c r="D132" i="123"/>
  <c r="D103" i="123"/>
  <c r="D157" i="123"/>
  <c r="D131" i="123"/>
  <c r="D158" i="123"/>
  <c r="D104" i="123"/>
  <c r="D133" i="123"/>
  <c r="D134" i="123"/>
  <c r="D159" i="123"/>
  <c r="D105" i="123"/>
  <c r="D135" i="123"/>
  <c r="D106" i="123"/>
  <c r="D160" i="123"/>
  <c r="D136" i="123"/>
  <c r="D161" i="123"/>
  <c r="D107" i="123"/>
  <c r="D108" i="123"/>
  <c r="D162" i="123"/>
  <c r="D137" i="123"/>
  <c r="D163" i="123"/>
  <c r="D138" i="123"/>
  <c r="D109" i="123"/>
  <c r="D110" i="123"/>
  <c r="D164" i="123"/>
  <c r="D139" i="123"/>
  <c r="D165" i="123"/>
  <c r="D140" i="123"/>
  <c r="D111" i="123"/>
  <c r="D112" i="123"/>
  <c r="D166" i="123"/>
  <c r="D141" i="123"/>
  <c r="D142" i="123"/>
  <c r="D167" i="123"/>
  <c r="D113" i="123"/>
  <c r="D143" i="123"/>
  <c r="D168" i="123"/>
  <c r="D114" i="123"/>
  <c r="D169" i="123"/>
  <c r="D144" i="123"/>
  <c r="D115" i="123"/>
  <c r="D170" i="123"/>
  <c r="D116" i="123"/>
  <c r="D145" i="123"/>
  <c r="D146" i="123"/>
  <c r="D171" i="123"/>
  <c r="D117" i="123"/>
  <c r="D172" i="123"/>
  <c r="D147" i="123"/>
  <c r="D118" i="123"/>
  <c r="D148" i="123"/>
  <c r="D173" i="123"/>
  <c r="D119" i="123"/>
  <c r="D149" i="123"/>
  <c r="D120" i="123"/>
  <c r="D174" i="123"/>
  <c r="D121" i="123"/>
  <c r="D150" i="123"/>
  <c r="D175" i="123"/>
  <c r="D176" i="123"/>
  <c r="D151" i="123"/>
  <c r="D122" i="123"/>
  <c r="D152" i="123"/>
  <c r="D177" i="123"/>
  <c r="D123" i="123"/>
  <c r="D153" i="123"/>
  <c r="D178" i="123"/>
  <c r="D124" i="123"/>
  <c r="D125" i="123"/>
  <c r="D154" i="123"/>
  <c r="D179" i="123"/>
  <c r="D180" i="123"/>
  <c r="D155" i="123"/>
  <c r="D126" i="123"/>
  <c r="D181" i="123"/>
  <c r="D127" i="123"/>
  <c r="D128" i="123"/>
  <c r="D129" i="123"/>
  <c r="D414" i="123"/>
  <c r="D443" i="123"/>
  <c r="D556" i="123"/>
  <c r="D498" i="123"/>
  <c r="D358" i="123"/>
  <c r="D188" i="123"/>
  <c r="D216" i="123"/>
  <c r="D242" i="123"/>
  <c r="D274" i="123"/>
  <c r="D387" i="123"/>
  <c r="D472" i="123"/>
  <c r="D529" i="123"/>
  <c r="B329" i="123"/>
  <c r="D328" i="123"/>
  <c r="D582" i="123"/>
  <c r="D497" i="123"/>
  <c r="D386" i="123"/>
  <c r="G181" i="123"/>
  <c r="G177" i="123"/>
  <c r="G173" i="123"/>
  <c r="G169" i="123"/>
  <c r="G165" i="123"/>
  <c r="G161" i="123"/>
  <c r="G157" i="123"/>
  <c r="G180" i="123"/>
  <c r="G176" i="123"/>
  <c r="G172" i="123"/>
  <c r="G168" i="123"/>
  <c r="G164" i="123"/>
  <c r="G160" i="123"/>
  <c r="G179" i="123"/>
  <c r="G171" i="123"/>
  <c r="G163" i="123"/>
  <c r="G178" i="123"/>
  <c r="G170" i="123"/>
  <c r="G162" i="123"/>
  <c r="G175" i="123"/>
  <c r="G159" i="123"/>
  <c r="G174" i="123"/>
  <c r="G158" i="123"/>
  <c r="G167" i="123"/>
  <c r="G166" i="123"/>
  <c r="G152" i="123"/>
  <c r="G148" i="123"/>
  <c r="G144" i="123"/>
  <c r="G140" i="123"/>
  <c r="G136" i="123"/>
  <c r="G132" i="123"/>
  <c r="G155" i="123"/>
  <c r="G151" i="123"/>
  <c r="G147" i="123"/>
  <c r="G143" i="123"/>
  <c r="G139" i="123"/>
  <c r="G135" i="123"/>
  <c r="G131" i="123"/>
  <c r="G154" i="123"/>
  <c r="G146" i="123"/>
  <c r="G138" i="123"/>
  <c r="G153" i="123"/>
  <c r="G145" i="123"/>
  <c r="G137" i="123"/>
  <c r="G142" i="123"/>
  <c r="G149" i="123"/>
  <c r="G141" i="123"/>
  <c r="G150" i="123"/>
  <c r="G134" i="123"/>
  <c r="G133" i="123"/>
  <c r="G127" i="123"/>
  <c r="G123" i="123"/>
  <c r="G119" i="123"/>
  <c r="G115" i="123"/>
  <c r="G111" i="123"/>
  <c r="G107" i="123"/>
  <c r="G103" i="123"/>
  <c r="G126" i="123"/>
  <c r="G122" i="123"/>
  <c r="G118" i="123"/>
  <c r="G114" i="123"/>
  <c r="G110" i="123"/>
  <c r="G106" i="123"/>
  <c r="G129" i="123"/>
  <c r="G121" i="123"/>
  <c r="G113" i="123"/>
  <c r="G105" i="123"/>
  <c r="G128" i="123"/>
  <c r="G120" i="123"/>
  <c r="G112" i="123"/>
  <c r="G104" i="123"/>
  <c r="G125" i="123"/>
  <c r="G109" i="123"/>
  <c r="G124" i="123"/>
  <c r="G108" i="123"/>
  <c r="G117" i="123"/>
  <c r="G116" i="123"/>
  <c r="B584" i="123"/>
  <c r="D584" i="123" s="1"/>
  <c r="B530" i="123"/>
  <c r="D530" i="123" s="1"/>
  <c r="B499" i="123"/>
  <c r="D499" i="123" s="1"/>
  <c r="B445" i="123"/>
  <c r="D445" i="123" s="1"/>
  <c r="B473" i="123"/>
  <c r="D473" i="123" s="1"/>
  <c r="B361" i="123"/>
  <c r="D361" i="123" s="1"/>
  <c r="A391" i="123"/>
  <c r="B415" i="123"/>
  <c r="D415" i="123" s="1"/>
  <c r="A362" i="123"/>
  <c r="A416" i="123"/>
  <c r="B388" i="123"/>
  <c r="D388" i="123" s="1"/>
  <c r="B275" i="123"/>
  <c r="D275" i="123" s="1"/>
  <c r="B304" i="123"/>
  <c r="D304" i="123" s="1"/>
  <c r="B189" i="123"/>
  <c r="B217" i="123"/>
  <c r="B243" i="123"/>
  <c r="D243" i="123" s="1"/>
  <c r="B73" i="123"/>
  <c r="D73" i="123" s="1"/>
  <c r="B47" i="123"/>
  <c r="D47" i="123" s="1"/>
  <c r="A49" i="123"/>
  <c r="B218" i="123" l="1"/>
  <c r="D218" i="123" s="1"/>
  <c r="D217" i="123"/>
  <c r="B190" i="123"/>
  <c r="D190" i="123" s="1"/>
  <c r="D189" i="123"/>
  <c r="B559" i="123"/>
  <c r="D559" i="123" s="1"/>
  <c r="D329" i="123"/>
  <c r="B330" i="123"/>
  <c r="B560" i="123"/>
  <c r="D560" i="123" s="1"/>
  <c r="B585" i="123"/>
  <c r="D585" i="123" s="1"/>
  <c r="B531" i="123"/>
  <c r="D531" i="123" s="1"/>
  <c r="B500" i="123"/>
  <c r="D500" i="123" s="1"/>
  <c r="B474" i="123"/>
  <c r="D474" i="123" s="1"/>
  <c r="B446" i="123"/>
  <c r="D446" i="123" s="1"/>
  <c r="A392" i="123"/>
  <c r="A363" i="123"/>
  <c r="B416" i="123"/>
  <c r="D416" i="123" s="1"/>
  <c r="A417" i="123"/>
  <c r="B362" i="123"/>
  <c r="D362" i="123" s="1"/>
  <c r="B389" i="123"/>
  <c r="D389" i="123" s="1"/>
  <c r="B276" i="123"/>
  <c r="D276" i="123" s="1"/>
  <c r="B305" i="123"/>
  <c r="D305" i="123" s="1"/>
  <c r="B244" i="123"/>
  <c r="B191" i="123"/>
  <c r="D191" i="123" s="1"/>
  <c r="B219" i="123"/>
  <c r="D219" i="123" s="1"/>
  <c r="B74" i="123"/>
  <c r="D74" i="123" s="1"/>
  <c r="B48" i="123"/>
  <c r="D48" i="123" s="1"/>
  <c r="A50" i="123"/>
  <c r="B245" i="123" l="1"/>
  <c r="D245" i="123" s="1"/>
  <c r="D244" i="123"/>
  <c r="D330" i="123"/>
  <c r="B331" i="123"/>
  <c r="B532" i="123"/>
  <c r="D532" i="123" s="1"/>
  <c r="B586" i="123"/>
  <c r="D586" i="123" s="1"/>
  <c r="B561" i="123"/>
  <c r="D561" i="123" s="1"/>
  <c r="B475" i="123"/>
  <c r="D475" i="123" s="1"/>
  <c r="B447" i="123"/>
  <c r="D447" i="123" s="1"/>
  <c r="B501" i="123"/>
  <c r="D501" i="123" s="1"/>
  <c r="B417" i="123"/>
  <c r="D417" i="123" s="1"/>
  <c r="B390" i="123"/>
  <c r="D390" i="123" s="1"/>
  <c r="B363" i="123"/>
  <c r="D363" i="123" s="1"/>
  <c r="A364" i="123"/>
  <c r="A418" i="123"/>
  <c r="A393" i="123"/>
  <c r="B306" i="123"/>
  <c r="D306" i="123" s="1"/>
  <c r="B277" i="123"/>
  <c r="D277" i="123" s="1"/>
  <c r="B246" i="123"/>
  <c r="D246" i="123" s="1"/>
  <c r="B192" i="123"/>
  <c r="D192" i="123" s="1"/>
  <c r="B49" i="123"/>
  <c r="B220" i="123"/>
  <c r="D220" i="123" s="1"/>
  <c r="B75" i="123"/>
  <c r="D75" i="123" s="1"/>
  <c r="A51" i="123"/>
  <c r="D331" i="123" l="1"/>
  <c r="B332" i="123"/>
  <c r="B50" i="123"/>
  <c r="D50" i="123" s="1"/>
  <c r="D49" i="123"/>
  <c r="B562" i="123"/>
  <c r="D562" i="123" s="1"/>
  <c r="B587" i="123"/>
  <c r="D587" i="123" s="1"/>
  <c r="B533" i="123"/>
  <c r="D533" i="123" s="1"/>
  <c r="B502" i="123"/>
  <c r="D502" i="123" s="1"/>
  <c r="B448" i="123"/>
  <c r="D448" i="123" s="1"/>
  <c r="B476" i="123"/>
  <c r="D476" i="123" s="1"/>
  <c r="B391" i="123"/>
  <c r="D391" i="123" s="1"/>
  <c r="B418" i="123"/>
  <c r="D418" i="123" s="1"/>
  <c r="A394" i="123"/>
  <c r="A419" i="123"/>
  <c r="A365" i="123"/>
  <c r="B364" i="123"/>
  <c r="D364" i="123" s="1"/>
  <c r="B307" i="123"/>
  <c r="D307" i="123" s="1"/>
  <c r="B278" i="123"/>
  <c r="D278" i="123" s="1"/>
  <c r="B193" i="123"/>
  <c r="D193" i="123" s="1"/>
  <c r="B221" i="123"/>
  <c r="D221" i="123" s="1"/>
  <c r="B247" i="123"/>
  <c r="D247" i="123" s="1"/>
  <c r="B76" i="123"/>
  <c r="D76" i="123" s="1"/>
  <c r="A52" i="123"/>
  <c r="B51" i="123"/>
  <c r="D51" i="123" s="1"/>
  <c r="D332" i="123" l="1"/>
  <c r="B333" i="123"/>
  <c r="B534" i="123"/>
  <c r="D534" i="123" s="1"/>
  <c r="B588" i="123"/>
  <c r="D588" i="123" s="1"/>
  <c r="B563" i="123"/>
  <c r="D563" i="123" s="1"/>
  <c r="B477" i="123"/>
  <c r="D477" i="123" s="1"/>
  <c r="B449" i="123"/>
  <c r="D449" i="123" s="1"/>
  <c r="B503" i="123"/>
  <c r="D503" i="123" s="1"/>
  <c r="A366" i="123"/>
  <c r="B419" i="123"/>
  <c r="D419" i="123" s="1"/>
  <c r="B392" i="123"/>
  <c r="D392" i="123" s="1"/>
  <c r="B365" i="123"/>
  <c r="D365" i="123" s="1"/>
  <c r="A395" i="123"/>
  <c r="A420" i="123"/>
  <c r="B279" i="123"/>
  <c r="D279" i="123" s="1"/>
  <c r="B308" i="123"/>
  <c r="D308" i="123" s="1"/>
  <c r="B222" i="123"/>
  <c r="D222" i="123" s="1"/>
  <c r="B194" i="123"/>
  <c r="D194" i="123" s="1"/>
  <c r="B248" i="123"/>
  <c r="D248" i="123" s="1"/>
  <c r="B77" i="123"/>
  <c r="D77" i="123" s="1"/>
  <c r="B52" i="123"/>
  <c r="D52" i="123" s="1"/>
  <c r="A53" i="123"/>
  <c r="D333" i="123" l="1"/>
  <c r="B334" i="123"/>
  <c r="B589" i="123"/>
  <c r="D589" i="123" s="1"/>
  <c r="B535" i="123"/>
  <c r="D535" i="123" s="1"/>
  <c r="B564" i="123"/>
  <c r="D564" i="123" s="1"/>
  <c r="B478" i="123"/>
  <c r="D478" i="123" s="1"/>
  <c r="B504" i="123"/>
  <c r="D504" i="123" s="1"/>
  <c r="B450" i="123"/>
  <c r="D450" i="123" s="1"/>
  <c r="A421" i="123"/>
  <c r="A396" i="123"/>
  <c r="B420" i="123"/>
  <c r="D420" i="123" s="1"/>
  <c r="B393" i="123"/>
  <c r="D393" i="123" s="1"/>
  <c r="A367" i="123"/>
  <c r="B366" i="123"/>
  <c r="D366" i="123" s="1"/>
  <c r="B309" i="123"/>
  <c r="D309" i="123" s="1"/>
  <c r="B280" i="123"/>
  <c r="D280" i="123" s="1"/>
  <c r="B195" i="123"/>
  <c r="D195" i="123" s="1"/>
  <c r="B249" i="123"/>
  <c r="D249" i="123" s="1"/>
  <c r="B223" i="123"/>
  <c r="D223" i="123" s="1"/>
  <c r="B78" i="123"/>
  <c r="D78" i="123" s="1"/>
  <c r="B53" i="123"/>
  <c r="D53" i="123" s="1"/>
  <c r="A54" i="123"/>
  <c r="D334" i="123" l="1"/>
  <c r="B335" i="123"/>
  <c r="B590" i="123"/>
  <c r="D590" i="123" s="1"/>
  <c r="B565" i="123"/>
  <c r="D565" i="123" s="1"/>
  <c r="B536" i="123"/>
  <c r="D536" i="123" s="1"/>
  <c r="B451" i="123"/>
  <c r="D451" i="123" s="1"/>
  <c r="B505" i="123"/>
  <c r="D505" i="123" s="1"/>
  <c r="B479" i="123"/>
  <c r="D479" i="123" s="1"/>
  <c r="A368" i="123"/>
  <c r="A397" i="123"/>
  <c r="B367" i="123"/>
  <c r="D367" i="123" s="1"/>
  <c r="A422" i="123"/>
  <c r="B394" i="123"/>
  <c r="D394" i="123" s="1"/>
  <c r="B421" i="123"/>
  <c r="D421" i="123" s="1"/>
  <c r="B281" i="123"/>
  <c r="D281" i="123" s="1"/>
  <c r="B310" i="123"/>
  <c r="D310" i="123" s="1"/>
  <c r="B250" i="123"/>
  <c r="D250" i="123" s="1"/>
  <c r="B224" i="123"/>
  <c r="D224" i="123" s="1"/>
  <c r="B196" i="123"/>
  <c r="D196" i="123" s="1"/>
  <c r="B79" i="123"/>
  <c r="D79" i="123" s="1"/>
  <c r="A55" i="123"/>
  <c r="B54" i="123"/>
  <c r="D54" i="123" s="1"/>
  <c r="D335" i="123" l="1"/>
  <c r="B336" i="123"/>
  <c r="B537" i="123"/>
  <c r="D537" i="123" s="1"/>
  <c r="B566" i="123"/>
  <c r="D566" i="123" s="1"/>
  <c r="B591" i="123"/>
  <c r="D591" i="123" s="1"/>
  <c r="B506" i="123"/>
  <c r="D506" i="123" s="1"/>
  <c r="B452" i="123"/>
  <c r="D452" i="123" s="1"/>
  <c r="B480" i="123"/>
  <c r="D480" i="123" s="1"/>
  <c r="B422" i="123"/>
  <c r="D422" i="123" s="1"/>
  <c r="B395" i="123"/>
  <c r="D395" i="123" s="1"/>
  <c r="A398" i="123"/>
  <c r="A369" i="123"/>
  <c r="A423" i="123"/>
  <c r="B368" i="123"/>
  <c r="D368" i="123" s="1"/>
  <c r="B311" i="123"/>
  <c r="D311" i="123" s="1"/>
  <c r="B282" i="123"/>
  <c r="D282" i="123" s="1"/>
  <c r="B225" i="123"/>
  <c r="D225" i="123" s="1"/>
  <c r="B197" i="123"/>
  <c r="D197" i="123" s="1"/>
  <c r="B251" i="123"/>
  <c r="D251" i="123" s="1"/>
  <c r="B80" i="123"/>
  <c r="D80" i="123" s="1"/>
  <c r="B55" i="123"/>
  <c r="D55" i="123" s="1"/>
  <c r="A56" i="123"/>
  <c r="D336" i="123" l="1"/>
  <c r="B337" i="123"/>
  <c r="B567" i="123"/>
  <c r="D567" i="123" s="1"/>
  <c r="B592" i="123"/>
  <c r="D592" i="123" s="1"/>
  <c r="B538" i="123"/>
  <c r="D538" i="123" s="1"/>
  <c r="B481" i="123"/>
  <c r="D481" i="123" s="1"/>
  <c r="B507" i="123"/>
  <c r="D507" i="123" s="1"/>
  <c r="B453" i="123"/>
  <c r="D453" i="123" s="1"/>
  <c r="B369" i="123"/>
  <c r="D369" i="123" s="1"/>
  <c r="A424" i="123"/>
  <c r="B423" i="123"/>
  <c r="D423" i="123" s="1"/>
  <c r="A399" i="123"/>
  <c r="B396" i="123"/>
  <c r="D396" i="123" s="1"/>
  <c r="A370" i="123"/>
  <c r="B283" i="123"/>
  <c r="D283" i="123" s="1"/>
  <c r="B312" i="123"/>
  <c r="D312" i="123" s="1"/>
  <c r="B252" i="123"/>
  <c r="D252" i="123" s="1"/>
  <c r="B198" i="123"/>
  <c r="D198" i="123" s="1"/>
  <c r="B226" i="123"/>
  <c r="D226" i="123" s="1"/>
  <c r="B81" i="123"/>
  <c r="D81" i="123" s="1"/>
  <c r="A57" i="123"/>
  <c r="B56" i="123"/>
  <c r="D56" i="123" s="1"/>
  <c r="D337" i="123" l="1"/>
  <c r="B338" i="123"/>
  <c r="B568" i="123"/>
  <c r="D568" i="123" s="1"/>
  <c r="B593" i="123"/>
  <c r="D593" i="123" s="1"/>
  <c r="B539" i="123"/>
  <c r="D539" i="123" s="1"/>
  <c r="B454" i="123"/>
  <c r="D454" i="123" s="1"/>
  <c r="B482" i="123"/>
  <c r="D482" i="123" s="1"/>
  <c r="B508" i="123"/>
  <c r="D508" i="123" s="1"/>
  <c r="A371" i="123"/>
  <c r="B424" i="123"/>
  <c r="D424" i="123" s="1"/>
  <c r="B370" i="123"/>
  <c r="D370" i="123" s="1"/>
  <c r="A400" i="123"/>
  <c r="B397" i="123"/>
  <c r="D397" i="123" s="1"/>
  <c r="A425" i="123"/>
  <c r="B284" i="123"/>
  <c r="D284" i="123" s="1"/>
  <c r="B313" i="123"/>
  <c r="D313" i="123" s="1"/>
  <c r="B199" i="123"/>
  <c r="D199" i="123" s="1"/>
  <c r="B227" i="123"/>
  <c r="D227" i="123" s="1"/>
  <c r="B253" i="123"/>
  <c r="D253" i="123" s="1"/>
  <c r="B82" i="123"/>
  <c r="D82" i="123" s="1"/>
  <c r="B57" i="123"/>
  <c r="D57" i="123" s="1"/>
  <c r="A58" i="123"/>
  <c r="D338" i="123" l="1"/>
  <c r="B339" i="123"/>
  <c r="B569" i="123"/>
  <c r="D569" i="123" s="1"/>
  <c r="B594" i="123"/>
  <c r="D594" i="123" s="1"/>
  <c r="B540" i="123"/>
  <c r="D540" i="123" s="1"/>
  <c r="B509" i="123"/>
  <c r="D509" i="123" s="1"/>
  <c r="B483" i="123"/>
  <c r="D483" i="123" s="1"/>
  <c r="B455" i="123"/>
  <c r="D455" i="123" s="1"/>
  <c r="B425" i="123"/>
  <c r="D425" i="123" s="1"/>
  <c r="B371" i="123"/>
  <c r="D371" i="123" s="1"/>
  <c r="A426" i="123"/>
  <c r="B398" i="123"/>
  <c r="D398" i="123" s="1"/>
  <c r="A401" i="123"/>
  <c r="A372" i="123"/>
  <c r="B314" i="123"/>
  <c r="D314" i="123" s="1"/>
  <c r="B285" i="123"/>
  <c r="D285" i="123" s="1"/>
  <c r="B228" i="123"/>
  <c r="D228" i="123" s="1"/>
  <c r="B200" i="123"/>
  <c r="D200" i="123" s="1"/>
  <c r="B254" i="123"/>
  <c r="D254" i="123" s="1"/>
  <c r="B83" i="123"/>
  <c r="D83" i="123" s="1"/>
  <c r="B58" i="123"/>
  <c r="D58" i="123" s="1"/>
  <c r="A59" i="123"/>
  <c r="D339" i="123" l="1"/>
  <c r="B340" i="123"/>
  <c r="B570" i="123"/>
  <c r="D570" i="123" s="1"/>
  <c r="B595" i="123"/>
  <c r="D595" i="123" s="1"/>
  <c r="B541" i="123"/>
  <c r="D541" i="123" s="1"/>
  <c r="B484" i="123"/>
  <c r="D484" i="123" s="1"/>
  <c r="B456" i="123"/>
  <c r="D456" i="123" s="1"/>
  <c r="B510" i="123"/>
  <c r="D510" i="123" s="1"/>
  <c r="A402" i="123"/>
  <c r="A427" i="123"/>
  <c r="B372" i="123"/>
  <c r="D372" i="123" s="1"/>
  <c r="A373" i="123"/>
  <c r="B399" i="123"/>
  <c r="D399" i="123" s="1"/>
  <c r="B426" i="123"/>
  <c r="D426" i="123" s="1"/>
  <c r="B286" i="123"/>
  <c r="D286" i="123" s="1"/>
  <c r="B315" i="123"/>
  <c r="D315" i="123" s="1"/>
  <c r="B255" i="123"/>
  <c r="D255" i="123" s="1"/>
  <c r="B201" i="123"/>
  <c r="D201" i="123" s="1"/>
  <c r="B229" i="123"/>
  <c r="D229" i="123" s="1"/>
  <c r="B84" i="123"/>
  <c r="D84" i="123" s="1"/>
  <c r="A60" i="123"/>
  <c r="B59" i="123"/>
  <c r="D59" i="123" s="1"/>
  <c r="D340" i="123" l="1"/>
  <c r="B341" i="123"/>
  <c r="B542" i="123"/>
  <c r="D542" i="123" s="1"/>
  <c r="B571" i="123"/>
  <c r="D571" i="123" s="1"/>
  <c r="B596" i="123"/>
  <c r="D596" i="123" s="1"/>
  <c r="B485" i="123"/>
  <c r="D485" i="123" s="1"/>
  <c r="B511" i="123"/>
  <c r="D511" i="123" s="1"/>
  <c r="B457" i="123"/>
  <c r="D457" i="123" s="1"/>
  <c r="A374" i="123"/>
  <c r="B400" i="123"/>
  <c r="D400" i="123" s="1"/>
  <c r="A428" i="123"/>
  <c r="B373" i="123"/>
  <c r="D373" i="123" s="1"/>
  <c r="A403" i="123"/>
  <c r="B427" i="123"/>
  <c r="D427" i="123" s="1"/>
  <c r="B316" i="123"/>
  <c r="D316" i="123" s="1"/>
  <c r="B287" i="123"/>
  <c r="D287" i="123" s="1"/>
  <c r="B230" i="123"/>
  <c r="D230" i="123" s="1"/>
  <c r="B202" i="123"/>
  <c r="D202" i="123" s="1"/>
  <c r="B256" i="123"/>
  <c r="D256" i="123" s="1"/>
  <c r="B85" i="123"/>
  <c r="D85" i="123" s="1"/>
  <c r="B60" i="123"/>
  <c r="D60" i="123" s="1"/>
  <c r="A61" i="123"/>
  <c r="D341" i="123" l="1"/>
  <c r="B342" i="123"/>
  <c r="B543" i="123"/>
  <c r="D543" i="123" s="1"/>
  <c r="B572" i="123"/>
  <c r="D572" i="123" s="1"/>
  <c r="B597" i="123"/>
  <c r="D597" i="123" s="1"/>
  <c r="B458" i="123"/>
  <c r="D458" i="123" s="1"/>
  <c r="B512" i="123"/>
  <c r="D512" i="123" s="1"/>
  <c r="B486" i="123"/>
  <c r="D486" i="123" s="1"/>
  <c r="A404" i="123"/>
  <c r="B428" i="123"/>
  <c r="D428" i="123" s="1"/>
  <c r="A429" i="123"/>
  <c r="A375" i="123"/>
  <c r="B374" i="123"/>
  <c r="D374" i="123" s="1"/>
  <c r="B401" i="123"/>
  <c r="D401" i="123" s="1"/>
  <c r="B317" i="123"/>
  <c r="D317" i="123" s="1"/>
  <c r="B288" i="123"/>
  <c r="D288" i="123" s="1"/>
  <c r="B257" i="123"/>
  <c r="D257" i="123" s="1"/>
  <c r="B231" i="123"/>
  <c r="D231" i="123" s="1"/>
  <c r="B203" i="123"/>
  <c r="D203" i="123" s="1"/>
  <c r="B86" i="123"/>
  <c r="D86" i="123" s="1"/>
  <c r="A62" i="123"/>
  <c r="B61" i="123"/>
  <c r="D61" i="123" s="1"/>
  <c r="D342" i="123" l="1"/>
  <c r="B343" i="123"/>
  <c r="B598" i="123"/>
  <c r="D598" i="123" s="1"/>
  <c r="B544" i="123"/>
  <c r="D544" i="123" s="1"/>
  <c r="B573" i="123"/>
  <c r="D573" i="123" s="1"/>
  <c r="B487" i="123"/>
  <c r="D487" i="123" s="1"/>
  <c r="B513" i="123"/>
  <c r="D513" i="123" s="1"/>
  <c r="B459" i="123"/>
  <c r="D459" i="123" s="1"/>
  <c r="A376" i="123"/>
  <c r="A430" i="123"/>
  <c r="B402" i="123"/>
  <c r="D402" i="123" s="1"/>
  <c r="B375" i="123"/>
  <c r="D375" i="123" s="1"/>
  <c r="B429" i="123"/>
  <c r="D429" i="123" s="1"/>
  <c r="A405" i="123"/>
  <c r="B289" i="123"/>
  <c r="D289" i="123" s="1"/>
  <c r="B318" i="123"/>
  <c r="D318" i="123" s="1"/>
  <c r="B232" i="123"/>
  <c r="D232" i="123" s="1"/>
  <c r="B204" i="123"/>
  <c r="D204" i="123" s="1"/>
  <c r="B258" i="123"/>
  <c r="D258" i="123" s="1"/>
  <c r="B87" i="123"/>
  <c r="D87" i="123" s="1"/>
  <c r="B62" i="123"/>
  <c r="D62" i="123" s="1"/>
  <c r="A63" i="123"/>
  <c r="D343" i="123" l="1"/>
  <c r="B344" i="123"/>
  <c r="B599" i="123"/>
  <c r="D599" i="123" s="1"/>
  <c r="B545" i="123"/>
  <c r="D545" i="123" s="1"/>
  <c r="B574" i="123"/>
  <c r="D574" i="123" s="1"/>
  <c r="B460" i="123"/>
  <c r="D460" i="123" s="1"/>
  <c r="B514" i="123"/>
  <c r="D514" i="123" s="1"/>
  <c r="B488" i="123"/>
  <c r="D488" i="123" s="1"/>
  <c r="A431" i="123"/>
  <c r="A406" i="123"/>
  <c r="B403" i="123"/>
  <c r="D403" i="123" s="1"/>
  <c r="A377" i="123"/>
  <c r="B430" i="123"/>
  <c r="D430" i="123" s="1"/>
  <c r="B376" i="123"/>
  <c r="D376" i="123" s="1"/>
  <c r="B319" i="123"/>
  <c r="D319" i="123" s="1"/>
  <c r="B290" i="123"/>
  <c r="D290" i="123" s="1"/>
  <c r="B233" i="123"/>
  <c r="D233" i="123" s="1"/>
  <c r="B259" i="123"/>
  <c r="D259" i="123" s="1"/>
  <c r="B205" i="123"/>
  <c r="D205" i="123" s="1"/>
  <c r="B88" i="123"/>
  <c r="D88" i="123" s="1"/>
  <c r="A64" i="123"/>
  <c r="B63" i="123"/>
  <c r="D63" i="123" s="1"/>
  <c r="D344" i="123" l="1"/>
  <c r="B345" i="123"/>
  <c r="B600" i="123"/>
  <c r="D600" i="123" s="1"/>
  <c r="B575" i="123"/>
  <c r="D575" i="123" s="1"/>
  <c r="B546" i="123"/>
  <c r="D546" i="123" s="1"/>
  <c r="B515" i="123"/>
  <c r="D515" i="123" s="1"/>
  <c r="B489" i="123"/>
  <c r="D489" i="123" s="1"/>
  <c r="B461" i="123"/>
  <c r="D461" i="123" s="1"/>
  <c r="A378" i="123"/>
  <c r="B431" i="123"/>
  <c r="D431" i="123" s="1"/>
  <c r="A407" i="123"/>
  <c r="B377" i="123"/>
  <c r="D377" i="123" s="1"/>
  <c r="B404" i="123"/>
  <c r="D404" i="123" s="1"/>
  <c r="A432" i="123"/>
  <c r="B320" i="123"/>
  <c r="D320" i="123" s="1"/>
  <c r="B291" i="123"/>
  <c r="D291" i="123" s="1"/>
  <c r="B206" i="123"/>
  <c r="D206" i="123" s="1"/>
  <c r="B260" i="123"/>
  <c r="D260" i="123" s="1"/>
  <c r="B234" i="123"/>
  <c r="D234" i="123" s="1"/>
  <c r="B89" i="123"/>
  <c r="D89" i="123" s="1"/>
  <c r="B64" i="123"/>
  <c r="D64" i="123" s="1"/>
  <c r="A65" i="123"/>
  <c r="D345" i="123" l="1"/>
  <c r="B346" i="123"/>
  <c r="B601" i="123"/>
  <c r="D601" i="123" s="1"/>
  <c r="B576" i="123"/>
  <c r="D576" i="123" s="1"/>
  <c r="B547" i="123"/>
  <c r="D547" i="123" s="1"/>
  <c r="B490" i="123"/>
  <c r="D490" i="123" s="1"/>
  <c r="B516" i="123"/>
  <c r="D516" i="123" s="1"/>
  <c r="B462" i="123"/>
  <c r="D462" i="123" s="1"/>
  <c r="A433" i="123"/>
  <c r="A408" i="123"/>
  <c r="B378" i="123"/>
  <c r="D378" i="123" s="1"/>
  <c r="A379" i="123"/>
  <c r="B405" i="123"/>
  <c r="D405" i="123" s="1"/>
  <c r="B432" i="123"/>
  <c r="D432" i="123" s="1"/>
  <c r="B292" i="123"/>
  <c r="D292" i="123" s="1"/>
  <c r="B321" i="123"/>
  <c r="D321" i="123" s="1"/>
  <c r="B235" i="123"/>
  <c r="D235" i="123" s="1"/>
  <c r="B261" i="123"/>
  <c r="D261" i="123" s="1"/>
  <c r="B207" i="123"/>
  <c r="D207" i="123" s="1"/>
  <c r="B90" i="123"/>
  <c r="D90" i="123" s="1"/>
  <c r="A66" i="123"/>
  <c r="B65" i="123"/>
  <c r="D65" i="123" s="1"/>
  <c r="D346" i="123" l="1"/>
  <c r="B347" i="123"/>
  <c r="B548" i="123"/>
  <c r="D548" i="123" s="1"/>
  <c r="B602" i="123"/>
  <c r="D602" i="123" s="1"/>
  <c r="B577" i="123"/>
  <c r="D577" i="123" s="1"/>
  <c r="B463" i="123"/>
  <c r="D463" i="123" s="1"/>
  <c r="B491" i="123"/>
  <c r="D491" i="123" s="1"/>
  <c r="B517" i="123"/>
  <c r="D517" i="123" s="1"/>
  <c r="A380" i="123"/>
  <c r="B406" i="123"/>
  <c r="D406" i="123" s="1"/>
  <c r="A409" i="123"/>
  <c r="B379" i="123"/>
  <c r="D379" i="123" s="1"/>
  <c r="B433" i="123"/>
  <c r="D433" i="123" s="1"/>
  <c r="A434" i="123"/>
  <c r="B322" i="123"/>
  <c r="D322" i="123" s="1"/>
  <c r="B293" i="123"/>
  <c r="D293" i="123" s="1"/>
  <c r="B262" i="123"/>
  <c r="D262" i="123" s="1"/>
  <c r="B236" i="123"/>
  <c r="D236" i="123" s="1"/>
  <c r="B208" i="123"/>
  <c r="D208" i="123" s="1"/>
  <c r="B91" i="123"/>
  <c r="D91" i="123" s="1"/>
  <c r="B66" i="123"/>
  <c r="D66" i="123" s="1"/>
  <c r="A67" i="123"/>
  <c r="D347" i="123" l="1"/>
  <c r="B348" i="123"/>
  <c r="B549" i="123"/>
  <c r="D549" i="123" s="1"/>
  <c r="B603" i="123"/>
  <c r="D603" i="123" s="1"/>
  <c r="B578" i="123"/>
  <c r="D578" i="123" s="1"/>
  <c r="B492" i="123"/>
  <c r="D492" i="123" s="1"/>
  <c r="B518" i="123"/>
  <c r="D518" i="123" s="1"/>
  <c r="B464" i="123"/>
  <c r="D464" i="123" s="1"/>
  <c r="A435" i="123"/>
  <c r="A410" i="123"/>
  <c r="B380" i="123"/>
  <c r="D380" i="123" s="1"/>
  <c r="A381" i="123"/>
  <c r="B434" i="123"/>
  <c r="D434" i="123" s="1"/>
  <c r="B407" i="123"/>
  <c r="D407" i="123" s="1"/>
  <c r="B294" i="123"/>
  <c r="D294" i="123" s="1"/>
  <c r="B323" i="123"/>
  <c r="D323" i="123" s="1"/>
  <c r="B237" i="123"/>
  <c r="D237" i="123" s="1"/>
  <c r="B209" i="123"/>
  <c r="D209" i="123" s="1"/>
  <c r="B263" i="123"/>
  <c r="D263" i="123" s="1"/>
  <c r="B92" i="123"/>
  <c r="D92" i="123" s="1"/>
  <c r="A68" i="123"/>
  <c r="B67" i="123"/>
  <c r="D67" i="123" s="1"/>
  <c r="D348" i="123" l="1"/>
  <c r="B349" i="123"/>
  <c r="B579" i="123"/>
  <c r="D579" i="123" s="1"/>
  <c r="B550" i="123"/>
  <c r="D550" i="123" s="1"/>
  <c r="B604" i="123"/>
  <c r="D604" i="123" s="1"/>
  <c r="B465" i="123"/>
  <c r="D465" i="123" s="1"/>
  <c r="B519" i="123"/>
  <c r="D519" i="123" s="1"/>
  <c r="B493" i="123"/>
  <c r="D493" i="123" s="1"/>
  <c r="A382" i="123"/>
  <c r="B435" i="123"/>
  <c r="D435" i="123" s="1"/>
  <c r="B408" i="123"/>
  <c r="D408" i="123" s="1"/>
  <c r="B381" i="123"/>
  <c r="D381" i="123" s="1"/>
  <c r="A436" i="123"/>
  <c r="B324" i="123"/>
  <c r="D324" i="123" s="1"/>
  <c r="B295" i="123"/>
  <c r="D295" i="123" s="1"/>
  <c r="B238" i="123"/>
  <c r="D238" i="123" s="1"/>
  <c r="B264" i="123"/>
  <c r="D264" i="123" s="1"/>
  <c r="B210" i="123"/>
  <c r="D210" i="123" s="1"/>
  <c r="B93" i="123"/>
  <c r="D93" i="123" s="1"/>
  <c r="B68" i="123"/>
  <c r="D68" i="123" s="1"/>
  <c r="A69" i="123"/>
  <c r="D349" i="123" l="1"/>
  <c r="B350" i="123"/>
  <c r="B580" i="123"/>
  <c r="D580" i="123" s="1"/>
  <c r="B551" i="123"/>
  <c r="D551" i="123" s="1"/>
  <c r="B605" i="123"/>
  <c r="D605" i="123" s="1"/>
  <c r="B466" i="123"/>
  <c r="D466" i="123" s="1"/>
  <c r="B494" i="123"/>
  <c r="D494" i="123" s="1"/>
  <c r="B520" i="123"/>
  <c r="D520" i="123" s="1"/>
  <c r="B382" i="123"/>
  <c r="D382" i="123" s="1"/>
  <c r="B409" i="123"/>
  <c r="D409" i="123" s="1"/>
  <c r="A383" i="123"/>
  <c r="B436" i="123"/>
  <c r="D436" i="123" s="1"/>
  <c r="B296" i="123"/>
  <c r="D296" i="123" s="1"/>
  <c r="B325" i="123"/>
  <c r="D325" i="123" s="1"/>
  <c r="B265" i="123"/>
  <c r="D265" i="123" s="1"/>
  <c r="B239" i="123"/>
  <c r="D239" i="123" s="1"/>
  <c r="B211" i="123"/>
  <c r="D211" i="123" s="1"/>
  <c r="B94" i="123"/>
  <c r="D94" i="123" s="1"/>
  <c r="B69" i="123"/>
  <c r="D69" i="123" s="1"/>
  <c r="A70" i="123"/>
  <c r="D350" i="123" l="1"/>
  <c r="B351" i="123"/>
  <c r="D351" i="123" s="1"/>
  <c r="B606" i="123"/>
  <c r="D606" i="123" s="1"/>
  <c r="B552" i="123"/>
  <c r="D552" i="123" s="1"/>
  <c r="B495" i="123"/>
  <c r="D495" i="123" s="1"/>
  <c r="B521" i="123"/>
  <c r="D521" i="123" s="1"/>
  <c r="B467" i="123"/>
  <c r="D467" i="123" s="1"/>
  <c r="A384" i="123"/>
  <c r="B383" i="123"/>
  <c r="D383" i="123" s="1"/>
  <c r="B410" i="123"/>
  <c r="D410" i="123" s="1"/>
  <c r="B297" i="123"/>
  <c r="D297" i="123" s="1"/>
  <c r="B266" i="123"/>
  <c r="D266" i="123" s="1"/>
  <c r="B212" i="123"/>
  <c r="D212" i="123" s="1"/>
  <c r="B240" i="123"/>
  <c r="D240" i="123" s="1"/>
  <c r="B95" i="123"/>
  <c r="D95" i="123" s="1"/>
  <c r="B70" i="123"/>
  <c r="D70" i="123" s="1"/>
  <c r="B553" i="123" l="1"/>
  <c r="D553" i="123" s="1"/>
  <c r="B468" i="123"/>
  <c r="D468" i="123" s="1"/>
  <c r="B384" i="123"/>
  <c r="D384" i="123" s="1"/>
  <c r="B298" i="123"/>
  <c r="D298" i="123" s="1"/>
  <c r="B213" i="123"/>
  <c r="D213" i="123" s="1"/>
  <c r="B96" i="123"/>
  <c r="D96" i="123" s="1"/>
  <c r="B554" i="123" l="1"/>
  <c r="D554" i="123" s="1"/>
  <c r="B469" i="123"/>
  <c r="D469" i="123" s="1"/>
  <c r="B299" i="123"/>
  <c r="D299" i="123" s="1"/>
  <c r="B214" i="123"/>
  <c r="D214" i="123" s="1"/>
  <c r="J18" i="123"/>
  <c r="BT186" i="8" l="1"/>
  <c r="BX186" i="8" l="1"/>
  <c r="CN186" i="8"/>
  <c r="A18" i="12" l="1"/>
  <c r="B18" i="12"/>
  <c r="C18" i="12"/>
  <c r="D18" i="12"/>
  <c r="F18" i="12"/>
  <c r="G18" i="12"/>
  <c r="DC18" i="12"/>
  <c r="A19" i="12"/>
  <c r="B19" i="12"/>
  <c r="C19" i="12"/>
  <c r="D19" i="12"/>
  <c r="F19" i="12"/>
  <c r="G19" i="12"/>
  <c r="DC19" i="12"/>
  <c r="A20" i="12"/>
  <c r="B20" i="12"/>
  <c r="C20" i="12"/>
  <c r="D20" i="12"/>
  <c r="F20" i="12"/>
  <c r="G20" i="12"/>
  <c r="DC20" i="12"/>
  <c r="A21" i="12"/>
  <c r="B21" i="12"/>
  <c r="C21" i="12"/>
  <c r="D21" i="12"/>
  <c r="F21" i="12"/>
  <c r="G21" i="12"/>
  <c r="DC21" i="12"/>
  <c r="A22" i="12"/>
  <c r="B22" i="12"/>
  <c r="C22" i="12"/>
  <c r="D22" i="12"/>
  <c r="F22" i="12"/>
  <c r="G22" i="12"/>
  <c r="DC22" i="12"/>
  <c r="A23" i="12"/>
  <c r="B23" i="12"/>
  <c r="C23" i="12"/>
  <c r="D23" i="12"/>
  <c r="F23" i="12"/>
  <c r="G23" i="12"/>
  <c r="DC23" i="12"/>
  <c r="A24" i="12"/>
  <c r="B24" i="12"/>
  <c r="C24" i="12"/>
  <c r="D24" i="12"/>
  <c r="F24" i="12"/>
  <c r="G24" i="12"/>
  <c r="DC24" i="12"/>
  <c r="A25" i="12"/>
  <c r="B25" i="12"/>
  <c r="C25" i="12"/>
  <c r="D25" i="12"/>
  <c r="F25" i="12"/>
  <c r="G25" i="12"/>
  <c r="DC25" i="12"/>
  <c r="A26" i="12"/>
  <c r="B26" i="12"/>
  <c r="C26" i="12"/>
  <c r="D26" i="12"/>
  <c r="F26" i="12"/>
  <c r="G26" i="12"/>
  <c r="DC26" i="12"/>
  <c r="A27" i="12"/>
  <c r="B27" i="12"/>
  <c r="C27" i="12"/>
  <c r="D27" i="12"/>
  <c r="F27" i="12"/>
  <c r="G27" i="12"/>
  <c r="DC27" i="12"/>
  <c r="A28" i="12"/>
  <c r="B28" i="12"/>
  <c r="C28" i="12"/>
  <c r="D28" i="12"/>
  <c r="F28" i="12"/>
  <c r="G28" i="12"/>
  <c r="DC28" i="12"/>
  <c r="A29" i="12"/>
  <c r="B29" i="12"/>
  <c r="C29" i="12"/>
  <c r="D29" i="12"/>
  <c r="F29" i="12"/>
  <c r="G29" i="12"/>
  <c r="DC29" i="12"/>
  <c r="A30" i="12"/>
  <c r="B30" i="12"/>
  <c r="C30" i="12"/>
  <c r="D30" i="12"/>
  <c r="F30" i="12"/>
  <c r="G30" i="12"/>
  <c r="DC30" i="12"/>
  <c r="A31" i="12"/>
  <c r="B31" i="12"/>
  <c r="C31" i="12"/>
  <c r="D31" i="12"/>
  <c r="F31" i="12"/>
  <c r="G31" i="12"/>
  <c r="DC31" i="12"/>
  <c r="A32" i="12"/>
  <c r="B32" i="12"/>
  <c r="C32" i="12"/>
  <c r="D32" i="12"/>
  <c r="F32" i="12"/>
  <c r="G32" i="12"/>
  <c r="DC32" i="12"/>
  <c r="A33" i="12"/>
  <c r="B33" i="12"/>
  <c r="C33" i="12"/>
  <c r="D33" i="12"/>
  <c r="F33" i="12"/>
  <c r="G33" i="12"/>
  <c r="DC33" i="12"/>
  <c r="A34" i="12"/>
  <c r="B34" i="12"/>
  <c r="C34" i="12"/>
  <c r="D34" i="12"/>
  <c r="F34" i="12"/>
  <c r="G34" i="12"/>
  <c r="DC34" i="12"/>
  <c r="A35" i="12"/>
  <c r="B35" i="12"/>
  <c r="C35" i="12"/>
  <c r="D35" i="12"/>
  <c r="F35" i="12"/>
  <c r="G35" i="12"/>
  <c r="DC35" i="12"/>
  <c r="A36" i="12"/>
  <c r="B36" i="12"/>
  <c r="C36" i="12"/>
  <c r="D36" i="12"/>
  <c r="F36" i="12"/>
  <c r="G36" i="12"/>
  <c r="DC36" i="12"/>
  <c r="A37" i="12"/>
  <c r="B37" i="12"/>
  <c r="C37" i="12"/>
  <c r="D37" i="12"/>
  <c r="F37" i="12"/>
  <c r="G37" i="12"/>
  <c r="DC37" i="12"/>
  <c r="A38" i="12"/>
  <c r="B38" i="12"/>
  <c r="C38" i="12"/>
  <c r="D38" i="12"/>
  <c r="F38" i="12"/>
  <c r="G38" i="12"/>
  <c r="DC38" i="12"/>
  <c r="A39" i="12"/>
  <c r="B39" i="12"/>
  <c r="C39" i="12"/>
  <c r="D39" i="12"/>
  <c r="F39" i="12"/>
  <c r="G39" i="12"/>
  <c r="DC39" i="12"/>
  <c r="A40" i="12"/>
  <c r="B40" i="12"/>
  <c r="C40" i="12"/>
  <c r="D40" i="12"/>
  <c r="F40" i="12"/>
  <c r="G40" i="12"/>
  <c r="DC40" i="12"/>
  <c r="A41" i="12"/>
  <c r="B41" i="12"/>
  <c r="C41" i="12"/>
  <c r="D41" i="12"/>
  <c r="F41" i="12"/>
  <c r="G41" i="12"/>
  <c r="DC41" i="12"/>
  <c r="A42" i="12"/>
  <c r="B42" i="12"/>
  <c r="C42" i="12"/>
  <c r="D42" i="12"/>
  <c r="F42" i="12"/>
  <c r="G42" i="12"/>
  <c r="Q42" i="12" s="1"/>
  <c r="S42" i="12"/>
  <c r="T42" i="12"/>
  <c r="X42" i="12"/>
  <c r="Y42" i="12"/>
  <c r="AB42" i="12"/>
  <c r="AE42" i="12"/>
  <c r="AG42" i="12"/>
  <c r="AI42" i="12"/>
  <c r="AM42" i="12"/>
  <c r="AN42" i="12"/>
  <c r="AO42" i="12"/>
  <c r="AS42" i="12"/>
  <c r="AU42" i="12"/>
  <c r="AW42" i="12"/>
  <c r="BB42" i="12"/>
  <c r="BQ42" i="12"/>
  <c r="BT42" i="12"/>
  <c r="BV42" i="12"/>
  <c r="BX42" i="12"/>
  <c r="BY42" i="12"/>
  <c r="CB42" i="12"/>
  <c r="CC42" i="12"/>
  <c r="CD42" i="12"/>
  <c r="CG42" i="12"/>
  <c r="CH42" i="12"/>
  <c r="CJ42" i="12"/>
  <c r="CL42" i="12"/>
  <c r="CN42" i="12"/>
  <c r="CO42" i="12"/>
  <c r="CR42" i="12"/>
  <c r="CS42" i="12"/>
  <c r="CT42" i="12"/>
  <c r="CW42" i="12"/>
  <c r="CX42" i="12"/>
  <c r="CZ42" i="12"/>
  <c r="DB42" i="12"/>
  <c r="DC42" i="12"/>
  <c r="DD42" i="12"/>
  <c r="DG42" i="12"/>
  <c r="DI42" i="12"/>
  <c r="DJ42" i="12"/>
  <c r="A43" i="12"/>
  <c r="B43" i="12"/>
  <c r="C43" i="12"/>
  <c r="D43" i="12"/>
  <c r="F43" i="12"/>
  <c r="G43" i="12"/>
  <c r="DC43" i="12"/>
  <c r="A44" i="12"/>
  <c r="B44" i="12"/>
  <c r="C44" i="12"/>
  <c r="D44" i="12"/>
  <c r="F44" i="12"/>
  <c r="G44" i="12"/>
  <c r="CJ44" i="12" s="1"/>
  <c r="DC44" i="12"/>
  <c r="DD44" i="12"/>
  <c r="A45" i="12"/>
  <c r="B45" i="12"/>
  <c r="C45" i="12"/>
  <c r="D45" i="12"/>
  <c r="F45" i="12"/>
  <c r="G45" i="12"/>
  <c r="DC45" i="12"/>
  <c r="A46" i="12"/>
  <c r="B46" i="12"/>
  <c r="C46" i="12"/>
  <c r="D46" i="12"/>
  <c r="F46" i="12"/>
  <c r="G46" i="12"/>
  <c r="AQ46" i="12" s="1"/>
  <c r="BA46" i="12"/>
  <c r="CC46" i="12"/>
  <c r="CK46" i="12"/>
  <c r="CS46" i="12"/>
  <c r="DA46" i="12"/>
  <c r="DC46" i="12"/>
  <c r="DJ46" i="12"/>
  <c r="A47" i="12"/>
  <c r="B47" i="12"/>
  <c r="C47" i="12"/>
  <c r="D47" i="12"/>
  <c r="F47" i="12"/>
  <c r="G47" i="12"/>
  <c r="BC47" i="12" s="1"/>
  <c r="AI47" i="12"/>
  <c r="CL47" i="12"/>
  <c r="DC47" i="12"/>
  <c r="A48" i="12"/>
  <c r="B48" i="12"/>
  <c r="C48" i="12"/>
  <c r="D48" i="12"/>
  <c r="F48" i="12"/>
  <c r="G48" i="12"/>
  <c r="O48" i="12" s="1"/>
  <c r="DC48" i="12"/>
  <c r="A49" i="12"/>
  <c r="B49" i="12"/>
  <c r="C49" i="12"/>
  <c r="D49" i="12"/>
  <c r="F49" i="12"/>
  <c r="G49" i="12"/>
  <c r="DC49" i="12"/>
  <c r="A50" i="12"/>
  <c r="B50" i="12"/>
  <c r="C50" i="12"/>
  <c r="D50" i="12"/>
  <c r="F50" i="12"/>
  <c r="G50" i="12"/>
  <c r="AI50" i="12" s="1"/>
  <c r="S50" i="12"/>
  <c r="BW50" i="12"/>
  <c r="DC50" i="12"/>
  <c r="Z42" i="3"/>
  <c r="AA42" i="3"/>
  <c r="AB42" i="3"/>
  <c r="AC42" i="3"/>
  <c r="Z43" i="3"/>
  <c r="AA43" i="3"/>
  <c r="AB43" i="3"/>
  <c r="AC43" i="3"/>
  <c r="Z44" i="3"/>
  <c r="AA44" i="3"/>
  <c r="AB44" i="3"/>
  <c r="AC44" i="3"/>
  <c r="Z45" i="3"/>
  <c r="AA45" i="3"/>
  <c r="AB45" i="3"/>
  <c r="AC45" i="3"/>
  <c r="Z46" i="3"/>
  <c r="AA46" i="3"/>
  <c r="AB46" i="3"/>
  <c r="AC46" i="3"/>
  <c r="Z47" i="3"/>
  <c r="AA47" i="3"/>
  <c r="AB47" i="3"/>
  <c r="AC47" i="3"/>
  <c r="Z48" i="3"/>
  <c r="AA48" i="3"/>
  <c r="AB48" i="3"/>
  <c r="AC48" i="3"/>
  <c r="Z49" i="3"/>
  <c r="AA49" i="3"/>
  <c r="AB49" i="3"/>
  <c r="AC49" i="3"/>
  <c r="Z50" i="3"/>
  <c r="AA50" i="3"/>
  <c r="AB50" i="3"/>
  <c r="AC50" i="3"/>
  <c r="AE42" i="3"/>
  <c r="AF42" i="3"/>
  <c r="AG42" i="3"/>
  <c r="AH42" i="3"/>
  <c r="AE43" i="3"/>
  <c r="AF43" i="3"/>
  <c r="AG43" i="3"/>
  <c r="AH43" i="3"/>
  <c r="AE44" i="3"/>
  <c r="AF44" i="3"/>
  <c r="AG44" i="3"/>
  <c r="AH44" i="3"/>
  <c r="AE45" i="3"/>
  <c r="AF45" i="3"/>
  <c r="AG45" i="3"/>
  <c r="AH45" i="3"/>
  <c r="AE46" i="3"/>
  <c r="AF46" i="3"/>
  <c r="AG46" i="3"/>
  <c r="AH46" i="3"/>
  <c r="AE47" i="3"/>
  <c r="AF47" i="3"/>
  <c r="AG47" i="3"/>
  <c r="AH47" i="3"/>
  <c r="AE48" i="3"/>
  <c r="AF48" i="3"/>
  <c r="AG48" i="3"/>
  <c r="AH48" i="3"/>
  <c r="AE49" i="3"/>
  <c r="AF49" i="3"/>
  <c r="AG49" i="3"/>
  <c r="AH49" i="3"/>
  <c r="AE50" i="3"/>
  <c r="AF50" i="3"/>
  <c r="AG50" i="3"/>
  <c r="AH50" i="3"/>
  <c r="P42" i="3"/>
  <c r="P43" i="3"/>
  <c r="P44" i="3"/>
  <c r="P45" i="3"/>
  <c r="P46" i="3"/>
  <c r="P47" i="3"/>
  <c r="P48" i="3"/>
  <c r="P49" i="3"/>
  <c r="P50" i="3"/>
  <c r="L41" i="3"/>
  <c r="L42" i="3"/>
  <c r="L43" i="3"/>
  <c r="L44" i="3"/>
  <c r="L45" i="3"/>
  <c r="L46" i="3"/>
  <c r="L47" i="3"/>
  <c r="L48" i="3"/>
  <c r="L49" i="3"/>
  <c r="L50" i="3"/>
  <c r="AR240" i="122"/>
  <c r="AQ240" i="122"/>
  <c r="AP240" i="122"/>
  <c r="AO240" i="122"/>
  <c r="AN240" i="122"/>
  <c r="AM240" i="122"/>
  <c r="AL240" i="122"/>
  <c r="AK240" i="122"/>
  <c r="AJ240" i="122"/>
  <c r="AI240" i="122"/>
  <c r="AH240" i="122"/>
  <c r="AG240" i="122"/>
  <c r="AF240" i="122"/>
  <c r="AE240" i="122"/>
  <c r="AD240" i="122"/>
  <c r="BB239" i="122"/>
  <c r="BA239" i="122"/>
  <c r="AZ239" i="122"/>
  <c r="AY239" i="122"/>
  <c r="AX239" i="122"/>
  <c r="AW239" i="122"/>
  <c r="AV239" i="122"/>
  <c r="AU239" i="122"/>
  <c r="AT239" i="122"/>
  <c r="AS239" i="122"/>
  <c r="AR239" i="122"/>
  <c r="AQ239" i="122"/>
  <c r="AP239" i="122"/>
  <c r="AO239" i="122"/>
  <c r="AN239" i="122"/>
  <c r="AM239" i="122"/>
  <c r="AL239" i="122"/>
  <c r="AK239" i="122"/>
  <c r="AJ239" i="122"/>
  <c r="AI239" i="122"/>
  <c r="AH239" i="122"/>
  <c r="AG239" i="122"/>
  <c r="AF239" i="122"/>
  <c r="AE239" i="122"/>
  <c r="AD239" i="122"/>
  <c r="BB238" i="122"/>
  <c r="BA238" i="122"/>
  <c r="AZ238" i="122"/>
  <c r="AY238" i="122"/>
  <c r="AX238" i="122"/>
  <c r="AW238" i="122"/>
  <c r="AV238" i="122"/>
  <c r="AU238" i="122"/>
  <c r="AT238" i="122"/>
  <c r="AS238" i="122"/>
  <c r="AR238" i="122"/>
  <c r="AQ238" i="122"/>
  <c r="AP238" i="122"/>
  <c r="AO238" i="122"/>
  <c r="AN238" i="122"/>
  <c r="AM238" i="122"/>
  <c r="AL238" i="122"/>
  <c r="AK238" i="122"/>
  <c r="AJ238" i="122"/>
  <c r="AI238" i="122"/>
  <c r="AH238" i="122"/>
  <c r="AG238" i="122"/>
  <c r="AF238" i="122"/>
  <c r="AE238" i="122"/>
  <c r="AD238" i="122"/>
  <c r="BB237" i="122"/>
  <c r="BA237" i="122"/>
  <c r="AZ237" i="122"/>
  <c r="AY237" i="122"/>
  <c r="AX237" i="122"/>
  <c r="AW237" i="122"/>
  <c r="AV237" i="122"/>
  <c r="AU237" i="122"/>
  <c r="AT237" i="122"/>
  <c r="AS237" i="122"/>
  <c r="AR237" i="122"/>
  <c r="AQ237" i="122"/>
  <c r="AP237" i="122"/>
  <c r="AO237" i="122"/>
  <c r="AN237" i="122"/>
  <c r="AM237" i="122"/>
  <c r="AL237" i="122"/>
  <c r="AK237" i="122"/>
  <c r="AJ237" i="122"/>
  <c r="AI237" i="122"/>
  <c r="AH237" i="122"/>
  <c r="AG237" i="122"/>
  <c r="AF237" i="122"/>
  <c r="AE237" i="122"/>
  <c r="AD237" i="122"/>
  <c r="BB236" i="122"/>
  <c r="BA236" i="122"/>
  <c r="AZ236" i="122"/>
  <c r="AY236" i="122"/>
  <c r="AX236" i="122"/>
  <c r="AW236" i="122"/>
  <c r="AV236" i="122"/>
  <c r="AU236" i="122"/>
  <c r="AT236" i="122"/>
  <c r="AS236" i="122"/>
  <c r="AR236" i="122"/>
  <c r="AQ236" i="122"/>
  <c r="AP236" i="122"/>
  <c r="AO236" i="122"/>
  <c r="AN236" i="122"/>
  <c r="AM236" i="122"/>
  <c r="AL236" i="122"/>
  <c r="AK236" i="122"/>
  <c r="AJ236" i="122"/>
  <c r="AI236" i="122"/>
  <c r="AH236" i="122"/>
  <c r="AG236" i="122"/>
  <c r="AF236" i="122"/>
  <c r="AE236" i="122"/>
  <c r="AD236" i="122"/>
  <c r="BB235" i="122"/>
  <c r="BA235" i="122"/>
  <c r="AZ235" i="122"/>
  <c r="AY235" i="122"/>
  <c r="AX235" i="122"/>
  <c r="AW235" i="122"/>
  <c r="AV235" i="122"/>
  <c r="AU235" i="122"/>
  <c r="AT235" i="122"/>
  <c r="AS235" i="122"/>
  <c r="AR235" i="122"/>
  <c r="AQ235" i="122"/>
  <c r="AP235" i="122"/>
  <c r="AO235" i="122"/>
  <c r="AN235" i="122"/>
  <c r="AM235" i="122"/>
  <c r="AL235" i="122"/>
  <c r="AK235" i="122"/>
  <c r="AJ235" i="122"/>
  <c r="AI235" i="122"/>
  <c r="AH235" i="122"/>
  <c r="AG235" i="122"/>
  <c r="AF235" i="122"/>
  <c r="AE235" i="122"/>
  <c r="AD235" i="122"/>
  <c r="BB234" i="122"/>
  <c r="BA234" i="122"/>
  <c r="AZ234" i="122"/>
  <c r="AY234" i="122"/>
  <c r="AX234" i="122"/>
  <c r="AW234" i="122"/>
  <c r="AV234" i="122"/>
  <c r="AU234" i="122"/>
  <c r="AT234" i="122"/>
  <c r="AS234" i="122"/>
  <c r="AR234" i="122"/>
  <c r="AQ234" i="122"/>
  <c r="AP234" i="122"/>
  <c r="AO234" i="122"/>
  <c r="AN234" i="122"/>
  <c r="AM234" i="122"/>
  <c r="AL234" i="122"/>
  <c r="AK234" i="122"/>
  <c r="AJ234" i="122"/>
  <c r="AI234" i="122"/>
  <c r="AH234" i="122"/>
  <c r="AG234" i="122"/>
  <c r="AF234" i="122"/>
  <c r="AE234" i="122"/>
  <c r="AD234" i="122"/>
  <c r="BB233" i="122"/>
  <c r="BA233" i="122"/>
  <c r="AZ233" i="122"/>
  <c r="AY233" i="122"/>
  <c r="AX233" i="122"/>
  <c r="AW233" i="122"/>
  <c r="AV233" i="122"/>
  <c r="AU233" i="122"/>
  <c r="AT233" i="122"/>
  <c r="AS233" i="122"/>
  <c r="AR233" i="122"/>
  <c r="AQ233" i="122"/>
  <c r="AP233" i="122"/>
  <c r="AO233" i="122"/>
  <c r="AN233" i="122"/>
  <c r="AM233" i="122"/>
  <c r="AL233" i="122"/>
  <c r="AK233" i="122"/>
  <c r="AJ233" i="122"/>
  <c r="AI233" i="122"/>
  <c r="AH233" i="122"/>
  <c r="AG233" i="122"/>
  <c r="AF233" i="122"/>
  <c r="AE233" i="122"/>
  <c r="AD233" i="122"/>
  <c r="BB232" i="122"/>
  <c r="BA232" i="122"/>
  <c r="AZ232" i="122"/>
  <c r="AY232" i="122"/>
  <c r="AX232" i="122"/>
  <c r="AW232" i="122"/>
  <c r="AV232" i="122"/>
  <c r="AU232" i="122"/>
  <c r="AT232" i="122"/>
  <c r="AS232" i="122"/>
  <c r="AR232" i="122"/>
  <c r="AQ232" i="122"/>
  <c r="AP232" i="122"/>
  <c r="AO232" i="122"/>
  <c r="AN232" i="122"/>
  <c r="AM232" i="122"/>
  <c r="AL232" i="122"/>
  <c r="AK232" i="122"/>
  <c r="AJ232" i="122"/>
  <c r="AI232" i="122"/>
  <c r="AH232" i="122"/>
  <c r="AG232" i="122"/>
  <c r="AF232" i="122"/>
  <c r="AE232" i="122"/>
  <c r="AD232" i="122"/>
  <c r="BB231" i="122"/>
  <c r="BA231" i="122"/>
  <c r="AZ231" i="122"/>
  <c r="AY231" i="122"/>
  <c r="AX231" i="122"/>
  <c r="AW231" i="122"/>
  <c r="AV231" i="122"/>
  <c r="AU231" i="122"/>
  <c r="AT231" i="122"/>
  <c r="AS231" i="122"/>
  <c r="AR231" i="122"/>
  <c r="AQ231" i="122"/>
  <c r="AP231" i="122"/>
  <c r="AO231" i="122"/>
  <c r="AN231" i="122"/>
  <c r="AM231" i="122"/>
  <c r="AL231" i="122"/>
  <c r="AK231" i="122"/>
  <c r="AJ231" i="122"/>
  <c r="AI231" i="122"/>
  <c r="AH231" i="122"/>
  <c r="AG231" i="122"/>
  <c r="AF231" i="122"/>
  <c r="AE231" i="122"/>
  <c r="AD231" i="122"/>
  <c r="BB230" i="122"/>
  <c r="BA230" i="122"/>
  <c r="AZ230" i="122"/>
  <c r="AY230" i="122"/>
  <c r="AX230" i="122"/>
  <c r="AW230" i="122"/>
  <c r="AV230" i="122"/>
  <c r="AU230" i="122"/>
  <c r="AT230" i="122"/>
  <c r="AS230" i="122"/>
  <c r="AR230" i="122"/>
  <c r="AQ230" i="122"/>
  <c r="AP230" i="122"/>
  <c r="AO230" i="122"/>
  <c r="AN230" i="122"/>
  <c r="AM230" i="122"/>
  <c r="AL230" i="122"/>
  <c r="AK230" i="122"/>
  <c r="AJ230" i="122"/>
  <c r="AI230" i="122"/>
  <c r="AH230" i="122"/>
  <c r="AG230" i="122"/>
  <c r="AF230" i="122"/>
  <c r="AE230" i="122"/>
  <c r="AD230" i="122"/>
  <c r="BB229" i="122"/>
  <c r="BA229" i="122"/>
  <c r="AZ229" i="122"/>
  <c r="AY229" i="122"/>
  <c r="AX229" i="122"/>
  <c r="AW229" i="122"/>
  <c r="AV229" i="122"/>
  <c r="AU229" i="122"/>
  <c r="AT229" i="122"/>
  <c r="AS229" i="122"/>
  <c r="AR229" i="122"/>
  <c r="AQ229" i="122"/>
  <c r="AP229" i="122"/>
  <c r="AO229" i="122"/>
  <c r="AN229" i="122"/>
  <c r="AM229" i="122"/>
  <c r="AL229" i="122"/>
  <c r="AK229" i="122"/>
  <c r="AJ229" i="122"/>
  <c r="AI229" i="122"/>
  <c r="AH229" i="122"/>
  <c r="AG229" i="122"/>
  <c r="AF229" i="122"/>
  <c r="AE229" i="122"/>
  <c r="AD229" i="122"/>
  <c r="BB228" i="122"/>
  <c r="BA228" i="122"/>
  <c r="AZ228" i="122"/>
  <c r="AY228" i="122"/>
  <c r="AX228" i="122"/>
  <c r="AW228" i="122"/>
  <c r="AV228" i="122"/>
  <c r="AU228" i="122"/>
  <c r="AT228" i="122"/>
  <c r="AS228" i="122"/>
  <c r="AR228" i="122"/>
  <c r="AQ228" i="122"/>
  <c r="AP228" i="122"/>
  <c r="AO228" i="122"/>
  <c r="AN228" i="122"/>
  <c r="AM228" i="122"/>
  <c r="AL228" i="122"/>
  <c r="AK228" i="122"/>
  <c r="AJ228" i="122"/>
  <c r="AI228" i="122"/>
  <c r="AH228" i="122"/>
  <c r="AG228" i="122"/>
  <c r="AF228" i="122"/>
  <c r="AE228" i="122"/>
  <c r="AD228" i="122"/>
  <c r="BB227" i="122"/>
  <c r="BA227" i="122"/>
  <c r="AZ227" i="122"/>
  <c r="AY227" i="122"/>
  <c r="AX227" i="122"/>
  <c r="AW227" i="122"/>
  <c r="AV227" i="122"/>
  <c r="AU227" i="122"/>
  <c r="AT227" i="122"/>
  <c r="AS227" i="122"/>
  <c r="AR227" i="122"/>
  <c r="AQ227" i="122"/>
  <c r="AP227" i="122"/>
  <c r="AO227" i="122"/>
  <c r="AN227" i="122"/>
  <c r="AM227" i="122"/>
  <c r="AL227" i="122"/>
  <c r="AK227" i="122"/>
  <c r="AJ227" i="122"/>
  <c r="AI227" i="122"/>
  <c r="AH227" i="122"/>
  <c r="AG227" i="122"/>
  <c r="AF227" i="122"/>
  <c r="AE227" i="122"/>
  <c r="AD227" i="122"/>
  <c r="BB226" i="122"/>
  <c r="BA226" i="122"/>
  <c r="AZ226" i="122"/>
  <c r="AY226" i="122"/>
  <c r="AX226" i="122"/>
  <c r="AW226" i="122"/>
  <c r="AV226" i="122"/>
  <c r="AU226" i="122"/>
  <c r="AT226" i="122"/>
  <c r="AS226" i="122"/>
  <c r="AR226" i="122"/>
  <c r="AQ226" i="122"/>
  <c r="AP226" i="122"/>
  <c r="AO226" i="122"/>
  <c r="AN226" i="122"/>
  <c r="AM226" i="122"/>
  <c r="AL226" i="122"/>
  <c r="AK226" i="122"/>
  <c r="AJ226" i="122"/>
  <c r="AI226" i="122"/>
  <c r="AH226" i="122"/>
  <c r="AG226" i="122"/>
  <c r="AF226" i="122"/>
  <c r="AE226" i="122"/>
  <c r="AD226" i="122"/>
  <c r="BB225" i="122"/>
  <c r="BA225" i="122"/>
  <c r="AZ225" i="122"/>
  <c r="AY225" i="122"/>
  <c r="AX225" i="122"/>
  <c r="AW225" i="122"/>
  <c r="AV225" i="122"/>
  <c r="AU225" i="122"/>
  <c r="AT225" i="122"/>
  <c r="AS225" i="122"/>
  <c r="AR225" i="122"/>
  <c r="AQ225" i="122"/>
  <c r="AP225" i="122"/>
  <c r="AO225" i="122"/>
  <c r="AN225" i="122"/>
  <c r="AM225" i="122"/>
  <c r="AL225" i="122"/>
  <c r="AK225" i="122"/>
  <c r="AJ225" i="122"/>
  <c r="AI225" i="122"/>
  <c r="AH225" i="122"/>
  <c r="AG225" i="122"/>
  <c r="AF225" i="122"/>
  <c r="AE225" i="122"/>
  <c r="AD225" i="122"/>
  <c r="BB224" i="122"/>
  <c r="BA224" i="122"/>
  <c r="AZ224" i="122"/>
  <c r="AY224" i="122"/>
  <c r="AX224" i="122"/>
  <c r="AW224" i="122"/>
  <c r="AV224" i="122"/>
  <c r="AU224" i="122"/>
  <c r="AT224" i="122"/>
  <c r="AS224" i="122"/>
  <c r="AR224" i="122"/>
  <c r="AQ224" i="122"/>
  <c r="AP224" i="122"/>
  <c r="AO224" i="122"/>
  <c r="AN224" i="122"/>
  <c r="AM224" i="122"/>
  <c r="AL224" i="122"/>
  <c r="AK224" i="122"/>
  <c r="AJ224" i="122"/>
  <c r="AI224" i="122"/>
  <c r="AH224" i="122"/>
  <c r="AG224" i="122"/>
  <c r="AF224" i="122"/>
  <c r="AE224" i="122"/>
  <c r="AD224" i="122"/>
  <c r="BB223" i="122"/>
  <c r="BA223" i="122"/>
  <c r="AZ223" i="122"/>
  <c r="AY223" i="122"/>
  <c r="AX223" i="122"/>
  <c r="AW223" i="122"/>
  <c r="AV223" i="122"/>
  <c r="AU223" i="122"/>
  <c r="AT223" i="122"/>
  <c r="AS223" i="122"/>
  <c r="AR223" i="122"/>
  <c r="AQ223" i="122"/>
  <c r="AP223" i="122"/>
  <c r="AO223" i="122"/>
  <c r="AN223" i="122"/>
  <c r="AM223" i="122"/>
  <c r="AL223" i="122"/>
  <c r="AK223" i="122"/>
  <c r="AJ223" i="122"/>
  <c r="AI223" i="122"/>
  <c r="AH223" i="122"/>
  <c r="AG223" i="122"/>
  <c r="AF223" i="122"/>
  <c r="AE223" i="122"/>
  <c r="AD223" i="122"/>
  <c r="BB222" i="122"/>
  <c r="BA222" i="122"/>
  <c r="AZ222" i="122"/>
  <c r="AY222" i="122"/>
  <c r="AX222" i="122"/>
  <c r="AW222" i="122"/>
  <c r="AV222" i="122"/>
  <c r="AU222" i="122"/>
  <c r="AT222" i="122"/>
  <c r="AS222" i="122"/>
  <c r="AR222" i="122"/>
  <c r="AQ222" i="122"/>
  <c r="AP222" i="122"/>
  <c r="AO222" i="122"/>
  <c r="AN222" i="122"/>
  <c r="AM222" i="122"/>
  <c r="AL222" i="122"/>
  <c r="AK222" i="122"/>
  <c r="AJ222" i="122"/>
  <c r="AI222" i="122"/>
  <c r="AH222" i="122"/>
  <c r="AG222" i="122"/>
  <c r="AF222" i="122"/>
  <c r="AE222" i="122"/>
  <c r="AD222" i="122"/>
  <c r="BB221" i="122"/>
  <c r="BA221" i="122"/>
  <c r="AZ221" i="122"/>
  <c r="AY221" i="122"/>
  <c r="AX221" i="122"/>
  <c r="AW221" i="122"/>
  <c r="AV221" i="122"/>
  <c r="AU221" i="122"/>
  <c r="AT221" i="122"/>
  <c r="AS221" i="122"/>
  <c r="AR221" i="122"/>
  <c r="AQ221" i="122"/>
  <c r="AP221" i="122"/>
  <c r="AO221" i="122"/>
  <c r="AN221" i="122"/>
  <c r="AM221" i="122"/>
  <c r="AL221" i="122"/>
  <c r="AK221" i="122"/>
  <c r="AJ221" i="122"/>
  <c r="AI221" i="122"/>
  <c r="AH221" i="122"/>
  <c r="AG221" i="122"/>
  <c r="AF221" i="122"/>
  <c r="AE221" i="122"/>
  <c r="AD221" i="122"/>
  <c r="BB220" i="122"/>
  <c r="BA220" i="122"/>
  <c r="AZ220" i="122"/>
  <c r="AY220" i="122"/>
  <c r="AX220" i="122"/>
  <c r="AW220" i="122"/>
  <c r="AV220" i="122"/>
  <c r="AU220" i="122"/>
  <c r="AT220" i="122"/>
  <c r="AS220" i="122"/>
  <c r="AR220" i="122"/>
  <c r="AQ220" i="122"/>
  <c r="AP220" i="122"/>
  <c r="AO220" i="122"/>
  <c r="AN220" i="122"/>
  <c r="AM220" i="122"/>
  <c r="AL220" i="122"/>
  <c r="AK220" i="122"/>
  <c r="AJ220" i="122"/>
  <c r="AI220" i="122"/>
  <c r="AH220" i="122"/>
  <c r="AG220" i="122"/>
  <c r="AF220" i="122"/>
  <c r="AE220" i="122"/>
  <c r="AD220" i="122"/>
  <c r="BB219" i="122"/>
  <c r="BA219" i="122"/>
  <c r="AZ219" i="122"/>
  <c r="AY219" i="122"/>
  <c r="AX219" i="122"/>
  <c r="AW219" i="122"/>
  <c r="AV219" i="122"/>
  <c r="AU219" i="122"/>
  <c r="AT219" i="122"/>
  <c r="AS219" i="122"/>
  <c r="AR219" i="122"/>
  <c r="AQ219" i="122"/>
  <c r="AP219" i="122"/>
  <c r="AO219" i="122"/>
  <c r="AN219" i="122"/>
  <c r="AM219" i="122"/>
  <c r="AL219" i="122"/>
  <c r="AK219" i="122"/>
  <c r="AJ219" i="122"/>
  <c r="AI219" i="122"/>
  <c r="AH219" i="122"/>
  <c r="AG219" i="122"/>
  <c r="AF219" i="122"/>
  <c r="AE219" i="122"/>
  <c r="AD219" i="122"/>
  <c r="BB218" i="122"/>
  <c r="BA218" i="122"/>
  <c r="AZ218" i="122"/>
  <c r="AY218" i="122"/>
  <c r="AX218" i="122"/>
  <c r="AW218" i="122"/>
  <c r="AV218" i="122"/>
  <c r="AU218" i="122"/>
  <c r="AT218" i="122"/>
  <c r="AS218" i="122"/>
  <c r="AR218" i="122"/>
  <c r="AQ218" i="122"/>
  <c r="AP218" i="122"/>
  <c r="AO218" i="122"/>
  <c r="AN218" i="122"/>
  <c r="AM218" i="122"/>
  <c r="AL218" i="122"/>
  <c r="AK218" i="122"/>
  <c r="AJ218" i="122"/>
  <c r="AI218" i="122"/>
  <c r="AH218" i="122"/>
  <c r="AG218" i="122"/>
  <c r="AF218" i="122"/>
  <c r="AE218" i="122"/>
  <c r="AD218" i="122"/>
  <c r="BB217" i="122"/>
  <c r="BA217" i="122"/>
  <c r="AZ217" i="122"/>
  <c r="AY217" i="122"/>
  <c r="AX217" i="122"/>
  <c r="AW217" i="122"/>
  <c r="AV217" i="122"/>
  <c r="AU217" i="122"/>
  <c r="AT217" i="122"/>
  <c r="AS217" i="122"/>
  <c r="AR217" i="122"/>
  <c r="AQ217" i="122"/>
  <c r="AP217" i="122"/>
  <c r="AO217" i="122"/>
  <c r="AN217" i="122"/>
  <c r="AM217" i="122"/>
  <c r="AL217" i="122"/>
  <c r="AK217" i="122"/>
  <c r="AJ217" i="122"/>
  <c r="AI217" i="122"/>
  <c r="AH217" i="122"/>
  <c r="AG217" i="122"/>
  <c r="AF217" i="122"/>
  <c r="AE217" i="122"/>
  <c r="AD217" i="122"/>
  <c r="BB216" i="122"/>
  <c r="BA216" i="122"/>
  <c r="AZ216" i="122"/>
  <c r="AY216" i="122"/>
  <c r="AX216" i="122"/>
  <c r="AW216" i="122"/>
  <c r="AV216" i="122"/>
  <c r="AU216" i="122"/>
  <c r="AT216" i="122"/>
  <c r="AS216" i="122"/>
  <c r="AR216" i="122"/>
  <c r="AQ216" i="122"/>
  <c r="AP216" i="122"/>
  <c r="AO216" i="122"/>
  <c r="AN216" i="122"/>
  <c r="AM216" i="122"/>
  <c r="AL216" i="122"/>
  <c r="AK216" i="122"/>
  <c r="AJ216" i="122"/>
  <c r="AI216" i="122"/>
  <c r="AH216" i="122"/>
  <c r="AG216" i="122"/>
  <c r="AF216" i="122"/>
  <c r="AE216" i="122"/>
  <c r="AD216" i="122"/>
  <c r="BB215" i="122"/>
  <c r="BA215" i="122"/>
  <c r="AZ215" i="122"/>
  <c r="AY215" i="122"/>
  <c r="AX215" i="122"/>
  <c r="AW215" i="122"/>
  <c r="AV215" i="122"/>
  <c r="AU215" i="122"/>
  <c r="AT215" i="122"/>
  <c r="AS215" i="122"/>
  <c r="AR215" i="122"/>
  <c r="AQ215" i="122"/>
  <c r="AP215" i="122"/>
  <c r="AO215" i="122"/>
  <c r="AN215" i="122"/>
  <c r="AM215" i="122"/>
  <c r="AL215" i="122"/>
  <c r="AK215" i="122"/>
  <c r="AJ215" i="122"/>
  <c r="AI215" i="122"/>
  <c r="AH215" i="122"/>
  <c r="AG215" i="122"/>
  <c r="AF215" i="122"/>
  <c r="AE215" i="122"/>
  <c r="AD215" i="122"/>
  <c r="BB214" i="122"/>
  <c r="BA214" i="122"/>
  <c r="AZ214" i="122"/>
  <c r="AY214" i="122"/>
  <c r="AX214" i="122"/>
  <c r="AW214" i="122"/>
  <c r="AV214" i="122"/>
  <c r="AU214" i="122"/>
  <c r="AT214" i="122"/>
  <c r="AS214" i="122"/>
  <c r="AR214" i="122"/>
  <c r="AQ214" i="122"/>
  <c r="AP214" i="122"/>
  <c r="AO214" i="122"/>
  <c r="AN214" i="122"/>
  <c r="AM214" i="122"/>
  <c r="AL214" i="122"/>
  <c r="AK214" i="122"/>
  <c r="AJ214" i="122"/>
  <c r="AI214" i="122"/>
  <c r="AH214" i="122"/>
  <c r="AG214" i="122"/>
  <c r="AF214" i="122"/>
  <c r="AE214" i="122"/>
  <c r="AD214" i="122"/>
  <c r="BB213" i="122"/>
  <c r="BA213" i="122"/>
  <c r="AZ213" i="122"/>
  <c r="AY213" i="122"/>
  <c r="AX213" i="122"/>
  <c r="AW213" i="122"/>
  <c r="AV213" i="122"/>
  <c r="AU213" i="122"/>
  <c r="AT213" i="122"/>
  <c r="AS213" i="122"/>
  <c r="AR213" i="122"/>
  <c r="AQ213" i="122"/>
  <c r="AP213" i="122"/>
  <c r="AO213" i="122"/>
  <c r="AN213" i="122"/>
  <c r="AM213" i="122"/>
  <c r="AL213" i="122"/>
  <c r="AK213" i="122"/>
  <c r="AJ213" i="122"/>
  <c r="AI213" i="122"/>
  <c r="AH213" i="122"/>
  <c r="AG213" i="122"/>
  <c r="AF213" i="122"/>
  <c r="AE213" i="122"/>
  <c r="AD213" i="122"/>
  <c r="BB212" i="122"/>
  <c r="BA212" i="122"/>
  <c r="AZ212" i="122"/>
  <c r="AY212" i="122"/>
  <c r="AX212" i="122"/>
  <c r="AW212" i="122"/>
  <c r="AV212" i="122"/>
  <c r="AU212" i="122"/>
  <c r="AT212" i="122"/>
  <c r="AS212" i="122"/>
  <c r="AR212" i="122"/>
  <c r="AQ212" i="122"/>
  <c r="AP212" i="122"/>
  <c r="AO212" i="122"/>
  <c r="AN212" i="122"/>
  <c r="AM212" i="122"/>
  <c r="AL212" i="122"/>
  <c r="AK212" i="122"/>
  <c r="AJ212" i="122"/>
  <c r="AI212" i="122"/>
  <c r="AH212" i="122"/>
  <c r="AG212" i="122"/>
  <c r="AF212" i="122"/>
  <c r="AE212" i="122"/>
  <c r="AD212" i="122"/>
  <c r="BB211" i="122"/>
  <c r="BA211" i="122"/>
  <c r="AZ211" i="122"/>
  <c r="AY211" i="122"/>
  <c r="AX211" i="122"/>
  <c r="AW211" i="122"/>
  <c r="AV211" i="122"/>
  <c r="AU211" i="122"/>
  <c r="AT211" i="122"/>
  <c r="AS211" i="122"/>
  <c r="AR211" i="122"/>
  <c r="AQ211" i="122"/>
  <c r="AP211" i="122"/>
  <c r="AO211" i="122"/>
  <c r="AN211" i="122"/>
  <c r="AM211" i="122"/>
  <c r="AL211" i="122"/>
  <c r="AK211" i="122"/>
  <c r="AJ211" i="122"/>
  <c r="AI211" i="122"/>
  <c r="AH211" i="122"/>
  <c r="AG211" i="122"/>
  <c r="AF211" i="122"/>
  <c r="AE211" i="122"/>
  <c r="AD211" i="122"/>
  <c r="BB210" i="122"/>
  <c r="BA210" i="122"/>
  <c r="AZ210" i="122"/>
  <c r="AY210" i="122"/>
  <c r="AX210" i="122"/>
  <c r="AW210" i="122"/>
  <c r="AV210" i="122"/>
  <c r="AU210" i="122"/>
  <c r="AT210" i="122"/>
  <c r="AS210" i="122"/>
  <c r="AR210" i="122"/>
  <c r="AQ210" i="122"/>
  <c r="AP210" i="122"/>
  <c r="AO210" i="122"/>
  <c r="AN210" i="122"/>
  <c r="AM210" i="122"/>
  <c r="AL210" i="122"/>
  <c r="AK210" i="122"/>
  <c r="AJ210" i="122"/>
  <c r="AI210" i="122"/>
  <c r="AH210" i="122"/>
  <c r="AG210" i="122"/>
  <c r="AF210" i="122"/>
  <c r="AE210" i="122"/>
  <c r="AD210" i="122"/>
  <c r="BB209" i="122"/>
  <c r="BA209" i="122"/>
  <c r="AZ209" i="122"/>
  <c r="AY209" i="122"/>
  <c r="AX209" i="122"/>
  <c r="AW209" i="122"/>
  <c r="AV209" i="122"/>
  <c r="AU209" i="122"/>
  <c r="AT209" i="122"/>
  <c r="AS209" i="122"/>
  <c r="AR209" i="122"/>
  <c r="AQ209" i="122"/>
  <c r="AP209" i="122"/>
  <c r="AO209" i="122"/>
  <c r="AN209" i="122"/>
  <c r="AM209" i="122"/>
  <c r="AL209" i="122"/>
  <c r="AK209" i="122"/>
  <c r="AJ209" i="122"/>
  <c r="AI209" i="122"/>
  <c r="AH209" i="122"/>
  <c r="AG209" i="122"/>
  <c r="AF209" i="122"/>
  <c r="AE209" i="122"/>
  <c r="AD209" i="122"/>
  <c r="BB208" i="122"/>
  <c r="BA208" i="122"/>
  <c r="AZ208" i="122"/>
  <c r="AY208" i="122"/>
  <c r="AX208" i="122"/>
  <c r="AW208" i="122"/>
  <c r="AV208" i="122"/>
  <c r="AU208" i="122"/>
  <c r="AT208" i="122"/>
  <c r="AS208" i="122"/>
  <c r="AR208" i="122"/>
  <c r="AQ208" i="122"/>
  <c r="AP208" i="122"/>
  <c r="AO208" i="122"/>
  <c r="AN208" i="122"/>
  <c r="AM208" i="122"/>
  <c r="AL208" i="122"/>
  <c r="AK208" i="122"/>
  <c r="AJ208" i="122"/>
  <c r="AI208" i="122"/>
  <c r="AH208" i="122"/>
  <c r="AG208" i="122"/>
  <c r="AF208" i="122"/>
  <c r="AE208" i="122"/>
  <c r="AD208" i="122"/>
  <c r="BB201" i="122"/>
  <c r="BA201" i="122"/>
  <c r="AZ201" i="122"/>
  <c r="AY201" i="122"/>
  <c r="AX201" i="122"/>
  <c r="AW201" i="122"/>
  <c r="AV201" i="122"/>
  <c r="AU201" i="122"/>
  <c r="AT201" i="122"/>
  <c r="AS201" i="122"/>
  <c r="AR201" i="122"/>
  <c r="AQ201" i="122"/>
  <c r="AP201" i="122"/>
  <c r="AO201" i="122"/>
  <c r="AN201" i="122"/>
  <c r="AM201" i="122"/>
  <c r="AL201" i="122"/>
  <c r="AK201" i="122"/>
  <c r="AJ201" i="122"/>
  <c r="AI201" i="122"/>
  <c r="AH201" i="122"/>
  <c r="AG201" i="122"/>
  <c r="AF201" i="122"/>
  <c r="AE201" i="122"/>
  <c r="AD201" i="122"/>
  <c r="BB200" i="122"/>
  <c r="BA200" i="122"/>
  <c r="AZ200" i="122"/>
  <c r="AY200" i="122"/>
  <c r="AX200" i="122"/>
  <c r="AW200" i="122"/>
  <c r="AV200" i="122"/>
  <c r="AU200" i="122"/>
  <c r="AT200" i="122"/>
  <c r="AS200" i="122"/>
  <c r="AR200" i="122"/>
  <c r="AQ200" i="122"/>
  <c r="AP200" i="122"/>
  <c r="AO200" i="122"/>
  <c r="AN200" i="122"/>
  <c r="AM200" i="122"/>
  <c r="AL200" i="122"/>
  <c r="AK200" i="122"/>
  <c r="AJ200" i="122"/>
  <c r="AI200" i="122"/>
  <c r="AH200" i="122"/>
  <c r="AG200" i="122"/>
  <c r="AF200" i="122"/>
  <c r="AE200" i="122"/>
  <c r="AD200" i="122"/>
  <c r="BB199" i="122"/>
  <c r="BA199" i="122"/>
  <c r="AZ199" i="122"/>
  <c r="AY199" i="122"/>
  <c r="AX199" i="122"/>
  <c r="AW199" i="122"/>
  <c r="AV199" i="122"/>
  <c r="AU199" i="122"/>
  <c r="AT199" i="122"/>
  <c r="AS199" i="122"/>
  <c r="AR199" i="122"/>
  <c r="AQ199" i="122"/>
  <c r="AP199" i="122"/>
  <c r="AO199" i="122"/>
  <c r="AN199" i="122"/>
  <c r="AM199" i="122"/>
  <c r="AL199" i="122"/>
  <c r="AK199" i="122"/>
  <c r="AJ199" i="122"/>
  <c r="AI199" i="122"/>
  <c r="AH199" i="122"/>
  <c r="AG199" i="122"/>
  <c r="AF199" i="122"/>
  <c r="AE199" i="122"/>
  <c r="AD199" i="122"/>
  <c r="BB198" i="122"/>
  <c r="BA198" i="122"/>
  <c r="AZ198" i="122"/>
  <c r="AY198" i="122"/>
  <c r="AX198" i="122"/>
  <c r="AW198" i="122"/>
  <c r="AV198" i="122"/>
  <c r="AU198" i="122"/>
  <c r="AT198" i="122"/>
  <c r="AS198" i="122"/>
  <c r="AR198" i="122"/>
  <c r="AQ198" i="122"/>
  <c r="AP198" i="122"/>
  <c r="AO198" i="122"/>
  <c r="AN198" i="122"/>
  <c r="AM198" i="122"/>
  <c r="AL198" i="122"/>
  <c r="AK198" i="122"/>
  <c r="AJ198" i="122"/>
  <c r="AI198" i="122"/>
  <c r="AH198" i="122"/>
  <c r="AG198" i="122"/>
  <c r="AF198" i="122"/>
  <c r="AE198" i="122"/>
  <c r="AD198" i="122"/>
  <c r="BB197" i="122"/>
  <c r="BA197" i="122"/>
  <c r="AZ197" i="122"/>
  <c r="AY197" i="122"/>
  <c r="AX197" i="122"/>
  <c r="AW197" i="122"/>
  <c r="AV197" i="122"/>
  <c r="AU197" i="122"/>
  <c r="AT197" i="122"/>
  <c r="AS197" i="122"/>
  <c r="AR197" i="122"/>
  <c r="AQ197" i="122"/>
  <c r="AP197" i="122"/>
  <c r="AO197" i="122"/>
  <c r="AN197" i="122"/>
  <c r="AM197" i="122"/>
  <c r="AL197" i="122"/>
  <c r="AK197" i="122"/>
  <c r="AJ197" i="122"/>
  <c r="AI197" i="122"/>
  <c r="AH197" i="122"/>
  <c r="AG197" i="122"/>
  <c r="AF197" i="122"/>
  <c r="AE197" i="122"/>
  <c r="AD197" i="122"/>
  <c r="BB196" i="122"/>
  <c r="BA196" i="122"/>
  <c r="AZ196" i="122"/>
  <c r="AY196" i="122"/>
  <c r="AX196" i="122"/>
  <c r="AW196" i="122"/>
  <c r="AV196" i="122"/>
  <c r="AU196" i="122"/>
  <c r="AT196" i="122"/>
  <c r="AS196" i="122"/>
  <c r="AR196" i="122"/>
  <c r="AQ196" i="122"/>
  <c r="AP196" i="122"/>
  <c r="AO196" i="122"/>
  <c r="AN196" i="122"/>
  <c r="AM196" i="122"/>
  <c r="AL196" i="122"/>
  <c r="AK196" i="122"/>
  <c r="AJ196" i="122"/>
  <c r="AI196" i="122"/>
  <c r="AH196" i="122"/>
  <c r="AG196" i="122"/>
  <c r="AF196" i="122"/>
  <c r="AE196" i="122"/>
  <c r="AD196" i="122"/>
  <c r="BB195" i="122"/>
  <c r="BA195" i="122"/>
  <c r="AZ195" i="122"/>
  <c r="AY195" i="122"/>
  <c r="AX195" i="122"/>
  <c r="AW195" i="122"/>
  <c r="AV195" i="122"/>
  <c r="AU195" i="122"/>
  <c r="AT195" i="122"/>
  <c r="AS195" i="122"/>
  <c r="AR195" i="122"/>
  <c r="AQ195" i="122"/>
  <c r="AP195" i="122"/>
  <c r="AO195" i="122"/>
  <c r="AN195" i="122"/>
  <c r="AM195" i="122"/>
  <c r="AL195" i="122"/>
  <c r="AK195" i="122"/>
  <c r="AJ195" i="122"/>
  <c r="AI195" i="122"/>
  <c r="AH195" i="122"/>
  <c r="AG195" i="122"/>
  <c r="AF195" i="122"/>
  <c r="AE195" i="122"/>
  <c r="AD195" i="122"/>
  <c r="BB194" i="122"/>
  <c r="BA194" i="122"/>
  <c r="AZ194" i="122"/>
  <c r="AY194" i="122"/>
  <c r="AX194" i="122"/>
  <c r="AW194" i="122"/>
  <c r="AV194" i="122"/>
  <c r="AU194" i="122"/>
  <c r="AT194" i="122"/>
  <c r="AS194" i="122"/>
  <c r="AR194" i="122"/>
  <c r="AQ194" i="122"/>
  <c r="AP194" i="122"/>
  <c r="AO194" i="122"/>
  <c r="AN194" i="122"/>
  <c r="AM194" i="122"/>
  <c r="AL194" i="122"/>
  <c r="AK194" i="122"/>
  <c r="AJ194" i="122"/>
  <c r="AI194" i="122"/>
  <c r="AH194" i="122"/>
  <c r="AG194" i="122"/>
  <c r="AF194" i="122"/>
  <c r="AE194" i="122"/>
  <c r="AD194" i="122"/>
  <c r="BB193" i="122"/>
  <c r="BA193" i="122"/>
  <c r="AZ193" i="122"/>
  <c r="AY193" i="122"/>
  <c r="AX193" i="122"/>
  <c r="AW193" i="122"/>
  <c r="AV193" i="122"/>
  <c r="AU193" i="122"/>
  <c r="AT193" i="122"/>
  <c r="AS193" i="122"/>
  <c r="AR193" i="122"/>
  <c r="AQ193" i="122"/>
  <c r="AP193" i="122"/>
  <c r="AO193" i="122"/>
  <c r="AN193" i="122"/>
  <c r="AM193" i="122"/>
  <c r="AL193" i="122"/>
  <c r="AK193" i="122"/>
  <c r="AJ193" i="122"/>
  <c r="AI193" i="122"/>
  <c r="AH193" i="122"/>
  <c r="AG193" i="122"/>
  <c r="AF193" i="122"/>
  <c r="AE193" i="122"/>
  <c r="AD193" i="122"/>
  <c r="BB192" i="122"/>
  <c r="BA192" i="122"/>
  <c r="AZ192" i="122"/>
  <c r="AY192" i="122"/>
  <c r="AX192" i="122"/>
  <c r="AW192" i="122"/>
  <c r="AV192" i="122"/>
  <c r="AU192" i="122"/>
  <c r="AT192" i="122"/>
  <c r="AS192" i="122"/>
  <c r="AR192" i="122"/>
  <c r="AQ192" i="122"/>
  <c r="AP192" i="122"/>
  <c r="AO192" i="122"/>
  <c r="AN192" i="122"/>
  <c r="AM192" i="122"/>
  <c r="AL192" i="122"/>
  <c r="AK192" i="122"/>
  <c r="AJ192" i="122"/>
  <c r="AI192" i="122"/>
  <c r="AH192" i="122"/>
  <c r="AG192" i="122"/>
  <c r="AF192" i="122"/>
  <c r="AE192" i="122"/>
  <c r="AD192" i="122"/>
  <c r="BB191" i="122"/>
  <c r="BA191" i="122"/>
  <c r="AZ191" i="122"/>
  <c r="AY191" i="122"/>
  <c r="AX191" i="122"/>
  <c r="AW191" i="122"/>
  <c r="AV191" i="122"/>
  <c r="AU191" i="122"/>
  <c r="AT191" i="122"/>
  <c r="AS191" i="122"/>
  <c r="AR191" i="122"/>
  <c r="AQ191" i="122"/>
  <c r="AP191" i="122"/>
  <c r="AO191" i="122"/>
  <c r="AN191" i="122"/>
  <c r="AM191" i="122"/>
  <c r="AL191" i="122"/>
  <c r="AK191" i="122"/>
  <c r="AJ191" i="122"/>
  <c r="AI191" i="122"/>
  <c r="AH191" i="122"/>
  <c r="AG191" i="122"/>
  <c r="AF191" i="122"/>
  <c r="AE191" i="122"/>
  <c r="AD191" i="122"/>
  <c r="BB190" i="122"/>
  <c r="BA190" i="122"/>
  <c r="AZ190" i="122"/>
  <c r="AY190" i="122"/>
  <c r="AX190" i="122"/>
  <c r="AW190" i="122"/>
  <c r="AV190" i="122"/>
  <c r="AU190" i="122"/>
  <c r="AT190" i="122"/>
  <c r="AS190" i="122"/>
  <c r="AR190" i="122"/>
  <c r="AQ190" i="122"/>
  <c r="AP190" i="122"/>
  <c r="AO190" i="122"/>
  <c r="AN190" i="122"/>
  <c r="AM190" i="122"/>
  <c r="AL190" i="122"/>
  <c r="AK190" i="122"/>
  <c r="AJ190" i="122"/>
  <c r="AI190" i="122"/>
  <c r="AH190" i="122"/>
  <c r="AG190" i="122"/>
  <c r="AF190" i="122"/>
  <c r="AE190" i="122"/>
  <c r="AD190" i="122"/>
  <c r="BB189" i="122"/>
  <c r="BA189" i="122"/>
  <c r="AZ189" i="122"/>
  <c r="AY189" i="122"/>
  <c r="AX189" i="122"/>
  <c r="AW189" i="122"/>
  <c r="AV189" i="122"/>
  <c r="AU189" i="122"/>
  <c r="AT189" i="122"/>
  <c r="AS189" i="122"/>
  <c r="AR189" i="122"/>
  <c r="AQ189" i="122"/>
  <c r="AP189" i="122"/>
  <c r="AO189" i="122"/>
  <c r="AN189" i="122"/>
  <c r="AM189" i="122"/>
  <c r="AL189" i="122"/>
  <c r="AK189" i="122"/>
  <c r="AJ189" i="122"/>
  <c r="AI189" i="122"/>
  <c r="AH189" i="122"/>
  <c r="AG189" i="122"/>
  <c r="AF189" i="122"/>
  <c r="AE189" i="122"/>
  <c r="AD189" i="122"/>
  <c r="BB188" i="122"/>
  <c r="BA188" i="122"/>
  <c r="AZ188" i="122"/>
  <c r="AY188" i="122"/>
  <c r="AX188" i="122"/>
  <c r="AW188" i="122"/>
  <c r="AV188" i="122"/>
  <c r="AU188" i="122"/>
  <c r="AT188" i="122"/>
  <c r="AS188" i="122"/>
  <c r="AR188" i="122"/>
  <c r="AQ188" i="122"/>
  <c r="AP188" i="122"/>
  <c r="AO188" i="122"/>
  <c r="AN188" i="122"/>
  <c r="AM188" i="122"/>
  <c r="AL188" i="122"/>
  <c r="AK188" i="122"/>
  <c r="AJ188" i="122"/>
  <c r="AI188" i="122"/>
  <c r="AH188" i="122"/>
  <c r="AG188" i="122"/>
  <c r="AF188" i="122"/>
  <c r="AE188" i="122"/>
  <c r="AD188" i="122"/>
  <c r="BB187" i="122"/>
  <c r="BA187" i="122"/>
  <c r="AZ187" i="122"/>
  <c r="AY187" i="122"/>
  <c r="AX187" i="122"/>
  <c r="AW187" i="122"/>
  <c r="AV187" i="122"/>
  <c r="AU187" i="122"/>
  <c r="AT187" i="122"/>
  <c r="AS187" i="122"/>
  <c r="AR187" i="122"/>
  <c r="AQ187" i="122"/>
  <c r="AP187" i="122"/>
  <c r="AO187" i="122"/>
  <c r="AN187" i="122"/>
  <c r="AM187" i="122"/>
  <c r="AL187" i="122"/>
  <c r="AK187" i="122"/>
  <c r="AJ187" i="122"/>
  <c r="AI187" i="122"/>
  <c r="AH187" i="122"/>
  <c r="AG187" i="122"/>
  <c r="AF187" i="122"/>
  <c r="AE187" i="122"/>
  <c r="AD187" i="122"/>
  <c r="BB186" i="122"/>
  <c r="BA186" i="122"/>
  <c r="AZ186" i="122"/>
  <c r="AY186" i="122"/>
  <c r="AX186" i="122"/>
  <c r="AW186" i="122"/>
  <c r="AV186" i="122"/>
  <c r="AU186" i="122"/>
  <c r="AT186" i="122"/>
  <c r="AS186" i="122"/>
  <c r="AR186" i="122"/>
  <c r="AQ186" i="122"/>
  <c r="AP186" i="122"/>
  <c r="AO186" i="122"/>
  <c r="AN186" i="122"/>
  <c r="AM186" i="122"/>
  <c r="AL186" i="122"/>
  <c r="AK186" i="122"/>
  <c r="AJ186" i="122"/>
  <c r="AI186" i="122"/>
  <c r="AH186" i="122"/>
  <c r="AG186" i="122"/>
  <c r="AF186" i="122"/>
  <c r="AE186" i="122"/>
  <c r="AD186" i="122"/>
  <c r="BB185" i="122"/>
  <c r="BA185" i="122"/>
  <c r="AZ185" i="122"/>
  <c r="AY185" i="122"/>
  <c r="AX185" i="122"/>
  <c r="AW185" i="122"/>
  <c r="AV185" i="122"/>
  <c r="AU185" i="122"/>
  <c r="AT185" i="122"/>
  <c r="AS185" i="122"/>
  <c r="AR185" i="122"/>
  <c r="AQ185" i="122"/>
  <c r="AP185" i="122"/>
  <c r="AO185" i="122"/>
  <c r="AN185" i="122"/>
  <c r="AM185" i="122"/>
  <c r="AL185" i="122"/>
  <c r="AK185" i="122"/>
  <c r="AJ185" i="122"/>
  <c r="AI185" i="122"/>
  <c r="AH185" i="122"/>
  <c r="AG185" i="122"/>
  <c r="AF185" i="122"/>
  <c r="AE185" i="122"/>
  <c r="AD185" i="122"/>
  <c r="BB184" i="122"/>
  <c r="BA184" i="122"/>
  <c r="AZ184" i="122"/>
  <c r="AY184" i="122"/>
  <c r="AX184" i="122"/>
  <c r="AW184" i="122"/>
  <c r="AV184" i="122"/>
  <c r="AU184" i="122"/>
  <c r="AT184" i="122"/>
  <c r="AS184" i="122"/>
  <c r="AR184" i="122"/>
  <c r="AQ184" i="122"/>
  <c r="AP184" i="122"/>
  <c r="AO184" i="122"/>
  <c r="AN184" i="122"/>
  <c r="AM184" i="122"/>
  <c r="AL184" i="122"/>
  <c r="AK184" i="122"/>
  <c r="AJ184" i="122"/>
  <c r="AI184" i="122"/>
  <c r="AH184" i="122"/>
  <c r="AG184" i="122"/>
  <c r="AF184" i="122"/>
  <c r="AE184" i="122"/>
  <c r="AD184" i="122"/>
  <c r="BB183" i="122"/>
  <c r="BA183" i="122"/>
  <c r="AZ183" i="122"/>
  <c r="AY183" i="122"/>
  <c r="AX183" i="122"/>
  <c r="AW183" i="122"/>
  <c r="AV183" i="122"/>
  <c r="AU183" i="122"/>
  <c r="AT183" i="122"/>
  <c r="AS183" i="122"/>
  <c r="AR183" i="122"/>
  <c r="AQ183" i="122"/>
  <c r="AP183" i="122"/>
  <c r="AO183" i="122"/>
  <c r="AN183" i="122"/>
  <c r="AM183" i="122"/>
  <c r="AL183" i="122"/>
  <c r="AK183" i="122"/>
  <c r="AJ183" i="122"/>
  <c r="AI183" i="122"/>
  <c r="AH183" i="122"/>
  <c r="AG183" i="122"/>
  <c r="AF183" i="122"/>
  <c r="AE183" i="122"/>
  <c r="AD183" i="122"/>
  <c r="BB182" i="122"/>
  <c r="BA182" i="122"/>
  <c r="AZ182" i="122"/>
  <c r="AY182" i="122"/>
  <c r="AX182" i="122"/>
  <c r="AW182" i="122"/>
  <c r="AV182" i="122"/>
  <c r="AU182" i="122"/>
  <c r="AT182" i="122"/>
  <c r="AS182" i="122"/>
  <c r="AR182" i="122"/>
  <c r="AQ182" i="122"/>
  <c r="AP182" i="122"/>
  <c r="AO182" i="122"/>
  <c r="AN182" i="122"/>
  <c r="AM182" i="122"/>
  <c r="AL182" i="122"/>
  <c r="AK182" i="122"/>
  <c r="AJ182" i="122"/>
  <c r="AI182" i="122"/>
  <c r="AH182" i="122"/>
  <c r="AG182" i="122"/>
  <c r="AF182" i="122"/>
  <c r="AE182" i="122"/>
  <c r="AD182" i="122"/>
  <c r="BB181" i="122"/>
  <c r="BA181" i="122"/>
  <c r="AZ181" i="122"/>
  <c r="AY181" i="122"/>
  <c r="AX181" i="122"/>
  <c r="AW181" i="122"/>
  <c r="AV181" i="122"/>
  <c r="AU181" i="122"/>
  <c r="AT181" i="122"/>
  <c r="AS181" i="122"/>
  <c r="AR181" i="122"/>
  <c r="AQ181" i="122"/>
  <c r="AP181" i="122"/>
  <c r="AO181" i="122"/>
  <c r="AN181" i="122"/>
  <c r="AM181" i="122"/>
  <c r="AL181" i="122"/>
  <c r="AK181" i="122"/>
  <c r="AJ181" i="122"/>
  <c r="AI181" i="122"/>
  <c r="AH181" i="122"/>
  <c r="AG181" i="122"/>
  <c r="AF181" i="122"/>
  <c r="AE181" i="122"/>
  <c r="AD181" i="122"/>
  <c r="BB180" i="122"/>
  <c r="BA180" i="122"/>
  <c r="AZ180" i="122"/>
  <c r="AY180" i="122"/>
  <c r="AX180" i="122"/>
  <c r="AW180" i="122"/>
  <c r="AV180" i="122"/>
  <c r="AU180" i="122"/>
  <c r="AT180" i="122"/>
  <c r="AS180" i="122"/>
  <c r="AR180" i="122"/>
  <c r="AQ180" i="122"/>
  <c r="AP180" i="122"/>
  <c r="AO180" i="122"/>
  <c r="AN180" i="122"/>
  <c r="AM180" i="122"/>
  <c r="AL180" i="122"/>
  <c r="AK180" i="122"/>
  <c r="AJ180" i="122"/>
  <c r="AI180" i="122"/>
  <c r="AH180" i="122"/>
  <c r="AG180" i="122"/>
  <c r="AF180" i="122"/>
  <c r="AE180" i="122"/>
  <c r="AD180" i="122"/>
  <c r="BB179" i="122"/>
  <c r="BA179" i="122"/>
  <c r="AZ179" i="122"/>
  <c r="AY179" i="122"/>
  <c r="AX179" i="122"/>
  <c r="AW179" i="122"/>
  <c r="AV179" i="122"/>
  <c r="AU179" i="122"/>
  <c r="AT179" i="122"/>
  <c r="AS179" i="122"/>
  <c r="AR179" i="122"/>
  <c r="AQ179" i="122"/>
  <c r="AP179" i="122"/>
  <c r="AO179" i="122"/>
  <c r="AN179" i="122"/>
  <c r="AM179" i="122"/>
  <c r="AL179" i="122"/>
  <c r="AK179" i="122"/>
  <c r="AJ179" i="122"/>
  <c r="AI179" i="122"/>
  <c r="AH179" i="122"/>
  <c r="AG179" i="122"/>
  <c r="AF179" i="122"/>
  <c r="AE179" i="122"/>
  <c r="AD179" i="122"/>
  <c r="BB178" i="122"/>
  <c r="BA178" i="122"/>
  <c r="AZ178" i="122"/>
  <c r="AY178" i="122"/>
  <c r="AX178" i="122"/>
  <c r="AW178" i="122"/>
  <c r="AV178" i="122"/>
  <c r="AU178" i="122"/>
  <c r="AT178" i="122"/>
  <c r="AS178" i="122"/>
  <c r="AR178" i="122"/>
  <c r="AQ178" i="122"/>
  <c r="AP178" i="122"/>
  <c r="AO178" i="122"/>
  <c r="AN178" i="122"/>
  <c r="AM178" i="122"/>
  <c r="AL178" i="122"/>
  <c r="AK178" i="122"/>
  <c r="AJ178" i="122"/>
  <c r="AI178" i="122"/>
  <c r="AH178" i="122"/>
  <c r="AG178" i="122"/>
  <c r="AF178" i="122"/>
  <c r="AE178" i="122"/>
  <c r="AD178" i="122"/>
  <c r="BB177" i="122"/>
  <c r="BA177" i="122"/>
  <c r="AZ177" i="122"/>
  <c r="AY177" i="122"/>
  <c r="AX177" i="122"/>
  <c r="AW177" i="122"/>
  <c r="AV177" i="122"/>
  <c r="AU177" i="122"/>
  <c r="AT177" i="122"/>
  <c r="AS177" i="122"/>
  <c r="AR177" i="122"/>
  <c r="AQ177" i="122"/>
  <c r="AP177" i="122"/>
  <c r="AO177" i="122"/>
  <c r="AN177" i="122"/>
  <c r="AM177" i="122"/>
  <c r="AL177" i="122"/>
  <c r="AK177" i="122"/>
  <c r="AJ177" i="122"/>
  <c r="AI177" i="122"/>
  <c r="AH177" i="122"/>
  <c r="AG177" i="122"/>
  <c r="AF177" i="122"/>
  <c r="AE177" i="122"/>
  <c r="AD177" i="122"/>
  <c r="BB176" i="122"/>
  <c r="BA176" i="122"/>
  <c r="AZ176" i="122"/>
  <c r="AY176" i="122"/>
  <c r="AX176" i="122"/>
  <c r="AW176" i="122"/>
  <c r="AV176" i="122"/>
  <c r="AU176" i="122"/>
  <c r="AT176" i="122"/>
  <c r="AS176" i="122"/>
  <c r="AR176" i="122"/>
  <c r="AQ176" i="122"/>
  <c r="AP176" i="122"/>
  <c r="AO176" i="122"/>
  <c r="AN176" i="122"/>
  <c r="AM176" i="122"/>
  <c r="AL176" i="122"/>
  <c r="AK176" i="122"/>
  <c r="AJ176" i="122"/>
  <c r="AI176" i="122"/>
  <c r="AH176" i="122"/>
  <c r="AG176" i="122"/>
  <c r="AF176" i="122"/>
  <c r="AE176" i="122"/>
  <c r="AD176" i="122"/>
  <c r="BB175" i="122"/>
  <c r="BA175" i="122"/>
  <c r="AZ175" i="122"/>
  <c r="AY175" i="122"/>
  <c r="AX175" i="122"/>
  <c r="AW175" i="122"/>
  <c r="AV175" i="122"/>
  <c r="AU175" i="122"/>
  <c r="AT175" i="122"/>
  <c r="AS175" i="122"/>
  <c r="AR175" i="122"/>
  <c r="AQ175" i="122"/>
  <c r="AP175" i="122"/>
  <c r="AO175" i="122"/>
  <c r="AN175" i="122"/>
  <c r="AM175" i="122"/>
  <c r="AL175" i="122"/>
  <c r="AK175" i="122"/>
  <c r="AJ175" i="122"/>
  <c r="AI175" i="122"/>
  <c r="AH175" i="122"/>
  <c r="AG175" i="122"/>
  <c r="AF175" i="122"/>
  <c r="AE175" i="122"/>
  <c r="AD175" i="122"/>
  <c r="BB174" i="122"/>
  <c r="BA174" i="122"/>
  <c r="AZ174" i="122"/>
  <c r="AY174" i="122"/>
  <c r="AX174" i="122"/>
  <c r="AW174" i="122"/>
  <c r="AV174" i="122"/>
  <c r="AU174" i="122"/>
  <c r="AT174" i="122"/>
  <c r="AS174" i="122"/>
  <c r="AR174" i="122"/>
  <c r="AQ174" i="122"/>
  <c r="AP174" i="122"/>
  <c r="AO174" i="122"/>
  <c r="AN174" i="122"/>
  <c r="AM174" i="122"/>
  <c r="AL174" i="122"/>
  <c r="AK174" i="122"/>
  <c r="AJ174" i="122"/>
  <c r="AI174" i="122"/>
  <c r="AH174" i="122"/>
  <c r="AG174" i="122"/>
  <c r="AF174" i="122"/>
  <c r="AE174" i="122"/>
  <c r="AD174" i="122"/>
  <c r="BB173" i="122"/>
  <c r="BA173" i="122"/>
  <c r="AZ173" i="122"/>
  <c r="AY173" i="122"/>
  <c r="AX173" i="122"/>
  <c r="AW173" i="122"/>
  <c r="AV173" i="122"/>
  <c r="AU173" i="122"/>
  <c r="AT173" i="122"/>
  <c r="AS173" i="122"/>
  <c r="AR173" i="122"/>
  <c r="AQ173" i="122"/>
  <c r="AP173" i="122"/>
  <c r="AO173" i="122"/>
  <c r="AN173" i="122"/>
  <c r="AM173" i="122"/>
  <c r="AL173" i="122"/>
  <c r="AK173" i="122"/>
  <c r="AJ173" i="122"/>
  <c r="AI173" i="122"/>
  <c r="AH173" i="122"/>
  <c r="AG173" i="122"/>
  <c r="AF173" i="122"/>
  <c r="AE173" i="122"/>
  <c r="AD173" i="122"/>
  <c r="BB172" i="122"/>
  <c r="BA172" i="122"/>
  <c r="AZ172" i="122"/>
  <c r="AY172" i="122"/>
  <c r="AX172" i="122"/>
  <c r="AW172" i="122"/>
  <c r="AV172" i="122"/>
  <c r="AU172" i="122"/>
  <c r="AT172" i="122"/>
  <c r="AS172" i="122"/>
  <c r="AR172" i="122"/>
  <c r="AQ172" i="122"/>
  <c r="AP172" i="122"/>
  <c r="AO172" i="122"/>
  <c r="AN172" i="122"/>
  <c r="AM172" i="122"/>
  <c r="AL172" i="122"/>
  <c r="AK172" i="122"/>
  <c r="AJ172" i="122"/>
  <c r="AI172" i="122"/>
  <c r="AH172" i="122"/>
  <c r="AG172" i="122"/>
  <c r="AF172" i="122"/>
  <c r="AE172" i="122"/>
  <c r="AD172" i="122"/>
  <c r="BB171" i="122"/>
  <c r="BA171" i="122"/>
  <c r="AZ171" i="122"/>
  <c r="AY171" i="122"/>
  <c r="AX171" i="122"/>
  <c r="AW171" i="122"/>
  <c r="AV171" i="122"/>
  <c r="AU171" i="122"/>
  <c r="AT171" i="122"/>
  <c r="AS171" i="122"/>
  <c r="AR171" i="122"/>
  <c r="AQ171" i="122"/>
  <c r="AP171" i="122"/>
  <c r="AO171" i="122"/>
  <c r="AN171" i="122"/>
  <c r="AM171" i="122"/>
  <c r="AL171" i="122"/>
  <c r="AK171" i="122"/>
  <c r="AJ171" i="122"/>
  <c r="AI171" i="122"/>
  <c r="AH171" i="122"/>
  <c r="AG171" i="122"/>
  <c r="AF171" i="122"/>
  <c r="AE171" i="122"/>
  <c r="AD171" i="122"/>
  <c r="BB170" i="122"/>
  <c r="BA170" i="122"/>
  <c r="AZ170" i="122"/>
  <c r="AY170" i="122"/>
  <c r="AX170" i="122"/>
  <c r="AW170" i="122"/>
  <c r="AV170" i="122"/>
  <c r="AU170" i="122"/>
  <c r="AT170" i="122"/>
  <c r="AS170" i="122"/>
  <c r="AR170" i="122"/>
  <c r="AQ170" i="122"/>
  <c r="AP170" i="122"/>
  <c r="AO170" i="122"/>
  <c r="AN170" i="122"/>
  <c r="AM170" i="122"/>
  <c r="AL170" i="122"/>
  <c r="AK170" i="122"/>
  <c r="AJ170" i="122"/>
  <c r="AI170" i="122"/>
  <c r="AH170" i="122"/>
  <c r="AG170" i="122"/>
  <c r="AF170" i="122"/>
  <c r="AE170" i="122"/>
  <c r="AD170" i="122"/>
  <c r="BB169" i="122"/>
  <c r="BA169" i="122"/>
  <c r="AZ169" i="122"/>
  <c r="AY169" i="122"/>
  <c r="AX169" i="122"/>
  <c r="AW169" i="122"/>
  <c r="AV169" i="122"/>
  <c r="AU169" i="122"/>
  <c r="AT169" i="122"/>
  <c r="AS169" i="122"/>
  <c r="AR169" i="122"/>
  <c r="AQ169" i="122"/>
  <c r="AP169" i="122"/>
  <c r="AO169" i="122"/>
  <c r="AN169" i="122"/>
  <c r="AM169" i="122"/>
  <c r="AL169" i="122"/>
  <c r="AK169" i="122"/>
  <c r="AJ169" i="122"/>
  <c r="AI169" i="122"/>
  <c r="AH169" i="122"/>
  <c r="AG169" i="122"/>
  <c r="AF169" i="122"/>
  <c r="AE169" i="122"/>
  <c r="AD169" i="122"/>
  <c r="BB41" i="122"/>
  <c r="BA41" i="122"/>
  <c r="AZ41" i="122"/>
  <c r="AY41" i="122"/>
  <c r="AX41" i="122"/>
  <c r="AW41" i="122"/>
  <c r="AV41" i="122"/>
  <c r="AU41" i="122"/>
  <c r="AT41" i="122"/>
  <c r="AS41" i="122"/>
  <c r="AR41" i="122"/>
  <c r="AQ41" i="122"/>
  <c r="AP41" i="122"/>
  <c r="AO41" i="122"/>
  <c r="AN41" i="122"/>
  <c r="AM41" i="122"/>
  <c r="AL41" i="122"/>
  <c r="AK41" i="122"/>
  <c r="AJ41" i="122"/>
  <c r="AI41" i="122"/>
  <c r="AH41" i="122"/>
  <c r="AG41" i="122"/>
  <c r="AF41" i="122"/>
  <c r="AE41" i="122"/>
  <c r="AD41" i="122"/>
  <c r="BB40" i="122"/>
  <c r="BA40" i="122"/>
  <c r="AZ40" i="122"/>
  <c r="AY40" i="122"/>
  <c r="AX40" i="122"/>
  <c r="AW40" i="122"/>
  <c r="AV40" i="122"/>
  <c r="AU40" i="122"/>
  <c r="AT40" i="122"/>
  <c r="AS40" i="122"/>
  <c r="AR40" i="122"/>
  <c r="AQ40" i="122"/>
  <c r="AP40" i="122"/>
  <c r="AO40" i="122"/>
  <c r="AN40" i="122"/>
  <c r="AM40" i="122"/>
  <c r="AL40" i="122"/>
  <c r="AK40" i="122"/>
  <c r="AJ40" i="122"/>
  <c r="AI40" i="122"/>
  <c r="AH40" i="122"/>
  <c r="AG40" i="122"/>
  <c r="AF40" i="122"/>
  <c r="AE40" i="122"/>
  <c r="AD40" i="122"/>
  <c r="BB39" i="122"/>
  <c r="BA39" i="122"/>
  <c r="AZ39" i="122"/>
  <c r="AY39" i="122"/>
  <c r="AX39" i="122"/>
  <c r="AW39" i="122"/>
  <c r="AV39" i="122"/>
  <c r="AU39" i="122"/>
  <c r="AT39" i="122"/>
  <c r="AS39" i="122"/>
  <c r="AR39" i="122"/>
  <c r="AQ39" i="122"/>
  <c r="AP39" i="122"/>
  <c r="AO39" i="122"/>
  <c r="AN39" i="122"/>
  <c r="AM39" i="122"/>
  <c r="AL39" i="122"/>
  <c r="AK39" i="122"/>
  <c r="AJ39" i="122"/>
  <c r="AI39" i="122"/>
  <c r="AH39" i="122"/>
  <c r="AG39" i="122"/>
  <c r="AF39" i="122"/>
  <c r="AE39" i="122"/>
  <c r="AD39" i="122"/>
  <c r="BB38" i="122"/>
  <c r="BA38" i="122"/>
  <c r="AZ38" i="122"/>
  <c r="AY38" i="122"/>
  <c r="AX38" i="122"/>
  <c r="AW38" i="122"/>
  <c r="AV38" i="122"/>
  <c r="AU38" i="122"/>
  <c r="AT38" i="122"/>
  <c r="AS38" i="122"/>
  <c r="AR38" i="122"/>
  <c r="AQ38" i="122"/>
  <c r="AP38" i="122"/>
  <c r="AO38" i="122"/>
  <c r="AN38" i="122"/>
  <c r="AM38" i="122"/>
  <c r="AL38" i="122"/>
  <c r="AK38" i="122"/>
  <c r="AJ38" i="122"/>
  <c r="AI38" i="122"/>
  <c r="AH38" i="122"/>
  <c r="AG38" i="122"/>
  <c r="AF38" i="122"/>
  <c r="AE38" i="122"/>
  <c r="AD38" i="122"/>
  <c r="BB37" i="122"/>
  <c r="BA37" i="122"/>
  <c r="AZ37" i="122"/>
  <c r="AY37" i="122"/>
  <c r="AX37" i="122"/>
  <c r="AW37" i="122"/>
  <c r="AV37" i="122"/>
  <c r="AU37" i="122"/>
  <c r="AT37" i="122"/>
  <c r="AS37" i="122"/>
  <c r="AR37" i="122"/>
  <c r="AQ37" i="122"/>
  <c r="AP37" i="122"/>
  <c r="AO37" i="122"/>
  <c r="AN37" i="122"/>
  <c r="AM37" i="122"/>
  <c r="AL37" i="122"/>
  <c r="AK37" i="122"/>
  <c r="AJ37" i="122"/>
  <c r="AI37" i="122"/>
  <c r="AH37" i="122"/>
  <c r="AG37" i="122"/>
  <c r="AF37" i="122"/>
  <c r="AE37" i="122"/>
  <c r="AD37" i="122"/>
  <c r="BB36" i="122"/>
  <c r="BA36" i="122"/>
  <c r="AZ36" i="122"/>
  <c r="AY36" i="122"/>
  <c r="AX36" i="122"/>
  <c r="AW36" i="122"/>
  <c r="AV36" i="122"/>
  <c r="AU36" i="122"/>
  <c r="AT36" i="122"/>
  <c r="AS36" i="122"/>
  <c r="AR36" i="122"/>
  <c r="AQ36" i="122"/>
  <c r="AP36" i="122"/>
  <c r="AO36" i="122"/>
  <c r="AN36" i="122"/>
  <c r="AM36" i="122"/>
  <c r="AL36" i="122"/>
  <c r="AK36" i="122"/>
  <c r="AJ36" i="122"/>
  <c r="AI36" i="122"/>
  <c r="AH36" i="122"/>
  <c r="AG36" i="122"/>
  <c r="AF36" i="122"/>
  <c r="AE36" i="122"/>
  <c r="AD36" i="122"/>
  <c r="BB35" i="122"/>
  <c r="BA35" i="122"/>
  <c r="AZ35" i="122"/>
  <c r="AY35" i="122"/>
  <c r="AX35" i="122"/>
  <c r="AW35" i="122"/>
  <c r="AV35" i="122"/>
  <c r="AU35" i="122"/>
  <c r="AT35" i="122"/>
  <c r="AS35" i="122"/>
  <c r="AR35" i="122"/>
  <c r="AQ35" i="122"/>
  <c r="AP35" i="122"/>
  <c r="AO35" i="122"/>
  <c r="AN35" i="122"/>
  <c r="AM35" i="122"/>
  <c r="AL35" i="122"/>
  <c r="AK35" i="122"/>
  <c r="AJ35" i="122"/>
  <c r="AI35" i="122"/>
  <c r="AH35" i="122"/>
  <c r="AG35" i="122"/>
  <c r="AF35" i="122"/>
  <c r="AE35" i="122"/>
  <c r="AD35" i="122"/>
  <c r="BB34" i="122"/>
  <c r="BA34" i="122"/>
  <c r="AZ34" i="122"/>
  <c r="AY34" i="122"/>
  <c r="AX34" i="122"/>
  <c r="AW34" i="122"/>
  <c r="AV34" i="122"/>
  <c r="AU34" i="122"/>
  <c r="AT34" i="122"/>
  <c r="AS34" i="122"/>
  <c r="AR34" i="122"/>
  <c r="AQ34" i="122"/>
  <c r="AP34" i="122"/>
  <c r="AO34" i="122"/>
  <c r="AN34" i="122"/>
  <c r="AM34" i="122"/>
  <c r="AL34" i="122"/>
  <c r="AK34" i="122"/>
  <c r="AJ34" i="122"/>
  <c r="AI34" i="122"/>
  <c r="AH34" i="122"/>
  <c r="AG34" i="122"/>
  <c r="AF34" i="122"/>
  <c r="AE34" i="122"/>
  <c r="AD34" i="122"/>
  <c r="BB33" i="122"/>
  <c r="BA33" i="122"/>
  <c r="AZ33" i="122"/>
  <c r="AY33" i="122"/>
  <c r="AX33" i="122"/>
  <c r="AW33" i="122"/>
  <c r="AV33" i="122"/>
  <c r="AU33" i="122"/>
  <c r="AT33" i="122"/>
  <c r="AS33" i="122"/>
  <c r="AR33" i="122"/>
  <c r="AQ33" i="122"/>
  <c r="AP33" i="122"/>
  <c r="AO33" i="122"/>
  <c r="AN33" i="122"/>
  <c r="AM33" i="122"/>
  <c r="AL33" i="122"/>
  <c r="AK33" i="122"/>
  <c r="AJ33" i="122"/>
  <c r="AI33" i="122"/>
  <c r="AH33" i="122"/>
  <c r="AG33" i="122"/>
  <c r="AF33" i="122"/>
  <c r="AE33" i="122"/>
  <c r="AD33" i="122"/>
  <c r="BB32" i="122"/>
  <c r="BA32" i="122"/>
  <c r="AZ32" i="122"/>
  <c r="AY32" i="122"/>
  <c r="AX32" i="122"/>
  <c r="AW32" i="122"/>
  <c r="AV32" i="122"/>
  <c r="AU32" i="122"/>
  <c r="AT32" i="122"/>
  <c r="AS32" i="122"/>
  <c r="AR32" i="122"/>
  <c r="AQ32" i="122"/>
  <c r="AP32" i="122"/>
  <c r="AO32" i="122"/>
  <c r="AN32" i="122"/>
  <c r="AM32" i="122"/>
  <c r="AL32" i="122"/>
  <c r="AK32" i="122"/>
  <c r="AJ32" i="122"/>
  <c r="AI32" i="122"/>
  <c r="AH32" i="122"/>
  <c r="AG32" i="122"/>
  <c r="AF32" i="122"/>
  <c r="AE32" i="122"/>
  <c r="AD32" i="122"/>
  <c r="BB31" i="122"/>
  <c r="BA31" i="122"/>
  <c r="AZ31" i="122"/>
  <c r="AY31" i="122"/>
  <c r="AX31" i="122"/>
  <c r="AW31" i="122"/>
  <c r="AV31" i="122"/>
  <c r="AU31" i="122"/>
  <c r="AT31" i="122"/>
  <c r="AS31" i="122"/>
  <c r="AR31" i="122"/>
  <c r="AQ31" i="122"/>
  <c r="AP31" i="122"/>
  <c r="AO31" i="122"/>
  <c r="AN31" i="122"/>
  <c r="AM31" i="122"/>
  <c r="AL31" i="122"/>
  <c r="AK31" i="122"/>
  <c r="AJ31" i="122"/>
  <c r="AI31" i="122"/>
  <c r="AH31" i="122"/>
  <c r="AG31" i="122"/>
  <c r="AF31" i="122"/>
  <c r="AE31" i="122"/>
  <c r="AD31" i="122"/>
  <c r="BB30" i="122"/>
  <c r="BA30" i="122"/>
  <c r="AZ30" i="122"/>
  <c r="AY30" i="122"/>
  <c r="AX30" i="122"/>
  <c r="AW30" i="122"/>
  <c r="AV30" i="122"/>
  <c r="AU30" i="122"/>
  <c r="AT30" i="122"/>
  <c r="AS30" i="122"/>
  <c r="AR30" i="122"/>
  <c r="AQ30" i="122"/>
  <c r="AP30" i="122"/>
  <c r="AO30" i="122"/>
  <c r="AN30" i="122"/>
  <c r="AM30" i="122"/>
  <c r="AL30" i="122"/>
  <c r="AK30" i="122"/>
  <c r="AJ30" i="122"/>
  <c r="AI30" i="122"/>
  <c r="AH30" i="122"/>
  <c r="AG30" i="122"/>
  <c r="AF30" i="122"/>
  <c r="AE30" i="122"/>
  <c r="AD30" i="122"/>
  <c r="BB29" i="122"/>
  <c r="BA29" i="122"/>
  <c r="AZ29" i="122"/>
  <c r="AY29" i="122"/>
  <c r="AX29" i="122"/>
  <c r="AW29" i="122"/>
  <c r="AV29" i="122"/>
  <c r="AU29" i="122"/>
  <c r="AT29" i="122"/>
  <c r="AS29" i="122"/>
  <c r="AR29" i="122"/>
  <c r="AQ29" i="122"/>
  <c r="AP29" i="122"/>
  <c r="AO29" i="122"/>
  <c r="AN29" i="122"/>
  <c r="AM29" i="122"/>
  <c r="AL29" i="122"/>
  <c r="AK29" i="122"/>
  <c r="AJ29" i="122"/>
  <c r="AI29" i="122"/>
  <c r="AH29" i="122"/>
  <c r="AG29" i="122"/>
  <c r="AF29" i="122"/>
  <c r="AE29" i="122"/>
  <c r="AD29" i="122"/>
  <c r="BB28" i="122"/>
  <c r="BA28" i="122"/>
  <c r="AZ28" i="122"/>
  <c r="AY28" i="122"/>
  <c r="AX28" i="122"/>
  <c r="AW28" i="122"/>
  <c r="AV28" i="122"/>
  <c r="AU28" i="122"/>
  <c r="AT28" i="122"/>
  <c r="AS28" i="122"/>
  <c r="AR28" i="122"/>
  <c r="AQ28" i="122"/>
  <c r="AP28" i="122"/>
  <c r="AO28" i="122"/>
  <c r="AN28" i="122"/>
  <c r="AM28" i="122"/>
  <c r="AL28" i="122"/>
  <c r="AK28" i="122"/>
  <c r="AJ28" i="122"/>
  <c r="AI28" i="122"/>
  <c r="AH28" i="122"/>
  <c r="AG28" i="122"/>
  <c r="AF28" i="122"/>
  <c r="AE28" i="122"/>
  <c r="AD28" i="122"/>
  <c r="BB27" i="122"/>
  <c r="BA27" i="122"/>
  <c r="AZ27" i="122"/>
  <c r="AY27" i="122"/>
  <c r="AX27" i="122"/>
  <c r="AW27" i="122"/>
  <c r="AV27" i="122"/>
  <c r="AU27" i="122"/>
  <c r="AT27" i="122"/>
  <c r="AS27" i="122"/>
  <c r="AR27" i="122"/>
  <c r="AQ27" i="122"/>
  <c r="AP27" i="122"/>
  <c r="AO27" i="122"/>
  <c r="AN27" i="122"/>
  <c r="AM27" i="122"/>
  <c r="AL27" i="122"/>
  <c r="AK27" i="122"/>
  <c r="AJ27" i="122"/>
  <c r="AI27" i="122"/>
  <c r="AH27" i="122"/>
  <c r="AG27" i="122"/>
  <c r="AF27" i="122"/>
  <c r="AE27" i="122"/>
  <c r="AD27" i="122"/>
  <c r="BB26" i="122"/>
  <c r="BA26" i="122"/>
  <c r="AZ26" i="122"/>
  <c r="AY26" i="122"/>
  <c r="AX26" i="122"/>
  <c r="AW26" i="122"/>
  <c r="AV26" i="122"/>
  <c r="AU26" i="122"/>
  <c r="AT26" i="122"/>
  <c r="AS26" i="122"/>
  <c r="AR26" i="122"/>
  <c r="AQ26" i="122"/>
  <c r="AP26" i="122"/>
  <c r="AO26" i="122"/>
  <c r="AN26" i="122"/>
  <c r="AM26" i="122"/>
  <c r="AL26" i="122"/>
  <c r="AK26" i="122"/>
  <c r="AJ26" i="122"/>
  <c r="AI26" i="122"/>
  <c r="AH26" i="122"/>
  <c r="AG26" i="122"/>
  <c r="AF26" i="122"/>
  <c r="AE26" i="122"/>
  <c r="AD26" i="122"/>
  <c r="BB25" i="122"/>
  <c r="BA25" i="122"/>
  <c r="AZ25" i="122"/>
  <c r="AY25" i="122"/>
  <c r="AX25" i="122"/>
  <c r="AW25" i="122"/>
  <c r="AV25" i="122"/>
  <c r="AU25" i="122"/>
  <c r="AT25" i="122"/>
  <c r="AS25" i="122"/>
  <c r="AR25" i="122"/>
  <c r="AQ25" i="122"/>
  <c r="AP25" i="122"/>
  <c r="AO25" i="122"/>
  <c r="AN25" i="122"/>
  <c r="AM25" i="122"/>
  <c r="AL25" i="122"/>
  <c r="AK25" i="122"/>
  <c r="AJ25" i="122"/>
  <c r="AI25" i="122"/>
  <c r="AH25" i="122"/>
  <c r="AG25" i="122"/>
  <c r="AF25" i="122"/>
  <c r="AE25" i="122"/>
  <c r="AD25" i="122"/>
  <c r="BB24" i="122"/>
  <c r="BA24" i="122"/>
  <c r="AZ24" i="122"/>
  <c r="AY24" i="122"/>
  <c r="AX24" i="122"/>
  <c r="AW24" i="122"/>
  <c r="AV24" i="122"/>
  <c r="AU24" i="122"/>
  <c r="AT24" i="122"/>
  <c r="AS24" i="122"/>
  <c r="AR24" i="122"/>
  <c r="AQ24" i="122"/>
  <c r="AP24" i="122"/>
  <c r="AO24" i="122"/>
  <c r="AN24" i="122"/>
  <c r="AM24" i="122"/>
  <c r="AL24" i="122"/>
  <c r="AK24" i="122"/>
  <c r="AJ24" i="122"/>
  <c r="AI24" i="122"/>
  <c r="AH24" i="122"/>
  <c r="AG24" i="122"/>
  <c r="AF24" i="122"/>
  <c r="AE24" i="122"/>
  <c r="AD24" i="122"/>
  <c r="BB23" i="122"/>
  <c r="BA23" i="122"/>
  <c r="AZ23" i="122"/>
  <c r="AY23" i="122"/>
  <c r="AX23" i="122"/>
  <c r="AW23" i="122"/>
  <c r="AV23" i="122"/>
  <c r="AU23" i="122"/>
  <c r="AT23" i="122"/>
  <c r="AS23" i="122"/>
  <c r="AR23" i="122"/>
  <c r="AQ23" i="122"/>
  <c r="AP23" i="122"/>
  <c r="AO23" i="122"/>
  <c r="AN23" i="122"/>
  <c r="AM23" i="122"/>
  <c r="AL23" i="122"/>
  <c r="AK23" i="122"/>
  <c r="AJ23" i="122"/>
  <c r="AI23" i="122"/>
  <c r="AH23" i="122"/>
  <c r="AG23" i="122"/>
  <c r="AF23" i="122"/>
  <c r="AE23" i="122"/>
  <c r="AD23" i="122"/>
  <c r="BB22" i="122"/>
  <c r="BA22" i="122"/>
  <c r="AZ22" i="122"/>
  <c r="AY22" i="122"/>
  <c r="AX22" i="122"/>
  <c r="AW22" i="122"/>
  <c r="AV22" i="122"/>
  <c r="AU22" i="122"/>
  <c r="AT22" i="122"/>
  <c r="AS22" i="122"/>
  <c r="AR22" i="122"/>
  <c r="AQ22" i="122"/>
  <c r="AP22" i="122"/>
  <c r="AO22" i="122"/>
  <c r="AN22" i="122"/>
  <c r="AM22" i="122"/>
  <c r="AL22" i="122"/>
  <c r="AK22" i="122"/>
  <c r="AJ22" i="122"/>
  <c r="AI22" i="122"/>
  <c r="AH22" i="122"/>
  <c r="AG22" i="122"/>
  <c r="AF22" i="122"/>
  <c r="AE22" i="122"/>
  <c r="AD22" i="122"/>
  <c r="BB21" i="122"/>
  <c r="BA21" i="122"/>
  <c r="AZ21" i="122"/>
  <c r="AY21" i="122"/>
  <c r="AX21" i="122"/>
  <c r="AW21" i="122"/>
  <c r="AV21" i="122"/>
  <c r="AU21" i="122"/>
  <c r="AT21" i="122"/>
  <c r="AS21" i="122"/>
  <c r="AR21" i="122"/>
  <c r="AQ21" i="122"/>
  <c r="AP21" i="122"/>
  <c r="AO21" i="122"/>
  <c r="AN21" i="122"/>
  <c r="AM21" i="122"/>
  <c r="AL21" i="122"/>
  <c r="AK21" i="122"/>
  <c r="AJ21" i="122"/>
  <c r="AI21" i="122"/>
  <c r="AH21" i="122"/>
  <c r="AG21" i="122"/>
  <c r="AF21" i="122"/>
  <c r="AE21" i="122"/>
  <c r="AD21" i="122"/>
  <c r="BB20" i="122"/>
  <c r="BA20" i="122"/>
  <c r="AZ20" i="122"/>
  <c r="AY20" i="122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BB19" i="122"/>
  <c r="BA19" i="122"/>
  <c r="AZ19" i="122"/>
  <c r="AY19" i="122"/>
  <c r="AX19" i="122"/>
  <c r="AW19" i="122"/>
  <c r="AV19" i="122"/>
  <c r="AU19" i="122"/>
  <c r="AT19" i="122"/>
  <c r="AS19" i="122"/>
  <c r="AR19" i="122"/>
  <c r="AQ19" i="122"/>
  <c r="AP19" i="122"/>
  <c r="AO19" i="122"/>
  <c r="AN19" i="122"/>
  <c r="AM19" i="122"/>
  <c r="AL19" i="122"/>
  <c r="AK19" i="122"/>
  <c r="AJ19" i="122"/>
  <c r="AI19" i="122"/>
  <c r="AH19" i="122"/>
  <c r="AG19" i="122"/>
  <c r="AF19" i="122"/>
  <c r="AE19" i="122"/>
  <c r="AD19" i="122"/>
  <c r="BB18" i="122"/>
  <c r="BA18" i="122"/>
  <c r="AZ18" i="122"/>
  <c r="AY18" i="122"/>
  <c r="AX18" i="122"/>
  <c r="AW18" i="122"/>
  <c r="AV18" i="122"/>
  <c r="AU18" i="122"/>
  <c r="AT18" i="122"/>
  <c r="AS18" i="122"/>
  <c r="AR18" i="122"/>
  <c r="AQ18" i="122"/>
  <c r="AP18" i="122"/>
  <c r="AO18" i="122"/>
  <c r="AN18" i="122"/>
  <c r="AM18" i="122"/>
  <c r="AL18" i="122"/>
  <c r="AK18" i="122"/>
  <c r="AJ18" i="122"/>
  <c r="AI18" i="122"/>
  <c r="AH18" i="122"/>
  <c r="AG18" i="122"/>
  <c r="AF18" i="122"/>
  <c r="AE18" i="122"/>
  <c r="AD18" i="122"/>
  <c r="BB17" i="122"/>
  <c r="BA17" i="122"/>
  <c r="AZ17" i="122"/>
  <c r="AY17" i="122"/>
  <c r="AX17" i="122"/>
  <c r="AW17" i="122"/>
  <c r="AV17" i="122"/>
  <c r="AU17" i="122"/>
  <c r="AT17" i="122"/>
  <c r="AS17" i="122"/>
  <c r="AR17" i="122"/>
  <c r="AQ17" i="122"/>
  <c r="AP17" i="122"/>
  <c r="AO17" i="122"/>
  <c r="AN17" i="122"/>
  <c r="AM17" i="122"/>
  <c r="AL17" i="122"/>
  <c r="AK17" i="122"/>
  <c r="AJ17" i="122"/>
  <c r="AI17" i="122"/>
  <c r="AH17" i="122"/>
  <c r="AG17" i="122"/>
  <c r="AF17" i="122"/>
  <c r="AE17" i="122"/>
  <c r="AD17" i="122"/>
  <c r="BB16" i="122"/>
  <c r="BA16" i="122"/>
  <c r="AZ16" i="122"/>
  <c r="AY16" i="122"/>
  <c r="AX16" i="122"/>
  <c r="AW16" i="122"/>
  <c r="AV16" i="122"/>
  <c r="AU16" i="122"/>
  <c r="AT16" i="122"/>
  <c r="AS16" i="122"/>
  <c r="AR16" i="122"/>
  <c r="AQ16" i="122"/>
  <c r="AP16" i="122"/>
  <c r="AO16" i="122"/>
  <c r="AN16" i="122"/>
  <c r="AM16" i="122"/>
  <c r="AL16" i="122"/>
  <c r="AK16" i="122"/>
  <c r="AJ16" i="122"/>
  <c r="AI16" i="122"/>
  <c r="AH16" i="122"/>
  <c r="AG16" i="122"/>
  <c r="AF16" i="122"/>
  <c r="AE16" i="122"/>
  <c r="AD16" i="122"/>
  <c r="BB15" i="122"/>
  <c r="BA15" i="122"/>
  <c r="AZ15" i="122"/>
  <c r="AY15" i="122"/>
  <c r="AX15" i="122"/>
  <c r="AW15" i="122"/>
  <c r="AV15" i="122"/>
  <c r="AU15" i="122"/>
  <c r="AT15" i="122"/>
  <c r="AS15" i="122"/>
  <c r="AR15" i="122"/>
  <c r="AQ15" i="122"/>
  <c r="AP15" i="122"/>
  <c r="AO15" i="122"/>
  <c r="AN15" i="122"/>
  <c r="AM15" i="122"/>
  <c r="AL15" i="122"/>
  <c r="AK15" i="122"/>
  <c r="AJ15" i="122"/>
  <c r="AI15" i="122"/>
  <c r="AH15" i="122"/>
  <c r="AG15" i="122"/>
  <c r="AF15" i="122"/>
  <c r="AE15" i="122"/>
  <c r="AD15" i="122"/>
  <c r="BB14" i="122"/>
  <c r="BA14" i="122"/>
  <c r="AZ14" i="122"/>
  <c r="AY14" i="122"/>
  <c r="AX14" i="122"/>
  <c r="AW14" i="122"/>
  <c r="AV14" i="122"/>
  <c r="AU14" i="122"/>
  <c r="AT14" i="122"/>
  <c r="AS14" i="122"/>
  <c r="AR14" i="122"/>
  <c r="AQ14" i="122"/>
  <c r="AP14" i="122"/>
  <c r="AO14" i="122"/>
  <c r="AN14" i="122"/>
  <c r="AM14" i="122"/>
  <c r="AL14" i="122"/>
  <c r="AK14" i="122"/>
  <c r="AJ14" i="122"/>
  <c r="AI14" i="122"/>
  <c r="AH14" i="122"/>
  <c r="AG14" i="122"/>
  <c r="AF14" i="122"/>
  <c r="AE14" i="122"/>
  <c r="BB13" i="122"/>
  <c r="BA13" i="122"/>
  <c r="AZ13" i="122"/>
  <c r="AY13" i="122"/>
  <c r="AX13" i="122"/>
  <c r="AW13" i="122"/>
  <c r="AV13" i="122"/>
  <c r="AU13" i="122"/>
  <c r="AT13" i="122"/>
  <c r="AS13" i="122"/>
  <c r="AR13" i="122"/>
  <c r="AQ13" i="122"/>
  <c r="AP13" i="122"/>
  <c r="AO13" i="122"/>
  <c r="AN13" i="122"/>
  <c r="AM13" i="122"/>
  <c r="AL13" i="122"/>
  <c r="AK13" i="122"/>
  <c r="AJ13" i="122"/>
  <c r="AI13" i="122"/>
  <c r="AH13" i="122"/>
  <c r="AG13" i="122"/>
  <c r="AF13" i="122"/>
  <c r="AE13" i="122"/>
  <c r="AD13" i="122"/>
  <c r="BB12" i="122"/>
  <c r="BA12" i="122"/>
  <c r="AZ12" i="122"/>
  <c r="AY12" i="122"/>
  <c r="AX12" i="122"/>
  <c r="AW12" i="122"/>
  <c r="AV12" i="122"/>
  <c r="AU12" i="122"/>
  <c r="AT12" i="122"/>
  <c r="AS12" i="122"/>
  <c r="AR12" i="122"/>
  <c r="AQ12" i="122"/>
  <c r="AP12" i="122"/>
  <c r="AO12" i="122"/>
  <c r="AN12" i="122"/>
  <c r="AM12" i="122"/>
  <c r="AL12" i="122"/>
  <c r="AK12" i="122"/>
  <c r="AJ12" i="122"/>
  <c r="AI12" i="122"/>
  <c r="AH12" i="122"/>
  <c r="AG12" i="122"/>
  <c r="AF12" i="122"/>
  <c r="AE12" i="122"/>
  <c r="AD12" i="122"/>
  <c r="BB11" i="122"/>
  <c r="BA11" i="122"/>
  <c r="AZ11" i="122"/>
  <c r="AY11" i="122"/>
  <c r="AX11" i="122"/>
  <c r="AW11" i="122"/>
  <c r="AV11" i="122"/>
  <c r="AU11" i="122"/>
  <c r="AT11" i="122"/>
  <c r="AS11" i="122"/>
  <c r="AR11" i="122"/>
  <c r="AQ11" i="122"/>
  <c r="AP11" i="122"/>
  <c r="AO11" i="122"/>
  <c r="AN11" i="122"/>
  <c r="AM11" i="122"/>
  <c r="AL11" i="122"/>
  <c r="AK11" i="122"/>
  <c r="AJ11" i="122"/>
  <c r="AI11" i="122"/>
  <c r="AH11" i="122"/>
  <c r="AG11" i="122"/>
  <c r="AF11" i="122"/>
  <c r="AE11" i="122"/>
  <c r="AD11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BB9" i="122"/>
  <c r="BA9" i="122"/>
  <c r="AZ9" i="122"/>
  <c r="AY9" i="122"/>
  <c r="AX9" i="122"/>
  <c r="AW9" i="122"/>
  <c r="AV9" i="122"/>
  <c r="AU9" i="122"/>
  <c r="AT9" i="122"/>
  <c r="AS9" i="122"/>
  <c r="AR9" i="122"/>
  <c r="AQ9" i="122"/>
  <c r="AP9" i="122"/>
  <c r="AO9" i="122"/>
  <c r="AN9" i="122"/>
  <c r="AM9" i="122"/>
  <c r="AL9" i="122"/>
  <c r="AK9" i="122"/>
  <c r="AJ9" i="122"/>
  <c r="AI9" i="122"/>
  <c r="AH9" i="122"/>
  <c r="AG9" i="122"/>
  <c r="AF9" i="122"/>
  <c r="AE9" i="122"/>
  <c r="AX89" i="8"/>
  <c r="W89" i="8"/>
  <c r="O89" i="8"/>
  <c r="AX88" i="8"/>
  <c r="W88" i="8"/>
  <c r="O88" i="8"/>
  <c r="AX87" i="8"/>
  <c r="W87" i="8"/>
  <c r="O87" i="8"/>
  <c r="AX86" i="8"/>
  <c r="W86" i="8"/>
  <c r="O86" i="8"/>
  <c r="AX85" i="8"/>
  <c r="W85" i="8"/>
  <c r="O85" i="8"/>
  <c r="AX84" i="8"/>
  <c r="W84" i="8"/>
  <c r="O84" i="8"/>
  <c r="AX83" i="8"/>
  <c r="W83" i="8"/>
  <c r="O83" i="8"/>
  <c r="AX82" i="8"/>
  <c r="W82" i="8"/>
  <c r="O82" i="8"/>
  <c r="AX81" i="8"/>
  <c r="W81" i="8"/>
  <c r="O81" i="8"/>
  <c r="AX80" i="8"/>
  <c r="W80" i="8"/>
  <c r="O80" i="8"/>
  <c r="AX79" i="8"/>
  <c r="W79" i="8"/>
  <c r="O79" i="8"/>
  <c r="AX78" i="8"/>
  <c r="W78" i="8"/>
  <c r="O78" i="8"/>
  <c r="AX77" i="8"/>
  <c r="W77" i="8"/>
  <c r="O77" i="8"/>
  <c r="AX76" i="8"/>
  <c r="W76" i="8"/>
  <c r="O76" i="8"/>
  <c r="AX75" i="8"/>
  <c r="W75" i="8"/>
  <c r="O75" i="8"/>
  <c r="AX74" i="8"/>
  <c r="W74" i="8"/>
  <c r="O74" i="8"/>
  <c r="AX73" i="8"/>
  <c r="W73" i="8"/>
  <c r="O73" i="8"/>
  <c r="AX72" i="8"/>
  <c r="W72" i="8"/>
  <c r="O72" i="8"/>
  <c r="AX71" i="8"/>
  <c r="W71" i="8"/>
  <c r="O71" i="8"/>
  <c r="AX70" i="8"/>
  <c r="W70" i="8"/>
  <c r="O70" i="8"/>
  <c r="AX69" i="8"/>
  <c r="W69" i="8"/>
  <c r="O69" i="8"/>
  <c r="AX68" i="8"/>
  <c r="W68" i="8"/>
  <c r="O68" i="8"/>
  <c r="AX67" i="8"/>
  <c r="W67" i="8"/>
  <c r="O67" i="8"/>
  <c r="AX66" i="8"/>
  <c r="W66" i="8"/>
  <c r="O66" i="8"/>
  <c r="AX65" i="8"/>
  <c r="W65" i="8"/>
  <c r="O65" i="8"/>
  <c r="AX37" i="8"/>
  <c r="AW37" i="8"/>
  <c r="AV37" i="8"/>
  <c r="X37" i="8"/>
  <c r="W37" i="8"/>
  <c r="V37" i="8"/>
  <c r="O37" i="8"/>
  <c r="AX36" i="8"/>
  <c r="AW36" i="8"/>
  <c r="AV36" i="8"/>
  <c r="X36" i="8"/>
  <c r="W36" i="8"/>
  <c r="V36" i="8"/>
  <c r="O36" i="8"/>
  <c r="AX35" i="8"/>
  <c r="AW35" i="8"/>
  <c r="AV35" i="8"/>
  <c r="X35" i="8"/>
  <c r="W35" i="8"/>
  <c r="V35" i="8"/>
  <c r="O35" i="8"/>
  <c r="AX34" i="8"/>
  <c r="AW34" i="8"/>
  <c r="AV34" i="8"/>
  <c r="X34" i="8"/>
  <c r="W34" i="8"/>
  <c r="V34" i="8"/>
  <c r="O34" i="8"/>
  <c r="AX33" i="8"/>
  <c r="AW33" i="8"/>
  <c r="AV33" i="8"/>
  <c r="X33" i="8"/>
  <c r="W33" i="8"/>
  <c r="V33" i="8"/>
  <c r="O33" i="8"/>
  <c r="AX32" i="8"/>
  <c r="AW32" i="8"/>
  <c r="AV32" i="8"/>
  <c r="X32" i="8"/>
  <c r="W32" i="8"/>
  <c r="V32" i="8"/>
  <c r="O32" i="8"/>
  <c r="AX31" i="8"/>
  <c r="AW31" i="8"/>
  <c r="AV31" i="8"/>
  <c r="X31" i="8"/>
  <c r="W31" i="8"/>
  <c r="V31" i="8"/>
  <c r="O31" i="8"/>
  <c r="AX30" i="8"/>
  <c r="AW30" i="8"/>
  <c r="AV30" i="8"/>
  <c r="X30" i="8"/>
  <c r="W30" i="8"/>
  <c r="V30" i="8"/>
  <c r="O30" i="8"/>
  <c r="AX29" i="8"/>
  <c r="AW29" i="8"/>
  <c r="AV29" i="8"/>
  <c r="X29" i="8"/>
  <c r="W29" i="8"/>
  <c r="V29" i="8"/>
  <c r="O29" i="8"/>
  <c r="AX28" i="8"/>
  <c r="AW28" i="8"/>
  <c r="AV28" i="8"/>
  <c r="X28" i="8"/>
  <c r="W28" i="8"/>
  <c r="V28" i="8"/>
  <c r="O28" i="8"/>
  <c r="AX27" i="8"/>
  <c r="AW27" i="8"/>
  <c r="AV27" i="8"/>
  <c r="X27" i="8"/>
  <c r="W27" i="8"/>
  <c r="V27" i="8"/>
  <c r="O27" i="8"/>
  <c r="AX26" i="8"/>
  <c r="AW26" i="8"/>
  <c r="AV26" i="8"/>
  <c r="X26" i="8"/>
  <c r="W26" i="8"/>
  <c r="V26" i="8"/>
  <c r="O26" i="8"/>
  <c r="AX25" i="8"/>
  <c r="AW25" i="8"/>
  <c r="AV25" i="8"/>
  <c r="X25" i="8"/>
  <c r="W25" i="8"/>
  <c r="V25" i="8"/>
  <c r="O25" i="8"/>
  <c r="AX24" i="8"/>
  <c r="AW24" i="8"/>
  <c r="AV24" i="8"/>
  <c r="X24" i="8"/>
  <c r="W24" i="8"/>
  <c r="V24" i="8"/>
  <c r="O24" i="8"/>
  <c r="AX23" i="8"/>
  <c r="AW23" i="8"/>
  <c r="AV23" i="8"/>
  <c r="X23" i="8"/>
  <c r="W23" i="8"/>
  <c r="V23" i="8"/>
  <c r="O23" i="8"/>
  <c r="AX22" i="8"/>
  <c r="AW22" i="8"/>
  <c r="AV22" i="8"/>
  <c r="X22" i="8"/>
  <c r="W22" i="8"/>
  <c r="V22" i="8"/>
  <c r="O22" i="8"/>
  <c r="AX21" i="8"/>
  <c r="AW21" i="8"/>
  <c r="AV21" i="8"/>
  <c r="X21" i="8"/>
  <c r="W21" i="8"/>
  <c r="V21" i="8"/>
  <c r="O21" i="8"/>
  <c r="AX20" i="8"/>
  <c r="AW20" i="8"/>
  <c r="AV20" i="8"/>
  <c r="X20" i="8"/>
  <c r="W20" i="8"/>
  <c r="V20" i="8"/>
  <c r="O20" i="8"/>
  <c r="AX19" i="8"/>
  <c r="AW19" i="8"/>
  <c r="AV19" i="8"/>
  <c r="X19" i="8"/>
  <c r="W19" i="8"/>
  <c r="V19" i="8"/>
  <c r="O19" i="8"/>
  <c r="AX18" i="8"/>
  <c r="AW18" i="8"/>
  <c r="AV18" i="8"/>
  <c r="X18" i="8"/>
  <c r="W18" i="8"/>
  <c r="V18" i="8"/>
  <c r="O18" i="8"/>
  <c r="AX17" i="8"/>
  <c r="AW17" i="8"/>
  <c r="AV17" i="8"/>
  <c r="X17" i="8"/>
  <c r="W17" i="8"/>
  <c r="V17" i="8"/>
  <c r="O17" i="8"/>
  <c r="AX16" i="8"/>
  <c r="AW16" i="8"/>
  <c r="AV16" i="8"/>
  <c r="X16" i="8"/>
  <c r="W16" i="8"/>
  <c r="V16" i="8"/>
  <c r="O16" i="8"/>
  <c r="AX15" i="8"/>
  <c r="AW15" i="8"/>
  <c r="AV15" i="8"/>
  <c r="X15" i="8"/>
  <c r="W15" i="8"/>
  <c r="V15" i="8"/>
  <c r="O15" i="8"/>
  <c r="AX14" i="8"/>
  <c r="AW14" i="8"/>
  <c r="AV14" i="8"/>
  <c r="X14" i="8"/>
  <c r="W14" i="8"/>
  <c r="V14" i="8"/>
  <c r="O14" i="8"/>
  <c r="AX13" i="8"/>
  <c r="AW13" i="8"/>
  <c r="AV13" i="8"/>
  <c r="X13" i="8"/>
  <c r="W13" i="8"/>
  <c r="V13" i="8"/>
  <c r="I33" i="98"/>
  <c r="D202" i="122" s="1"/>
  <c r="G33" i="98"/>
  <c r="H33" i="98" s="1"/>
  <c r="BB240" i="122"/>
  <c r="BA240" i="122"/>
  <c r="AZ240" i="122"/>
  <c r="AY240" i="122"/>
  <c r="AX240" i="122"/>
  <c r="AW240" i="122"/>
  <c r="AV240" i="122"/>
  <c r="AU240" i="122"/>
  <c r="AT240" i="122"/>
  <c r="AS240" i="122"/>
  <c r="B18" i="123"/>
  <c r="J560" i="123"/>
  <c r="J559" i="123"/>
  <c r="J558" i="123"/>
  <c r="J557" i="123"/>
  <c r="J556" i="123"/>
  <c r="J555" i="123"/>
  <c r="J554" i="123"/>
  <c r="J553" i="123"/>
  <c r="J552" i="123"/>
  <c r="J551" i="123"/>
  <c r="J550" i="123"/>
  <c r="J549" i="123"/>
  <c r="J548" i="123"/>
  <c r="J547" i="123"/>
  <c r="J546" i="123"/>
  <c r="J545" i="123"/>
  <c r="J544" i="123"/>
  <c r="J543" i="123"/>
  <c r="J542" i="123"/>
  <c r="J541" i="123"/>
  <c r="J540" i="123"/>
  <c r="J539" i="123"/>
  <c r="J538" i="123"/>
  <c r="J537" i="123"/>
  <c r="J536" i="123"/>
  <c r="J535" i="123"/>
  <c r="J534" i="123"/>
  <c r="J533" i="123"/>
  <c r="J532" i="123"/>
  <c r="J531" i="123"/>
  <c r="J530" i="123"/>
  <c r="J529" i="123"/>
  <c r="J528" i="123"/>
  <c r="A523" i="123"/>
  <c r="J475" i="123"/>
  <c r="J474" i="123"/>
  <c r="J473" i="123"/>
  <c r="J472" i="123"/>
  <c r="J471" i="123"/>
  <c r="J470" i="123"/>
  <c r="J469" i="123"/>
  <c r="J468" i="123"/>
  <c r="J467" i="123"/>
  <c r="J466" i="123"/>
  <c r="J465" i="123"/>
  <c r="J464" i="123"/>
  <c r="J463" i="123"/>
  <c r="J462" i="123"/>
  <c r="J461" i="123"/>
  <c r="J460" i="123"/>
  <c r="J459" i="123"/>
  <c r="J458" i="123"/>
  <c r="J457" i="123"/>
  <c r="J456" i="123"/>
  <c r="J455" i="123"/>
  <c r="J454" i="123"/>
  <c r="J453" i="123"/>
  <c r="J452" i="123"/>
  <c r="J451" i="123"/>
  <c r="J450" i="123"/>
  <c r="J449" i="123"/>
  <c r="J448" i="123"/>
  <c r="J447" i="123"/>
  <c r="J446" i="123"/>
  <c r="J445" i="123"/>
  <c r="J444" i="123"/>
  <c r="J443" i="123"/>
  <c r="C443" i="123" s="1"/>
  <c r="A438" i="123"/>
  <c r="J390" i="123"/>
  <c r="J389" i="123"/>
  <c r="J388" i="123"/>
  <c r="J387" i="123"/>
  <c r="J386" i="123"/>
  <c r="J385" i="123"/>
  <c r="J384" i="123"/>
  <c r="J383" i="123"/>
  <c r="J382" i="123"/>
  <c r="J381" i="123"/>
  <c r="J380" i="123"/>
  <c r="J379" i="123"/>
  <c r="J378" i="123"/>
  <c r="J377" i="123"/>
  <c r="J376" i="123"/>
  <c r="J375" i="123"/>
  <c r="J374" i="123"/>
  <c r="J373" i="123"/>
  <c r="J372" i="123"/>
  <c r="J371" i="123"/>
  <c r="J370" i="123"/>
  <c r="J369" i="123"/>
  <c r="J368" i="123"/>
  <c r="J367" i="123"/>
  <c r="J366" i="123"/>
  <c r="J365" i="123"/>
  <c r="J364" i="123"/>
  <c r="J363" i="123"/>
  <c r="J362" i="123"/>
  <c r="J361" i="123"/>
  <c r="J360" i="123"/>
  <c r="J359" i="123"/>
  <c r="J358" i="123"/>
  <c r="A353" i="123"/>
  <c r="J305" i="123"/>
  <c r="J304" i="123"/>
  <c r="J303" i="123"/>
  <c r="J302" i="123"/>
  <c r="J301" i="123"/>
  <c r="J300" i="123"/>
  <c r="J299" i="123"/>
  <c r="J298" i="123"/>
  <c r="J297" i="123"/>
  <c r="J296" i="123"/>
  <c r="J295" i="123"/>
  <c r="J294" i="123"/>
  <c r="J293" i="123"/>
  <c r="J292" i="123"/>
  <c r="J291" i="123"/>
  <c r="J290" i="123"/>
  <c r="J289" i="123"/>
  <c r="J288" i="123"/>
  <c r="J287" i="123"/>
  <c r="J286" i="123"/>
  <c r="J285" i="123"/>
  <c r="J284" i="123"/>
  <c r="J283" i="123"/>
  <c r="J282" i="123"/>
  <c r="J281" i="123"/>
  <c r="J280" i="123"/>
  <c r="J279" i="123"/>
  <c r="J278" i="123"/>
  <c r="J277" i="123"/>
  <c r="J276" i="123"/>
  <c r="J275" i="123"/>
  <c r="J274" i="123"/>
  <c r="J273" i="123"/>
  <c r="C273" i="123" s="1"/>
  <c r="A268" i="123"/>
  <c r="J220" i="123"/>
  <c r="J219" i="123"/>
  <c r="J218" i="123"/>
  <c r="J217" i="123"/>
  <c r="J216" i="123"/>
  <c r="J215" i="123"/>
  <c r="J214" i="123"/>
  <c r="J213" i="123"/>
  <c r="J212" i="123"/>
  <c r="J211" i="123"/>
  <c r="J210" i="123"/>
  <c r="J209" i="123"/>
  <c r="J208" i="123"/>
  <c r="J207" i="123"/>
  <c r="J206" i="123"/>
  <c r="J205" i="123"/>
  <c r="J204" i="123"/>
  <c r="J203" i="123"/>
  <c r="J202" i="123"/>
  <c r="J201" i="123"/>
  <c r="J200" i="123"/>
  <c r="J199" i="123"/>
  <c r="J198" i="123"/>
  <c r="J197" i="123"/>
  <c r="J196" i="123"/>
  <c r="J195" i="123"/>
  <c r="J194" i="123"/>
  <c r="J193" i="123"/>
  <c r="J192" i="123"/>
  <c r="J190" i="123"/>
  <c r="J189" i="123"/>
  <c r="J188" i="123"/>
  <c r="C188" i="123" s="1"/>
  <c r="A183" i="123"/>
  <c r="J50" i="123"/>
  <c r="J49" i="123"/>
  <c r="J48" i="123"/>
  <c r="J47" i="123"/>
  <c r="J46" i="123"/>
  <c r="J45" i="123"/>
  <c r="J44" i="123"/>
  <c r="J43" i="123"/>
  <c r="J42" i="123"/>
  <c r="J41" i="123"/>
  <c r="J40" i="123"/>
  <c r="J39" i="123"/>
  <c r="J38" i="123"/>
  <c r="J37" i="123"/>
  <c r="J36" i="123"/>
  <c r="J35" i="123"/>
  <c r="J34" i="123"/>
  <c r="J33" i="123"/>
  <c r="J32" i="123"/>
  <c r="J31" i="123"/>
  <c r="J30" i="123"/>
  <c r="J29" i="123"/>
  <c r="J28" i="123"/>
  <c r="J27" i="123"/>
  <c r="J26" i="123"/>
  <c r="J25" i="123"/>
  <c r="J24" i="123"/>
  <c r="J23" i="123"/>
  <c r="J22" i="123"/>
  <c r="J21" i="123"/>
  <c r="A20" i="123"/>
  <c r="J20" i="123"/>
  <c r="B19" i="123"/>
  <c r="D19" i="123" s="1"/>
  <c r="J19" i="123"/>
  <c r="A13" i="123"/>
  <c r="J11" i="123"/>
  <c r="K11" i="123" s="1"/>
  <c r="B11" i="123"/>
  <c r="C11" i="123" s="1"/>
  <c r="D11" i="123" s="1"/>
  <c r="E11" i="123" s="1"/>
  <c r="F11" i="123" s="1"/>
  <c r="G11" i="123" s="1"/>
  <c r="G202" i="122" l="1"/>
  <c r="W202" i="122"/>
  <c r="W93" i="8"/>
  <c r="I241" i="122"/>
  <c r="Y241" i="122"/>
  <c r="DL40" i="12"/>
  <c r="DK40" i="12"/>
  <c r="DN40" i="12"/>
  <c r="DM40" i="12"/>
  <c r="DL32" i="12"/>
  <c r="DK32" i="12"/>
  <c r="DN32" i="12"/>
  <c r="DM32" i="12"/>
  <c r="DK41" i="12"/>
  <c r="DN41" i="12"/>
  <c r="DM41" i="12"/>
  <c r="DL41" i="12"/>
  <c r="DL33" i="12"/>
  <c r="DK33" i="12"/>
  <c r="DN33" i="12"/>
  <c r="DM33" i="12"/>
  <c r="F81" i="122"/>
  <c r="J81" i="122"/>
  <c r="N81" i="122"/>
  <c r="R81" i="122"/>
  <c r="V81" i="122"/>
  <c r="Z81" i="122"/>
  <c r="AE81" i="122"/>
  <c r="AI81" i="122"/>
  <c r="AM81" i="122"/>
  <c r="AQ81" i="122"/>
  <c r="AU81" i="122"/>
  <c r="AY81" i="122"/>
  <c r="V42" i="122"/>
  <c r="D42" i="122"/>
  <c r="H42" i="122"/>
  <c r="L42" i="122"/>
  <c r="P42" i="122"/>
  <c r="T42" i="122"/>
  <c r="Y42" i="122"/>
  <c r="AD42" i="122"/>
  <c r="BP37" i="127" s="1"/>
  <c r="AH42" i="122"/>
  <c r="AL42" i="122"/>
  <c r="AP42" i="122"/>
  <c r="AT42" i="122"/>
  <c r="AX42" i="122"/>
  <c r="BB42" i="122"/>
  <c r="K81" i="122"/>
  <c r="S81" i="122"/>
  <c r="AA81" i="122"/>
  <c r="AJ81" i="122"/>
  <c r="AR81" i="122"/>
  <c r="AZ81" i="122"/>
  <c r="I42" i="122"/>
  <c r="Q42" i="122"/>
  <c r="Z42" i="122"/>
  <c r="AI42" i="122"/>
  <c r="AQ42" i="122"/>
  <c r="AY42" i="122"/>
  <c r="H81" i="122"/>
  <c r="P81" i="122"/>
  <c r="X81" i="122"/>
  <c r="G81" i="122"/>
  <c r="O81" i="122"/>
  <c r="W81" i="122"/>
  <c r="AF81" i="122"/>
  <c r="AN81" i="122"/>
  <c r="AV81" i="122"/>
  <c r="E42" i="122"/>
  <c r="M42" i="122"/>
  <c r="U42" i="122"/>
  <c r="AE42" i="122"/>
  <c r="AM42" i="122"/>
  <c r="AU42" i="122"/>
  <c r="D81" i="122"/>
  <c r="L81" i="122"/>
  <c r="T81" i="122"/>
  <c r="AB81" i="122"/>
  <c r="Q81" i="122"/>
  <c r="AG81" i="122"/>
  <c r="AO81" i="122"/>
  <c r="AW81" i="122"/>
  <c r="J42" i="122"/>
  <c r="R42" i="122"/>
  <c r="AA42" i="122"/>
  <c r="AJ42" i="122"/>
  <c r="AR42" i="122"/>
  <c r="AZ42" i="122"/>
  <c r="S42" i="122"/>
  <c r="AK42" i="122"/>
  <c r="BA42" i="122"/>
  <c r="I81" i="122"/>
  <c r="Y81" i="122"/>
  <c r="AK81" i="122"/>
  <c r="AS81" i="122"/>
  <c r="BA81" i="122"/>
  <c r="F42" i="122"/>
  <c r="W42" i="122"/>
  <c r="AN42" i="122"/>
  <c r="G42" i="122"/>
  <c r="X42" i="122"/>
  <c r="AO42" i="122"/>
  <c r="E81" i="122"/>
  <c r="U81" i="122"/>
  <c r="AH81" i="122"/>
  <c r="AP81" i="122"/>
  <c r="AX81" i="122"/>
  <c r="K42" i="122"/>
  <c r="AB42" i="122"/>
  <c r="AS42" i="122"/>
  <c r="N42" i="122"/>
  <c r="AF42" i="122"/>
  <c r="AV42" i="122"/>
  <c r="M81" i="122"/>
  <c r="AD81" i="122"/>
  <c r="BR37" i="127" s="1"/>
  <c r="AL81" i="122"/>
  <c r="AT81" i="122"/>
  <c r="BB81" i="122"/>
  <c r="O42" i="122"/>
  <c r="AG42" i="122"/>
  <c r="AW42" i="122"/>
  <c r="AV105" i="8"/>
  <c r="C358" i="123"/>
  <c r="C528" i="123"/>
  <c r="W94" i="8"/>
  <c r="DL38" i="12"/>
  <c r="DK38" i="12"/>
  <c r="DN38" i="12"/>
  <c r="DM38" i="12"/>
  <c r="AU34" i="12"/>
  <c r="DL34" i="12"/>
  <c r="DK34" i="12"/>
  <c r="DN34" i="12"/>
  <c r="DM34" i="12"/>
  <c r="DL30" i="12"/>
  <c r="DK30" i="12"/>
  <c r="DN30" i="12"/>
  <c r="DM30" i="12"/>
  <c r="X94" i="8"/>
  <c r="O101" i="8"/>
  <c r="CI50" i="12"/>
  <c r="CU47" i="12"/>
  <c r="DK42" i="12"/>
  <c r="DF42" i="12"/>
  <c r="DA42" i="12"/>
  <c r="CV42" i="12"/>
  <c r="CP42" i="12"/>
  <c r="CK42" i="12"/>
  <c r="CF42" i="12"/>
  <c r="BZ42" i="12"/>
  <c r="BU42" i="12"/>
  <c r="BA42" i="12"/>
  <c r="AR42" i="12"/>
  <c r="AJ42" i="12"/>
  <c r="AC42" i="12"/>
  <c r="W42" i="12"/>
  <c r="DL39" i="12"/>
  <c r="DK39" i="12"/>
  <c r="DN39" i="12"/>
  <c r="DM39" i="12"/>
  <c r="DL31" i="12"/>
  <c r="DK31" i="12"/>
  <c r="DN31" i="12"/>
  <c r="DM31" i="12"/>
  <c r="DN28" i="12"/>
  <c r="DM28" i="12"/>
  <c r="DL28" i="12"/>
  <c r="DK28" i="12"/>
  <c r="DN25" i="12"/>
  <c r="DM25" i="12"/>
  <c r="DL25" i="12"/>
  <c r="DK25" i="12"/>
  <c r="DN21" i="12"/>
  <c r="DM21" i="12"/>
  <c r="DL21" i="12"/>
  <c r="DK21" i="12"/>
  <c r="AU24" i="12"/>
  <c r="DN24" i="12"/>
  <c r="DM24" i="12"/>
  <c r="DL24" i="12"/>
  <c r="DK24" i="12"/>
  <c r="AM20" i="12"/>
  <c r="DN20" i="12"/>
  <c r="DM20" i="12"/>
  <c r="DL20" i="12"/>
  <c r="DK20" i="12"/>
  <c r="DN26" i="12"/>
  <c r="DM26" i="12"/>
  <c r="DL26" i="12"/>
  <c r="DK26" i="12"/>
  <c r="DN22" i="12"/>
  <c r="DM22" i="12"/>
  <c r="DL22" i="12"/>
  <c r="DK22" i="12"/>
  <c r="DN18" i="12"/>
  <c r="DM18" i="12"/>
  <c r="DL18" i="12"/>
  <c r="DK18" i="12"/>
  <c r="DN27" i="12"/>
  <c r="DM27" i="12"/>
  <c r="DL27" i="12"/>
  <c r="DK27" i="12"/>
  <c r="AE23" i="12"/>
  <c r="DN23" i="12"/>
  <c r="DM23" i="12"/>
  <c r="DL23" i="12"/>
  <c r="DK23" i="12"/>
  <c r="DN19" i="12"/>
  <c r="DM19" i="12"/>
  <c r="DL19" i="12"/>
  <c r="DK19" i="12"/>
  <c r="AQ50" i="12"/>
  <c r="DJ48" i="12"/>
  <c r="CQ50" i="12"/>
  <c r="CV48" i="12"/>
  <c r="DK47" i="12"/>
  <c r="CD47" i="12"/>
  <c r="AI46" i="12"/>
  <c r="BB48" i="12"/>
  <c r="O42" i="12"/>
  <c r="CN48" i="12"/>
  <c r="AO48" i="12"/>
  <c r="BU46" i="12"/>
  <c r="S46" i="12"/>
  <c r="CT44" i="12"/>
  <c r="K42" i="12"/>
  <c r="CF48" i="12"/>
  <c r="AE48" i="12"/>
  <c r="BX48" i="12"/>
  <c r="T48" i="12"/>
  <c r="BS45" i="12"/>
  <c r="BR45" i="12"/>
  <c r="DQ45" i="12"/>
  <c r="DS45" i="12"/>
  <c r="DR45" i="12"/>
  <c r="BP45" i="12"/>
  <c r="BR44" i="12"/>
  <c r="BP44" i="12"/>
  <c r="DQ44" i="12"/>
  <c r="DS44" i="12"/>
  <c r="DR44" i="12"/>
  <c r="BS43" i="12"/>
  <c r="DQ43" i="12"/>
  <c r="BP43" i="12"/>
  <c r="DR43" i="12"/>
  <c r="DS43" i="12"/>
  <c r="BR43" i="12"/>
  <c r="BS50" i="12"/>
  <c r="BP50" i="12"/>
  <c r="DS50" i="12"/>
  <c r="DQ50" i="12"/>
  <c r="DR50" i="12"/>
  <c r="BR50" i="12"/>
  <c r="CZ48" i="12"/>
  <c r="CJ48" i="12"/>
  <c r="BT48" i="12"/>
  <c r="AJ48" i="12"/>
  <c r="M46" i="12"/>
  <c r="BP46" i="12"/>
  <c r="DS46" i="12"/>
  <c r="DQ46" i="12"/>
  <c r="DR46" i="12"/>
  <c r="BR46" i="12"/>
  <c r="CP45" i="12"/>
  <c r="CS44" i="12"/>
  <c r="CH44" i="12"/>
  <c r="BB44" i="12"/>
  <c r="AE44" i="12"/>
  <c r="AX43" i="12"/>
  <c r="BS42" i="12"/>
  <c r="BP42" i="12"/>
  <c r="DS42" i="12"/>
  <c r="DQ42" i="12"/>
  <c r="DR42" i="12"/>
  <c r="BR42" i="12"/>
  <c r="BS38" i="12"/>
  <c r="BP38" i="12"/>
  <c r="DS38" i="12"/>
  <c r="BR38" i="12"/>
  <c r="DQ38" i="12"/>
  <c r="DR38" i="12"/>
  <c r="AQ30" i="12"/>
  <c r="BP30" i="12"/>
  <c r="DS30" i="12"/>
  <c r="DQ30" i="12"/>
  <c r="DR30" i="12"/>
  <c r="BR30" i="12"/>
  <c r="AJ44" i="12"/>
  <c r="BS41" i="12"/>
  <c r="BR41" i="12"/>
  <c r="DQ41" i="12"/>
  <c r="BP41" i="12"/>
  <c r="DR41" i="12"/>
  <c r="DS41" i="12"/>
  <c r="BP34" i="12"/>
  <c r="DS34" i="12"/>
  <c r="BR34" i="12"/>
  <c r="DQ34" i="12"/>
  <c r="DR34" i="12"/>
  <c r="BS48" i="12"/>
  <c r="BP48" i="12"/>
  <c r="DS48" i="12"/>
  <c r="DQ48" i="12"/>
  <c r="BR48" i="12"/>
  <c r="DR48" i="12"/>
  <c r="AX45" i="12"/>
  <c r="DJ44" i="12"/>
  <c r="CZ44" i="12"/>
  <c r="CO44" i="12"/>
  <c r="CD44" i="12"/>
  <c r="AU44" i="12"/>
  <c r="Y44" i="12"/>
  <c r="AM43" i="12"/>
  <c r="BS39" i="12"/>
  <c r="DQ39" i="12"/>
  <c r="BR39" i="12"/>
  <c r="BP39" i="12"/>
  <c r="DR39" i="12"/>
  <c r="DS39" i="12"/>
  <c r="AI34" i="12"/>
  <c r="AQ31" i="12"/>
  <c r="DQ31" i="12"/>
  <c r="BP31" i="12"/>
  <c r="DR31" i="12"/>
  <c r="DS31" i="12"/>
  <c r="BR31" i="12"/>
  <c r="BS49" i="12"/>
  <c r="BR49" i="12"/>
  <c r="DQ49" i="12"/>
  <c r="BP49" i="12"/>
  <c r="DR49" i="12"/>
  <c r="DS49" i="12"/>
  <c r="BX44" i="12"/>
  <c r="CF43" i="12"/>
  <c r="BR33" i="12"/>
  <c r="DQ33" i="12"/>
  <c r="DR33" i="12"/>
  <c r="BP33" i="12"/>
  <c r="DS33" i="12"/>
  <c r="DF48" i="12"/>
  <c r="CR48" i="12"/>
  <c r="CB48" i="12"/>
  <c r="AU48" i="12"/>
  <c r="Y48" i="12"/>
  <c r="W47" i="12"/>
  <c r="DQ47" i="12"/>
  <c r="BP47" i="12"/>
  <c r="DR47" i="12"/>
  <c r="DS47" i="12"/>
  <c r="BR47" i="12"/>
  <c r="AA46" i="12"/>
  <c r="DF45" i="12"/>
  <c r="AB45" i="12"/>
  <c r="DI44" i="12"/>
  <c r="CX44" i="12"/>
  <c r="CN44" i="12"/>
  <c r="CC44" i="12"/>
  <c r="AO44" i="12"/>
  <c r="T44" i="12"/>
  <c r="CQ43" i="12"/>
  <c r="W43" i="12"/>
  <c r="L42" i="12"/>
  <c r="BS40" i="12"/>
  <c r="BP40" i="12"/>
  <c r="DQ40" i="12"/>
  <c r="DS40" i="12"/>
  <c r="BR40" i="12"/>
  <c r="DR40" i="12"/>
  <c r="DS36" i="12"/>
  <c r="AE34" i="12"/>
  <c r="AI33" i="12"/>
  <c r="BS32" i="12"/>
  <c r="BP32" i="12"/>
  <c r="DQ32" i="12"/>
  <c r="DS32" i="12"/>
  <c r="BR32" i="12"/>
  <c r="DR32" i="12"/>
  <c r="AP241" i="122"/>
  <c r="AH241" i="122"/>
  <c r="AU23" i="12"/>
  <c r="BS25" i="12"/>
  <c r="BP25" i="12"/>
  <c r="DR25" i="12"/>
  <c r="DS25" i="12"/>
  <c r="BR25" i="12"/>
  <c r="DQ25" i="12"/>
  <c r="BP24" i="12"/>
  <c r="BR24" i="12"/>
  <c r="DQ24" i="12"/>
  <c r="DR24" i="12"/>
  <c r="DS24" i="12"/>
  <c r="AQ23" i="12"/>
  <c r="AQ20" i="12"/>
  <c r="BP26" i="12"/>
  <c r="DQ26" i="12"/>
  <c r="DS26" i="12"/>
  <c r="DR26" i="12"/>
  <c r="BR26" i="12"/>
  <c r="BP21" i="12"/>
  <c r="DR21" i="12"/>
  <c r="DS21" i="12"/>
  <c r="BR21" i="12"/>
  <c r="DQ21" i="12"/>
  <c r="AM18" i="12"/>
  <c r="BP18" i="12"/>
  <c r="DQ18" i="12"/>
  <c r="DS18" i="12"/>
  <c r="BR18" i="12"/>
  <c r="DR18" i="12"/>
  <c r="BS28" i="12"/>
  <c r="DS28" i="12"/>
  <c r="BR28" i="12"/>
  <c r="DQ28" i="12"/>
  <c r="BP28" i="12"/>
  <c r="DR28" i="12"/>
  <c r="BR23" i="12"/>
  <c r="DR23" i="12"/>
  <c r="DQ23" i="12"/>
  <c r="BP23" i="12"/>
  <c r="DS23" i="12"/>
  <c r="DS20" i="12"/>
  <c r="BR20" i="12"/>
  <c r="DQ20" i="12"/>
  <c r="DR20" i="12"/>
  <c r="BP20" i="12"/>
  <c r="BS27" i="12"/>
  <c r="BR27" i="12"/>
  <c r="DR27" i="12"/>
  <c r="DQ27" i="12"/>
  <c r="BP27" i="12"/>
  <c r="DS27" i="12"/>
  <c r="AA23" i="12"/>
  <c r="BS22" i="12"/>
  <c r="BR22" i="12"/>
  <c r="BP22" i="12"/>
  <c r="DQ22" i="12"/>
  <c r="DS22" i="12"/>
  <c r="DR22" i="12"/>
  <c r="AE20" i="12"/>
  <c r="BR19" i="12"/>
  <c r="DR19" i="12"/>
  <c r="DQ19" i="12"/>
  <c r="BP19" i="12"/>
  <c r="DS19" i="12"/>
  <c r="K202" i="122"/>
  <c r="AA202" i="122"/>
  <c r="M241" i="122"/>
  <c r="AD241" i="122"/>
  <c r="BA241" i="122"/>
  <c r="S202" i="122"/>
  <c r="E241" i="122"/>
  <c r="U241" i="122"/>
  <c r="AL241" i="122"/>
  <c r="AU241" i="122"/>
  <c r="O167" i="8"/>
  <c r="AF202" i="122"/>
  <c r="AJ202" i="122"/>
  <c r="AN202" i="122"/>
  <c r="AV202" i="122"/>
  <c r="AZ202" i="122"/>
  <c r="AW241" i="122"/>
  <c r="AS241" i="122"/>
  <c r="O109" i="8"/>
  <c r="V93" i="8"/>
  <c r="O202" i="122"/>
  <c r="AR202" i="122"/>
  <c r="Q241" i="122"/>
  <c r="AW93" i="8"/>
  <c r="AX107" i="8"/>
  <c r="D18" i="123"/>
  <c r="C18" i="123"/>
  <c r="BH37" i="127" s="1"/>
  <c r="X108" i="8"/>
  <c r="W113" i="8"/>
  <c r="DJ49" i="12"/>
  <c r="AE24" i="12"/>
  <c r="BS24" i="12"/>
  <c r="CY50" i="12"/>
  <c r="CA50" i="12"/>
  <c r="AM50" i="12"/>
  <c r="K50" i="12"/>
  <c r="DD49" i="12"/>
  <c r="BY49" i="12"/>
  <c r="DD48" i="12"/>
  <c r="CW48" i="12"/>
  <c r="CO48" i="12"/>
  <c r="CG48" i="12"/>
  <c r="BY48" i="12"/>
  <c r="BC48" i="12"/>
  <c r="AQ48" i="12"/>
  <c r="AF48" i="12"/>
  <c r="U48" i="12"/>
  <c r="J48" i="12"/>
  <c r="DD47" i="12"/>
  <c r="CN47" i="12"/>
  <c r="BO47" i="12"/>
  <c r="DH46" i="12"/>
  <c r="CY46" i="12"/>
  <c r="CQ46" i="12"/>
  <c r="CI46" i="12"/>
  <c r="CA46" i="12"/>
  <c r="BQ46" i="12"/>
  <c r="AW46" i="12"/>
  <c r="AO46" i="12"/>
  <c r="AG46" i="12"/>
  <c r="Y46" i="12"/>
  <c r="O46" i="12"/>
  <c r="DG43" i="12"/>
  <c r="CL43" i="12"/>
  <c r="AR43" i="12"/>
  <c r="R43" i="12"/>
  <c r="AI40" i="12"/>
  <c r="AU35" i="12"/>
  <c r="AQ24" i="12"/>
  <c r="AA21" i="12"/>
  <c r="BS21" i="12"/>
  <c r="BQ49" i="12"/>
  <c r="V47" i="12"/>
  <c r="BS47" i="12"/>
  <c r="DF46" i="12"/>
  <c r="CW46" i="12"/>
  <c r="CO46" i="12"/>
  <c r="CG46" i="12"/>
  <c r="BY46" i="12"/>
  <c r="BO46" i="12"/>
  <c r="AU46" i="12"/>
  <c r="AM46" i="12"/>
  <c r="AE46" i="12"/>
  <c r="W46" i="12"/>
  <c r="AA31" i="12"/>
  <c r="BS31" i="12"/>
  <c r="AA30" i="12"/>
  <c r="BS30" i="12"/>
  <c r="AU26" i="12"/>
  <c r="BS26" i="12"/>
  <c r="AM24" i="12"/>
  <c r="AM19" i="12"/>
  <c r="BS19" i="12"/>
  <c r="J18" i="12"/>
  <c r="BS18" i="12"/>
  <c r="CM49" i="12"/>
  <c r="I46" i="12"/>
  <c r="BS46" i="12"/>
  <c r="DG50" i="12"/>
  <c r="CM50" i="12"/>
  <c r="BC50" i="12"/>
  <c r="AA50" i="12"/>
  <c r="CU49" i="12"/>
  <c r="X49" i="12"/>
  <c r="DI48" i="12"/>
  <c r="DA48" i="12"/>
  <c r="CS48" i="12"/>
  <c r="CK48" i="12"/>
  <c r="CC48" i="12"/>
  <c r="BU48" i="12"/>
  <c r="AV48" i="12"/>
  <c r="AK48" i="12"/>
  <c r="AA48" i="12"/>
  <c r="P48" i="12"/>
  <c r="CY47" i="12"/>
  <c r="CE47" i="12"/>
  <c r="AL47" i="12"/>
  <c r="CU46" i="12"/>
  <c r="CM46" i="12"/>
  <c r="CE46" i="12"/>
  <c r="BW46" i="12"/>
  <c r="BC46" i="12"/>
  <c r="AS46" i="12"/>
  <c r="AK46" i="12"/>
  <c r="AC46" i="12"/>
  <c r="U46" i="12"/>
  <c r="K46" i="12"/>
  <c r="O44" i="12"/>
  <c r="BS44" i="12"/>
  <c r="DB43" i="12"/>
  <c r="BV43" i="12"/>
  <c r="AB43" i="12"/>
  <c r="AU37" i="12"/>
  <c r="L34" i="12"/>
  <c r="M34" i="12" s="1"/>
  <c r="BS34" i="12"/>
  <c r="AU33" i="12"/>
  <c r="BS33" i="12"/>
  <c r="AA24" i="12"/>
  <c r="AI23" i="12"/>
  <c r="BS23" i="12"/>
  <c r="J20" i="12"/>
  <c r="BS20" i="12"/>
  <c r="AQ21" i="12"/>
  <c r="R49" i="12"/>
  <c r="BH49" i="12"/>
  <c r="DW49" i="12"/>
  <c r="BN49" i="12"/>
  <c r="H49" i="12"/>
  <c r="BM49" i="12"/>
  <c r="DU49" i="12"/>
  <c r="DO49" i="12"/>
  <c r="DV49" i="12"/>
  <c r="DP49" i="12"/>
  <c r="DT49" i="12"/>
  <c r="BN48" i="12"/>
  <c r="DW48" i="12"/>
  <c r="BH48" i="12"/>
  <c r="H48" i="12"/>
  <c r="DO48" i="12"/>
  <c r="DV48" i="12"/>
  <c r="DP48" i="12"/>
  <c r="DT48" i="12"/>
  <c r="BM48" i="12"/>
  <c r="DU48" i="12"/>
  <c r="AX93" i="8"/>
  <c r="AV97" i="8"/>
  <c r="BB241" i="122"/>
  <c r="S145" i="8"/>
  <c r="S147" i="8"/>
  <c r="S149" i="8"/>
  <c r="S151" i="8"/>
  <c r="S153" i="8"/>
  <c r="S155" i="8"/>
  <c r="S157" i="8"/>
  <c r="S159" i="8"/>
  <c r="S161" i="8"/>
  <c r="S163" i="8"/>
  <c r="S165" i="8"/>
  <c r="S167" i="8"/>
  <c r="S169" i="8"/>
  <c r="S148" i="8"/>
  <c r="S150" i="8"/>
  <c r="S154" i="8"/>
  <c r="S158" i="8"/>
  <c r="S164" i="8"/>
  <c r="S168" i="8"/>
  <c r="T148" i="8"/>
  <c r="T152" i="8"/>
  <c r="T156" i="8"/>
  <c r="T160" i="8"/>
  <c r="T164" i="8"/>
  <c r="T168" i="8"/>
  <c r="T145" i="8"/>
  <c r="T147" i="8"/>
  <c r="T149" i="8"/>
  <c r="T151" i="8"/>
  <c r="T153" i="8"/>
  <c r="T155" i="8"/>
  <c r="T157" i="8"/>
  <c r="T159" i="8"/>
  <c r="T161" i="8"/>
  <c r="T163" i="8"/>
  <c r="T165" i="8"/>
  <c r="T167" i="8"/>
  <c r="T169" i="8"/>
  <c r="S146" i="8"/>
  <c r="S152" i="8"/>
  <c r="S156" i="8"/>
  <c r="S160" i="8"/>
  <c r="S162" i="8"/>
  <c r="S166" i="8"/>
  <c r="T146" i="8"/>
  <c r="T150" i="8"/>
  <c r="T154" i="8"/>
  <c r="T158" i="8"/>
  <c r="T162" i="8"/>
  <c r="T166" i="8"/>
  <c r="J50" i="12"/>
  <c r="BN50" i="12"/>
  <c r="DW50" i="12"/>
  <c r="BH50" i="12"/>
  <c r="H50" i="12"/>
  <c r="DT50" i="12"/>
  <c r="BM50" i="12"/>
  <c r="DU50" i="12"/>
  <c r="DO50" i="12"/>
  <c r="DV50" i="12"/>
  <c r="DP50" i="12"/>
  <c r="CJ49" i="12"/>
  <c r="BO49" i="12"/>
  <c r="DH48" i="12"/>
  <c r="CY48" i="12"/>
  <c r="CU48" i="12"/>
  <c r="CQ48" i="12"/>
  <c r="CM48" i="12"/>
  <c r="CI48" i="12"/>
  <c r="CE48" i="12"/>
  <c r="CA48" i="12"/>
  <c r="BW48" i="12"/>
  <c r="BQ48" i="12"/>
  <c r="BA48" i="12"/>
  <c r="AS48" i="12"/>
  <c r="AN48" i="12"/>
  <c r="AI48" i="12"/>
  <c r="AC48" i="12"/>
  <c r="X48" i="12"/>
  <c r="S48" i="12"/>
  <c r="L48" i="12"/>
  <c r="AX47" i="12"/>
  <c r="Q46" i="12"/>
  <c r="BH45" i="12"/>
  <c r="BN45" i="12"/>
  <c r="DW45" i="12"/>
  <c r="H45" i="12"/>
  <c r="BM45" i="12"/>
  <c r="DU45" i="12"/>
  <c r="DO45" i="12"/>
  <c r="DV45" i="12"/>
  <c r="DP45" i="12"/>
  <c r="DT45" i="12"/>
  <c r="I43" i="12"/>
  <c r="DW43" i="12"/>
  <c r="BN43" i="12"/>
  <c r="BH43" i="12"/>
  <c r="H43" i="12"/>
  <c r="DP43" i="12"/>
  <c r="BM43" i="12"/>
  <c r="DT43" i="12"/>
  <c r="DU43" i="12"/>
  <c r="DO43" i="12"/>
  <c r="DV43" i="12"/>
  <c r="AQ35" i="12"/>
  <c r="AE33" i="12"/>
  <c r="AM30" i="12"/>
  <c r="AM29" i="12"/>
  <c r="L24" i="12"/>
  <c r="O113" i="8"/>
  <c r="AV116" i="8"/>
  <c r="V108" i="8"/>
  <c r="AW114" i="8"/>
  <c r="W105" i="8"/>
  <c r="AX111" i="8"/>
  <c r="X110" i="8"/>
  <c r="W154" i="8"/>
  <c r="O163" i="8"/>
  <c r="AX159" i="8"/>
  <c r="W50" i="12"/>
  <c r="CW49" i="12"/>
  <c r="CB49" i="12"/>
  <c r="AM49" i="12"/>
  <c r="DK48" i="12"/>
  <c r="DG48" i="12"/>
  <c r="DB48" i="12"/>
  <c r="CX48" i="12"/>
  <c r="CT48" i="12"/>
  <c r="CP48" i="12"/>
  <c r="CL48" i="12"/>
  <c r="CH48" i="12"/>
  <c r="CD48" i="12"/>
  <c r="BZ48" i="12"/>
  <c r="BV48" i="12"/>
  <c r="BO48" i="12"/>
  <c r="AW48" i="12"/>
  <c r="AR48" i="12"/>
  <c r="AM48" i="12"/>
  <c r="AG48" i="12"/>
  <c r="AB48" i="12"/>
  <c r="W48" i="12"/>
  <c r="Q48" i="12"/>
  <c r="K48" i="12"/>
  <c r="BN47" i="12"/>
  <c r="BH47" i="12"/>
  <c r="DW47" i="12"/>
  <c r="H47" i="12"/>
  <c r="DP47" i="12"/>
  <c r="BM47" i="12"/>
  <c r="DT47" i="12"/>
  <c r="DU47" i="12"/>
  <c r="DO47" i="12"/>
  <c r="DV47" i="12"/>
  <c r="BN46" i="12"/>
  <c r="DW46" i="12"/>
  <c r="BH46" i="12"/>
  <c r="H46" i="12"/>
  <c r="DT46" i="12"/>
  <c r="BM46" i="12"/>
  <c r="DU46" i="12"/>
  <c r="DO46" i="12"/>
  <c r="DV46" i="12"/>
  <c r="DP46" i="12"/>
  <c r="I44" i="12"/>
  <c r="DW44" i="12"/>
  <c r="BH44" i="12"/>
  <c r="BN44" i="12"/>
  <c r="H44" i="12"/>
  <c r="DO44" i="12"/>
  <c r="DV44" i="12"/>
  <c r="DT44" i="12"/>
  <c r="DP44" i="12"/>
  <c r="BM44" i="12"/>
  <c r="DU44" i="12"/>
  <c r="I42" i="12"/>
  <c r="BN42" i="12"/>
  <c r="DW42" i="12"/>
  <c r="BH42" i="12"/>
  <c r="H42" i="12"/>
  <c r="DT42" i="12"/>
  <c r="DV42" i="12"/>
  <c r="BM42" i="12"/>
  <c r="DU42" i="12"/>
  <c r="DO42" i="12"/>
  <c r="DP42" i="12"/>
  <c r="AI37" i="12"/>
  <c r="AA35" i="12"/>
  <c r="AM34" i="12"/>
  <c r="AE31" i="12"/>
  <c r="J28" i="12"/>
  <c r="BH28" i="12"/>
  <c r="BN28" i="12"/>
  <c r="DW28" i="12"/>
  <c r="H28" i="12"/>
  <c r="DO28" i="12"/>
  <c r="DP28" i="12"/>
  <c r="DU28" i="12"/>
  <c r="DV28" i="12"/>
  <c r="AE21" i="12"/>
  <c r="AU18" i="12"/>
  <c r="AE18" i="12"/>
  <c r="L38" i="12"/>
  <c r="M38" i="12" s="1"/>
  <c r="BN38" i="12"/>
  <c r="DW38" i="12"/>
  <c r="BH38" i="12"/>
  <c r="H38" i="12"/>
  <c r="DO38" i="12"/>
  <c r="DP38" i="12"/>
  <c r="DU38" i="12"/>
  <c r="DV38" i="12"/>
  <c r="L36" i="12"/>
  <c r="M36" i="12" s="1"/>
  <c r="DW36" i="12"/>
  <c r="H36" i="12"/>
  <c r="DO36" i="12"/>
  <c r="DP36" i="12"/>
  <c r="DR36" i="12" s="1"/>
  <c r="DU36" i="12"/>
  <c r="DV36" i="12"/>
  <c r="BN34" i="12"/>
  <c r="DW34" i="12"/>
  <c r="BH34" i="12"/>
  <c r="H34" i="12"/>
  <c r="DO34" i="12"/>
  <c r="DP34" i="12"/>
  <c r="DU34" i="12"/>
  <c r="DV34" i="12"/>
  <c r="AU31" i="12"/>
  <c r="J30" i="12"/>
  <c r="BN30" i="12"/>
  <c r="DW30" i="12"/>
  <c r="BH30" i="12"/>
  <c r="H30" i="12"/>
  <c r="DO30" i="12"/>
  <c r="DP30" i="12"/>
  <c r="DU30" i="12"/>
  <c r="DV30" i="12"/>
  <c r="L29" i="12"/>
  <c r="M29" i="12" s="1"/>
  <c r="H29" i="12"/>
  <c r="DO29" i="12"/>
  <c r="DP29" i="12"/>
  <c r="DR29" i="12" s="1"/>
  <c r="DU29" i="12"/>
  <c r="DV29" i="12"/>
  <c r="AU21" i="12"/>
  <c r="BH20" i="12"/>
  <c r="BN20" i="12"/>
  <c r="DW20" i="12"/>
  <c r="H20" i="12"/>
  <c r="DO20" i="12"/>
  <c r="DP20" i="12"/>
  <c r="DU20" i="12"/>
  <c r="DV20" i="12"/>
  <c r="L19" i="12"/>
  <c r="BN19" i="12"/>
  <c r="BH19" i="12"/>
  <c r="DW19" i="12"/>
  <c r="H19" i="12"/>
  <c r="DO19" i="12"/>
  <c r="DP19" i="12"/>
  <c r="DU19" i="12"/>
  <c r="DV19" i="12"/>
  <c r="AQ18" i="12"/>
  <c r="AI39" i="12"/>
  <c r="BN39" i="12"/>
  <c r="BH39" i="12"/>
  <c r="DW39" i="12"/>
  <c r="H39" i="12"/>
  <c r="DO39" i="12"/>
  <c r="DP39" i="12"/>
  <c r="DU39" i="12"/>
  <c r="DV39" i="12"/>
  <c r="J37" i="12"/>
  <c r="H37" i="12"/>
  <c r="DO37" i="12"/>
  <c r="DW37" i="12" s="1"/>
  <c r="DP37" i="12"/>
  <c r="DS37" i="12" s="1"/>
  <c r="DU37" i="12"/>
  <c r="DV37" i="12"/>
  <c r="L32" i="12"/>
  <c r="BH32" i="12"/>
  <c r="BN32" i="12"/>
  <c r="DW32" i="12"/>
  <c r="H32" i="12"/>
  <c r="DO32" i="12"/>
  <c r="DP32" i="12"/>
  <c r="DU32" i="12"/>
  <c r="DV32" i="12"/>
  <c r="L31" i="12"/>
  <c r="BN31" i="12"/>
  <c r="DW31" i="12"/>
  <c r="BH31" i="12"/>
  <c r="H31" i="12"/>
  <c r="DO31" i="12"/>
  <c r="DP31" i="12"/>
  <c r="DU31" i="12"/>
  <c r="DV31" i="12"/>
  <c r="AA25" i="12"/>
  <c r="BN25" i="12"/>
  <c r="BH25" i="12"/>
  <c r="DW25" i="12"/>
  <c r="H25" i="12"/>
  <c r="DO25" i="12"/>
  <c r="DP25" i="12"/>
  <c r="DU25" i="12"/>
  <c r="DV25" i="12"/>
  <c r="BN22" i="12"/>
  <c r="DW22" i="12"/>
  <c r="BH22" i="12"/>
  <c r="H22" i="12"/>
  <c r="DO22" i="12"/>
  <c r="DP22" i="12"/>
  <c r="DU22" i="12"/>
  <c r="DV22" i="12"/>
  <c r="L21" i="12"/>
  <c r="BH21" i="12"/>
  <c r="DW21" i="12"/>
  <c r="BN21" i="12"/>
  <c r="H21" i="12"/>
  <c r="DO21" i="12"/>
  <c r="DP21" i="12"/>
  <c r="DU21" i="12"/>
  <c r="DV21" i="12"/>
  <c r="AA18" i="12"/>
  <c r="BN18" i="12"/>
  <c r="DW18" i="12"/>
  <c r="BH18" i="12"/>
  <c r="H18" i="12"/>
  <c r="DO18" i="12"/>
  <c r="DP18" i="12"/>
  <c r="DU18" i="12"/>
  <c r="DV18" i="12"/>
  <c r="J41" i="12"/>
  <c r="BH41" i="12"/>
  <c r="DW41" i="12"/>
  <c r="BN41" i="12"/>
  <c r="H41" i="12"/>
  <c r="DO41" i="12"/>
  <c r="DP41" i="12"/>
  <c r="DU41" i="12"/>
  <c r="DV41" i="12"/>
  <c r="J40" i="12"/>
  <c r="BH40" i="12"/>
  <c r="BN40" i="12"/>
  <c r="DW40" i="12"/>
  <c r="H40" i="12"/>
  <c r="DO40" i="12"/>
  <c r="DP40" i="12"/>
  <c r="DU40" i="12"/>
  <c r="DV40" i="12"/>
  <c r="H35" i="12"/>
  <c r="DO35" i="12"/>
  <c r="DW35" i="12" s="1"/>
  <c r="DP35" i="12"/>
  <c r="DQ35" i="12" s="1"/>
  <c r="DU35" i="12"/>
  <c r="DV35" i="12"/>
  <c r="AQ34" i="12"/>
  <c r="AA34" i="12"/>
  <c r="L33" i="12"/>
  <c r="BH33" i="12"/>
  <c r="DW33" i="12"/>
  <c r="BN33" i="12"/>
  <c r="H33" i="12"/>
  <c r="DO33" i="12"/>
  <c r="DP33" i="12"/>
  <c r="DU33" i="12"/>
  <c r="DV33" i="12"/>
  <c r="AI31" i="12"/>
  <c r="AE30" i="12"/>
  <c r="DW27" i="12"/>
  <c r="BN27" i="12"/>
  <c r="BH27" i="12"/>
  <c r="H27" i="12"/>
  <c r="DO27" i="12"/>
  <c r="DP27" i="12"/>
  <c r="DU27" i="12"/>
  <c r="DV27" i="12"/>
  <c r="J26" i="12"/>
  <c r="BN26" i="12"/>
  <c r="DW26" i="12"/>
  <c r="BH26" i="12"/>
  <c r="H26" i="12"/>
  <c r="DO26" i="12"/>
  <c r="DP26" i="12"/>
  <c r="DU26" i="12"/>
  <c r="DV26" i="12"/>
  <c r="BH24" i="12"/>
  <c r="BN24" i="12"/>
  <c r="DW24" i="12"/>
  <c r="H24" i="12"/>
  <c r="DO24" i="12"/>
  <c r="DP24" i="12"/>
  <c r="DU24" i="12"/>
  <c r="DV24" i="12"/>
  <c r="J23" i="12"/>
  <c r="BH23" i="12"/>
  <c r="BN23" i="12"/>
  <c r="DW23" i="12"/>
  <c r="H23" i="12"/>
  <c r="DO23" i="12"/>
  <c r="DP23" i="12"/>
  <c r="DU23" i="12"/>
  <c r="DV23" i="12"/>
  <c r="AI21" i="12"/>
  <c r="AI18" i="12"/>
  <c r="W95" i="8"/>
  <c r="V106" i="8"/>
  <c r="AX147" i="8"/>
  <c r="AX94" i="8"/>
  <c r="AX99" i="8"/>
  <c r="W103" i="8"/>
  <c r="AX163" i="8"/>
  <c r="V98" i="8"/>
  <c r="AW102" i="8"/>
  <c r="AX110" i="8"/>
  <c r="X100" i="8"/>
  <c r="O151" i="8"/>
  <c r="W158" i="8"/>
  <c r="AV93" i="8"/>
  <c r="AV95" i="8"/>
  <c r="V96" i="8"/>
  <c r="AX97" i="8"/>
  <c r="X98" i="8"/>
  <c r="O99" i="8"/>
  <c r="AW100" i="8"/>
  <c r="W101" i="8"/>
  <c r="AV103" i="8"/>
  <c r="V104" i="8"/>
  <c r="AX105" i="8"/>
  <c r="X106" i="8"/>
  <c r="O107" i="8"/>
  <c r="AW108" i="8"/>
  <c r="W109" i="8"/>
  <c r="O112" i="8"/>
  <c r="AW113" i="8"/>
  <c r="AV115" i="8"/>
  <c r="AV117" i="8"/>
  <c r="W146" i="8"/>
  <c r="AX151" i="8"/>
  <c r="O155" i="8"/>
  <c r="W162" i="8"/>
  <c r="AX167" i="8"/>
  <c r="V107" i="8"/>
  <c r="AW110" i="8"/>
  <c r="O93" i="8"/>
  <c r="AW94" i="8"/>
  <c r="AX95" i="8"/>
  <c r="X96" i="8"/>
  <c r="O97" i="8"/>
  <c r="AW98" i="8"/>
  <c r="W99" i="8"/>
  <c r="AV101" i="8"/>
  <c r="V102" i="8"/>
  <c r="AX103" i="8"/>
  <c r="X104" i="8"/>
  <c r="O105" i="8"/>
  <c r="AW106" i="8"/>
  <c r="W107" i="8"/>
  <c r="AV109" i="8"/>
  <c r="V110" i="8"/>
  <c r="O111" i="8"/>
  <c r="AW112" i="8"/>
  <c r="W150" i="8"/>
  <c r="AX155" i="8"/>
  <c r="O159" i="8"/>
  <c r="W166" i="8"/>
  <c r="V94" i="8"/>
  <c r="O95" i="8"/>
  <c r="AW96" i="8"/>
  <c r="W97" i="8"/>
  <c r="AV99" i="8"/>
  <c r="V100" i="8"/>
  <c r="AX101" i="8"/>
  <c r="X102" i="8"/>
  <c r="O103" i="8"/>
  <c r="AW104" i="8"/>
  <c r="AV107" i="8"/>
  <c r="AX109" i="8"/>
  <c r="O147" i="8"/>
  <c r="X116" i="8"/>
  <c r="O110" i="8"/>
  <c r="AV113" i="8"/>
  <c r="W117" i="8"/>
  <c r="AX108" i="8"/>
  <c r="V95" i="8"/>
  <c r="AW95" i="8"/>
  <c r="W96" i="8"/>
  <c r="AX96" i="8"/>
  <c r="X95" i="8"/>
  <c r="O96" i="8"/>
  <c r="AV96" i="8"/>
  <c r="V97" i="8"/>
  <c r="AW97" i="8"/>
  <c r="W98" i="8"/>
  <c r="AX98" i="8"/>
  <c r="X99" i="8"/>
  <c r="O100" i="8"/>
  <c r="AV100" i="8"/>
  <c r="V101" i="8"/>
  <c r="AW101" i="8"/>
  <c r="W102" i="8"/>
  <c r="AX102" i="8"/>
  <c r="X103" i="8"/>
  <c r="O104" i="8"/>
  <c r="AV104" i="8"/>
  <c r="V105" i="8"/>
  <c r="AW105" i="8"/>
  <c r="W106" i="8"/>
  <c r="AX106" i="8"/>
  <c r="X107" i="8"/>
  <c r="O108" i="8"/>
  <c r="AV108" i="8"/>
  <c r="V109" i="8"/>
  <c r="AW109" i="8"/>
  <c r="W110" i="8"/>
  <c r="W111" i="8"/>
  <c r="V112" i="8"/>
  <c r="V113" i="8"/>
  <c r="AX113" i="8"/>
  <c r="V114" i="8"/>
  <c r="AX114" i="8"/>
  <c r="O115" i="8"/>
  <c r="AX115" i="8"/>
  <c r="O116" i="8"/>
  <c r="AW116" i="8"/>
  <c r="O117" i="8"/>
  <c r="AW117" i="8"/>
  <c r="W147" i="8"/>
  <c r="O148" i="8"/>
  <c r="AX148" i="8"/>
  <c r="W151" i="8"/>
  <c r="O152" i="8"/>
  <c r="AX152" i="8"/>
  <c r="W155" i="8"/>
  <c r="O156" i="8"/>
  <c r="AX156" i="8"/>
  <c r="W159" i="8"/>
  <c r="O160" i="8"/>
  <c r="AX160" i="8"/>
  <c r="W163" i="8"/>
  <c r="O164" i="8"/>
  <c r="AX164" i="8"/>
  <c r="W167" i="8"/>
  <c r="O168" i="8"/>
  <c r="AX168" i="8"/>
  <c r="H202" i="122"/>
  <c r="L202" i="122"/>
  <c r="P202" i="122"/>
  <c r="T202" i="122"/>
  <c r="X202" i="122"/>
  <c r="AB202" i="122"/>
  <c r="AG202" i="122"/>
  <c r="AK202" i="122"/>
  <c r="AO202" i="122"/>
  <c r="AS202" i="122"/>
  <c r="AW202" i="122"/>
  <c r="BA202" i="122"/>
  <c r="F241" i="122"/>
  <c r="J241" i="122"/>
  <c r="N241" i="122"/>
  <c r="R241" i="122"/>
  <c r="V241" i="122"/>
  <c r="Z241" i="122"/>
  <c r="AE241" i="122"/>
  <c r="AI241" i="122"/>
  <c r="AM241" i="122"/>
  <c r="AQ241" i="122"/>
  <c r="AX241" i="122"/>
  <c r="C19" i="123"/>
  <c r="E19" i="123" s="1"/>
  <c r="X112" i="8"/>
  <c r="W115" i="8"/>
  <c r="V116" i="8"/>
  <c r="AX117" i="8"/>
  <c r="AX145" i="8"/>
  <c r="W148" i="8"/>
  <c r="O149" i="8"/>
  <c r="O153" i="8"/>
  <c r="W156" i="8"/>
  <c r="AX157" i="8"/>
  <c r="W160" i="8"/>
  <c r="O161" i="8"/>
  <c r="AX161" i="8"/>
  <c r="W164" i="8"/>
  <c r="O165" i="8"/>
  <c r="AX165" i="8"/>
  <c r="W168" i="8"/>
  <c r="O169" i="8"/>
  <c r="AX169" i="8"/>
  <c r="E202" i="122"/>
  <c r="I202" i="122"/>
  <c r="M202" i="122"/>
  <c r="Q202" i="122"/>
  <c r="U202" i="122"/>
  <c r="Y202" i="122"/>
  <c r="AD202" i="122"/>
  <c r="AH202" i="122"/>
  <c r="AL202" i="122"/>
  <c r="AP202" i="122"/>
  <c r="AT202" i="122"/>
  <c r="AX202" i="122"/>
  <c r="BB202" i="122"/>
  <c r="G241" i="122"/>
  <c r="K241" i="122"/>
  <c r="O241" i="122"/>
  <c r="S241" i="122"/>
  <c r="W241" i="122"/>
  <c r="AA241" i="122"/>
  <c r="AF241" i="122"/>
  <c r="AJ241" i="122"/>
  <c r="AN241" i="122"/>
  <c r="AR241" i="122"/>
  <c r="AY241" i="122"/>
  <c r="O60" i="8"/>
  <c r="F131" i="123"/>
  <c r="C132" i="123"/>
  <c r="C131" i="123"/>
  <c r="E132" i="123" s="1"/>
  <c r="C133" i="123"/>
  <c r="C134" i="123"/>
  <c r="C135" i="123"/>
  <c r="C136" i="123"/>
  <c r="C137" i="123"/>
  <c r="C138" i="123"/>
  <c r="C139" i="123"/>
  <c r="C140" i="123"/>
  <c r="C141" i="123"/>
  <c r="C142" i="123"/>
  <c r="C143" i="123"/>
  <c r="C144" i="123"/>
  <c r="C145" i="123"/>
  <c r="C146" i="123"/>
  <c r="C147" i="123"/>
  <c r="C148" i="123"/>
  <c r="C149" i="123"/>
  <c r="C150" i="123"/>
  <c r="C151" i="123"/>
  <c r="C152" i="123"/>
  <c r="C153" i="123"/>
  <c r="C154" i="123"/>
  <c r="C155" i="123"/>
  <c r="F557" i="123"/>
  <c r="F301" i="123"/>
  <c r="F558" i="123"/>
  <c r="F472" i="123"/>
  <c r="F46" i="123"/>
  <c r="X111" i="8"/>
  <c r="W114" i="8"/>
  <c r="V117" i="8"/>
  <c r="O145" i="8"/>
  <c r="AX149" i="8"/>
  <c r="W152" i="8"/>
  <c r="AX153" i="8"/>
  <c r="O157" i="8"/>
  <c r="X93" i="8"/>
  <c r="O94" i="8"/>
  <c r="AV94" i="8"/>
  <c r="X97" i="8"/>
  <c r="O98" i="8"/>
  <c r="AV98" i="8"/>
  <c r="V99" i="8"/>
  <c r="AW99" i="8"/>
  <c r="W100" i="8"/>
  <c r="AX100" i="8"/>
  <c r="X101" i="8"/>
  <c r="O102" i="8"/>
  <c r="AV102" i="8"/>
  <c r="V103" i="8"/>
  <c r="AW103" i="8"/>
  <c r="W104" i="8"/>
  <c r="AX104" i="8"/>
  <c r="X105" i="8"/>
  <c r="O106" i="8"/>
  <c r="AV106" i="8"/>
  <c r="AW107" i="8"/>
  <c r="W108" i="8"/>
  <c r="X109" i="8"/>
  <c r="AV111" i="8"/>
  <c r="AV112" i="8"/>
  <c r="X114" i="8"/>
  <c r="X115" i="8"/>
  <c r="W145" i="8"/>
  <c r="O146" i="8"/>
  <c r="AX146" i="8"/>
  <c r="W149" i="8"/>
  <c r="O150" i="8"/>
  <c r="AX150" i="8"/>
  <c r="W153" i="8"/>
  <c r="O154" i="8"/>
  <c r="AX154" i="8"/>
  <c r="W157" i="8"/>
  <c r="O158" i="8"/>
  <c r="AX158" i="8"/>
  <c r="W161" i="8"/>
  <c r="O162" i="8"/>
  <c r="AX162" i="8"/>
  <c r="W165" i="8"/>
  <c r="O166" i="8"/>
  <c r="AX166" i="8"/>
  <c r="W169" i="8"/>
  <c r="F202" i="122"/>
  <c r="J202" i="122"/>
  <c r="N202" i="122"/>
  <c r="R202" i="122"/>
  <c r="V202" i="122"/>
  <c r="Z202" i="122"/>
  <c r="AE202" i="122"/>
  <c r="AI202" i="122"/>
  <c r="AM202" i="122"/>
  <c r="AQ202" i="122"/>
  <c r="AU202" i="122"/>
  <c r="AY202" i="122"/>
  <c r="D241" i="122"/>
  <c r="H241" i="122"/>
  <c r="L241" i="122"/>
  <c r="P241" i="122"/>
  <c r="T241" i="122"/>
  <c r="X241" i="122"/>
  <c r="AB241" i="122"/>
  <c r="AG241" i="122"/>
  <c r="AK241" i="122"/>
  <c r="AO241" i="122"/>
  <c r="AT241" i="122"/>
  <c r="AV241" i="122"/>
  <c r="AZ241" i="122"/>
  <c r="F157" i="123"/>
  <c r="F103" i="123"/>
  <c r="E157" i="123"/>
  <c r="E103" i="123"/>
  <c r="E104" i="123"/>
  <c r="F104" i="123"/>
  <c r="F105" i="123"/>
  <c r="F158" i="123"/>
  <c r="E158" i="123"/>
  <c r="E160" i="123"/>
  <c r="E159" i="123"/>
  <c r="E105" i="123"/>
  <c r="F159" i="123"/>
  <c r="F160" i="123"/>
  <c r="F106" i="123"/>
  <c r="E106" i="123"/>
  <c r="F107" i="123"/>
  <c r="E161" i="123"/>
  <c r="E107" i="123"/>
  <c r="F161" i="123"/>
  <c r="E108" i="123"/>
  <c r="F162" i="123"/>
  <c r="F108" i="123"/>
  <c r="E162" i="123"/>
  <c r="F109" i="123"/>
  <c r="E109" i="123"/>
  <c r="F163" i="123"/>
  <c r="E163" i="123"/>
  <c r="F164" i="123"/>
  <c r="E164" i="123"/>
  <c r="F110" i="123"/>
  <c r="E110" i="123"/>
  <c r="F165" i="123"/>
  <c r="F111" i="123"/>
  <c r="E165" i="123"/>
  <c r="E111" i="123"/>
  <c r="F112" i="123"/>
  <c r="F166" i="123"/>
  <c r="E166" i="123"/>
  <c r="E112" i="123"/>
  <c r="F167" i="123"/>
  <c r="E113" i="123"/>
  <c r="F113" i="123"/>
  <c r="E167" i="123"/>
  <c r="F114" i="123"/>
  <c r="E168" i="123"/>
  <c r="F168" i="123"/>
  <c r="E114" i="123"/>
  <c r="E169" i="123"/>
  <c r="F169" i="123"/>
  <c r="E115" i="123"/>
  <c r="F115" i="123"/>
  <c r="F116" i="123"/>
  <c r="E170" i="123"/>
  <c r="E116" i="123"/>
  <c r="F170" i="123"/>
  <c r="E171" i="123"/>
  <c r="F171" i="123"/>
  <c r="F117" i="123"/>
  <c r="E117" i="123"/>
  <c r="F172" i="123"/>
  <c r="E172" i="123"/>
  <c r="E118" i="123"/>
  <c r="F118" i="123"/>
  <c r="F119" i="123"/>
  <c r="E119" i="123"/>
  <c r="E173" i="123"/>
  <c r="F173" i="123"/>
  <c r="F174" i="123"/>
  <c r="E120" i="123"/>
  <c r="F120" i="123"/>
  <c r="E174" i="123"/>
  <c r="E175" i="123"/>
  <c r="F175" i="123"/>
  <c r="E121" i="123"/>
  <c r="F121" i="123"/>
  <c r="F122" i="123"/>
  <c r="E176" i="123"/>
  <c r="E122" i="123"/>
  <c r="F176" i="123"/>
  <c r="F123" i="123"/>
  <c r="E123" i="123"/>
  <c r="E177" i="123"/>
  <c r="F177" i="123"/>
  <c r="F178" i="123"/>
  <c r="F124" i="123"/>
  <c r="E178" i="123"/>
  <c r="E124" i="123"/>
  <c r="E179" i="123"/>
  <c r="F179" i="123"/>
  <c r="F125" i="123"/>
  <c r="E125" i="123"/>
  <c r="F126" i="123"/>
  <c r="E180" i="123"/>
  <c r="F180" i="123"/>
  <c r="E126" i="123"/>
  <c r="E127" i="123"/>
  <c r="E181" i="123"/>
  <c r="F181" i="123"/>
  <c r="F127" i="123"/>
  <c r="E128" i="123"/>
  <c r="F128" i="123"/>
  <c r="F129" i="123"/>
  <c r="E129" i="123"/>
  <c r="F471" i="123"/>
  <c r="F497" i="123"/>
  <c r="F273" i="123"/>
  <c r="F358" i="123"/>
  <c r="F582" i="123"/>
  <c r="F386" i="123"/>
  <c r="F329" i="123"/>
  <c r="F327" i="123"/>
  <c r="F443" i="123"/>
  <c r="F359" i="123"/>
  <c r="F72" i="123"/>
  <c r="F528" i="123"/>
  <c r="F413" i="123"/>
  <c r="F328" i="123"/>
  <c r="F412" i="123"/>
  <c r="F330" i="123"/>
  <c r="F242" i="123"/>
  <c r="F188" i="123"/>
  <c r="F529" i="123"/>
  <c r="F414" i="123"/>
  <c r="F190" i="123"/>
  <c r="F498" i="123"/>
  <c r="F444" i="123"/>
  <c r="F361" i="123"/>
  <c r="F274" i="123"/>
  <c r="F583" i="123"/>
  <c r="F360" i="123"/>
  <c r="F189" i="123"/>
  <c r="F584" i="123"/>
  <c r="F499" i="123"/>
  <c r="F243" i="123"/>
  <c r="F415" i="123"/>
  <c r="F530" i="123"/>
  <c r="F445" i="123"/>
  <c r="F275" i="123"/>
  <c r="F531" i="123"/>
  <c r="F331" i="123"/>
  <c r="F73" i="123"/>
  <c r="F244" i="123"/>
  <c r="F585" i="123"/>
  <c r="F276" i="123"/>
  <c r="F245" i="123"/>
  <c r="F586" i="123"/>
  <c r="F332" i="123"/>
  <c r="F74" i="123"/>
  <c r="F191" i="123"/>
  <c r="F500" i="123"/>
  <c r="F416" i="123"/>
  <c r="F446" i="123"/>
  <c r="F362" i="123"/>
  <c r="F277" i="123"/>
  <c r="F447" i="123"/>
  <c r="F501" i="123"/>
  <c r="F333" i="123"/>
  <c r="F192" i="123"/>
  <c r="F532" i="123"/>
  <c r="F363" i="123"/>
  <c r="F246" i="123"/>
  <c r="F75" i="123"/>
  <c r="F417" i="123"/>
  <c r="F278" i="123"/>
  <c r="F247" i="123"/>
  <c r="F502" i="123"/>
  <c r="F418" i="123"/>
  <c r="F334" i="123"/>
  <c r="F448" i="123"/>
  <c r="F587" i="123"/>
  <c r="F76" i="123"/>
  <c r="F193" i="123"/>
  <c r="F533" i="123"/>
  <c r="F364" i="123"/>
  <c r="F248" i="123"/>
  <c r="F279" i="123"/>
  <c r="F588" i="123"/>
  <c r="F534" i="123"/>
  <c r="F365" i="123"/>
  <c r="F449" i="123"/>
  <c r="F503" i="123"/>
  <c r="F419" i="123"/>
  <c r="F194" i="123"/>
  <c r="F77" i="123"/>
  <c r="F335" i="123"/>
  <c r="F504" i="123"/>
  <c r="F450" i="123"/>
  <c r="F535" i="123"/>
  <c r="F336" i="123"/>
  <c r="F589" i="123"/>
  <c r="F249" i="123"/>
  <c r="F195" i="123"/>
  <c r="F78" i="123"/>
  <c r="F280" i="123"/>
  <c r="F366" i="123"/>
  <c r="F420" i="123"/>
  <c r="F367" i="123"/>
  <c r="F536" i="123"/>
  <c r="F79" i="123"/>
  <c r="F451" i="123"/>
  <c r="F281" i="123"/>
  <c r="F421" i="123"/>
  <c r="F590" i="123"/>
  <c r="F337" i="123"/>
  <c r="F196" i="123"/>
  <c r="F250" i="123"/>
  <c r="F505" i="123"/>
  <c r="F251" i="123"/>
  <c r="F537" i="123"/>
  <c r="F452" i="123"/>
  <c r="F282" i="123"/>
  <c r="F338" i="123"/>
  <c r="F591" i="123"/>
  <c r="F197" i="123"/>
  <c r="F368" i="123"/>
  <c r="F422" i="123"/>
  <c r="F506" i="123"/>
  <c r="F80" i="123"/>
  <c r="F198" i="123"/>
  <c r="F339" i="123"/>
  <c r="F453" i="123"/>
  <c r="F283" i="123"/>
  <c r="F507" i="123"/>
  <c r="F592" i="123"/>
  <c r="F81" i="123"/>
  <c r="F369" i="123"/>
  <c r="F252" i="123"/>
  <c r="F538" i="123"/>
  <c r="F423" i="123"/>
  <c r="F199" i="123"/>
  <c r="F424" i="123"/>
  <c r="F454" i="123"/>
  <c r="F284" i="123"/>
  <c r="F539" i="123"/>
  <c r="F593" i="123"/>
  <c r="F82" i="123"/>
  <c r="F340" i="123"/>
  <c r="F508" i="123"/>
  <c r="F253" i="123"/>
  <c r="F370" i="123"/>
  <c r="F254" i="123"/>
  <c r="F455" i="123"/>
  <c r="F594" i="123"/>
  <c r="F200" i="123"/>
  <c r="F540" i="123"/>
  <c r="F371" i="123"/>
  <c r="F285" i="123"/>
  <c r="F83" i="123"/>
  <c r="F509" i="123"/>
  <c r="F341" i="123"/>
  <c r="F425" i="123"/>
  <c r="F510" i="123"/>
  <c r="F426" i="123"/>
  <c r="F342" i="123"/>
  <c r="F595" i="123"/>
  <c r="F201" i="123"/>
  <c r="F372" i="123"/>
  <c r="F84" i="123"/>
  <c r="F541" i="123"/>
  <c r="F456" i="123"/>
  <c r="F286" i="123"/>
  <c r="F255" i="123"/>
  <c r="F373" i="123"/>
  <c r="F343" i="123"/>
  <c r="F202" i="123"/>
  <c r="F427" i="123"/>
  <c r="F542" i="123"/>
  <c r="F457" i="123"/>
  <c r="F596" i="123"/>
  <c r="F256" i="123"/>
  <c r="F287" i="123"/>
  <c r="F511" i="123"/>
  <c r="F85" i="123"/>
  <c r="F288" i="123"/>
  <c r="F257" i="123"/>
  <c r="F543" i="123"/>
  <c r="F512" i="123"/>
  <c r="F203" i="123"/>
  <c r="F344" i="123"/>
  <c r="F428" i="123"/>
  <c r="F86" i="123"/>
  <c r="F374" i="123"/>
  <c r="F597" i="123"/>
  <c r="F458" i="123"/>
  <c r="F345" i="123"/>
  <c r="F429" i="123"/>
  <c r="F598" i="123"/>
  <c r="F459" i="123"/>
  <c r="F258" i="123"/>
  <c r="F375" i="123"/>
  <c r="F544" i="123"/>
  <c r="F289" i="123"/>
  <c r="F87" i="123"/>
  <c r="F204" i="123"/>
  <c r="F513" i="123"/>
  <c r="F376" i="123"/>
  <c r="F259" i="123"/>
  <c r="F290" i="123"/>
  <c r="F88" i="123"/>
  <c r="F545" i="123"/>
  <c r="F346" i="123"/>
  <c r="F430" i="123"/>
  <c r="F599" i="123"/>
  <c r="F460" i="123"/>
  <c r="F205" i="123"/>
  <c r="F514" i="123"/>
  <c r="F347" i="123"/>
  <c r="F546" i="123"/>
  <c r="F431" i="123"/>
  <c r="F260" i="123"/>
  <c r="F600" i="123"/>
  <c r="F377" i="123"/>
  <c r="F291" i="123"/>
  <c r="F89" i="123"/>
  <c r="F461" i="123"/>
  <c r="F515" i="123"/>
  <c r="F206" i="123"/>
  <c r="F261" i="123"/>
  <c r="F516" i="123"/>
  <c r="F292" i="123"/>
  <c r="F90" i="123"/>
  <c r="F378" i="123"/>
  <c r="F432" i="123"/>
  <c r="F348" i="123"/>
  <c r="F547" i="123"/>
  <c r="F462" i="123"/>
  <c r="F207" i="123"/>
  <c r="F601" i="123"/>
  <c r="F262" i="123"/>
  <c r="F379" i="123"/>
  <c r="F602" i="123"/>
  <c r="F349" i="123"/>
  <c r="F548" i="123"/>
  <c r="F293" i="123"/>
  <c r="F517" i="123"/>
  <c r="F208" i="123"/>
  <c r="F433" i="123"/>
  <c r="F91" i="123"/>
  <c r="F463" i="123"/>
  <c r="F350" i="123"/>
  <c r="F263" i="123"/>
  <c r="F380" i="123"/>
  <c r="F518" i="123"/>
  <c r="F294" i="123"/>
  <c r="F434" i="123"/>
  <c r="F603" i="123"/>
  <c r="F464" i="123"/>
  <c r="F92" i="123"/>
  <c r="F209" i="123"/>
  <c r="F549" i="123"/>
  <c r="F435" i="123"/>
  <c r="F381" i="123"/>
  <c r="F465" i="123"/>
  <c r="F93" i="123"/>
  <c r="F604" i="123"/>
  <c r="F264" i="123"/>
  <c r="F550" i="123"/>
  <c r="F210" i="123"/>
  <c r="F351" i="123"/>
  <c r="F295" i="123"/>
  <c r="F519" i="123"/>
  <c r="F296" i="123"/>
  <c r="F520" i="123"/>
  <c r="F382" i="123"/>
  <c r="F605" i="123"/>
  <c r="F466" i="123"/>
  <c r="F211" i="123"/>
  <c r="F94" i="123"/>
  <c r="F265" i="123"/>
  <c r="F551" i="123"/>
  <c r="F436" i="123"/>
  <c r="F266" i="123"/>
  <c r="F212" i="123"/>
  <c r="F467" i="123"/>
  <c r="F552" i="123"/>
  <c r="F521" i="123"/>
  <c r="F297" i="123"/>
  <c r="F95" i="123"/>
  <c r="F606" i="123"/>
  <c r="F383" i="123"/>
  <c r="F213" i="123"/>
  <c r="F553" i="123"/>
  <c r="F96" i="123"/>
  <c r="F468" i="123"/>
  <c r="F298" i="123"/>
  <c r="F384" i="123"/>
  <c r="F299" i="123"/>
  <c r="F469" i="123"/>
  <c r="F554" i="123"/>
  <c r="F214" i="123"/>
  <c r="G259" i="123"/>
  <c r="G243" i="123"/>
  <c r="G262" i="123"/>
  <c r="G246" i="123"/>
  <c r="G252" i="123"/>
  <c r="G257" i="123"/>
  <c r="G264" i="123"/>
  <c r="G238" i="123"/>
  <c r="G222" i="123"/>
  <c r="G225" i="123"/>
  <c r="G220" i="123"/>
  <c r="G235" i="123"/>
  <c r="G240" i="123"/>
  <c r="G209" i="123"/>
  <c r="G193" i="123"/>
  <c r="G212" i="123"/>
  <c r="G196" i="123"/>
  <c r="G203" i="123"/>
  <c r="G194" i="123"/>
  <c r="G191" i="123"/>
  <c r="G190" i="123"/>
  <c r="G214" i="123"/>
  <c r="G255" i="123"/>
  <c r="G258" i="123"/>
  <c r="G242" i="123"/>
  <c r="G261" i="123"/>
  <c r="G244" i="123"/>
  <c r="G265" i="123"/>
  <c r="G248" i="123"/>
  <c r="G234" i="123"/>
  <c r="G218" i="123"/>
  <c r="G237" i="123"/>
  <c r="G221" i="123"/>
  <c r="G227" i="123"/>
  <c r="G224" i="123"/>
  <c r="G239" i="123"/>
  <c r="G232" i="123"/>
  <c r="G205" i="123"/>
  <c r="G189" i="123"/>
  <c r="G208" i="123"/>
  <c r="G192" i="123"/>
  <c r="G195" i="123"/>
  <c r="G198" i="123"/>
  <c r="G251" i="123"/>
  <c r="G254" i="123"/>
  <c r="G253" i="123"/>
  <c r="G249" i="123"/>
  <c r="G230" i="123"/>
  <c r="G233" i="123"/>
  <c r="G217" i="123"/>
  <c r="G236" i="123"/>
  <c r="G219" i="123"/>
  <c r="G223" i="123"/>
  <c r="G216" i="123"/>
  <c r="G201" i="123"/>
  <c r="G204" i="123"/>
  <c r="G188" i="123"/>
  <c r="G210" i="123"/>
  <c r="G199" i="123"/>
  <c r="G263" i="123"/>
  <c r="G247" i="123"/>
  <c r="G266" i="123"/>
  <c r="G250" i="123"/>
  <c r="G245" i="123"/>
  <c r="G260" i="123"/>
  <c r="G256" i="123"/>
  <c r="G226" i="123"/>
  <c r="G229" i="123"/>
  <c r="G228" i="123"/>
  <c r="G231" i="123"/>
  <c r="G213" i="123"/>
  <c r="G197" i="123"/>
  <c r="G200" i="123"/>
  <c r="G211" i="123"/>
  <c r="G202" i="123"/>
  <c r="G207" i="123"/>
  <c r="G206" i="123"/>
  <c r="G461" i="123"/>
  <c r="G445" i="123"/>
  <c r="G452" i="123"/>
  <c r="G459" i="123"/>
  <c r="G443" i="123"/>
  <c r="G454" i="123"/>
  <c r="G518" i="123"/>
  <c r="G502" i="123"/>
  <c r="G521" i="123"/>
  <c r="G505" i="123"/>
  <c r="G515" i="123"/>
  <c r="G512" i="123"/>
  <c r="G503" i="123"/>
  <c r="G485" i="123"/>
  <c r="G480" i="123"/>
  <c r="G483" i="123"/>
  <c r="G474" i="123"/>
  <c r="G471" i="123"/>
  <c r="G457" i="123"/>
  <c r="G465" i="123"/>
  <c r="G448" i="123"/>
  <c r="G455" i="123"/>
  <c r="G469" i="123"/>
  <c r="G450" i="123"/>
  <c r="G514" i="123"/>
  <c r="G498" i="123"/>
  <c r="G517" i="123"/>
  <c r="G501" i="123"/>
  <c r="G516" i="123"/>
  <c r="G507" i="123"/>
  <c r="G504" i="123"/>
  <c r="G481" i="123"/>
  <c r="G492" i="123"/>
  <c r="G476" i="123"/>
  <c r="G475" i="123"/>
  <c r="G495" i="123"/>
  <c r="G494" i="123"/>
  <c r="G467" i="123"/>
  <c r="G453" i="123"/>
  <c r="G460" i="123"/>
  <c r="G444" i="123"/>
  <c r="G451" i="123"/>
  <c r="G462" i="123"/>
  <c r="G446" i="123"/>
  <c r="G510" i="123"/>
  <c r="G513" i="123"/>
  <c r="G497" i="123"/>
  <c r="G508" i="123"/>
  <c r="G499" i="123"/>
  <c r="G519" i="123"/>
  <c r="G493" i="123"/>
  <c r="G477" i="123"/>
  <c r="G488" i="123"/>
  <c r="G472" i="123"/>
  <c r="G490" i="123"/>
  <c r="G487" i="123"/>
  <c r="G486" i="123"/>
  <c r="G468" i="123"/>
  <c r="G463" i="123"/>
  <c r="G466" i="123"/>
  <c r="G449" i="123"/>
  <c r="G456" i="123"/>
  <c r="G464" i="123"/>
  <c r="G447" i="123"/>
  <c r="G458" i="123"/>
  <c r="G506" i="123"/>
  <c r="G509" i="123"/>
  <c r="G500" i="123"/>
  <c r="G520" i="123"/>
  <c r="G511" i="123"/>
  <c r="G489" i="123"/>
  <c r="G473" i="123"/>
  <c r="G484" i="123"/>
  <c r="G491" i="123"/>
  <c r="G482" i="123"/>
  <c r="G479" i="123"/>
  <c r="G478" i="123"/>
  <c r="C556" i="123"/>
  <c r="C529" i="123"/>
  <c r="C585" i="123"/>
  <c r="C560" i="123"/>
  <c r="C533" i="123"/>
  <c r="C589" i="123"/>
  <c r="C564" i="123"/>
  <c r="C537" i="123"/>
  <c r="C593" i="123"/>
  <c r="C568" i="123"/>
  <c r="C541" i="123"/>
  <c r="C597" i="123"/>
  <c r="C572" i="123"/>
  <c r="C545" i="123"/>
  <c r="C601" i="123"/>
  <c r="C576" i="123"/>
  <c r="C549" i="123"/>
  <c r="C580" i="123"/>
  <c r="C605" i="123"/>
  <c r="C553" i="123"/>
  <c r="E443" i="123"/>
  <c r="C557" i="123"/>
  <c r="C582" i="123"/>
  <c r="C530" i="123"/>
  <c r="C586" i="123"/>
  <c r="C561" i="123"/>
  <c r="C534" i="123"/>
  <c r="C565" i="123"/>
  <c r="C590" i="123"/>
  <c r="C538" i="123"/>
  <c r="C569" i="123"/>
  <c r="C594" i="123"/>
  <c r="C542" i="123"/>
  <c r="C598" i="123"/>
  <c r="C573" i="123"/>
  <c r="C546" i="123"/>
  <c r="C577" i="123"/>
  <c r="C602" i="123"/>
  <c r="C550" i="123"/>
  <c r="C606" i="123"/>
  <c r="C554" i="123"/>
  <c r="G540" i="123"/>
  <c r="G551" i="123"/>
  <c r="G535" i="123"/>
  <c r="G546" i="123"/>
  <c r="G530" i="123"/>
  <c r="G549" i="123"/>
  <c r="G545" i="123"/>
  <c r="G602" i="123"/>
  <c r="G586" i="123"/>
  <c r="G597" i="123"/>
  <c r="G604" i="123"/>
  <c r="G588" i="123"/>
  <c r="G591" i="123"/>
  <c r="G569" i="123"/>
  <c r="G580" i="123"/>
  <c r="G564" i="123"/>
  <c r="G575" i="123"/>
  <c r="G559" i="123"/>
  <c r="G566" i="123"/>
  <c r="G562" i="123"/>
  <c r="G552" i="123"/>
  <c r="G536" i="123"/>
  <c r="G547" i="123"/>
  <c r="G531" i="123"/>
  <c r="G542" i="123"/>
  <c r="G553" i="123"/>
  <c r="G533" i="123"/>
  <c r="G529" i="123"/>
  <c r="G598" i="123"/>
  <c r="G582" i="123"/>
  <c r="G593" i="123"/>
  <c r="G600" i="123"/>
  <c r="G584" i="123"/>
  <c r="G565" i="123"/>
  <c r="G576" i="123"/>
  <c r="G560" i="123"/>
  <c r="G571" i="123"/>
  <c r="G570" i="123"/>
  <c r="G574" i="123"/>
  <c r="G548" i="123"/>
  <c r="G532" i="123"/>
  <c r="G543" i="123"/>
  <c r="G554" i="123"/>
  <c r="G538" i="123"/>
  <c r="G537" i="123"/>
  <c r="G541" i="123"/>
  <c r="G594" i="123"/>
  <c r="G605" i="123"/>
  <c r="G589" i="123"/>
  <c r="G596" i="123"/>
  <c r="G603" i="123"/>
  <c r="G599" i="123"/>
  <c r="G577" i="123"/>
  <c r="G561" i="123"/>
  <c r="G572" i="123"/>
  <c r="G556" i="123"/>
  <c r="G567" i="123"/>
  <c r="G558" i="123"/>
  <c r="G544" i="123"/>
  <c r="G528" i="123"/>
  <c r="G539" i="123"/>
  <c r="G550" i="123"/>
  <c r="G534" i="123"/>
  <c r="G606" i="123"/>
  <c r="G590" i="123"/>
  <c r="G601" i="123"/>
  <c r="G585" i="123"/>
  <c r="G592" i="123"/>
  <c r="G587" i="123"/>
  <c r="G583" i="123"/>
  <c r="G595" i="123"/>
  <c r="G573" i="123"/>
  <c r="G557" i="123"/>
  <c r="G568" i="123"/>
  <c r="G579" i="123"/>
  <c r="G563" i="123"/>
  <c r="G578" i="123"/>
  <c r="C583" i="123"/>
  <c r="C558" i="123"/>
  <c r="C531" i="123"/>
  <c r="C587" i="123"/>
  <c r="C562" i="123"/>
  <c r="C535" i="123"/>
  <c r="C591" i="123"/>
  <c r="C566" i="123"/>
  <c r="C539" i="123"/>
  <c r="C570" i="123"/>
  <c r="C595" i="123"/>
  <c r="C543" i="123"/>
  <c r="C574" i="123"/>
  <c r="C599" i="123"/>
  <c r="C547" i="123"/>
  <c r="C578" i="123"/>
  <c r="C603" i="123"/>
  <c r="C551" i="123"/>
  <c r="E528" i="123"/>
  <c r="C559" i="123"/>
  <c r="C584" i="123"/>
  <c r="C532" i="123"/>
  <c r="C563" i="123"/>
  <c r="C588" i="123"/>
  <c r="C536" i="123"/>
  <c r="C567" i="123"/>
  <c r="C592" i="123"/>
  <c r="C540" i="123"/>
  <c r="C596" i="123"/>
  <c r="C571" i="123"/>
  <c r="C544" i="123"/>
  <c r="C600" i="123"/>
  <c r="C575" i="123"/>
  <c r="C548" i="123"/>
  <c r="C579" i="123"/>
  <c r="C604" i="123"/>
  <c r="C552" i="123"/>
  <c r="E358" i="123"/>
  <c r="C414" i="123"/>
  <c r="C389" i="123"/>
  <c r="C362" i="123"/>
  <c r="C418" i="123"/>
  <c r="C366" i="123"/>
  <c r="C393" i="123"/>
  <c r="C422" i="123"/>
  <c r="C370" i="123"/>
  <c r="C397" i="123"/>
  <c r="C426" i="123"/>
  <c r="C401" i="123"/>
  <c r="C374" i="123"/>
  <c r="C430" i="123"/>
  <c r="C405" i="123"/>
  <c r="C378" i="123"/>
  <c r="C434" i="123"/>
  <c r="C382" i="123"/>
  <c r="C409" i="123"/>
  <c r="C497" i="123"/>
  <c r="C472" i="123"/>
  <c r="C445" i="123"/>
  <c r="C501" i="123"/>
  <c r="C476" i="123"/>
  <c r="C449" i="123"/>
  <c r="C505" i="123"/>
  <c r="C480" i="123"/>
  <c r="C453" i="123"/>
  <c r="C509" i="123"/>
  <c r="C484" i="123"/>
  <c r="C457" i="123"/>
  <c r="C513" i="123"/>
  <c r="C488" i="123"/>
  <c r="C461" i="123"/>
  <c r="C517" i="123"/>
  <c r="C492" i="123"/>
  <c r="C465" i="123"/>
  <c r="C521" i="123"/>
  <c r="C469" i="123"/>
  <c r="C359" i="123"/>
  <c r="C386" i="123"/>
  <c r="C415" i="123"/>
  <c r="C390" i="123"/>
  <c r="C363" i="123"/>
  <c r="C419" i="123"/>
  <c r="C394" i="123"/>
  <c r="C367" i="123"/>
  <c r="C423" i="123"/>
  <c r="C371" i="123"/>
  <c r="C398" i="123"/>
  <c r="C427" i="123"/>
  <c r="C375" i="123"/>
  <c r="C402" i="123"/>
  <c r="C431" i="123"/>
  <c r="C406" i="123"/>
  <c r="C379" i="123"/>
  <c r="C435" i="123"/>
  <c r="C410" i="123"/>
  <c r="C383" i="123"/>
  <c r="C498" i="123"/>
  <c r="C473" i="123"/>
  <c r="C446" i="123"/>
  <c r="C502" i="123"/>
  <c r="C477" i="123"/>
  <c r="C450" i="123"/>
  <c r="C506" i="123"/>
  <c r="C481" i="123"/>
  <c r="C454" i="123"/>
  <c r="C510" i="123"/>
  <c r="C485" i="123"/>
  <c r="C458" i="123"/>
  <c r="C514" i="123"/>
  <c r="C489" i="123"/>
  <c r="C462" i="123"/>
  <c r="C518" i="123"/>
  <c r="C493" i="123"/>
  <c r="C466" i="123"/>
  <c r="C412" i="123"/>
  <c r="C387" i="123"/>
  <c r="C360" i="123"/>
  <c r="C416" i="123"/>
  <c r="C364" i="123"/>
  <c r="C391" i="123"/>
  <c r="C420" i="123"/>
  <c r="C368" i="123"/>
  <c r="C395" i="123"/>
  <c r="C424" i="123"/>
  <c r="C372" i="123"/>
  <c r="C399" i="123"/>
  <c r="C428" i="123"/>
  <c r="C376" i="123"/>
  <c r="C403" i="123"/>
  <c r="C432" i="123"/>
  <c r="C407" i="123"/>
  <c r="C380" i="123"/>
  <c r="C436" i="123"/>
  <c r="C384" i="123"/>
  <c r="C499" i="123"/>
  <c r="C474" i="123"/>
  <c r="C447" i="123"/>
  <c r="C503" i="123"/>
  <c r="C478" i="123"/>
  <c r="C451" i="123"/>
  <c r="C507" i="123"/>
  <c r="C482" i="123"/>
  <c r="C455" i="123"/>
  <c r="C511" i="123"/>
  <c r="C486" i="123"/>
  <c r="C459" i="123"/>
  <c r="C515" i="123"/>
  <c r="C490" i="123"/>
  <c r="C463" i="123"/>
  <c r="C519" i="123"/>
  <c r="C494" i="123"/>
  <c r="C467" i="123"/>
  <c r="G389" i="123"/>
  <c r="G360" i="123"/>
  <c r="G388" i="123"/>
  <c r="G386" i="123"/>
  <c r="G359" i="123"/>
  <c r="G413" i="123"/>
  <c r="G414" i="123"/>
  <c r="G387" i="123"/>
  <c r="G390" i="123"/>
  <c r="G412" i="123"/>
  <c r="G358" i="123"/>
  <c r="G361" i="123"/>
  <c r="G415" i="123"/>
  <c r="G391" i="123"/>
  <c r="G416" i="123"/>
  <c r="G362" i="123"/>
  <c r="G363" i="123"/>
  <c r="G392" i="123"/>
  <c r="G417" i="123"/>
  <c r="G393" i="123"/>
  <c r="G364" i="123"/>
  <c r="G418" i="123"/>
  <c r="G365" i="123"/>
  <c r="G419" i="123"/>
  <c r="G394" i="123"/>
  <c r="G395" i="123"/>
  <c r="G420" i="123"/>
  <c r="G366" i="123"/>
  <c r="G367" i="123"/>
  <c r="G396" i="123"/>
  <c r="G421" i="123"/>
  <c r="G368" i="123"/>
  <c r="G397" i="123"/>
  <c r="G422" i="123"/>
  <c r="G423" i="123"/>
  <c r="G398" i="123"/>
  <c r="G369" i="123"/>
  <c r="G370" i="123"/>
  <c r="G399" i="123"/>
  <c r="G424" i="123"/>
  <c r="G425" i="123"/>
  <c r="G400" i="123"/>
  <c r="G371" i="123"/>
  <c r="G401" i="123"/>
  <c r="G426" i="123"/>
  <c r="G372" i="123"/>
  <c r="G373" i="123"/>
  <c r="G427" i="123"/>
  <c r="G402" i="123"/>
  <c r="G374" i="123"/>
  <c r="G403" i="123"/>
  <c r="G428" i="123"/>
  <c r="G375" i="123"/>
  <c r="G404" i="123"/>
  <c r="G429" i="123"/>
  <c r="G405" i="123"/>
  <c r="G376" i="123"/>
  <c r="G430" i="123"/>
  <c r="G377" i="123"/>
  <c r="G406" i="123"/>
  <c r="G431" i="123"/>
  <c r="G407" i="123"/>
  <c r="G378" i="123"/>
  <c r="G432" i="123"/>
  <c r="G408" i="123"/>
  <c r="G433" i="123"/>
  <c r="G379" i="123"/>
  <c r="G409" i="123"/>
  <c r="G380" i="123"/>
  <c r="G434" i="123"/>
  <c r="G410" i="123"/>
  <c r="G435" i="123"/>
  <c r="G381" i="123"/>
  <c r="G436" i="123"/>
  <c r="G382" i="123"/>
  <c r="G383" i="123"/>
  <c r="G384" i="123"/>
  <c r="C413" i="123"/>
  <c r="C361" i="123"/>
  <c r="C388" i="123"/>
  <c r="C417" i="123"/>
  <c r="C365" i="123"/>
  <c r="C392" i="123"/>
  <c r="C421" i="123"/>
  <c r="C369" i="123"/>
  <c r="C396" i="123"/>
  <c r="C425" i="123"/>
  <c r="C373" i="123"/>
  <c r="C400" i="123"/>
  <c r="C429" i="123"/>
  <c r="C404" i="123"/>
  <c r="C377" i="123"/>
  <c r="C433" i="123"/>
  <c r="C381" i="123"/>
  <c r="C408" i="123"/>
  <c r="C471" i="123"/>
  <c r="C444" i="123"/>
  <c r="C500" i="123"/>
  <c r="C475" i="123"/>
  <c r="C448" i="123"/>
  <c r="C504" i="123"/>
  <c r="C479" i="123"/>
  <c r="C452" i="123"/>
  <c r="C508" i="123"/>
  <c r="C483" i="123"/>
  <c r="C456" i="123"/>
  <c r="C512" i="123"/>
  <c r="C487" i="123"/>
  <c r="C460" i="123"/>
  <c r="C516" i="123"/>
  <c r="C491" i="123"/>
  <c r="C464" i="123"/>
  <c r="C520" i="123"/>
  <c r="C495" i="123"/>
  <c r="C468" i="123"/>
  <c r="C302" i="123"/>
  <c r="C327" i="123"/>
  <c r="C275" i="123"/>
  <c r="C331" i="123"/>
  <c r="C306" i="123"/>
  <c r="C279" i="123"/>
  <c r="C335" i="123"/>
  <c r="C310" i="123"/>
  <c r="C283" i="123"/>
  <c r="C339" i="123"/>
  <c r="C314" i="123"/>
  <c r="C287" i="123"/>
  <c r="C343" i="123"/>
  <c r="C318" i="123"/>
  <c r="C291" i="123"/>
  <c r="C347" i="123"/>
  <c r="C322" i="123"/>
  <c r="C295" i="123"/>
  <c r="C351" i="123"/>
  <c r="C299" i="123"/>
  <c r="G351" i="123"/>
  <c r="G335" i="123"/>
  <c r="G346" i="123"/>
  <c r="G330" i="123"/>
  <c r="G337" i="123"/>
  <c r="G332" i="123"/>
  <c r="G328" i="123"/>
  <c r="G340" i="123"/>
  <c r="G285" i="123"/>
  <c r="G296" i="123"/>
  <c r="G280" i="123"/>
  <c r="G291" i="123"/>
  <c r="G275" i="123"/>
  <c r="G294" i="123"/>
  <c r="G274" i="123"/>
  <c r="G318" i="123"/>
  <c r="G302" i="123"/>
  <c r="G313" i="123"/>
  <c r="G324" i="123"/>
  <c r="G308" i="123"/>
  <c r="G323" i="123"/>
  <c r="G347" i="123"/>
  <c r="G331" i="123"/>
  <c r="G342" i="123"/>
  <c r="G349" i="123"/>
  <c r="G333" i="123"/>
  <c r="G336" i="123"/>
  <c r="G297" i="123"/>
  <c r="G281" i="123"/>
  <c r="G292" i="123"/>
  <c r="G276" i="123"/>
  <c r="G287" i="123"/>
  <c r="G298" i="123"/>
  <c r="G278" i="123"/>
  <c r="G286" i="123"/>
  <c r="G314" i="123"/>
  <c r="G325" i="123"/>
  <c r="G309" i="123"/>
  <c r="G320" i="123"/>
  <c r="G304" i="123"/>
  <c r="G311" i="123"/>
  <c r="G307" i="123"/>
  <c r="G343" i="123"/>
  <c r="G327" i="123"/>
  <c r="G338" i="123"/>
  <c r="G345" i="123"/>
  <c r="G329" i="123"/>
  <c r="G293" i="123"/>
  <c r="G277" i="123"/>
  <c r="G288" i="123"/>
  <c r="G299" i="123"/>
  <c r="G283" i="123"/>
  <c r="G282" i="123"/>
  <c r="G310" i="123"/>
  <c r="G321" i="123"/>
  <c r="G305" i="123"/>
  <c r="G316" i="123"/>
  <c r="G315" i="123"/>
  <c r="G319" i="123"/>
  <c r="G339" i="123"/>
  <c r="G350" i="123"/>
  <c r="G334" i="123"/>
  <c r="G341" i="123"/>
  <c r="G348" i="123"/>
  <c r="G344" i="123"/>
  <c r="G289" i="123"/>
  <c r="G273" i="123"/>
  <c r="G284" i="123"/>
  <c r="G295" i="123"/>
  <c r="G279" i="123"/>
  <c r="G290" i="123"/>
  <c r="G322" i="123"/>
  <c r="G306" i="123"/>
  <c r="G317" i="123"/>
  <c r="G301" i="123"/>
  <c r="G312" i="123"/>
  <c r="G303" i="123"/>
  <c r="C328" i="123"/>
  <c r="C303" i="123"/>
  <c r="C276" i="123"/>
  <c r="C332" i="123"/>
  <c r="C307" i="123"/>
  <c r="C280" i="123"/>
  <c r="C336" i="123"/>
  <c r="C311" i="123"/>
  <c r="C284" i="123"/>
  <c r="C340" i="123"/>
  <c r="C315" i="123"/>
  <c r="C288" i="123"/>
  <c r="C344" i="123"/>
  <c r="C319" i="123"/>
  <c r="C292" i="123"/>
  <c r="C348" i="123"/>
  <c r="C323" i="123"/>
  <c r="C296" i="123"/>
  <c r="E273" i="123"/>
  <c r="C329" i="123"/>
  <c r="C304" i="123"/>
  <c r="C277" i="123"/>
  <c r="C333" i="123"/>
  <c r="C308" i="123"/>
  <c r="C281" i="123"/>
  <c r="C337" i="123"/>
  <c r="C312" i="123"/>
  <c r="C285" i="123"/>
  <c r="C341" i="123"/>
  <c r="C316" i="123"/>
  <c r="C289" i="123"/>
  <c r="C345" i="123"/>
  <c r="C320" i="123"/>
  <c r="C293" i="123"/>
  <c r="C349" i="123"/>
  <c r="C324" i="123"/>
  <c r="C297" i="123"/>
  <c r="C301" i="123"/>
  <c r="C274" i="123"/>
  <c r="E274" i="123" s="1"/>
  <c r="C330" i="123"/>
  <c r="C305" i="123"/>
  <c r="C278" i="123"/>
  <c r="C334" i="123"/>
  <c r="C309" i="123"/>
  <c r="C282" i="123"/>
  <c r="C338" i="123"/>
  <c r="C313" i="123"/>
  <c r="C286" i="123"/>
  <c r="C342" i="123"/>
  <c r="C317" i="123"/>
  <c r="C290" i="123"/>
  <c r="C346" i="123"/>
  <c r="C321" i="123"/>
  <c r="C294" i="123"/>
  <c r="C350" i="123"/>
  <c r="C325" i="123"/>
  <c r="C298" i="123"/>
  <c r="C218" i="123"/>
  <c r="C243" i="123"/>
  <c r="C191" i="123"/>
  <c r="C247" i="123"/>
  <c r="C222" i="123"/>
  <c r="C195" i="123"/>
  <c r="C251" i="123"/>
  <c r="C226" i="123"/>
  <c r="C199" i="123"/>
  <c r="C255" i="123"/>
  <c r="C230" i="123"/>
  <c r="C203" i="123"/>
  <c r="C259" i="123"/>
  <c r="C234" i="123"/>
  <c r="C207" i="123"/>
  <c r="C263" i="123"/>
  <c r="C238" i="123"/>
  <c r="C211" i="123"/>
  <c r="E188" i="123"/>
  <c r="C244" i="123"/>
  <c r="C219" i="123"/>
  <c r="C192" i="123"/>
  <c r="C248" i="123"/>
  <c r="C223" i="123"/>
  <c r="C196" i="123"/>
  <c r="C252" i="123"/>
  <c r="C227" i="123"/>
  <c r="C200" i="123"/>
  <c r="C256" i="123"/>
  <c r="C231" i="123"/>
  <c r="C204" i="123"/>
  <c r="C260" i="123"/>
  <c r="C235" i="123"/>
  <c r="C208" i="123"/>
  <c r="C264" i="123"/>
  <c r="C239" i="123"/>
  <c r="C212" i="123"/>
  <c r="C216" i="123"/>
  <c r="C189" i="123"/>
  <c r="C245" i="123"/>
  <c r="C220" i="123"/>
  <c r="C193" i="123"/>
  <c r="C249" i="123"/>
  <c r="C224" i="123"/>
  <c r="C197" i="123"/>
  <c r="C253" i="123"/>
  <c r="C228" i="123"/>
  <c r="C201" i="123"/>
  <c r="C257" i="123"/>
  <c r="C232" i="123"/>
  <c r="C205" i="123"/>
  <c r="C261" i="123"/>
  <c r="C236" i="123"/>
  <c r="C209" i="123"/>
  <c r="C265" i="123"/>
  <c r="C240" i="123"/>
  <c r="C213" i="123"/>
  <c r="C242" i="123"/>
  <c r="C190" i="123"/>
  <c r="C217" i="123"/>
  <c r="C246" i="123"/>
  <c r="C221" i="123"/>
  <c r="C194" i="123"/>
  <c r="C250" i="123"/>
  <c r="C225" i="123"/>
  <c r="C198" i="123"/>
  <c r="C254" i="123"/>
  <c r="C229" i="123"/>
  <c r="C202" i="123"/>
  <c r="C258" i="123"/>
  <c r="C233" i="123"/>
  <c r="C206" i="123"/>
  <c r="C262" i="123"/>
  <c r="C237" i="123"/>
  <c r="C210" i="123"/>
  <c r="C266" i="123"/>
  <c r="C214" i="123"/>
  <c r="C74" i="123"/>
  <c r="C49" i="123"/>
  <c r="C78" i="123"/>
  <c r="C53" i="123"/>
  <c r="C82" i="123"/>
  <c r="C57" i="123"/>
  <c r="C86" i="123"/>
  <c r="C61" i="123"/>
  <c r="C90" i="123"/>
  <c r="C65" i="123"/>
  <c r="C69" i="123"/>
  <c r="C94" i="123"/>
  <c r="C47" i="123"/>
  <c r="C75" i="123"/>
  <c r="C50" i="123"/>
  <c r="C79" i="123"/>
  <c r="C54" i="123"/>
  <c r="C83" i="123"/>
  <c r="C58" i="123"/>
  <c r="C87" i="123"/>
  <c r="C62" i="123"/>
  <c r="C91" i="123"/>
  <c r="C66" i="123"/>
  <c r="C70" i="123"/>
  <c r="C95" i="123"/>
  <c r="C46" i="123"/>
  <c r="BH37" i="125" s="1"/>
  <c r="C76" i="123"/>
  <c r="C51" i="123"/>
  <c r="C55" i="123"/>
  <c r="C80" i="123"/>
  <c r="C84" i="123"/>
  <c r="C59" i="123"/>
  <c r="C63" i="123"/>
  <c r="C88" i="123"/>
  <c r="C92" i="123"/>
  <c r="C67" i="123"/>
  <c r="C96" i="123"/>
  <c r="C73" i="123"/>
  <c r="C48" i="123"/>
  <c r="C52" i="123"/>
  <c r="C77" i="123"/>
  <c r="C56" i="123"/>
  <c r="C81" i="123"/>
  <c r="C85" i="123"/>
  <c r="C60" i="123"/>
  <c r="C64" i="123"/>
  <c r="C89" i="123"/>
  <c r="C68" i="123"/>
  <c r="C93" i="123"/>
  <c r="C72" i="123"/>
  <c r="G73" i="123"/>
  <c r="G77" i="123"/>
  <c r="G81" i="123"/>
  <c r="G85" i="123"/>
  <c r="G89" i="123"/>
  <c r="G93" i="123"/>
  <c r="G72" i="123"/>
  <c r="G48" i="123"/>
  <c r="G52" i="123"/>
  <c r="G56" i="123"/>
  <c r="G60" i="123"/>
  <c r="G64" i="123"/>
  <c r="G68" i="123"/>
  <c r="G82" i="123"/>
  <c r="G57" i="123"/>
  <c r="G20" i="123"/>
  <c r="G86" i="123"/>
  <c r="G61" i="123"/>
  <c r="G78" i="123"/>
  <c r="G94" i="123"/>
  <c r="G53" i="123"/>
  <c r="G69" i="123"/>
  <c r="G74" i="123"/>
  <c r="G90" i="123"/>
  <c r="G49" i="123"/>
  <c r="G65" i="123"/>
  <c r="G50" i="123"/>
  <c r="G19" i="123"/>
  <c r="G67" i="123"/>
  <c r="G51" i="123"/>
  <c r="G88" i="123"/>
  <c r="G70" i="123"/>
  <c r="G54" i="123"/>
  <c r="G83" i="123"/>
  <c r="G66" i="123"/>
  <c r="G95" i="123"/>
  <c r="G79" i="123"/>
  <c r="G75" i="123"/>
  <c r="G59" i="123"/>
  <c r="G96" i="123"/>
  <c r="G80" i="123"/>
  <c r="G62" i="123"/>
  <c r="G91" i="123"/>
  <c r="G63" i="123"/>
  <c r="G47" i="123"/>
  <c r="G84" i="123"/>
  <c r="G18" i="123"/>
  <c r="G46" i="123"/>
  <c r="G55" i="123"/>
  <c r="G92" i="123"/>
  <c r="G76" i="123"/>
  <c r="G58" i="123"/>
  <c r="G87" i="123"/>
  <c r="A21" i="123"/>
  <c r="G21" i="123" s="1"/>
  <c r="E18" i="123"/>
  <c r="AP49" i="12"/>
  <c r="AB49" i="12"/>
  <c r="J49" i="12"/>
  <c r="J47" i="12"/>
  <c r="K47" i="12"/>
  <c r="R47" i="12"/>
  <c r="X47" i="12"/>
  <c r="AF47" i="12"/>
  <c r="AM47" i="12"/>
  <c r="AT47" i="12"/>
  <c r="BZ47" i="12"/>
  <c r="L47" i="12"/>
  <c r="S47" i="12"/>
  <c r="AA47" i="12"/>
  <c r="AH47" i="12"/>
  <c r="AN47" i="12"/>
  <c r="AV47" i="12"/>
  <c r="BT47" i="12"/>
  <c r="CA47" i="12"/>
  <c r="CI47" i="12"/>
  <c r="CP47" i="12"/>
  <c r="CV47" i="12"/>
  <c r="DJ47" i="12"/>
  <c r="DH49" i="12"/>
  <c r="DB49" i="12"/>
  <c r="CR49" i="12"/>
  <c r="CG49" i="12"/>
  <c r="BW49" i="12"/>
  <c r="AX49" i="12"/>
  <c r="AI49" i="12"/>
  <c r="T49" i="12"/>
  <c r="DG47" i="12"/>
  <c r="DB47" i="12"/>
  <c r="CT47" i="12"/>
  <c r="CJ47" i="12"/>
  <c r="BX47" i="12"/>
  <c r="AR47" i="12"/>
  <c r="AD47" i="12"/>
  <c r="P47" i="12"/>
  <c r="I45" i="12"/>
  <c r="L45" i="12"/>
  <c r="AH45" i="12"/>
  <c r="BZ45" i="12"/>
  <c r="CU45" i="12"/>
  <c r="DK45" i="12"/>
  <c r="R45" i="12"/>
  <c r="AM45" i="12"/>
  <c r="CE45" i="12"/>
  <c r="CZ45" i="12"/>
  <c r="W45" i="12"/>
  <c r="AR45" i="12"/>
  <c r="BO45" i="12"/>
  <c r="CJ45" i="12"/>
  <c r="DF49" i="12"/>
  <c r="CZ49" i="12"/>
  <c r="CO49" i="12"/>
  <c r="CE49" i="12"/>
  <c r="BT49" i="12"/>
  <c r="AT49" i="12"/>
  <c r="AE49" i="12"/>
  <c r="I48" i="12"/>
  <c r="M48" i="12"/>
  <c r="R48" i="12"/>
  <c r="V48" i="12"/>
  <c r="Z48" i="12"/>
  <c r="AD48" i="12"/>
  <c r="AH48" i="12"/>
  <c r="AL48" i="12"/>
  <c r="AP48" i="12"/>
  <c r="AT48" i="12"/>
  <c r="AX48" i="12"/>
  <c r="DF47" i="12"/>
  <c r="CZ47" i="12"/>
  <c r="CQ47" i="12"/>
  <c r="CF47" i="12"/>
  <c r="BV47" i="12"/>
  <c r="AQ47" i="12"/>
  <c r="AB47" i="12"/>
  <c r="BT45" i="12"/>
  <c r="DG44" i="12"/>
  <c r="DB44" i="12"/>
  <c r="DE44" i="12" s="1"/>
  <c r="CW44" i="12"/>
  <c r="CR44" i="12"/>
  <c r="CL44" i="12"/>
  <c r="CG44" i="12"/>
  <c r="CB44" i="12"/>
  <c r="BV44" i="12"/>
  <c r="BQ44" i="12"/>
  <c r="BA44" i="12"/>
  <c r="AS44" i="12"/>
  <c r="AN44" i="12"/>
  <c r="AI44" i="12"/>
  <c r="AC44" i="12"/>
  <c r="X44" i="12"/>
  <c r="S44" i="12"/>
  <c r="L44" i="12"/>
  <c r="CV43" i="12"/>
  <c r="CA43" i="12"/>
  <c r="AH43" i="12"/>
  <c r="L43" i="12"/>
  <c r="N43" i="12" s="1"/>
  <c r="AV42" i="12"/>
  <c r="AQ42" i="12"/>
  <c r="AK42" i="12"/>
  <c r="AY42" i="12" s="1"/>
  <c r="AF42" i="12"/>
  <c r="AA42" i="12"/>
  <c r="U42" i="12"/>
  <c r="P42" i="12"/>
  <c r="J42" i="12"/>
  <c r="AU40" i="12"/>
  <c r="AE40" i="12"/>
  <c r="AE37" i="12"/>
  <c r="AM35" i="12"/>
  <c r="L35" i="12"/>
  <c r="AQ33" i="12"/>
  <c r="AA33" i="12"/>
  <c r="AM31" i="12"/>
  <c r="AM28" i="12"/>
  <c r="AE26" i="12"/>
  <c r="AQ25" i="12"/>
  <c r="AM21" i="12"/>
  <c r="DK44" i="12"/>
  <c r="DF44" i="12"/>
  <c r="DA44" i="12"/>
  <c r="CV44" i="12"/>
  <c r="CP44" i="12"/>
  <c r="CK44" i="12"/>
  <c r="CF44" i="12"/>
  <c r="BZ44" i="12"/>
  <c r="BU44" i="12"/>
  <c r="AW44" i="12"/>
  <c r="AR44" i="12"/>
  <c r="AM44" i="12"/>
  <c r="AG44" i="12"/>
  <c r="AB44" i="12"/>
  <c r="W44" i="12"/>
  <c r="Q44" i="12"/>
  <c r="K44" i="12"/>
  <c r="AM40" i="12"/>
  <c r="L40" i="12"/>
  <c r="AM36" i="12"/>
  <c r="AI35" i="12"/>
  <c r="AM33" i="12"/>
  <c r="AI32" i="12"/>
  <c r="AM25" i="12"/>
  <c r="BY44" i="12"/>
  <c r="BT44" i="12"/>
  <c r="AV44" i="12"/>
  <c r="AQ44" i="12"/>
  <c r="AK44" i="12"/>
  <c r="AF44" i="12"/>
  <c r="AA44" i="12"/>
  <c r="U44" i="12"/>
  <c r="P44" i="12"/>
  <c r="J44" i="12"/>
  <c r="AX47" i="8"/>
  <c r="O54" i="8"/>
  <c r="AX45" i="8"/>
  <c r="AV110" i="8"/>
  <c r="V111" i="8"/>
  <c r="AW111" i="8"/>
  <c r="W112" i="8"/>
  <c r="AX112" i="8"/>
  <c r="X113" i="8"/>
  <c r="O114" i="8"/>
  <c r="AV114" i="8"/>
  <c r="V115" i="8"/>
  <c r="AW115" i="8"/>
  <c r="W116" i="8"/>
  <c r="AX116" i="8"/>
  <c r="X117" i="8"/>
  <c r="AX46" i="8"/>
  <c r="O51" i="8"/>
  <c r="DI49" i="12"/>
  <c r="DA49" i="12"/>
  <c r="CV49" i="12"/>
  <c r="CQ49" i="12"/>
  <c r="CK49" i="12"/>
  <c r="CF49" i="12"/>
  <c r="CA49" i="12"/>
  <c r="BU49" i="12"/>
  <c r="AU49" i="12"/>
  <c r="AN49" i="12"/>
  <c r="AH49" i="12"/>
  <c r="Z49" i="12"/>
  <c r="S49" i="12"/>
  <c r="L49" i="12"/>
  <c r="DI46" i="12"/>
  <c r="DD46" i="12"/>
  <c r="CZ46" i="12"/>
  <c r="CV46" i="12"/>
  <c r="CR46" i="12"/>
  <c r="CN46" i="12"/>
  <c r="CJ46" i="12"/>
  <c r="CF46" i="12"/>
  <c r="CB46" i="12"/>
  <c r="BX46" i="12"/>
  <c r="BT46" i="12"/>
  <c r="AX46" i="12"/>
  <c r="AT46" i="12"/>
  <c r="AP46" i="12"/>
  <c r="AL46" i="12"/>
  <c r="AH46" i="12"/>
  <c r="AD46" i="12"/>
  <c r="Z46" i="12"/>
  <c r="V46" i="12"/>
  <c r="R46" i="12"/>
  <c r="J46" i="12"/>
  <c r="DG45" i="12"/>
  <c r="DB45" i="12"/>
  <c r="CV45" i="12"/>
  <c r="CQ45" i="12"/>
  <c r="CL45" i="12"/>
  <c r="CF45" i="12"/>
  <c r="CA45" i="12"/>
  <c r="BV45" i="12"/>
  <c r="AT45" i="12"/>
  <c r="AN45" i="12"/>
  <c r="AI45" i="12"/>
  <c r="AD45" i="12"/>
  <c r="X45" i="12"/>
  <c r="S45" i="12"/>
  <c r="DH43" i="12"/>
  <c r="CX43" i="12"/>
  <c r="CR43" i="12"/>
  <c r="CM43" i="12"/>
  <c r="CH43" i="12"/>
  <c r="CB43" i="12"/>
  <c r="BW43" i="12"/>
  <c r="BB43" i="12"/>
  <c r="AT43" i="12"/>
  <c r="AN43" i="12"/>
  <c r="AI43" i="12"/>
  <c r="AD43" i="12"/>
  <c r="X43" i="12"/>
  <c r="S43" i="12"/>
  <c r="AU41" i="12"/>
  <c r="AM41" i="12"/>
  <c r="AE41" i="12"/>
  <c r="L41" i="12"/>
  <c r="AQ39" i="12"/>
  <c r="AQ37" i="12"/>
  <c r="L37" i="12"/>
  <c r="M37" i="12" s="1"/>
  <c r="AI36" i="12"/>
  <c r="J34" i="12"/>
  <c r="AU32" i="12"/>
  <c r="AE32" i="12"/>
  <c r="AM27" i="12"/>
  <c r="AU20" i="12"/>
  <c r="AI20" i="12"/>
  <c r="DK50" i="12"/>
  <c r="CU50" i="12"/>
  <c r="CE50" i="12"/>
  <c r="BO50" i="12"/>
  <c r="AU50" i="12"/>
  <c r="AE50" i="12"/>
  <c r="O50" i="12"/>
  <c r="DK49" i="12"/>
  <c r="DG49" i="12"/>
  <c r="CY49" i="12"/>
  <c r="CS49" i="12"/>
  <c r="CN49" i="12"/>
  <c r="CI49" i="12"/>
  <c r="CC49" i="12"/>
  <c r="BX49" i="12"/>
  <c r="BC49" i="12"/>
  <c r="AR49" i="12"/>
  <c r="AJ49" i="12"/>
  <c r="AD49" i="12"/>
  <c r="W49" i="12"/>
  <c r="O49" i="12"/>
  <c r="DH47" i="12"/>
  <c r="CX47" i="12"/>
  <c r="CR47" i="12"/>
  <c r="CM47" i="12"/>
  <c r="CH47" i="12"/>
  <c r="CB47" i="12"/>
  <c r="BW47" i="12"/>
  <c r="BB47" i="12"/>
  <c r="AU47" i="12"/>
  <c r="AP47" i="12"/>
  <c r="AJ47" i="12"/>
  <c r="AE47" i="12"/>
  <c r="Z47" i="12"/>
  <c r="T47" i="12"/>
  <c r="O47" i="12"/>
  <c r="DK46" i="12"/>
  <c r="DG46" i="12"/>
  <c r="DB46" i="12"/>
  <c r="CX46" i="12"/>
  <c r="CT46" i="12"/>
  <c r="CP46" i="12"/>
  <c r="CL46" i="12"/>
  <c r="CH46" i="12"/>
  <c r="CD46" i="12"/>
  <c r="BZ46" i="12"/>
  <c r="BV46" i="12"/>
  <c r="BB46" i="12"/>
  <c r="AV46" i="12"/>
  <c r="AR46" i="12"/>
  <c r="AN46" i="12"/>
  <c r="AJ46" i="12"/>
  <c r="AF46" i="12"/>
  <c r="AB46" i="12"/>
  <c r="X46" i="12"/>
  <c r="T46" i="12"/>
  <c r="P46" i="12"/>
  <c r="L46" i="12"/>
  <c r="N46" i="12" s="1"/>
  <c r="DJ45" i="12"/>
  <c r="DD45" i="12"/>
  <c r="CY45" i="12"/>
  <c r="CT45" i="12"/>
  <c r="CN45" i="12"/>
  <c r="CI45" i="12"/>
  <c r="CD45" i="12"/>
  <c r="BX45" i="12"/>
  <c r="BC45" i="12"/>
  <c r="AV45" i="12"/>
  <c r="AQ45" i="12"/>
  <c r="AL45" i="12"/>
  <c r="AF45" i="12"/>
  <c r="AA45" i="12"/>
  <c r="V45" i="12"/>
  <c r="P45" i="12"/>
  <c r="K45" i="12"/>
  <c r="DH44" i="12"/>
  <c r="CY44" i="12"/>
  <c r="CU44" i="12"/>
  <c r="CQ44" i="12"/>
  <c r="CM44" i="12"/>
  <c r="CI44" i="12"/>
  <c r="CE44" i="12"/>
  <c r="CA44" i="12"/>
  <c r="BW44" i="12"/>
  <c r="BO44" i="12"/>
  <c r="BC44" i="12"/>
  <c r="AX44" i="12"/>
  <c r="AT44" i="12"/>
  <c r="AP44" i="12"/>
  <c r="AL44" i="12"/>
  <c r="AH44" i="12"/>
  <c r="AD44" i="12"/>
  <c r="Z44" i="12"/>
  <c r="V44" i="12"/>
  <c r="R44" i="12"/>
  <c r="M44" i="12"/>
  <c r="DK43" i="12"/>
  <c r="DF43" i="12"/>
  <c r="CZ43" i="12"/>
  <c r="CU43" i="12"/>
  <c r="CP43" i="12"/>
  <c r="CJ43" i="12"/>
  <c r="CE43" i="12"/>
  <c r="BZ43" i="12"/>
  <c r="BT43" i="12"/>
  <c r="BO43" i="12"/>
  <c r="AV43" i="12"/>
  <c r="AQ43" i="12"/>
  <c r="AL43" i="12"/>
  <c r="AF43" i="12"/>
  <c r="AA43" i="12"/>
  <c r="V43" i="12"/>
  <c r="P43" i="12"/>
  <c r="K43" i="12"/>
  <c r="DH42" i="12"/>
  <c r="CY42" i="12"/>
  <c r="CU42" i="12"/>
  <c r="CQ42" i="12"/>
  <c r="CM42" i="12"/>
  <c r="CI42" i="12"/>
  <c r="CE42" i="12"/>
  <c r="CA42" i="12"/>
  <c r="BW42" i="12"/>
  <c r="BO42" i="12"/>
  <c r="BC42" i="12"/>
  <c r="AX42" i="12"/>
  <c r="AT42" i="12"/>
  <c r="AP42" i="12"/>
  <c r="AL42" i="12"/>
  <c r="AH42" i="12"/>
  <c r="AD42" i="12"/>
  <c r="Z42" i="12"/>
  <c r="V42" i="12"/>
  <c r="R42" i="12"/>
  <c r="M42" i="12"/>
  <c r="AQ41" i="12"/>
  <c r="AI41" i="12"/>
  <c r="AA41" i="12"/>
  <c r="AQ40" i="12"/>
  <c r="AA40" i="12"/>
  <c r="J38" i="12"/>
  <c r="AM37" i="12"/>
  <c r="AA37" i="12"/>
  <c r="AQ36" i="12"/>
  <c r="AA36" i="12"/>
  <c r="J36" i="12"/>
  <c r="AE35" i="12"/>
  <c r="J35" i="12"/>
  <c r="J33" i="12"/>
  <c r="AM32" i="12"/>
  <c r="J32" i="12"/>
  <c r="J31" i="12"/>
  <c r="AU30" i="12"/>
  <c r="AI30" i="12"/>
  <c r="AQ27" i="12"/>
  <c r="AI27" i="12"/>
  <c r="AM26" i="12"/>
  <c r="AM23" i="12"/>
  <c r="AA20" i="12"/>
  <c r="DH45" i="12"/>
  <c r="CX45" i="12"/>
  <c r="CR45" i="12"/>
  <c r="CM45" i="12"/>
  <c r="CH45" i="12"/>
  <c r="CB45" i="12"/>
  <c r="BW45" i="12"/>
  <c r="BB45" i="12"/>
  <c r="AU45" i="12"/>
  <c r="AP45" i="12"/>
  <c r="AJ45" i="12"/>
  <c r="AE45" i="12"/>
  <c r="Z45" i="12"/>
  <c r="T45" i="12"/>
  <c r="O45" i="12"/>
  <c r="J45" i="12"/>
  <c r="DJ43" i="12"/>
  <c r="DD43" i="12"/>
  <c r="CY43" i="12"/>
  <c r="CT43" i="12"/>
  <c r="CN43" i="12"/>
  <c r="CI43" i="12"/>
  <c r="CD43" i="12"/>
  <c r="BX43" i="12"/>
  <c r="BC43" i="12"/>
  <c r="AU43" i="12"/>
  <c r="AP43" i="12"/>
  <c r="AJ43" i="12"/>
  <c r="AE43" i="12"/>
  <c r="Z43" i="12"/>
  <c r="T43" i="12"/>
  <c r="O43" i="12"/>
  <c r="J43" i="12"/>
  <c r="DE42" i="12"/>
  <c r="AU38" i="12"/>
  <c r="AQ38" i="12"/>
  <c r="AM38" i="12"/>
  <c r="AI38" i="12"/>
  <c r="AE38" i="12"/>
  <c r="AA38" i="12"/>
  <c r="AU36" i="12"/>
  <c r="AE36" i="12"/>
  <c r="AQ32" i="12"/>
  <c r="AA32" i="12"/>
  <c r="AA27" i="12"/>
  <c r="L27" i="12"/>
  <c r="M27" i="12" s="1"/>
  <c r="DI50" i="12"/>
  <c r="DA50" i="12"/>
  <c r="CW50" i="12"/>
  <c r="CS50" i="12"/>
  <c r="CO50" i="12"/>
  <c r="CK50" i="12"/>
  <c r="CG50" i="12"/>
  <c r="CC50" i="12"/>
  <c r="BY50" i="12"/>
  <c r="BU50" i="12"/>
  <c r="BQ50" i="12"/>
  <c r="BA50" i="12"/>
  <c r="AW50" i="12"/>
  <c r="AS50" i="12"/>
  <c r="AO50" i="12"/>
  <c r="AK50" i="12"/>
  <c r="AG50" i="12"/>
  <c r="AC50" i="12"/>
  <c r="Y50" i="12"/>
  <c r="U50" i="12"/>
  <c r="Q50" i="12"/>
  <c r="M50" i="12"/>
  <c r="I50" i="12"/>
  <c r="I49" i="12"/>
  <c r="M49" i="12"/>
  <c r="Q49" i="12"/>
  <c r="U49" i="12"/>
  <c r="Y49" i="12"/>
  <c r="AC49" i="12"/>
  <c r="AG49" i="12"/>
  <c r="AK49" i="12"/>
  <c r="AO49" i="12"/>
  <c r="AS49" i="12"/>
  <c r="AW49" i="12"/>
  <c r="BA49" i="12"/>
  <c r="I47" i="12"/>
  <c r="M47" i="12"/>
  <c r="Q47" i="12"/>
  <c r="U47" i="12"/>
  <c r="Y47" i="12"/>
  <c r="AC47" i="12"/>
  <c r="AG47" i="12"/>
  <c r="AK47" i="12"/>
  <c r="AO47" i="12"/>
  <c r="AS47" i="12"/>
  <c r="AW47" i="12"/>
  <c r="BA47" i="12"/>
  <c r="BQ47" i="12"/>
  <c r="BU47" i="12"/>
  <c r="BY47" i="12"/>
  <c r="CC47" i="12"/>
  <c r="CG47" i="12"/>
  <c r="CK47" i="12"/>
  <c r="CO47" i="12"/>
  <c r="CS47" i="12"/>
  <c r="CW47" i="12"/>
  <c r="DA47" i="12"/>
  <c r="DI47" i="12"/>
  <c r="DH50" i="12"/>
  <c r="DD50" i="12"/>
  <c r="CZ50" i="12"/>
  <c r="CV50" i="12"/>
  <c r="CR50" i="12"/>
  <c r="CN50" i="12"/>
  <c r="CJ50" i="12"/>
  <c r="CF50" i="12"/>
  <c r="CB50" i="12"/>
  <c r="BX50" i="12"/>
  <c r="BT50" i="12"/>
  <c r="AV50" i="12"/>
  <c r="AR50" i="12"/>
  <c r="AN50" i="12"/>
  <c r="AJ50" i="12"/>
  <c r="AF50" i="12"/>
  <c r="AB50" i="12"/>
  <c r="X50" i="12"/>
  <c r="T50" i="12"/>
  <c r="P50" i="12"/>
  <c r="L50" i="12"/>
  <c r="CX49" i="12"/>
  <c r="CT49" i="12"/>
  <c r="CP49" i="12"/>
  <c r="CL49" i="12"/>
  <c r="CH49" i="12"/>
  <c r="CD49" i="12"/>
  <c r="BZ49" i="12"/>
  <c r="BV49" i="12"/>
  <c r="BB49" i="12"/>
  <c r="AV49" i="12"/>
  <c r="AQ49" i="12"/>
  <c r="AL49" i="12"/>
  <c r="AF49" i="12"/>
  <c r="AA49" i="12"/>
  <c r="V49" i="12"/>
  <c r="P49" i="12"/>
  <c r="K49" i="12"/>
  <c r="DJ50" i="12"/>
  <c r="DF50" i="12"/>
  <c r="DB50" i="12"/>
  <c r="CX50" i="12"/>
  <c r="CT50" i="12"/>
  <c r="CP50" i="12"/>
  <c r="CL50" i="12"/>
  <c r="CH50" i="12"/>
  <c r="CD50" i="12"/>
  <c r="BZ50" i="12"/>
  <c r="BV50" i="12"/>
  <c r="BB50" i="12"/>
  <c r="AX50" i="12"/>
  <c r="AT50" i="12"/>
  <c r="AP50" i="12"/>
  <c r="AL50" i="12"/>
  <c r="AH50" i="12"/>
  <c r="AD50" i="12"/>
  <c r="Z50" i="12"/>
  <c r="V50" i="12"/>
  <c r="R50" i="12"/>
  <c r="M40" i="12"/>
  <c r="J39" i="12"/>
  <c r="AE39" i="12"/>
  <c r="AU39" i="12"/>
  <c r="DI45" i="12"/>
  <c r="DA45" i="12"/>
  <c r="CW45" i="12"/>
  <c r="CS45" i="12"/>
  <c r="CO45" i="12"/>
  <c r="CK45" i="12"/>
  <c r="CG45" i="12"/>
  <c r="CC45" i="12"/>
  <c r="BY45" i="12"/>
  <c r="BU45" i="12"/>
  <c r="BQ45" i="12"/>
  <c r="BA45" i="12"/>
  <c r="AW45" i="12"/>
  <c r="AS45" i="12"/>
  <c r="AO45" i="12"/>
  <c r="AK45" i="12"/>
  <c r="AG45" i="12"/>
  <c r="AC45" i="12"/>
  <c r="Y45" i="12"/>
  <c r="U45" i="12"/>
  <c r="Q45" i="12"/>
  <c r="M45" i="12"/>
  <c r="DI43" i="12"/>
  <c r="DA43" i="12"/>
  <c r="CW43" i="12"/>
  <c r="CS43" i="12"/>
  <c r="CO43" i="12"/>
  <c r="CK43" i="12"/>
  <c r="CG43" i="12"/>
  <c r="CC43" i="12"/>
  <c r="BY43" i="12"/>
  <c r="BU43" i="12"/>
  <c r="BQ43" i="12"/>
  <c r="BA43" i="12"/>
  <c r="AW43" i="12"/>
  <c r="AS43" i="12"/>
  <c r="AO43" i="12"/>
  <c r="AK43" i="12"/>
  <c r="AG43" i="12"/>
  <c r="AC43" i="12"/>
  <c r="Y43" i="12"/>
  <c r="U43" i="12"/>
  <c r="Q43" i="12"/>
  <c r="M43" i="12"/>
  <c r="M41" i="12"/>
  <c r="AA39" i="12"/>
  <c r="L39" i="12"/>
  <c r="AM39" i="12"/>
  <c r="M32" i="12"/>
  <c r="J29" i="12"/>
  <c r="J22" i="12"/>
  <c r="AI22" i="12"/>
  <c r="AE22" i="12"/>
  <c r="AU22" i="12"/>
  <c r="AA22" i="12"/>
  <c r="AQ22" i="12"/>
  <c r="L22" i="12"/>
  <c r="AM22" i="12"/>
  <c r="M35" i="12"/>
  <c r="M33" i="12"/>
  <c r="M31" i="12"/>
  <c r="L30" i="12"/>
  <c r="AQ29" i="12"/>
  <c r="AA29" i="12"/>
  <c r="AE28" i="12"/>
  <c r="AU29" i="12"/>
  <c r="AE29" i="12"/>
  <c r="L28" i="12"/>
  <c r="AI28" i="12"/>
  <c r="AA28" i="12"/>
  <c r="AQ28" i="12"/>
  <c r="AI29" i="12"/>
  <c r="AU28" i="12"/>
  <c r="AU27" i="12"/>
  <c r="AE27" i="12"/>
  <c r="AI26" i="12"/>
  <c r="L26" i="12"/>
  <c r="J27" i="12"/>
  <c r="AQ26" i="12"/>
  <c r="AA26" i="12"/>
  <c r="AU25" i="12"/>
  <c r="AE25" i="12"/>
  <c r="J25" i="12"/>
  <c r="AI24" i="12"/>
  <c r="M24" i="12"/>
  <c r="L23" i="12"/>
  <c r="AI25" i="12"/>
  <c r="J24" i="12"/>
  <c r="L25" i="12"/>
  <c r="J19" i="12"/>
  <c r="M19" i="12"/>
  <c r="AI19" i="12"/>
  <c r="AE19" i="12"/>
  <c r="AU19" i="12"/>
  <c r="AA19" i="12"/>
  <c r="AQ19" i="12"/>
  <c r="M21" i="12"/>
  <c r="L20" i="12"/>
  <c r="J21" i="12"/>
  <c r="L18" i="12"/>
  <c r="F19" i="123"/>
  <c r="B20" i="123"/>
  <c r="D20" i="123" s="1"/>
  <c r="AB161" i="122"/>
  <c r="X161" i="122"/>
  <c r="T161" i="122"/>
  <c r="P161" i="122"/>
  <c r="L161" i="122"/>
  <c r="H161" i="122"/>
  <c r="D161" i="122"/>
  <c r="AB122" i="122"/>
  <c r="X122" i="122"/>
  <c r="T122" i="122"/>
  <c r="P122" i="122"/>
  <c r="L122" i="122"/>
  <c r="H122" i="122"/>
  <c r="D122" i="122"/>
  <c r="AA161" i="122"/>
  <c r="W161" i="122"/>
  <c r="S161" i="122"/>
  <c r="O161" i="122"/>
  <c r="K161" i="122"/>
  <c r="G161" i="122"/>
  <c r="AA122" i="122"/>
  <c r="W122" i="122"/>
  <c r="S122" i="122"/>
  <c r="O122" i="122"/>
  <c r="K122" i="122"/>
  <c r="G122" i="122"/>
  <c r="Z161" i="122"/>
  <c r="V161" i="122"/>
  <c r="R161" i="122"/>
  <c r="N161" i="122"/>
  <c r="J161" i="122"/>
  <c r="F161" i="122"/>
  <c r="Z122" i="122"/>
  <c r="V122" i="122"/>
  <c r="R122" i="122"/>
  <c r="N122" i="122"/>
  <c r="J122" i="122"/>
  <c r="F122" i="122"/>
  <c r="Y161" i="122"/>
  <c r="U161" i="122"/>
  <c r="Q161" i="122"/>
  <c r="M161" i="122"/>
  <c r="I161" i="122"/>
  <c r="E161" i="122"/>
  <c r="Y122" i="122"/>
  <c r="U122" i="122"/>
  <c r="Q122" i="122"/>
  <c r="M122" i="122"/>
  <c r="I122" i="122"/>
  <c r="E122" i="122"/>
  <c r="O42" i="8"/>
  <c r="O43" i="8"/>
  <c r="O44" i="8"/>
  <c r="BB160" i="122"/>
  <c r="AX160" i="122"/>
  <c r="AT160" i="122"/>
  <c r="AP160" i="122"/>
  <c r="AL160" i="122"/>
  <c r="AH160" i="122"/>
  <c r="AD160" i="122"/>
  <c r="AY159" i="122"/>
  <c r="AU159" i="122"/>
  <c r="AQ159" i="122"/>
  <c r="AM159" i="122"/>
  <c r="AI159" i="122"/>
  <c r="AE159" i="122"/>
  <c r="AZ158" i="122"/>
  <c r="AV158" i="122"/>
  <c r="AR158" i="122"/>
  <c r="AN158" i="122"/>
  <c r="AJ158" i="122"/>
  <c r="AF158" i="122"/>
  <c r="BA157" i="122"/>
  <c r="AW157" i="122"/>
  <c r="AS157" i="122"/>
  <c r="AO157" i="122"/>
  <c r="AK157" i="122"/>
  <c r="AG157" i="122"/>
  <c r="BB156" i="122"/>
  <c r="AX156" i="122"/>
  <c r="AT156" i="122"/>
  <c r="AP156" i="122"/>
  <c r="AL156" i="122"/>
  <c r="AH156" i="122"/>
  <c r="AD156" i="122"/>
  <c r="BA160" i="122"/>
  <c r="AW160" i="122"/>
  <c r="AS160" i="122"/>
  <c r="AO160" i="122"/>
  <c r="AK160" i="122"/>
  <c r="AG160" i="122"/>
  <c r="BB159" i="122"/>
  <c r="AX159" i="122"/>
  <c r="AT159" i="122"/>
  <c r="AP159" i="122"/>
  <c r="AL159" i="122"/>
  <c r="AH159" i="122"/>
  <c r="AD159" i="122"/>
  <c r="AY158" i="122"/>
  <c r="AU158" i="122"/>
  <c r="AQ158" i="122"/>
  <c r="AM158" i="122"/>
  <c r="AI158" i="122"/>
  <c r="AE158" i="122"/>
  <c r="AZ157" i="122"/>
  <c r="AV157" i="122"/>
  <c r="AR157" i="122"/>
  <c r="AN157" i="122"/>
  <c r="AJ157" i="122"/>
  <c r="AF157" i="122"/>
  <c r="BA156" i="122"/>
  <c r="AW156" i="122"/>
  <c r="AS156" i="122"/>
  <c r="AO156" i="122"/>
  <c r="AK156" i="122"/>
  <c r="AG156" i="122"/>
  <c r="BB155" i="122"/>
  <c r="AX155" i="122"/>
  <c r="AT155" i="122"/>
  <c r="AP155" i="122"/>
  <c r="AL155" i="122"/>
  <c r="AZ160" i="122"/>
  <c r="AV160" i="122"/>
  <c r="AR160" i="122"/>
  <c r="AN160" i="122"/>
  <c r="AJ160" i="122"/>
  <c r="AF160" i="122"/>
  <c r="BA159" i="122"/>
  <c r="AW159" i="122"/>
  <c r="AS159" i="122"/>
  <c r="AO159" i="122"/>
  <c r="AK159" i="122"/>
  <c r="AG159" i="122"/>
  <c r="BB158" i="122"/>
  <c r="AX158" i="122"/>
  <c r="AT158" i="122"/>
  <c r="AP158" i="122"/>
  <c r="AL158" i="122"/>
  <c r="AH158" i="122"/>
  <c r="AD158" i="122"/>
  <c r="AY157" i="122"/>
  <c r="AU157" i="122"/>
  <c r="AQ157" i="122"/>
  <c r="AM157" i="122"/>
  <c r="AI157" i="122"/>
  <c r="AE157" i="122"/>
  <c r="AZ156" i="122"/>
  <c r="AV156" i="122"/>
  <c r="AR156" i="122"/>
  <c r="AN156" i="122"/>
  <c r="AJ156" i="122"/>
  <c r="AF156" i="122"/>
  <c r="BA155" i="122"/>
  <c r="AQ160" i="122"/>
  <c r="AZ159" i="122"/>
  <c r="AJ159" i="122"/>
  <c r="AS158" i="122"/>
  <c r="BB157" i="122"/>
  <c r="AL157" i="122"/>
  <c r="AU156" i="122"/>
  <c r="AE156" i="122"/>
  <c r="AV155" i="122"/>
  <c r="AQ155" i="122"/>
  <c r="AK155" i="122"/>
  <c r="AG155" i="122"/>
  <c r="BB154" i="122"/>
  <c r="AX154" i="122"/>
  <c r="AT154" i="122"/>
  <c r="AP154" i="122"/>
  <c r="AL154" i="122"/>
  <c r="AH154" i="122"/>
  <c r="AD154" i="122"/>
  <c r="AY153" i="122"/>
  <c r="AU153" i="122"/>
  <c r="AQ153" i="122"/>
  <c r="AM153" i="122"/>
  <c r="AI153" i="122"/>
  <c r="AE153" i="122"/>
  <c r="AZ152" i="122"/>
  <c r="AV152" i="122"/>
  <c r="AR152" i="122"/>
  <c r="AN152" i="122"/>
  <c r="AJ152" i="122"/>
  <c r="AF152" i="122"/>
  <c r="BA151" i="122"/>
  <c r="AW151" i="122"/>
  <c r="AS151" i="122"/>
  <c r="AO151" i="122"/>
  <c r="AK151" i="122"/>
  <c r="AG151" i="122"/>
  <c r="BB150" i="122"/>
  <c r="AX150" i="122"/>
  <c r="AT150" i="122"/>
  <c r="AP150" i="122"/>
  <c r="AL150" i="122"/>
  <c r="AH150" i="122"/>
  <c r="AD150" i="122"/>
  <c r="AY149" i="122"/>
  <c r="AU149" i="122"/>
  <c r="AQ149" i="122"/>
  <c r="AM149" i="122"/>
  <c r="AI149" i="122"/>
  <c r="AE149" i="122"/>
  <c r="AZ148" i="122"/>
  <c r="AV148" i="122"/>
  <c r="AR148" i="122"/>
  <c r="AN148" i="122"/>
  <c r="AJ148" i="122"/>
  <c r="AF148" i="122"/>
  <c r="BA147" i="122"/>
  <c r="AW147" i="122"/>
  <c r="AS147" i="122"/>
  <c r="AO147" i="122"/>
  <c r="AK147" i="122"/>
  <c r="AG147" i="122"/>
  <c r="BB146" i="122"/>
  <c r="AX146" i="122"/>
  <c r="AT146" i="122"/>
  <c r="AP146" i="122"/>
  <c r="AL146" i="122"/>
  <c r="AH146" i="122"/>
  <c r="AD146" i="122"/>
  <c r="AY145" i="122"/>
  <c r="AU145" i="122"/>
  <c r="AQ145" i="122"/>
  <c r="AM145" i="122"/>
  <c r="AI145" i="122"/>
  <c r="AE145" i="122"/>
  <c r="AZ144" i="122"/>
  <c r="AY160" i="122"/>
  <c r="AI160" i="122"/>
  <c r="AR159" i="122"/>
  <c r="BA158" i="122"/>
  <c r="AK158" i="122"/>
  <c r="AT157" i="122"/>
  <c r="AD157" i="122"/>
  <c r="AM156" i="122"/>
  <c r="AY155" i="122"/>
  <c r="AS155" i="122"/>
  <c r="AN155" i="122"/>
  <c r="AI155" i="122"/>
  <c r="AE155" i="122"/>
  <c r="AZ154" i="122"/>
  <c r="AV154" i="122"/>
  <c r="AR154" i="122"/>
  <c r="AN154" i="122"/>
  <c r="AJ154" i="122"/>
  <c r="AF154" i="122"/>
  <c r="BA153" i="122"/>
  <c r="AW153" i="122"/>
  <c r="AS153" i="122"/>
  <c r="AO153" i="122"/>
  <c r="AK153" i="122"/>
  <c r="AG153" i="122"/>
  <c r="BB152" i="122"/>
  <c r="AX152" i="122"/>
  <c r="AT152" i="122"/>
  <c r="AP152" i="122"/>
  <c r="AL152" i="122"/>
  <c r="AH152" i="122"/>
  <c r="AD152" i="122"/>
  <c r="AY151" i="122"/>
  <c r="AU151" i="122"/>
  <c r="AQ151" i="122"/>
  <c r="AM151" i="122"/>
  <c r="AI151" i="122"/>
  <c r="AE151" i="122"/>
  <c r="AZ150" i="122"/>
  <c r="AV150" i="122"/>
  <c r="AR150" i="122"/>
  <c r="AN150" i="122"/>
  <c r="AJ150" i="122"/>
  <c r="AF150" i="122"/>
  <c r="BA149" i="122"/>
  <c r="AW149" i="122"/>
  <c r="AS149" i="122"/>
  <c r="AO149" i="122"/>
  <c r="AK149" i="122"/>
  <c r="AG149" i="122"/>
  <c r="BB148" i="122"/>
  <c r="AX148" i="122"/>
  <c r="AT148" i="122"/>
  <c r="AP148" i="122"/>
  <c r="AL148" i="122"/>
  <c r="AH148" i="122"/>
  <c r="AD148" i="122"/>
  <c r="AY147" i="122"/>
  <c r="AU147" i="122"/>
  <c r="AQ147" i="122"/>
  <c r="AM147" i="122"/>
  <c r="AI147" i="122"/>
  <c r="AE147" i="122"/>
  <c r="AZ146" i="122"/>
  <c r="AV146" i="122"/>
  <c r="AR146" i="122"/>
  <c r="AN146" i="122"/>
  <c r="AJ146" i="122"/>
  <c r="AF146" i="122"/>
  <c r="BA145" i="122"/>
  <c r="AW145" i="122"/>
  <c r="AS145" i="122"/>
  <c r="AO145" i="122"/>
  <c r="AU160" i="122"/>
  <c r="AN159" i="122"/>
  <c r="AG158" i="122"/>
  <c r="AY156" i="122"/>
  <c r="AW155" i="122"/>
  <c r="AM155" i="122"/>
  <c r="AD155" i="122"/>
  <c r="AU154" i="122"/>
  <c r="AM154" i="122"/>
  <c r="AE154" i="122"/>
  <c r="AV153" i="122"/>
  <c r="AN153" i="122"/>
  <c r="AF153" i="122"/>
  <c r="AW152" i="122"/>
  <c r="AO152" i="122"/>
  <c r="AG152" i="122"/>
  <c r="AX151" i="122"/>
  <c r="AP151" i="122"/>
  <c r="AH151" i="122"/>
  <c r="AY150" i="122"/>
  <c r="AQ150" i="122"/>
  <c r="AI150" i="122"/>
  <c r="AZ149" i="122"/>
  <c r="AR149" i="122"/>
  <c r="AJ149" i="122"/>
  <c r="BA148" i="122"/>
  <c r="AS148" i="122"/>
  <c r="AK148" i="122"/>
  <c r="BB147" i="122"/>
  <c r="AT147" i="122"/>
  <c r="AL147" i="122"/>
  <c r="AD147" i="122"/>
  <c r="AU146" i="122"/>
  <c r="AM146" i="122"/>
  <c r="AE146" i="122"/>
  <c r="AV145" i="122"/>
  <c r="AN145" i="122"/>
  <c r="AH145" i="122"/>
  <c r="BB144" i="122"/>
  <c r="AW144" i="122"/>
  <c r="AS144" i="122"/>
  <c r="AO144" i="122"/>
  <c r="AK144" i="122"/>
  <c r="AG144" i="122"/>
  <c r="BB143" i="122"/>
  <c r="AX143" i="122"/>
  <c r="AT143" i="122"/>
  <c r="AP143" i="122"/>
  <c r="AL143" i="122"/>
  <c r="AH143" i="122"/>
  <c r="AD143" i="122"/>
  <c r="AY142" i="122"/>
  <c r="AU142" i="122"/>
  <c r="AQ142" i="122"/>
  <c r="AM142" i="122"/>
  <c r="AI142" i="122"/>
  <c r="AE142" i="122"/>
  <c r="AZ141" i="122"/>
  <c r="AV141" i="122"/>
  <c r="AR141" i="122"/>
  <c r="AN141" i="122"/>
  <c r="AJ141" i="122"/>
  <c r="AF141" i="122"/>
  <c r="BA140" i="122"/>
  <c r="AW140" i="122"/>
  <c r="AS140" i="122"/>
  <c r="AO140" i="122"/>
  <c r="AK140" i="122"/>
  <c r="AG140" i="122"/>
  <c r="BB139" i="122"/>
  <c r="AX139" i="122"/>
  <c r="AT139" i="122"/>
  <c r="AP139" i="122"/>
  <c r="AL139" i="122"/>
  <c r="AH139" i="122"/>
  <c r="AD139" i="122"/>
  <c r="AY138" i="122"/>
  <c r="AU138" i="122"/>
  <c r="AQ138" i="122"/>
  <c r="AM138" i="122"/>
  <c r="AI138" i="122"/>
  <c r="AE138" i="122"/>
  <c r="AZ137" i="122"/>
  <c r="AV137" i="122"/>
  <c r="AR137" i="122"/>
  <c r="AN137" i="122"/>
  <c r="AJ137" i="122"/>
  <c r="AF137" i="122"/>
  <c r="BA136" i="122"/>
  <c r="AW136" i="122"/>
  <c r="AS136" i="122"/>
  <c r="AO136" i="122"/>
  <c r="AK136" i="122"/>
  <c r="AG136" i="122"/>
  <c r="BB135" i="122"/>
  <c r="AX135" i="122"/>
  <c r="AT135" i="122"/>
  <c r="AP135" i="122"/>
  <c r="AL135" i="122"/>
  <c r="AH135" i="122"/>
  <c r="AD135" i="122"/>
  <c r="AY134" i="122"/>
  <c r="AU134" i="122"/>
  <c r="AQ134" i="122"/>
  <c r="AM134" i="122"/>
  <c r="AI134" i="122"/>
  <c r="AE134" i="122"/>
  <c r="AZ133" i="122"/>
  <c r="AV133" i="122"/>
  <c r="AR133" i="122"/>
  <c r="AN133" i="122"/>
  <c r="AJ133" i="122"/>
  <c r="AF133" i="122"/>
  <c r="BA132" i="122"/>
  <c r="AW132" i="122"/>
  <c r="AS132" i="122"/>
  <c r="AO132" i="122"/>
  <c r="AK132" i="122"/>
  <c r="AG132" i="122"/>
  <c r="BB131" i="122"/>
  <c r="AX131" i="122"/>
  <c r="AT131" i="122"/>
  <c r="AP131" i="122"/>
  <c r="AL131" i="122"/>
  <c r="AH131" i="122"/>
  <c r="AD131" i="122"/>
  <c r="AY130" i="122"/>
  <c r="AU130" i="122"/>
  <c r="AQ130" i="122"/>
  <c r="AM130" i="122"/>
  <c r="AI130" i="122"/>
  <c r="AE130" i="122"/>
  <c r="AZ129" i="122"/>
  <c r="AV129" i="122"/>
  <c r="AR129" i="122"/>
  <c r="AN129" i="122"/>
  <c r="AJ129" i="122"/>
  <c r="AF129" i="122"/>
  <c r="BA128" i="122"/>
  <c r="AW128" i="122"/>
  <c r="AS128" i="122"/>
  <c r="AO128" i="122"/>
  <c r="AK128" i="122"/>
  <c r="AG128" i="122"/>
  <c r="BB121" i="122"/>
  <c r="AX121" i="122"/>
  <c r="AT121" i="122"/>
  <c r="AP121" i="122"/>
  <c r="AL121" i="122"/>
  <c r="AH121" i="122"/>
  <c r="AD121" i="122"/>
  <c r="AY120" i="122"/>
  <c r="AU120" i="122"/>
  <c r="AQ120" i="122"/>
  <c r="AM120" i="122"/>
  <c r="AI120" i="122"/>
  <c r="AE120" i="122"/>
  <c r="AZ119" i="122"/>
  <c r="AV119" i="122"/>
  <c r="AR119" i="122"/>
  <c r="AN119" i="122"/>
  <c r="AJ119" i="122"/>
  <c r="AF119" i="122"/>
  <c r="BA118" i="122"/>
  <c r="AW118" i="122"/>
  <c r="AS118" i="122"/>
  <c r="AO118" i="122"/>
  <c r="AK118" i="122"/>
  <c r="AM160" i="122"/>
  <c r="AF159" i="122"/>
  <c r="AX157" i="122"/>
  <c r="AQ156" i="122"/>
  <c r="AU155" i="122"/>
  <c r="AJ155" i="122"/>
  <c r="BA154" i="122"/>
  <c r="AS154" i="122"/>
  <c r="AK154" i="122"/>
  <c r="BB153" i="122"/>
  <c r="AT153" i="122"/>
  <c r="AL153" i="122"/>
  <c r="AD153" i="122"/>
  <c r="AU152" i="122"/>
  <c r="AM152" i="122"/>
  <c r="AE152" i="122"/>
  <c r="AV151" i="122"/>
  <c r="AN151" i="122"/>
  <c r="AF151" i="122"/>
  <c r="AW150" i="122"/>
  <c r="AO150" i="122"/>
  <c r="AG150" i="122"/>
  <c r="AX149" i="122"/>
  <c r="AP149" i="122"/>
  <c r="AH149" i="122"/>
  <c r="AY148" i="122"/>
  <c r="AQ148" i="122"/>
  <c r="AI148" i="122"/>
  <c r="AZ147" i="122"/>
  <c r="AR147" i="122"/>
  <c r="AJ147" i="122"/>
  <c r="BA146" i="122"/>
  <c r="AS146" i="122"/>
  <c r="AK146" i="122"/>
  <c r="BB145" i="122"/>
  <c r="AT145" i="122"/>
  <c r="AL145" i="122"/>
  <c r="AG145" i="122"/>
  <c r="BA144" i="122"/>
  <c r="AV144" i="122"/>
  <c r="AR144" i="122"/>
  <c r="AN144" i="122"/>
  <c r="AJ144" i="122"/>
  <c r="AF144" i="122"/>
  <c r="BA143" i="122"/>
  <c r="AW143" i="122"/>
  <c r="AS143" i="122"/>
  <c r="AO143" i="122"/>
  <c r="AK143" i="122"/>
  <c r="AG143" i="122"/>
  <c r="BB142" i="122"/>
  <c r="AX142" i="122"/>
  <c r="AT142" i="122"/>
  <c r="AP142" i="122"/>
  <c r="AL142" i="122"/>
  <c r="AH142" i="122"/>
  <c r="AD142" i="122"/>
  <c r="AY141" i="122"/>
  <c r="AU141" i="122"/>
  <c r="AQ141" i="122"/>
  <c r="AM141" i="122"/>
  <c r="AI141" i="122"/>
  <c r="AE141" i="122"/>
  <c r="AZ140" i="122"/>
  <c r="AV140" i="122"/>
  <c r="AR140" i="122"/>
  <c r="AN140" i="122"/>
  <c r="AJ140" i="122"/>
  <c r="AF140" i="122"/>
  <c r="BA139" i="122"/>
  <c r="AW139" i="122"/>
  <c r="AS139" i="122"/>
  <c r="AO139" i="122"/>
  <c r="AK139" i="122"/>
  <c r="AG139" i="122"/>
  <c r="BB138" i="122"/>
  <c r="AX138" i="122"/>
  <c r="AT138" i="122"/>
  <c r="AP138" i="122"/>
  <c r="AL138" i="122"/>
  <c r="AH138" i="122"/>
  <c r="AD138" i="122"/>
  <c r="AY137" i="122"/>
  <c r="AU137" i="122"/>
  <c r="AQ137" i="122"/>
  <c r="AM137" i="122"/>
  <c r="AI137" i="122"/>
  <c r="AE137" i="122"/>
  <c r="AZ136" i="122"/>
  <c r="AV136" i="122"/>
  <c r="AR136" i="122"/>
  <c r="AN136" i="122"/>
  <c r="AJ136" i="122"/>
  <c r="AF136" i="122"/>
  <c r="BA135" i="122"/>
  <c r="AW135" i="122"/>
  <c r="AS135" i="122"/>
  <c r="AO135" i="122"/>
  <c r="AK135" i="122"/>
  <c r="AG135" i="122"/>
  <c r="BB134" i="122"/>
  <c r="AX134" i="122"/>
  <c r="AT134" i="122"/>
  <c r="AP134" i="122"/>
  <c r="AL134" i="122"/>
  <c r="AH134" i="122"/>
  <c r="AD134" i="122"/>
  <c r="AY133" i="122"/>
  <c r="AU133" i="122"/>
  <c r="AQ133" i="122"/>
  <c r="AM133" i="122"/>
  <c r="AI133" i="122"/>
  <c r="AE133" i="122"/>
  <c r="AZ132" i="122"/>
  <c r="AV132" i="122"/>
  <c r="AR132" i="122"/>
  <c r="AN132" i="122"/>
  <c r="AJ132" i="122"/>
  <c r="AF132" i="122"/>
  <c r="BA131" i="122"/>
  <c r="AW131" i="122"/>
  <c r="AS131" i="122"/>
  <c r="AO131" i="122"/>
  <c r="AK131" i="122"/>
  <c r="AG131" i="122"/>
  <c r="BB130" i="122"/>
  <c r="AX130" i="122"/>
  <c r="AT130" i="122"/>
  <c r="AP130" i="122"/>
  <c r="AL130" i="122"/>
  <c r="AH130" i="122"/>
  <c r="AD130" i="122"/>
  <c r="AY129" i="122"/>
  <c r="AU129" i="122"/>
  <c r="AQ129" i="122"/>
  <c r="AM129" i="122"/>
  <c r="AI129" i="122"/>
  <c r="AE129" i="122"/>
  <c r="AZ128" i="122"/>
  <c r="AV128" i="122"/>
  <c r="AR128" i="122"/>
  <c r="AN128" i="122"/>
  <c r="AJ128" i="122"/>
  <c r="AF128" i="122"/>
  <c r="BA121" i="122"/>
  <c r="AW121" i="122"/>
  <c r="AS121" i="122"/>
  <c r="AO121" i="122"/>
  <c r="AK121" i="122"/>
  <c r="AG121" i="122"/>
  <c r="BB120" i="122"/>
  <c r="AX120" i="122"/>
  <c r="AT120" i="122"/>
  <c r="AP120" i="122"/>
  <c r="AL120" i="122"/>
  <c r="AH120" i="122"/>
  <c r="AD120" i="122"/>
  <c r="AY119" i="122"/>
  <c r="AU119" i="122"/>
  <c r="AQ119" i="122"/>
  <c r="AM119" i="122"/>
  <c r="AI119" i="122"/>
  <c r="AE119" i="122"/>
  <c r="AZ118" i="122"/>
  <c r="AV118" i="122"/>
  <c r="AR118" i="122"/>
  <c r="AE160" i="122"/>
  <c r="AW158" i="122"/>
  <c r="AP157" i="122"/>
  <c r="AI156" i="122"/>
  <c r="AR155" i="122"/>
  <c r="AH155" i="122"/>
  <c r="AY154" i="122"/>
  <c r="AQ154" i="122"/>
  <c r="AI154" i="122"/>
  <c r="AZ153" i="122"/>
  <c r="AR153" i="122"/>
  <c r="AJ153" i="122"/>
  <c r="BA152" i="122"/>
  <c r="AS152" i="122"/>
  <c r="AK152" i="122"/>
  <c r="BB151" i="122"/>
  <c r="AT151" i="122"/>
  <c r="AL151" i="122"/>
  <c r="AD151" i="122"/>
  <c r="AU150" i="122"/>
  <c r="AM150" i="122"/>
  <c r="AE150" i="122"/>
  <c r="AV149" i="122"/>
  <c r="AN149" i="122"/>
  <c r="AF149" i="122"/>
  <c r="AW148" i="122"/>
  <c r="AO148" i="122"/>
  <c r="AG148" i="122"/>
  <c r="AX147" i="122"/>
  <c r="AP147" i="122"/>
  <c r="AH147" i="122"/>
  <c r="AY146" i="122"/>
  <c r="AQ146" i="122"/>
  <c r="AI146" i="122"/>
  <c r="AZ145" i="122"/>
  <c r="AR145" i="122"/>
  <c r="AK145" i="122"/>
  <c r="AF145" i="122"/>
  <c r="AY144" i="122"/>
  <c r="AU144" i="122"/>
  <c r="AQ144" i="122"/>
  <c r="AM144" i="122"/>
  <c r="AI144" i="122"/>
  <c r="AE144" i="122"/>
  <c r="AZ143" i="122"/>
  <c r="AV143" i="122"/>
  <c r="AR143" i="122"/>
  <c r="AN143" i="122"/>
  <c r="AJ143" i="122"/>
  <c r="AF143" i="122"/>
  <c r="BA142" i="122"/>
  <c r="AW142" i="122"/>
  <c r="AS142" i="122"/>
  <c r="AO142" i="122"/>
  <c r="AK142" i="122"/>
  <c r="AG142" i="122"/>
  <c r="BB141" i="122"/>
  <c r="AX141" i="122"/>
  <c r="AT141" i="122"/>
  <c r="AP141" i="122"/>
  <c r="AL141" i="122"/>
  <c r="AH141" i="122"/>
  <c r="AD141" i="122"/>
  <c r="AY140" i="122"/>
  <c r="AU140" i="122"/>
  <c r="AQ140" i="122"/>
  <c r="AM140" i="122"/>
  <c r="AI140" i="122"/>
  <c r="AE140" i="122"/>
  <c r="AZ139" i="122"/>
  <c r="AV139" i="122"/>
  <c r="AR139" i="122"/>
  <c r="AN139" i="122"/>
  <c r="AJ139" i="122"/>
  <c r="AF139" i="122"/>
  <c r="BA138" i="122"/>
  <c r="AW138" i="122"/>
  <c r="AS138" i="122"/>
  <c r="AO138" i="122"/>
  <c r="AK138" i="122"/>
  <c r="AG138" i="122"/>
  <c r="BB137" i="122"/>
  <c r="AX137" i="122"/>
  <c r="AT137" i="122"/>
  <c r="AP137" i="122"/>
  <c r="AL137" i="122"/>
  <c r="AH137" i="122"/>
  <c r="AD137" i="122"/>
  <c r="AY136" i="122"/>
  <c r="AU136" i="122"/>
  <c r="AQ136" i="122"/>
  <c r="AM136" i="122"/>
  <c r="AI136" i="122"/>
  <c r="AE136" i="122"/>
  <c r="AZ135" i="122"/>
  <c r="AV135" i="122"/>
  <c r="AR135" i="122"/>
  <c r="AN135" i="122"/>
  <c r="AJ135" i="122"/>
  <c r="AF135" i="122"/>
  <c r="BA134" i="122"/>
  <c r="AW134" i="122"/>
  <c r="AS134" i="122"/>
  <c r="AO134" i="122"/>
  <c r="AK134" i="122"/>
  <c r="AG134" i="122"/>
  <c r="BB133" i="122"/>
  <c r="AX133" i="122"/>
  <c r="AT133" i="122"/>
  <c r="AP133" i="122"/>
  <c r="AL133" i="122"/>
  <c r="AH133" i="122"/>
  <c r="AD133" i="122"/>
  <c r="AY132" i="122"/>
  <c r="AU132" i="122"/>
  <c r="AQ132" i="122"/>
  <c r="AM132" i="122"/>
  <c r="AI132" i="122"/>
  <c r="AE132" i="122"/>
  <c r="AZ131" i="122"/>
  <c r="AV131" i="122"/>
  <c r="AR131" i="122"/>
  <c r="AN131" i="122"/>
  <c r="AJ131" i="122"/>
  <c r="AF131" i="122"/>
  <c r="BA130" i="122"/>
  <c r="AW130" i="122"/>
  <c r="AS130" i="122"/>
  <c r="AO130" i="122"/>
  <c r="AK130" i="122"/>
  <c r="AG130" i="122"/>
  <c r="BB129" i="122"/>
  <c r="AX129" i="122"/>
  <c r="AT129" i="122"/>
  <c r="AP129" i="122"/>
  <c r="AL129" i="122"/>
  <c r="AH129" i="122"/>
  <c r="AD129" i="122"/>
  <c r="AY128" i="122"/>
  <c r="AU128" i="122"/>
  <c r="AQ128" i="122"/>
  <c r="AM128" i="122"/>
  <c r="AI128" i="122"/>
  <c r="AE128" i="122"/>
  <c r="AZ121" i="122"/>
  <c r="AV121" i="122"/>
  <c r="AR121" i="122"/>
  <c r="AN121" i="122"/>
  <c r="AJ121" i="122"/>
  <c r="AF121" i="122"/>
  <c r="BA120" i="122"/>
  <c r="AW120" i="122"/>
  <c r="AS120" i="122"/>
  <c r="AO120" i="122"/>
  <c r="AK120" i="122"/>
  <c r="AG120" i="122"/>
  <c r="BB119" i="122"/>
  <c r="AX119" i="122"/>
  <c r="AT119" i="122"/>
  <c r="AP119" i="122"/>
  <c r="AL119" i="122"/>
  <c r="AH119" i="122"/>
  <c r="AD119" i="122"/>
  <c r="AY118" i="122"/>
  <c r="AU118" i="122"/>
  <c r="AQ118" i="122"/>
  <c r="AV159" i="122"/>
  <c r="AO155" i="122"/>
  <c r="AG154" i="122"/>
  <c r="AY152" i="122"/>
  <c r="AR151" i="122"/>
  <c r="AK150" i="122"/>
  <c r="AD149" i="122"/>
  <c r="AV147" i="122"/>
  <c r="AO146" i="122"/>
  <c r="AJ145" i="122"/>
  <c r="AP144" i="122"/>
  <c r="AY143" i="122"/>
  <c r="AI143" i="122"/>
  <c r="AR142" i="122"/>
  <c r="BA141" i="122"/>
  <c r="AK141" i="122"/>
  <c r="AT140" i="122"/>
  <c r="AD140" i="122"/>
  <c r="AM139" i="122"/>
  <c r="AV138" i="122"/>
  <c r="AF138" i="122"/>
  <c r="AO137" i="122"/>
  <c r="AX136" i="122"/>
  <c r="AH136" i="122"/>
  <c r="AQ135" i="122"/>
  <c r="AZ134" i="122"/>
  <c r="AJ134" i="122"/>
  <c r="AS133" i="122"/>
  <c r="BB132" i="122"/>
  <c r="AL132" i="122"/>
  <c r="AU131" i="122"/>
  <c r="AE131" i="122"/>
  <c r="AN130" i="122"/>
  <c r="AW129" i="122"/>
  <c r="AG129" i="122"/>
  <c r="AP128" i="122"/>
  <c r="AY121" i="122"/>
  <c r="AI121" i="122"/>
  <c r="AR120" i="122"/>
  <c r="BA119" i="122"/>
  <c r="AK119" i="122"/>
  <c r="AT118" i="122"/>
  <c r="AL118" i="122"/>
  <c r="AG118" i="122"/>
  <c r="BB117" i="122"/>
  <c r="AX117" i="122"/>
  <c r="AT117" i="122"/>
  <c r="AP117" i="122"/>
  <c r="AL117" i="122"/>
  <c r="AH117" i="122"/>
  <c r="AD117" i="122"/>
  <c r="AY116" i="122"/>
  <c r="AU116" i="122"/>
  <c r="AQ116" i="122"/>
  <c r="AM116" i="122"/>
  <c r="AI116" i="122"/>
  <c r="AE116" i="122"/>
  <c r="AZ115" i="122"/>
  <c r="AV115" i="122"/>
  <c r="AR115" i="122"/>
  <c r="AN115" i="122"/>
  <c r="AJ115" i="122"/>
  <c r="AF115" i="122"/>
  <c r="BA114" i="122"/>
  <c r="AW114" i="122"/>
  <c r="AS114" i="122"/>
  <c r="AO114" i="122"/>
  <c r="AK114" i="122"/>
  <c r="AG114" i="122"/>
  <c r="BB113" i="122"/>
  <c r="AX113" i="122"/>
  <c r="AT113" i="122"/>
  <c r="AP113" i="122"/>
  <c r="AL113" i="122"/>
  <c r="AH113" i="122"/>
  <c r="AD113" i="122"/>
  <c r="AY112" i="122"/>
  <c r="AU112" i="122"/>
  <c r="AQ112" i="122"/>
  <c r="AM112" i="122"/>
  <c r="AI112" i="122"/>
  <c r="AE112" i="122"/>
  <c r="AZ111" i="122"/>
  <c r="AV111" i="122"/>
  <c r="AR111" i="122"/>
  <c r="AN111" i="122"/>
  <c r="AJ111" i="122"/>
  <c r="AF111" i="122"/>
  <c r="BA110" i="122"/>
  <c r="AW110" i="122"/>
  <c r="AS110" i="122"/>
  <c r="AO110" i="122"/>
  <c r="AK110" i="122"/>
  <c r="AG110" i="122"/>
  <c r="BB109" i="122"/>
  <c r="AX109" i="122"/>
  <c r="AT109" i="122"/>
  <c r="AP109" i="122"/>
  <c r="AL109" i="122"/>
  <c r="AH109" i="122"/>
  <c r="AD109" i="122"/>
  <c r="AY108" i="122"/>
  <c r="AU108" i="122"/>
  <c r="AQ108" i="122"/>
  <c r="AM108" i="122"/>
  <c r="AI108" i="122"/>
  <c r="AE108" i="122"/>
  <c r="AZ107" i="122"/>
  <c r="AV107" i="122"/>
  <c r="AR107" i="122"/>
  <c r="AN107" i="122"/>
  <c r="AJ107" i="122"/>
  <c r="AF107" i="122"/>
  <c r="BA106" i="122"/>
  <c r="AW106" i="122"/>
  <c r="AS106" i="122"/>
  <c r="AO106" i="122"/>
  <c r="AK106" i="122"/>
  <c r="AG106" i="122"/>
  <c r="BB105" i="122"/>
  <c r="AX105" i="122"/>
  <c r="AT105" i="122"/>
  <c r="AP105" i="122"/>
  <c r="AL105" i="122"/>
  <c r="AH105" i="122"/>
  <c r="AD105" i="122"/>
  <c r="AY104" i="122"/>
  <c r="AU104" i="122"/>
  <c r="AQ104" i="122"/>
  <c r="AM104" i="122"/>
  <c r="AI104" i="122"/>
  <c r="AE104" i="122"/>
  <c r="AZ103" i="122"/>
  <c r="AV103" i="122"/>
  <c r="AR103" i="122"/>
  <c r="AN103" i="122"/>
  <c r="AJ103" i="122"/>
  <c r="AF103" i="122"/>
  <c r="BA102" i="122"/>
  <c r="AW102" i="122"/>
  <c r="AS102" i="122"/>
  <c r="AO102" i="122"/>
  <c r="AK102" i="122"/>
  <c r="AG102" i="122"/>
  <c r="BB101" i="122"/>
  <c r="AX101" i="122"/>
  <c r="AT101" i="122"/>
  <c r="AP101" i="122"/>
  <c r="AL101" i="122"/>
  <c r="AH101" i="122"/>
  <c r="AD101" i="122"/>
  <c r="AY100" i="122"/>
  <c r="AU100" i="122"/>
  <c r="AQ100" i="122"/>
  <c r="AM100" i="122"/>
  <c r="AI100" i="122"/>
  <c r="AE100" i="122"/>
  <c r="AZ99" i="122"/>
  <c r="AV99" i="122"/>
  <c r="AR99" i="122"/>
  <c r="AN99" i="122"/>
  <c r="AJ99" i="122"/>
  <c r="AF99" i="122"/>
  <c r="BA98" i="122"/>
  <c r="AW98" i="122"/>
  <c r="AS98" i="122"/>
  <c r="AO98" i="122"/>
  <c r="AK98" i="122"/>
  <c r="AG98" i="122"/>
  <c r="BB97" i="122"/>
  <c r="AX97" i="122"/>
  <c r="AT97" i="122"/>
  <c r="AP97" i="122"/>
  <c r="AL97" i="122"/>
  <c r="AH97" i="122"/>
  <c r="AD97" i="122"/>
  <c r="AY96" i="122"/>
  <c r="AU96" i="122"/>
  <c r="AO158" i="122"/>
  <c r="AF155" i="122"/>
  <c r="AX153" i="122"/>
  <c r="AQ152" i="122"/>
  <c r="AJ151" i="122"/>
  <c r="BB149" i="122"/>
  <c r="AU148" i="122"/>
  <c r="AN147" i="122"/>
  <c r="AG146" i="122"/>
  <c r="AD145" i="122"/>
  <c r="AL144" i="122"/>
  <c r="AU143" i="122"/>
  <c r="AE143" i="122"/>
  <c r="AN142" i="122"/>
  <c r="AW141" i="122"/>
  <c r="AG141" i="122"/>
  <c r="AP140" i="122"/>
  <c r="AY139" i="122"/>
  <c r="AI139" i="122"/>
  <c r="AR138" i="122"/>
  <c r="BA137" i="122"/>
  <c r="AK137" i="122"/>
  <c r="AT136" i="122"/>
  <c r="AD136" i="122"/>
  <c r="AM135" i="122"/>
  <c r="AV134" i="122"/>
  <c r="AF134" i="122"/>
  <c r="AO133" i="122"/>
  <c r="AX132" i="122"/>
  <c r="AH132" i="122"/>
  <c r="AQ131" i="122"/>
  <c r="AZ130" i="122"/>
  <c r="AJ130" i="122"/>
  <c r="AS129" i="122"/>
  <c r="BB128" i="122"/>
  <c r="AL128" i="122"/>
  <c r="AU121" i="122"/>
  <c r="AE121" i="122"/>
  <c r="AN120" i="122"/>
  <c r="AW119" i="122"/>
  <c r="AG119" i="122"/>
  <c r="AP118" i="122"/>
  <c r="AJ118" i="122"/>
  <c r="AF118" i="122"/>
  <c r="BA117" i="122"/>
  <c r="AW117" i="122"/>
  <c r="AS117" i="122"/>
  <c r="AO117" i="122"/>
  <c r="AK117" i="122"/>
  <c r="AG117" i="122"/>
  <c r="BB116" i="122"/>
  <c r="AX116" i="122"/>
  <c r="AT116" i="122"/>
  <c r="AP116" i="122"/>
  <c r="AL116" i="122"/>
  <c r="AH116" i="122"/>
  <c r="AD116" i="122"/>
  <c r="AY115" i="122"/>
  <c r="AU115" i="122"/>
  <c r="AQ115" i="122"/>
  <c r="AM115" i="122"/>
  <c r="AI115" i="122"/>
  <c r="AE115" i="122"/>
  <c r="AZ114" i="122"/>
  <c r="AV114" i="122"/>
  <c r="AR114" i="122"/>
  <c r="AN114" i="122"/>
  <c r="AJ114" i="122"/>
  <c r="AF114" i="122"/>
  <c r="BA113" i="122"/>
  <c r="AW113" i="122"/>
  <c r="AS113" i="122"/>
  <c r="AO113" i="122"/>
  <c r="AK113" i="122"/>
  <c r="AG113" i="122"/>
  <c r="BB112" i="122"/>
  <c r="AX112" i="122"/>
  <c r="AT112" i="122"/>
  <c r="AP112" i="122"/>
  <c r="AL112" i="122"/>
  <c r="AH112" i="122"/>
  <c r="AD112" i="122"/>
  <c r="AY111" i="122"/>
  <c r="AU111" i="122"/>
  <c r="AQ111" i="122"/>
  <c r="AM111" i="122"/>
  <c r="AI111" i="122"/>
  <c r="AE111" i="122"/>
  <c r="AZ110" i="122"/>
  <c r="AV110" i="122"/>
  <c r="AR110" i="122"/>
  <c r="AN110" i="122"/>
  <c r="AJ110" i="122"/>
  <c r="AF110" i="122"/>
  <c r="BA109" i="122"/>
  <c r="AW109" i="122"/>
  <c r="AS109" i="122"/>
  <c r="AO109" i="122"/>
  <c r="AK109" i="122"/>
  <c r="AG109" i="122"/>
  <c r="BB108" i="122"/>
  <c r="AX108" i="122"/>
  <c r="AT108" i="122"/>
  <c r="AP108" i="122"/>
  <c r="AL108" i="122"/>
  <c r="AH108" i="122"/>
  <c r="AD108" i="122"/>
  <c r="AY107" i="122"/>
  <c r="AU107" i="122"/>
  <c r="AQ107" i="122"/>
  <c r="AM107" i="122"/>
  <c r="AI107" i="122"/>
  <c r="AE107" i="122"/>
  <c r="AZ106" i="122"/>
  <c r="AV106" i="122"/>
  <c r="AR106" i="122"/>
  <c r="AN106" i="122"/>
  <c r="AJ106" i="122"/>
  <c r="AF106" i="122"/>
  <c r="BA105" i="122"/>
  <c r="AW105" i="122"/>
  <c r="AS105" i="122"/>
  <c r="AO105" i="122"/>
  <c r="AK105" i="122"/>
  <c r="AG105" i="122"/>
  <c r="BB104" i="122"/>
  <c r="AX104" i="122"/>
  <c r="AT104" i="122"/>
  <c r="AP104" i="122"/>
  <c r="AL104" i="122"/>
  <c r="AH104" i="122"/>
  <c r="AD104" i="122"/>
  <c r="AY103" i="122"/>
  <c r="AU103" i="122"/>
  <c r="AQ103" i="122"/>
  <c r="AM103" i="122"/>
  <c r="AI103" i="122"/>
  <c r="AE103" i="122"/>
  <c r="AZ102" i="122"/>
  <c r="AV102" i="122"/>
  <c r="AR102" i="122"/>
  <c r="AN102" i="122"/>
  <c r="AJ102" i="122"/>
  <c r="AF102" i="122"/>
  <c r="BA101" i="122"/>
  <c r="AW101" i="122"/>
  <c r="AS101" i="122"/>
  <c r="AO101" i="122"/>
  <c r="AK101" i="122"/>
  <c r="AG101" i="122"/>
  <c r="BB100" i="122"/>
  <c r="AX100" i="122"/>
  <c r="AT100" i="122"/>
  <c r="AP100" i="122"/>
  <c r="AL100" i="122"/>
  <c r="AH100" i="122"/>
  <c r="AD100" i="122"/>
  <c r="AY99" i="122"/>
  <c r="AU99" i="122"/>
  <c r="AQ99" i="122"/>
  <c r="AM99" i="122"/>
  <c r="AI99" i="122"/>
  <c r="AE99" i="122"/>
  <c r="AZ98" i="122"/>
  <c r="AV98" i="122"/>
  <c r="AH157" i="122"/>
  <c r="AW154" i="122"/>
  <c r="AP153" i="122"/>
  <c r="AI152" i="122"/>
  <c r="BA150" i="122"/>
  <c r="AT149" i="122"/>
  <c r="AM148" i="122"/>
  <c r="AF147" i="122"/>
  <c r="AX145" i="122"/>
  <c r="AX144" i="122"/>
  <c r="AH144" i="122"/>
  <c r="AQ143" i="122"/>
  <c r="AZ142" i="122"/>
  <c r="AJ142" i="122"/>
  <c r="AS141" i="122"/>
  <c r="BB140" i="122"/>
  <c r="AL140" i="122"/>
  <c r="AU139" i="122"/>
  <c r="AE139" i="122"/>
  <c r="AN138" i="122"/>
  <c r="AW137" i="122"/>
  <c r="AG137" i="122"/>
  <c r="AP136" i="122"/>
  <c r="AY135" i="122"/>
  <c r="AI135" i="122"/>
  <c r="AR134" i="122"/>
  <c r="BA133" i="122"/>
  <c r="AK133" i="122"/>
  <c r="AT132" i="122"/>
  <c r="AD132" i="122"/>
  <c r="AM131" i="122"/>
  <c r="AV130" i="122"/>
  <c r="AF130" i="122"/>
  <c r="AO129" i="122"/>
  <c r="AX128" i="122"/>
  <c r="AH128" i="122"/>
  <c r="AQ121" i="122"/>
  <c r="AZ120" i="122"/>
  <c r="AJ120" i="122"/>
  <c r="AS119" i="122"/>
  <c r="BB118" i="122"/>
  <c r="AN118" i="122"/>
  <c r="AI118" i="122"/>
  <c r="AE118" i="122"/>
  <c r="AZ117" i="122"/>
  <c r="AV117" i="122"/>
  <c r="AR117" i="122"/>
  <c r="AN117" i="122"/>
  <c r="AJ117" i="122"/>
  <c r="AF117" i="122"/>
  <c r="BA116" i="122"/>
  <c r="AW116" i="122"/>
  <c r="AS116" i="122"/>
  <c r="AO116" i="122"/>
  <c r="AK116" i="122"/>
  <c r="AG116" i="122"/>
  <c r="BB115" i="122"/>
  <c r="AX115" i="122"/>
  <c r="AT115" i="122"/>
  <c r="AP115" i="122"/>
  <c r="AL115" i="122"/>
  <c r="AH115" i="122"/>
  <c r="AD115" i="122"/>
  <c r="AY114" i="122"/>
  <c r="AU114" i="122"/>
  <c r="AQ114" i="122"/>
  <c r="AM114" i="122"/>
  <c r="AI114" i="122"/>
  <c r="AE114" i="122"/>
  <c r="AZ113" i="122"/>
  <c r="AV113" i="122"/>
  <c r="AR113" i="122"/>
  <c r="AN113" i="122"/>
  <c r="AJ113" i="122"/>
  <c r="AF113" i="122"/>
  <c r="BA112" i="122"/>
  <c r="AW112" i="122"/>
  <c r="AS112" i="122"/>
  <c r="AO112" i="122"/>
  <c r="AK112" i="122"/>
  <c r="AG112" i="122"/>
  <c r="BB111" i="122"/>
  <c r="AX111" i="122"/>
  <c r="AT111" i="122"/>
  <c r="AP111" i="122"/>
  <c r="AL111" i="122"/>
  <c r="AH111" i="122"/>
  <c r="AD111" i="122"/>
  <c r="AY110" i="122"/>
  <c r="AU110" i="122"/>
  <c r="AQ110" i="122"/>
  <c r="AM110" i="122"/>
  <c r="AI110" i="122"/>
  <c r="AE110" i="122"/>
  <c r="AZ109" i="122"/>
  <c r="AV109" i="122"/>
  <c r="AR109" i="122"/>
  <c r="AN109" i="122"/>
  <c r="AJ109" i="122"/>
  <c r="AF109" i="122"/>
  <c r="BA108" i="122"/>
  <c r="AW108" i="122"/>
  <c r="AS108" i="122"/>
  <c r="AO108" i="122"/>
  <c r="AK108" i="122"/>
  <c r="AG108" i="122"/>
  <c r="BB107" i="122"/>
  <c r="AX107" i="122"/>
  <c r="AT107" i="122"/>
  <c r="AP107" i="122"/>
  <c r="AL107" i="122"/>
  <c r="AH107" i="122"/>
  <c r="AD107" i="122"/>
  <c r="AY106" i="122"/>
  <c r="AU106" i="122"/>
  <c r="AQ106" i="122"/>
  <c r="AM106" i="122"/>
  <c r="AI106" i="122"/>
  <c r="AE106" i="122"/>
  <c r="AZ105" i="122"/>
  <c r="AV105" i="122"/>
  <c r="AR105" i="122"/>
  <c r="AN105" i="122"/>
  <c r="AJ105" i="122"/>
  <c r="AF105" i="122"/>
  <c r="BA104" i="122"/>
  <c r="AW104" i="122"/>
  <c r="AS104" i="122"/>
  <c r="AO104" i="122"/>
  <c r="AK104" i="122"/>
  <c r="AG104" i="122"/>
  <c r="BB103" i="122"/>
  <c r="AX103" i="122"/>
  <c r="AT103" i="122"/>
  <c r="AP103" i="122"/>
  <c r="AL103" i="122"/>
  <c r="AH103" i="122"/>
  <c r="AD103" i="122"/>
  <c r="AY102" i="122"/>
  <c r="AU102" i="122"/>
  <c r="AQ102" i="122"/>
  <c r="AM102" i="122"/>
  <c r="AI102" i="122"/>
  <c r="AE102" i="122"/>
  <c r="AZ101" i="122"/>
  <c r="AV101" i="122"/>
  <c r="AR101" i="122"/>
  <c r="AN101" i="122"/>
  <c r="AJ101" i="122"/>
  <c r="AF101" i="122"/>
  <c r="BA100" i="122"/>
  <c r="AW100" i="122"/>
  <c r="AS100" i="122"/>
  <c r="AO100" i="122"/>
  <c r="AK100" i="122"/>
  <c r="AG100" i="122"/>
  <c r="BB99" i="122"/>
  <c r="AX99" i="122"/>
  <c r="AT99" i="122"/>
  <c r="AP99" i="122"/>
  <c r="AL99" i="122"/>
  <c r="AH99" i="122"/>
  <c r="AD99" i="122"/>
  <c r="AY98" i="122"/>
  <c r="AU98" i="122"/>
  <c r="AQ98" i="122"/>
  <c r="AM98" i="122"/>
  <c r="AI98" i="122"/>
  <c r="AE98" i="122"/>
  <c r="AZ97" i="122"/>
  <c r="AO154" i="122"/>
  <c r="AL149" i="122"/>
  <c r="AT144" i="122"/>
  <c r="AF142" i="122"/>
  <c r="AQ139" i="122"/>
  <c r="BB136" i="122"/>
  <c r="AN134" i="122"/>
  <c r="AY131" i="122"/>
  <c r="AK129" i="122"/>
  <c r="AV120" i="122"/>
  <c r="AM118" i="122"/>
  <c r="AU117" i="122"/>
  <c r="AE117" i="122"/>
  <c r="AN116" i="122"/>
  <c r="AW115" i="122"/>
  <c r="AG115" i="122"/>
  <c r="AP114" i="122"/>
  <c r="AY113" i="122"/>
  <c r="AI113" i="122"/>
  <c r="AR112" i="122"/>
  <c r="BA111" i="122"/>
  <c r="AK111" i="122"/>
  <c r="AT110" i="122"/>
  <c r="AD110" i="122"/>
  <c r="AM109" i="122"/>
  <c r="AV108" i="122"/>
  <c r="AF108" i="122"/>
  <c r="AO107" i="122"/>
  <c r="AX106" i="122"/>
  <c r="AH106" i="122"/>
  <c r="AQ105" i="122"/>
  <c r="AZ104" i="122"/>
  <c r="AJ104" i="122"/>
  <c r="AS103" i="122"/>
  <c r="BB102" i="122"/>
  <c r="AL102" i="122"/>
  <c r="AU101" i="122"/>
  <c r="AE101" i="122"/>
  <c r="AN100" i="122"/>
  <c r="AW99" i="122"/>
  <c r="AG99" i="122"/>
  <c r="AR98" i="122"/>
  <c r="AJ98" i="122"/>
  <c r="BA97" i="122"/>
  <c r="AU97" i="122"/>
  <c r="AO97" i="122"/>
  <c r="AJ97" i="122"/>
  <c r="AE97" i="122"/>
  <c r="AX96" i="122"/>
  <c r="AS96" i="122"/>
  <c r="AO96" i="122"/>
  <c r="AK96" i="122"/>
  <c r="AG96" i="122"/>
  <c r="BB95" i="122"/>
  <c r="AX95" i="122"/>
  <c r="AT95" i="122"/>
  <c r="AP95" i="122"/>
  <c r="AL95" i="122"/>
  <c r="AH95" i="122"/>
  <c r="AD95" i="122"/>
  <c r="AY94" i="122"/>
  <c r="AU94" i="122"/>
  <c r="AQ94" i="122"/>
  <c r="AM94" i="122"/>
  <c r="AI94" i="122"/>
  <c r="AE94" i="122"/>
  <c r="AZ93" i="122"/>
  <c r="AV93" i="122"/>
  <c r="AR93" i="122"/>
  <c r="AN93" i="122"/>
  <c r="AJ93" i="122"/>
  <c r="AF93" i="122"/>
  <c r="BA92" i="122"/>
  <c r="AW92" i="122"/>
  <c r="AS92" i="122"/>
  <c r="AO92" i="122"/>
  <c r="AK92" i="122"/>
  <c r="AG92" i="122"/>
  <c r="BB91" i="122"/>
  <c r="AX91" i="122"/>
  <c r="AT91" i="122"/>
  <c r="AP91" i="122"/>
  <c r="AL91" i="122"/>
  <c r="AH91" i="122"/>
  <c r="AD91" i="122"/>
  <c r="AY90" i="122"/>
  <c r="AU90" i="122"/>
  <c r="AQ90" i="122"/>
  <c r="AM90" i="122"/>
  <c r="AI90" i="122"/>
  <c r="AE90" i="122"/>
  <c r="AZ89" i="122"/>
  <c r="AV89" i="122"/>
  <c r="AR89" i="122"/>
  <c r="AN89" i="122"/>
  <c r="AJ89" i="122"/>
  <c r="AF89" i="122"/>
  <c r="AH153" i="122"/>
  <c r="AE148" i="122"/>
  <c r="AD144" i="122"/>
  <c r="AO141" i="122"/>
  <c r="AZ138" i="122"/>
  <c r="AL136" i="122"/>
  <c r="AW133" i="122"/>
  <c r="AI131" i="122"/>
  <c r="AT128" i="122"/>
  <c r="AF120" i="122"/>
  <c r="AH118" i="122"/>
  <c r="AQ117" i="122"/>
  <c r="AZ116" i="122"/>
  <c r="AJ116" i="122"/>
  <c r="AS115" i="122"/>
  <c r="BB114" i="122"/>
  <c r="AL114" i="122"/>
  <c r="AU113" i="122"/>
  <c r="AE113" i="122"/>
  <c r="AN112" i="122"/>
  <c r="AW111" i="122"/>
  <c r="AG111" i="122"/>
  <c r="AP110" i="122"/>
  <c r="AY109" i="122"/>
  <c r="AI109" i="122"/>
  <c r="AR108" i="122"/>
  <c r="BA107" i="122"/>
  <c r="AK107" i="122"/>
  <c r="AT106" i="122"/>
  <c r="AD106" i="122"/>
  <c r="AM105" i="122"/>
  <c r="AV104" i="122"/>
  <c r="AF104" i="122"/>
  <c r="AO103" i="122"/>
  <c r="AX102" i="122"/>
  <c r="AH102" i="122"/>
  <c r="AQ101" i="122"/>
  <c r="AZ100" i="122"/>
  <c r="AJ100" i="122"/>
  <c r="AS99" i="122"/>
  <c r="BB98" i="122"/>
  <c r="AP98" i="122"/>
  <c r="AH98" i="122"/>
  <c r="AY97" i="122"/>
  <c r="AS97" i="122"/>
  <c r="AN97" i="122"/>
  <c r="AI97" i="122"/>
  <c r="BB96" i="122"/>
  <c r="AW96" i="122"/>
  <c r="AR96" i="122"/>
  <c r="AN96" i="122"/>
  <c r="AJ96" i="122"/>
  <c r="AF96" i="122"/>
  <c r="BA95" i="122"/>
  <c r="AW95" i="122"/>
  <c r="AS95" i="122"/>
  <c r="AO95" i="122"/>
  <c r="AK95" i="122"/>
  <c r="AG95" i="122"/>
  <c r="BB94" i="122"/>
  <c r="AX94" i="122"/>
  <c r="AT94" i="122"/>
  <c r="AP94" i="122"/>
  <c r="AL94" i="122"/>
  <c r="AH94" i="122"/>
  <c r="AD94" i="122"/>
  <c r="AY93" i="122"/>
  <c r="AU93" i="122"/>
  <c r="AQ93" i="122"/>
  <c r="AM93" i="122"/>
  <c r="AI93" i="122"/>
  <c r="AE93" i="122"/>
  <c r="AZ92" i="122"/>
  <c r="AV92" i="122"/>
  <c r="AR92" i="122"/>
  <c r="AN92" i="122"/>
  <c r="AJ92" i="122"/>
  <c r="AF92" i="122"/>
  <c r="BA91" i="122"/>
  <c r="AW91" i="122"/>
  <c r="AS91" i="122"/>
  <c r="AO91" i="122"/>
  <c r="AK91" i="122"/>
  <c r="AG91" i="122"/>
  <c r="BB90" i="122"/>
  <c r="AX90" i="122"/>
  <c r="AT90" i="122"/>
  <c r="AP90" i="122"/>
  <c r="AL90" i="122"/>
  <c r="AH90" i="122"/>
  <c r="AD90" i="122"/>
  <c r="AY89" i="122"/>
  <c r="AU89" i="122"/>
  <c r="AQ89" i="122"/>
  <c r="AM89" i="122"/>
  <c r="AI89" i="122"/>
  <c r="AE89" i="122"/>
  <c r="AS150" i="122"/>
  <c r="AV142" i="122"/>
  <c r="AS137" i="122"/>
  <c r="AP132" i="122"/>
  <c r="AM121" i="122"/>
  <c r="AY117" i="122"/>
  <c r="AR116" i="122"/>
  <c r="AK115" i="122"/>
  <c r="AD114" i="122"/>
  <c r="AV112" i="122"/>
  <c r="AO111" i="122"/>
  <c r="AH110" i="122"/>
  <c r="AZ108" i="122"/>
  <c r="AS107" i="122"/>
  <c r="AL106" i="122"/>
  <c r="AE105" i="122"/>
  <c r="AW103" i="122"/>
  <c r="AP102" i="122"/>
  <c r="AI101" i="122"/>
  <c r="BA99" i="122"/>
  <c r="AT98" i="122"/>
  <c r="AD98" i="122"/>
  <c r="AQ97" i="122"/>
  <c r="AF97" i="122"/>
  <c r="AT96" i="122"/>
  <c r="AL96" i="122"/>
  <c r="AD96" i="122"/>
  <c r="AU95" i="122"/>
  <c r="AM95" i="122"/>
  <c r="AE95" i="122"/>
  <c r="AV94" i="122"/>
  <c r="AN94" i="122"/>
  <c r="AF94" i="122"/>
  <c r="AW93" i="122"/>
  <c r="AO93" i="122"/>
  <c r="AG93" i="122"/>
  <c r="AX92" i="122"/>
  <c r="AP92" i="122"/>
  <c r="AH92" i="122"/>
  <c r="AY91" i="122"/>
  <c r="AQ91" i="122"/>
  <c r="AI91" i="122"/>
  <c r="AZ90" i="122"/>
  <c r="AR90" i="122"/>
  <c r="AJ90" i="122"/>
  <c r="BA89" i="122"/>
  <c r="AS89" i="122"/>
  <c r="AK89" i="122"/>
  <c r="AW146" i="122"/>
  <c r="AX140" i="122"/>
  <c r="AU135" i="122"/>
  <c r="AR130" i="122"/>
  <c r="AO119" i="122"/>
  <c r="AM117" i="122"/>
  <c r="AF116" i="122"/>
  <c r="AX114" i="122"/>
  <c r="AQ113" i="122"/>
  <c r="AJ112" i="122"/>
  <c r="BB110" i="122"/>
  <c r="AU109" i="122"/>
  <c r="AN108" i="122"/>
  <c r="AG107" i="122"/>
  <c r="AY105" i="122"/>
  <c r="AR104" i="122"/>
  <c r="AK103" i="122"/>
  <c r="AD102" i="122"/>
  <c r="AV100" i="122"/>
  <c r="AO99" i="122"/>
  <c r="AN98" i="122"/>
  <c r="AW97" i="122"/>
  <c r="AM97" i="122"/>
  <c r="BA96" i="122"/>
  <c r="AQ96" i="122"/>
  <c r="AI96" i="122"/>
  <c r="AZ95" i="122"/>
  <c r="AR95" i="122"/>
  <c r="AJ95" i="122"/>
  <c r="BA94" i="122"/>
  <c r="AS94" i="122"/>
  <c r="AK94" i="122"/>
  <c r="BB93" i="122"/>
  <c r="AT93" i="122"/>
  <c r="AL93" i="122"/>
  <c r="AD93" i="122"/>
  <c r="AU92" i="122"/>
  <c r="AM92" i="122"/>
  <c r="AE92" i="122"/>
  <c r="AV91" i="122"/>
  <c r="AN91" i="122"/>
  <c r="AF91" i="122"/>
  <c r="AW90" i="122"/>
  <c r="AO90" i="122"/>
  <c r="AG90" i="122"/>
  <c r="AX89" i="122"/>
  <c r="AP89" i="122"/>
  <c r="AH89" i="122"/>
  <c r="W61" i="8"/>
  <c r="O61" i="8"/>
  <c r="AX60" i="8"/>
  <c r="W57" i="8"/>
  <c r="O57" i="8"/>
  <c r="AX56" i="8"/>
  <c r="AZ155" i="122"/>
  <c r="AP145" i="122"/>
  <c r="AH140" i="122"/>
  <c r="AE135" i="122"/>
  <c r="BA129" i="122"/>
  <c r="AX118" i="122"/>
  <c r="AI117" i="122"/>
  <c r="BA115" i="122"/>
  <c r="AT114" i="122"/>
  <c r="AM113" i="122"/>
  <c r="AF112" i="122"/>
  <c r="AX110" i="122"/>
  <c r="AQ109" i="122"/>
  <c r="AJ108" i="122"/>
  <c r="BB106" i="122"/>
  <c r="AU105" i="122"/>
  <c r="AN104" i="122"/>
  <c r="AG103" i="122"/>
  <c r="AY101" i="122"/>
  <c r="AR100" i="122"/>
  <c r="AK99" i="122"/>
  <c r="AL98" i="122"/>
  <c r="AV97" i="122"/>
  <c r="AK97" i="122"/>
  <c r="AZ96" i="122"/>
  <c r="AP96" i="122"/>
  <c r="AH96" i="122"/>
  <c r="AY95" i="122"/>
  <c r="AQ95" i="122"/>
  <c r="AI95" i="122"/>
  <c r="AZ94" i="122"/>
  <c r="AR94" i="122"/>
  <c r="AJ94" i="122"/>
  <c r="BA93" i="122"/>
  <c r="AS93" i="122"/>
  <c r="AK93" i="122"/>
  <c r="BB92" i="122"/>
  <c r="AT92" i="122"/>
  <c r="AL92" i="122"/>
  <c r="AD92" i="122"/>
  <c r="AU91" i="122"/>
  <c r="AM91" i="122"/>
  <c r="AE91" i="122"/>
  <c r="AV90" i="122"/>
  <c r="AN90" i="122"/>
  <c r="AF90" i="122"/>
  <c r="AW89" i="122"/>
  <c r="AO89" i="122"/>
  <c r="AG89" i="122"/>
  <c r="W62" i="8"/>
  <c r="O62" i="8"/>
  <c r="AX61" i="8"/>
  <c r="W58" i="8"/>
  <c r="O58" i="8"/>
  <c r="AX57" i="8"/>
  <c r="AJ138" i="122"/>
  <c r="AV116" i="122"/>
  <c r="AS111" i="122"/>
  <c r="AP106" i="122"/>
  <c r="AM101" i="122"/>
  <c r="AR97" i="122"/>
  <c r="AE96" i="122"/>
  <c r="AW94" i="122"/>
  <c r="AP93" i="122"/>
  <c r="AI92" i="122"/>
  <c r="BA90" i="122"/>
  <c r="AT89" i="122"/>
  <c r="W60" i="8"/>
  <c r="AX59" i="8"/>
  <c r="O56" i="8"/>
  <c r="AG133" i="122"/>
  <c r="AO115" i="122"/>
  <c r="AL110" i="122"/>
  <c r="AI105" i="122"/>
  <c r="AF100" i="122"/>
  <c r="AG97" i="122"/>
  <c r="AV95" i="122"/>
  <c r="AO94" i="122"/>
  <c r="AH93" i="122"/>
  <c r="AZ91" i="122"/>
  <c r="AS90" i="122"/>
  <c r="AL89" i="122"/>
  <c r="O63" i="8"/>
  <c r="W59" i="8"/>
  <c r="AX58" i="8"/>
  <c r="W53" i="8"/>
  <c r="O53" i="8"/>
  <c r="AX52" i="8"/>
  <c r="W49" i="8"/>
  <c r="O49" i="8"/>
  <c r="AX48" i="8"/>
  <c r="W45" i="8"/>
  <c r="O45" i="8"/>
  <c r="AX44" i="8"/>
  <c r="W41" i="8"/>
  <c r="O41" i="8"/>
  <c r="AX40" i="8"/>
  <c r="AZ151" i="122"/>
  <c r="AD128" i="122"/>
  <c r="AH114" i="122"/>
  <c r="AE109" i="122"/>
  <c r="BA103" i="122"/>
  <c r="AX98" i="122"/>
  <c r="AV96" i="122"/>
  <c r="AN95" i="122"/>
  <c r="AG94" i="122"/>
  <c r="AY92" i="122"/>
  <c r="AR91" i="122"/>
  <c r="AK90" i="122"/>
  <c r="AD89" i="122"/>
  <c r="AZ112" i="122"/>
  <c r="AM96" i="122"/>
  <c r="AJ91" i="122"/>
  <c r="W63" i="8"/>
  <c r="AX62" i="8"/>
  <c r="O59" i="8"/>
  <c r="O55" i="8"/>
  <c r="AW107" i="122"/>
  <c r="AF95" i="122"/>
  <c r="BB89" i="122"/>
  <c r="AM143" i="122"/>
  <c r="AT102" i="122"/>
  <c r="AX93" i="122"/>
  <c r="AD118" i="122"/>
  <c r="AF98" i="122"/>
  <c r="AQ92" i="122"/>
  <c r="W56" i="8"/>
  <c r="AX55" i="8"/>
  <c r="W54" i="8"/>
  <c r="AX53" i="8"/>
  <c r="W55" i="8"/>
  <c r="AX54" i="8"/>
  <c r="W52" i="8"/>
  <c r="W51" i="8"/>
  <c r="W44" i="8"/>
  <c r="AX43" i="8"/>
  <c r="W43" i="8"/>
  <c r="AX42" i="8"/>
  <c r="W42" i="8"/>
  <c r="AX41" i="8"/>
  <c r="O40" i="8"/>
  <c r="O39" i="8"/>
  <c r="AX51" i="8"/>
  <c r="AX50" i="8"/>
  <c r="O50" i="8"/>
  <c r="W40" i="8"/>
  <c r="AX39" i="8"/>
  <c r="W39" i="8"/>
  <c r="AX63" i="8"/>
  <c r="W48" i="8"/>
  <c r="W47" i="8"/>
  <c r="W46" i="8"/>
  <c r="AX49" i="8"/>
  <c r="O48" i="8"/>
  <c r="O47" i="8"/>
  <c r="O46" i="8"/>
  <c r="W50" i="8"/>
  <c r="O52" i="8"/>
  <c r="AE6" i="3"/>
  <c r="AG6" i="3" s="1"/>
  <c r="AF6" i="3"/>
  <c r="AE7" i="3"/>
  <c r="AG7" i="3" s="1"/>
  <c r="AF7" i="3"/>
  <c r="AE8" i="3"/>
  <c r="AG8" i="3" s="1"/>
  <c r="AF8" i="3"/>
  <c r="AE9" i="3"/>
  <c r="AG9" i="3" s="1"/>
  <c r="AF9" i="3"/>
  <c r="AE10" i="3"/>
  <c r="AG10" i="3" s="1"/>
  <c r="AF10" i="3"/>
  <c r="AE11" i="3"/>
  <c r="AG11" i="3" s="1"/>
  <c r="AF11" i="3"/>
  <c r="AE12" i="3"/>
  <c r="AG12" i="3" s="1"/>
  <c r="AF12" i="3"/>
  <c r="AE13" i="3"/>
  <c r="AF13" i="3"/>
  <c r="AE14" i="3"/>
  <c r="AG14" i="3" s="1"/>
  <c r="AF14" i="3"/>
  <c r="AE15" i="3"/>
  <c r="AG15" i="3" s="1"/>
  <c r="AF15" i="3"/>
  <c r="AE16" i="3"/>
  <c r="AG16" i="3" s="1"/>
  <c r="AF16" i="3"/>
  <c r="AE17" i="3"/>
  <c r="AG17" i="3" s="1"/>
  <c r="AF17" i="3"/>
  <c r="AE18" i="3"/>
  <c r="AG18" i="3" s="1"/>
  <c r="AF18" i="3"/>
  <c r="W18" i="12" s="1"/>
  <c r="AE19" i="3"/>
  <c r="AG19" i="3" s="1"/>
  <c r="AF19" i="3"/>
  <c r="W19" i="12" s="1"/>
  <c r="AE20" i="3"/>
  <c r="AG20" i="3" s="1"/>
  <c r="AF20" i="3"/>
  <c r="W20" i="12" s="1"/>
  <c r="AE21" i="3"/>
  <c r="Y21" i="12" s="1"/>
  <c r="AF21" i="3"/>
  <c r="AE22" i="3"/>
  <c r="Y22" i="12" s="1"/>
  <c r="AF22" i="3"/>
  <c r="AE23" i="3"/>
  <c r="Y23" i="12" s="1"/>
  <c r="AF23" i="3"/>
  <c r="W23" i="12" s="1"/>
  <c r="AE24" i="3"/>
  <c r="Y24" i="12" s="1"/>
  <c r="AF24" i="3"/>
  <c r="W24" i="12" s="1"/>
  <c r="AE25" i="3"/>
  <c r="AF25" i="3"/>
  <c r="AE26" i="3"/>
  <c r="AF26" i="3"/>
  <c r="W26" i="12" s="1"/>
  <c r="AE27" i="3"/>
  <c r="Y27" i="12" s="1"/>
  <c r="AF27" i="3"/>
  <c r="W27" i="12" s="1"/>
  <c r="AE28" i="3"/>
  <c r="Y28" i="12" s="1"/>
  <c r="AF28" i="3"/>
  <c r="AE29" i="3"/>
  <c r="AG29" i="3" s="1"/>
  <c r="AF29" i="3"/>
  <c r="W29" i="12" s="1"/>
  <c r="AE30" i="3"/>
  <c r="Y30" i="12" s="1"/>
  <c r="AF30" i="3"/>
  <c r="W30" i="12" s="1"/>
  <c r="AE31" i="3"/>
  <c r="Y31" i="12" s="1"/>
  <c r="AF31" i="3"/>
  <c r="AE32" i="3"/>
  <c r="Y32" i="12" s="1"/>
  <c r="AF32" i="3"/>
  <c r="W32" i="12" s="1"/>
  <c r="AE33" i="3"/>
  <c r="AG33" i="3" s="1"/>
  <c r="AF33" i="3"/>
  <c r="AE34" i="3"/>
  <c r="Y34" i="12" s="1"/>
  <c r="AF34" i="3"/>
  <c r="W34" i="12" s="1"/>
  <c r="AE35" i="3"/>
  <c r="AG35" i="3" s="1"/>
  <c r="AF35" i="3"/>
  <c r="W35" i="12" s="1"/>
  <c r="AE36" i="3"/>
  <c r="Y36" i="12" s="1"/>
  <c r="AF36" i="3"/>
  <c r="W36" i="12" s="1"/>
  <c r="AE37" i="3"/>
  <c r="AG37" i="3" s="1"/>
  <c r="AF37" i="3"/>
  <c r="W37" i="12" s="1"/>
  <c r="AE38" i="3"/>
  <c r="Y38" i="12" s="1"/>
  <c r="AF38" i="3"/>
  <c r="W38" i="12" s="1"/>
  <c r="AE39" i="3"/>
  <c r="Y39" i="12" s="1"/>
  <c r="AF39" i="3"/>
  <c r="AE40" i="3"/>
  <c r="AG40" i="3" s="1"/>
  <c r="AF40" i="3"/>
  <c r="AE41" i="3"/>
  <c r="AG41" i="3" s="1"/>
  <c r="AF41" i="3"/>
  <c r="W41" i="12" s="1"/>
  <c r="AF5" i="3"/>
  <c r="AE5" i="3"/>
  <c r="AH5" i="3" s="1"/>
  <c r="Z5" i="3"/>
  <c r="Z6" i="3"/>
  <c r="AA6" i="3"/>
  <c r="AB6" i="3"/>
  <c r="AC6" i="3"/>
  <c r="Z7" i="3"/>
  <c r="AA7" i="3"/>
  <c r="AB7" i="3"/>
  <c r="AC7" i="3"/>
  <c r="Z8" i="3"/>
  <c r="AA8" i="3"/>
  <c r="AB8" i="3"/>
  <c r="AC8" i="3"/>
  <c r="Z9" i="3"/>
  <c r="AA9" i="3"/>
  <c r="AB9" i="3"/>
  <c r="AC9" i="3"/>
  <c r="Z10" i="3"/>
  <c r="AA10" i="3"/>
  <c r="AB10" i="3"/>
  <c r="AC10" i="3"/>
  <c r="Z11" i="3"/>
  <c r="AA11" i="3"/>
  <c r="AB11" i="3"/>
  <c r="AC11" i="3"/>
  <c r="Z12" i="3"/>
  <c r="AA12" i="3"/>
  <c r="AB12" i="3"/>
  <c r="AC12" i="3"/>
  <c r="Z13" i="3"/>
  <c r="AA13" i="3"/>
  <c r="AB13" i="3"/>
  <c r="AC13" i="3"/>
  <c r="Z14" i="3"/>
  <c r="AA14" i="3"/>
  <c r="AB14" i="3"/>
  <c r="AC14" i="3"/>
  <c r="Z15" i="3"/>
  <c r="AA15" i="3"/>
  <c r="AB15" i="3"/>
  <c r="AC15" i="3"/>
  <c r="Z16" i="3"/>
  <c r="AA16" i="3"/>
  <c r="AB16" i="3"/>
  <c r="AC16" i="3"/>
  <c r="Z17" i="3"/>
  <c r="AA17" i="3"/>
  <c r="AB17" i="3"/>
  <c r="AC17" i="3"/>
  <c r="Z18" i="3"/>
  <c r="AA18" i="3"/>
  <c r="AB18" i="3"/>
  <c r="AC18" i="3"/>
  <c r="Z19" i="3"/>
  <c r="AA19" i="3"/>
  <c r="AB19" i="3"/>
  <c r="AC19" i="3"/>
  <c r="Z20" i="3"/>
  <c r="AA20" i="3"/>
  <c r="AB20" i="3"/>
  <c r="AC20" i="3"/>
  <c r="Z21" i="3"/>
  <c r="AA21" i="3"/>
  <c r="AB21" i="3"/>
  <c r="AC21" i="3"/>
  <c r="Z22" i="3"/>
  <c r="AA22" i="3"/>
  <c r="AB22" i="3"/>
  <c r="AC22" i="3"/>
  <c r="Z23" i="3"/>
  <c r="AA23" i="3"/>
  <c r="AB23" i="3"/>
  <c r="AC23" i="3"/>
  <c r="Z24" i="3"/>
  <c r="AA24" i="3"/>
  <c r="AB24" i="3"/>
  <c r="AC24" i="3"/>
  <c r="Z25" i="3"/>
  <c r="AA25" i="3"/>
  <c r="AB25" i="3"/>
  <c r="AC25" i="3"/>
  <c r="Z26" i="3"/>
  <c r="AA26" i="3"/>
  <c r="AB26" i="3"/>
  <c r="AC26" i="3"/>
  <c r="Z27" i="3"/>
  <c r="AA27" i="3"/>
  <c r="AB27" i="3"/>
  <c r="AC27" i="3"/>
  <c r="Z28" i="3"/>
  <c r="AA28" i="3"/>
  <c r="AB28" i="3"/>
  <c r="AC28" i="3"/>
  <c r="Z29" i="3"/>
  <c r="AA29" i="3"/>
  <c r="AB29" i="3"/>
  <c r="AC29" i="3"/>
  <c r="Z30" i="3"/>
  <c r="AA30" i="3"/>
  <c r="AB30" i="3"/>
  <c r="AC30" i="3"/>
  <c r="Z31" i="3"/>
  <c r="AA31" i="3"/>
  <c r="AB31" i="3"/>
  <c r="AC31" i="3"/>
  <c r="Z32" i="3"/>
  <c r="AA32" i="3"/>
  <c r="AB32" i="3"/>
  <c r="AC32" i="3"/>
  <c r="Z33" i="3"/>
  <c r="AA33" i="3"/>
  <c r="AB33" i="3"/>
  <c r="AC33" i="3"/>
  <c r="Z34" i="3"/>
  <c r="AA34" i="3"/>
  <c r="AB34" i="3"/>
  <c r="AC34" i="3"/>
  <c r="Z35" i="3"/>
  <c r="AA35" i="3"/>
  <c r="AB35" i="3"/>
  <c r="AC35" i="3"/>
  <c r="Z36" i="3"/>
  <c r="AA36" i="3"/>
  <c r="AB36" i="3"/>
  <c r="AC36" i="3"/>
  <c r="Z37" i="3"/>
  <c r="AA37" i="3"/>
  <c r="AB37" i="3"/>
  <c r="AC37" i="3"/>
  <c r="Z38" i="3"/>
  <c r="AA38" i="3"/>
  <c r="AB38" i="3"/>
  <c r="AC38" i="3"/>
  <c r="Z39" i="3"/>
  <c r="AA39" i="3"/>
  <c r="AB39" i="3"/>
  <c r="AC39" i="3"/>
  <c r="Z40" i="3"/>
  <c r="AA40" i="3"/>
  <c r="AB40" i="3"/>
  <c r="AC40" i="3"/>
  <c r="Z41" i="3"/>
  <c r="AA41" i="3"/>
  <c r="AB41" i="3"/>
  <c r="AC41" i="3"/>
  <c r="AC5" i="3"/>
  <c r="AB5" i="3"/>
  <c r="AA5" i="3"/>
  <c r="B1" i="121"/>
  <c r="C1" i="121" s="1"/>
  <c r="D1" i="121" s="1"/>
  <c r="E1" i="121" s="1"/>
  <c r="F1" i="121" s="1"/>
  <c r="G1" i="121" s="1"/>
  <c r="H1" i="121" s="1"/>
  <c r="I1" i="121" s="1"/>
  <c r="J1" i="121" s="1"/>
  <c r="DQ36" i="12" l="1"/>
  <c r="DS35" i="12"/>
  <c r="DR35" i="12"/>
  <c r="E131" i="123"/>
  <c r="DQ37" i="12"/>
  <c r="DR37" i="12"/>
  <c r="N42" i="12"/>
  <c r="AY48" i="12"/>
  <c r="BR5" i="127"/>
  <c r="BR12" i="127"/>
  <c r="BR11" i="127"/>
  <c r="BR29" i="127"/>
  <c r="BP11" i="127"/>
  <c r="BP12" i="127"/>
  <c r="BP29" i="127"/>
  <c r="BP5" i="127"/>
  <c r="DQ29" i="12"/>
  <c r="DS29" i="12"/>
  <c r="AY44" i="12"/>
  <c r="AY46" i="12"/>
  <c r="N45" i="12"/>
  <c r="DE48" i="12"/>
  <c r="DE50" i="12"/>
  <c r="DE43" i="12"/>
  <c r="E134" i="123"/>
  <c r="AZ47" i="12"/>
  <c r="AZ43" i="12"/>
  <c r="N48" i="12"/>
  <c r="DE47" i="12"/>
  <c r="DE49" i="12"/>
  <c r="AZ49" i="12"/>
  <c r="AZ48" i="12"/>
  <c r="AY50" i="12"/>
  <c r="F556" i="123"/>
  <c r="N44" i="12"/>
  <c r="F559" i="123"/>
  <c r="AH33" i="3"/>
  <c r="AH32" i="3"/>
  <c r="AH31" i="3"/>
  <c r="AH30" i="3"/>
  <c r="AH29" i="3"/>
  <c r="AH20" i="3"/>
  <c r="AH19" i="3"/>
  <c r="AH18" i="3"/>
  <c r="AH17" i="3"/>
  <c r="AH16" i="3"/>
  <c r="AH15" i="3"/>
  <c r="AH14" i="3"/>
  <c r="AG32" i="3"/>
  <c r="AG31" i="3"/>
  <c r="AG30" i="3"/>
  <c r="F139" i="123"/>
  <c r="F134" i="123"/>
  <c r="F136" i="123"/>
  <c r="F47" i="123"/>
  <c r="F220" i="123"/>
  <c r="F132" i="123"/>
  <c r="F474" i="123"/>
  <c r="F475" i="123"/>
  <c r="F50" i="123"/>
  <c r="F235" i="123"/>
  <c r="F53" i="123"/>
  <c r="F560" i="123"/>
  <c r="F405" i="123"/>
  <c r="F219" i="123"/>
  <c r="F138" i="123"/>
  <c r="F133" i="123"/>
  <c r="F140" i="123"/>
  <c r="F137" i="123"/>
  <c r="F135" i="123"/>
  <c r="F49" i="123"/>
  <c r="F60" i="123"/>
  <c r="DE46" i="12"/>
  <c r="E530" i="123"/>
  <c r="F67" i="123"/>
  <c r="F217" i="123"/>
  <c r="F388" i="123"/>
  <c r="F303" i="123"/>
  <c r="E139" i="123"/>
  <c r="F395" i="123"/>
  <c r="F52" i="123"/>
  <c r="F392" i="123"/>
  <c r="F391" i="123"/>
  <c r="F306" i="123"/>
  <c r="F389" i="123"/>
  <c r="F304" i="123"/>
  <c r="F218" i="123"/>
  <c r="E138" i="123"/>
  <c r="E133" i="123"/>
  <c r="F66" i="123"/>
  <c r="F64" i="123"/>
  <c r="F61" i="123"/>
  <c r="F57" i="123"/>
  <c r="F308" i="123"/>
  <c r="F390" i="123"/>
  <c r="F387" i="123"/>
  <c r="F216" i="123"/>
  <c r="F302" i="123"/>
  <c r="E135" i="123"/>
  <c r="F410" i="123"/>
  <c r="F325" i="123"/>
  <c r="F408" i="123"/>
  <c r="F493" i="123"/>
  <c r="F237" i="123"/>
  <c r="F236" i="123"/>
  <c r="F321" i="123"/>
  <c r="F404" i="123"/>
  <c r="F489" i="123"/>
  <c r="F574" i="123"/>
  <c r="F573" i="123"/>
  <c r="F402" i="123"/>
  <c r="F572" i="123"/>
  <c r="F316" i="123"/>
  <c r="F484" i="123"/>
  <c r="F314" i="123"/>
  <c r="F228" i="123"/>
  <c r="F568" i="123"/>
  <c r="F312" i="123"/>
  <c r="F396" i="123"/>
  <c r="F311" i="123"/>
  <c r="F54" i="123"/>
  <c r="F224" i="123"/>
  <c r="F477" i="123"/>
  <c r="E155" i="123"/>
  <c r="E153" i="123"/>
  <c r="E151" i="123"/>
  <c r="E149" i="123"/>
  <c r="E147" i="123"/>
  <c r="E145" i="123"/>
  <c r="E143" i="123"/>
  <c r="E141" i="123"/>
  <c r="E137" i="123"/>
  <c r="AX126" i="8"/>
  <c r="F563" i="123"/>
  <c r="F562" i="123"/>
  <c r="F307" i="123"/>
  <c r="F561" i="123"/>
  <c r="F495" i="123"/>
  <c r="F324" i="123"/>
  <c r="F407" i="123"/>
  <c r="F577" i="123"/>
  <c r="F65" i="123"/>
  <c r="F63" i="123"/>
  <c r="F487" i="123"/>
  <c r="F231" i="123"/>
  <c r="F230" i="123"/>
  <c r="F398" i="123"/>
  <c r="F483" i="123"/>
  <c r="F227" i="123"/>
  <c r="F481" i="123"/>
  <c r="F566" i="123"/>
  <c r="F394" i="123"/>
  <c r="F223" i="123"/>
  <c r="F155" i="123"/>
  <c r="F153" i="123"/>
  <c r="F151" i="123"/>
  <c r="F149" i="123"/>
  <c r="F147" i="123"/>
  <c r="DH39" i="127"/>
  <c r="DH35" i="127"/>
  <c r="DH40" i="127"/>
  <c r="DH36" i="127"/>
  <c r="DH32" i="127"/>
  <c r="DH41" i="127"/>
  <c r="DH33" i="127"/>
  <c r="DH38" i="127"/>
  <c r="DH34" i="127"/>
  <c r="DH31" i="127"/>
  <c r="DH27" i="127"/>
  <c r="DH23" i="127"/>
  <c r="DH28" i="127"/>
  <c r="DH24" i="127"/>
  <c r="DH25" i="127"/>
  <c r="DH30" i="127"/>
  <c r="DH26" i="127"/>
  <c r="DH22" i="127"/>
  <c r="DH18" i="127"/>
  <c r="DH14" i="127"/>
  <c r="DH19" i="127"/>
  <c r="DH15" i="127"/>
  <c r="DH20" i="127"/>
  <c r="DH16" i="127"/>
  <c r="DH21" i="127"/>
  <c r="DH17" i="127"/>
  <c r="DH13" i="127"/>
  <c r="DH10" i="127"/>
  <c r="DH6" i="127"/>
  <c r="DH7" i="127"/>
  <c r="DH8" i="127"/>
  <c r="DH9" i="127"/>
  <c r="E529" i="123"/>
  <c r="E531" i="123"/>
  <c r="F409" i="123"/>
  <c r="F238" i="123"/>
  <c r="F491" i="123"/>
  <c r="F575" i="123"/>
  <c r="F62" i="123"/>
  <c r="F485" i="123"/>
  <c r="F570" i="123"/>
  <c r="F226" i="123"/>
  <c r="F310" i="123"/>
  <c r="F222" i="123"/>
  <c r="F145" i="123"/>
  <c r="F143" i="123"/>
  <c r="F141" i="123"/>
  <c r="AL122" i="122"/>
  <c r="F70" i="123"/>
  <c r="F494" i="123"/>
  <c r="F239" i="123"/>
  <c r="F579" i="123"/>
  <c r="F578" i="123"/>
  <c r="F492" i="123"/>
  <c r="F406" i="123"/>
  <c r="F490" i="123"/>
  <c r="F320" i="123"/>
  <c r="F488" i="123"/>
  <c r="F233" i="123"/>
  <c r="F232" i="123"/>
  <c r="F401" i="123"/>
  <c r="F317" i="123"/>
  <c r="F400" i="123"/>
  <c r="F59" i="123"/>
  <c r="F315" i="123"/>
  <c r="F569" i="123"/>
  <c r="F397" i="123"/>
  <c r="F313" i="123"/>
  <c r="F567" i="123"/>
  <c r="F225" i="123"/>
  <c r="F479" i="123"/>
  <c r="F309" i="123"/>
  <c r="F478" i="123"/>
  <c r="F51" i="123"/>
  <c r="F154" i="123"/>
  <c r="E152" i="123"/>
  <c r="E150" i="123"/>
  <c r="E148" i="123"/>
  <c r="E146" i="123"/>
  <c r="F144" i="123"/>
  <c r="E142" i="123"/>
  <c r="E140" i="123"/>
  <c r="E136" i="123"/>
  <c r="F240" i="123"/>
  <c r="F69" i="123"/>
  <c r="F580" i="123"/>
  <c r="F68" i="123"/>
  <c r="F323" i="123"/>
  <c r="F322" i="123"/>
  <c r="F576" i="123"/>
  <c r="F234" i="123"/>
  <c r="F403" i="123"/>
  <c r="F319" i="123"/>
  <c r="F318" i="123"/>
  <c r="F486" i="123"/>
  <c r="F571" i="123"/>
  <c r="F229" i="123"/>
  <c r="F399" i="123"/>
  <c r="F58" i="123"/>
  <c r="F482" i="123"/>
  <c r="F56" i="123"/>
  <c r="F55" i="123"/>
  <c r="F480" i="123"/>
  <c r="F565" i="123"/>
  <c r="F393" i="123"/>
  <c r="F564" i="123"/>
  <c r="F221" i="123"/>
  <c r="F476" i="123"/>
  <c r="F48" i="123"/>
  <c r="F305" i="123"/>
  <c r="F473" i="123"/>
  <c r="E154" i="123"/>
  <c r="F152" i="123"/>
  <c r="F150" i="123"/>
  <c r="F148" i="123"/>
  <c r="F146" i="123"/>
  <c r="E144" i="123"/>
  <c r="F142" i="123"/>
  <c r="AD161" i="122"/>
  <c r="BR37" i="125" s="1"/>
  <c r="AT161" i="122"/>
  <c r="BB122" i="122"/>
  <c r="E451" i="123"/>
  <c r="E433" i="123"/>
  <c r="E408" i="123"/>
  <c r="E404" i="123"/>
  <c r="E539" i="123"/>
  <c r="E400" i="123"/>
  <c r="E369" i="123"/>
  <c r="E497" i="123"/>
  <c r="E499" i="123"/>
  <c r="E501" i="123"/>
  <c r="E503" i="123"/>
  <c r="E505" i="123"/>
  <c r="E507" i="123"/>
  <c r="E509" i="123"/>
  <c r="E511" i="123"/>
  <c r="E513" i="123"/>
  <c r="E515" i="123"/>
  <c r="E517" i="123"/>
  <c r="E519" i="123"/>
  <c r="E521" i="123"/>
  <c r="E498" i="123"/>
  <c r="E500" i="123"/>
  <c r="E502" i="123"/>
  <c r="E504" i="123"/>
  <c r="E506" i="123"/>
  <c r="E508" i="123"/>
  <c r="E510" i="123"/>
  <c r="E512" i="123"/>
  <c r="E514" i="123"/>
  <c r="E516" i="123"/>
  <c r="E518" i="123"/>
  <c r="E520" i="123"/>
  <c r="E538" i="123"/>
  <c r="E536" i="123"/>
  <c r="E548" i="123"/>
  <c r="E553" i="123"/>
  <c r="E545" i="123"/>
  <c r="E537" i="123"/>
  <c r="E462" i="123"/>
  <c r="E454" i="123"/>
  <c r="E446" i="123"/>
  <c r="E465" i="123"/>
  <c r="E457" i="123"/>
  <c r="E449" i="123"/>
  <c r="E472" i="123"/>
  <c r="E474" i="123"/>
  <c r="E476" i="123"/>
  <c r="E478" i="123"/>
  <c r="E480" i="123"/>
  <c r="E482" i="123"/>
  <c r="E484" i="123"/>
  <c r="E486" i="123"/>
  <c r="E488" i="123"/>
  <c r="E490" i="123"/>
  <c r="E492" i="123"/>
  <c r="E494" i="123"/>
  <c r="E471" i="123"/>
  <c r="E473" i="123"/>
  <c r="E475" i="123"/>
  <c r="E477" i="123"/>
  <c r="E479" i="123"/>
  <c r="E481" i="123"/>
  <c r="E483" i="123"/>
  <c r="E485" i="123"/>
  <c r="E487" i="123"/>
  <c r="E489" i="123"/>
  <c r="E491" i="123"/>
  <c r="E493" i="123"/>
  <c r="E495" i="123"/>
  <c r="E550" i="123"/>
  <c r="E540" i="123"/>
  <c r="E551" i="123"/>
  <c r="E543" i="123"/>
  <c r="E535" i="123"/>
  <c r="E468" i="123"/>
  <c r="E460" i="123"/>
  <c r="E452" i="123"/>
  <c r="E444" i="123"/>
  <c r="E463" i="123"/>
  <c r="E455" i="123"/>
  <c r="E447" i="123"/>
  <c r="E425" i="123"/>
  <c r="E554" i="123"/>
  <c r="E552" i="123"/>
  <c r="E542" i="123"/>
  <c r="E532" i="123"/>
  <c r="E549" i="123"/>
  <c r="E541" i="123"/>
  <c r="E533" i="123"/>
  <c r="E583" i="123"/>
  <c r="E585" i="123"/>
  <c r="E587" i="123"/>
  <c r="E589" i="123"/>
  <c r="E591" i="123"/>
  <c r="E593" i="123"/>
  <c r="E595" i="123"/>
  <c r="E597" i="123"/>
  <c r="E599" i="123"/>
  <c r="E601" i="123"/>
  <c r="E603" i="123"/>
  <c r="E605" i="123"/>
  <c r="E582" i="123"/>
  <c r="E586" i="123"/>
  <c r="E594" i="123"/>
  <c r="E602" i="123"/>
  <c r="E588" i="123"/>
  <c r="E596" i="123"/>
  <c r="E604" i="123"/>
  <c r="E590" i="123"/>
  <c r="E598" i="123"/>
  <c r="E606" i="123"/>
  <c r="E584" i="123"/>
  <c r="E592" i="123"/>
  <c r="E600" i="123"/>
  <c r="E466" i="123"/>
  <c r="E458" i="123"/>
  <c r="E450" i="123"/>
  <c r="E469" i="123"/>
  <c r="E461" i="123"/>
  <c r="E453" i="123"/>
  <c r="E445" i="123"/>
  <c r="E556" i="123"/>
  <c r="E557" i="123"/>
  <c r="E559" i="123"/>
  <c r="E561" i="123"/>
  <c r="E563" i="123"/>
  <c r="E565" i="123"/>
  <c r="E567" i="123"/>
  <c r="E569" i="123"/>
  <c r="E571" i="123"/>
  <c r="E573" i="123"/>
  <c r="E575" i="123"/>
  <c r="E577" i="123"/>
  <c r="E579" i="123"/>
  <c r="E560" i="123"/>
  <c r="E568" i="123"/>
  <c r="E576" i="123"/>
  <c r="E562" i="123"/>
  <c r="E570" i="123"/>
  <c r="E578" i="123"/>
  <c r="E564" i="123"/>
  <c r="E572" i="123"/>
  <c r="E580" i="123"/>
  <c r="E558" i="123"/>
  <c r="E566" i="123"/>
  <c r="E574" i="123"/>
  <c r="E546" i="123"/>
  <c r="E544" i="123"/>
  <c r="E534" i="123"/>
  <c r="E547" i="123"/>
  <c r="E464" i="123"/>
  <c r="E456" i="123"/>
  <c r="E448" i="123"/>
  <c r="E467" i="123"/>
  <c r="E459" i="123"/>
  <c r="E381" i="123"/>
  <c r="E429" i="123"/>
  <c r="E396" i="123"/>
  <c r="E407" i="123"/>
  <c r="E428" i="123"/>
  <c r="E395" i="123"/>
  <c r="E413" i="123"/>
  <c r="E414" i="123"/>
  <c r="E412" i="123"/>
  <c r="E415" i="123"/>
  <c r="E416" i="123"/>
  <c r="E417" i="123"/>
  <c r="E418" i="123"/>
  <c r="E419" i="123"/>
  <c r="E420" i="123"/>
  <c r="E410" i="123"/>
  <c r="E431" i="123"/>
  <c r="E398" i="123"/>
  <c r="E382" i="123"/>
  <c r="E430" i="123"/>
  <c r="E397" i="123"/>
  <c r="E366" i="123"/>
  <c r="E362" i="123"/>
  <c r="E359" i="123"/>
  <c r="E384" i="123"/>
  <c r="E432" i="123"/>
  <c r="E399" i="123"/>
  <c r="E368" i="123"/>
  <c r="E435" i="123"/>
  <c r="E402" i="123"/>
  <c r="E371" i="123"/>
  <c r="E386" i="123"/>
  <c r="E387" i="123"/>
  <c r="E388" i="123"/>
  <c r="E389" i="123"/>
  <c r="E390" i="123"/>
  <c r="E391" i="123"/>
  <c r="E392" i="123"/>
  <c r="E394" i="123"/>
  <c r="E434" i="123"/>
  <c r="E374" i="123"/>
  <c r="E370" i="123"/>
  <c r="E365" i="123"/>
  <c r="E361" i="123"/>
  <c r="E377" i="123"/>
  <c r="E373" i="123"/>
  <c r="E421" i="123"/>
  <c r="E436" i="123"/>
  <c r="E403" i="123"/>
  <c r="E372" i="123"/>
  <c r="E379" i="123"/>
  <c r="E375" i="123"/>
  <c r="E423" i="123"/>
  <c r="E378" i="123"/>
  <c r="E401" i="123"/>
  <c r="E422" i="123"/>
  <c r="E364" i="123"/>
  <c r="E360" i="123"/>
  <c r="E282" i="123"/>
  <c r="E380" i="123"/>
  <c r="E376" i="123"/>
  <c r="E424" i="123"/>
  <c r="E383" i="123"/>
  <c r="E406" i="123"/>
  <c r="E427" i="123"/>
  <c r="E367" i="123"/>
  <c r="E409" i="123"/>
  <c r="E405" i="123"/>
  <c r="E426" i="123"/>
  <c r="E393" i="123"/>
  <c r="E363" i="123"/>
  <c r="E193" i="123"/>
  <c r="E295" i="123"/>
  <c r="E285" i="123"/>
  <c r="E283" i="123"/>
  <c r="E296" i="123"/>
  <c r="E288" i="123"/>
  <c r="E280" i="123"/>
  <c r="E297" i="123"/>
  <c r="E287" i="123"/>
  <c r="E277" i="123"/>
  <c r="E275" i="123"/>
  <c r="E294" i="123"/>
  <c r="E286" i="123"/>
  <c r="E278" i="123"/>
  <c r="E328" i="123"/>
  <c r="E330" i="123"/>
  <c r="E332" i="123"/>
  <c r="E334" i="123"/>
  <c r="E336" i="123"/>
  <c r="E338" i="123"/>
  <c r="E340" i="123"/>
  <c r="E342" i="123"/>
  <c r="E344" i="123"/>
  <c r="E346" i="123"/>
  <c r="E348" i="123"/>
  <c r="E350" i="123"/>
  <c r="E327" i="123"/>
  <c r="E331" i="123"/>
  <c r="E339" i="123"/>
  <c r="E347" i="123"/>
  <c r="E333" i="123"/>
  <c r="E341" i="123"/>
  <c r="E349" i="123"/>
  <c r="E335" i="123"/>
  <c r="E343" i="123"/>
  <c r="E351" i="123"/>
  <c r="E329" i="123"/>
  <c r="E337" i="123"/>
  <c r="E345" i="123"/>
  <c r="E301" i="123"/>
  <c r="E303" i="123"/>
  <c r="E305" i="123"/>
  <c r="E307" i="123"/>
  <c r="E309" i="123"/>
  <c r="E311" i="123"/>
  <c r="E313" i="123"/>
  <c r="E315" i="123"/>
  <c r="E317" i="123"/>
  <c r="E319" i="123"/>
  <c r="E321" i="123"/>
  <c r="E323" i="123"/>
  <c r="E325" i="123"/>
  <c r="E304" i="123"/>
  <c r="E312" i="123"/>
  <c r="E320" i="123"/>
  <c r="E306" i="123"/>
  <c r="E314" i="123"/>
  <c r="E322" i="123"/>
  <c r="E308" i="123"/>
  <c r="E316" i="123"/>
  <c r="E324" i="123"/>
  <c r="E302" i="123"/>
  <c r="E310" i="123"/>
  <c r="E318" i="123"/>
  <c r="E289" i="123"/>
  <c r="E279" i="123"/>
  <c r="E299" i="123"/>
  <c r="E292" i="123"/>
  <c r="E284" i="123"/>
  <c r="E276" i="123"/>
  <c r="E281" i="123"/>
  <c r="E293" i="123"/>
  <c r="E291" i="123"/>
  <c r="E298" i="123"/>
  <c r="E290" i="123"/>
  <c r="E243" i="123"/>
  <c r="E245" i="123"/>
  <c r="E247" i="123"/>
  <c r="E249" i="123"/>
  <c r="E251" i="123"/>
  <c r="E253" i="123"/>
  <c r="E255" i="123"/>
  <c r="E257" i="123"/>
  <c r="E259" i="123"/>
  <c r="E261" i="123"/>
  <c r="E263" i="123"/>
  <c r="E265" i="123"/>
  <c r="E242" i="123"/>
  <c r="E244" i="123"/>
  <c r="E246" i="123"/>
  <c r="E248" i="123"/>
  <c r="E250" i="123"/>
  <c r="E252" i="123"/>
  <c r="E254" i="123"/>
  <c r="E256" i="123"/>
  <c r="E258" i="123"/>
  <c r="E260" i="123"/>
  <c r="E262" i="123"/>
  <c r="E264" i="123"/>
  <c r="E266" i="123"/>
  <c r="E217" i="123"/>
  <c r="E219" i="123"/>
  <c r="E221" i="123"/>
  <c r="E223" i="123"/>
  <c r="E225" i="123"/>
  <c r="E227" i="123"/>
  <c r="E229" i="123"/>
  <c r="E231" i="123"/>
  <c r="E233" i="123"/>
  <c r="E235" i="123"/>
  <c r="E237" i="123"/>
  <c r="E239" i="123"/>
  <c r="E218" i="123"/>
  <c r="E220" i="123"/>
  <c r="E222" i="123"/>
  <c r="E224" i="123"/>
  <c r="E226" i="123"/>
  <c r="E228" i="123"/>
  <c r="E230" i="123"/>
  <c r="E232" i="123"/>
  <c r="E234" i="123"/>
  <c r="E236" i="123"/>
  <c r="E238" i="123"/>
  <c r="E240" i="123"/>
  <c r="E216" i="123"/>
  <c r="E212" i="123"/>
  <c r="E204" i="123"/>
  <c r="E196" i="123"/>
  <c r="E207" i="123"/>
  <c r="E199" i="123"/>
  <c r="E191" i="123"/>
  <c r="E210" i="123"/>
  <c r="E202" i="123"/>
  <c r="E194" i="123"/>
  <c r="E213" i="123"/>
  <c r="E205" i="123"/>
  <c r="E197" i="123"/>
  <c r="E189" i="123"/>
  <c r="E208" i="123"/>
  <c r="E200" i="123"/>
  <c r="E192" i="123"/>
  <c r="E211" i="123"/>
  <c r="E203" i="123"/>
  <c r="E195" i="123"/>
  <c r="E214" i="123"/>
  <c r="E206" i="123"/>
  <c r="E198" i="123"/>
  <c r="E190" i="123"/>
  <c r="E209" i="123"/>
  <c r="E201" i="123"/>
  <c r="E46" i="123"/>
  <c r="E65" i="123"/>
  <c r="E57" i="123"/>
  <c r="E48" i="123"/>
  <c r="E70" i="123"/>
  <c r="E62" i="123"/>
  <c r="E54" i="123"/>
  <c r="E63" i="123"/>
  <c r="E55" i="123"/>
  <c r="E49" i="123"/>
  <c r="E68" i="123"/>
  <c r="E60" i="123"/>
  <c r="E52" i="123"/>
  <c r="E50" i="123"/>
  <c r="E69" i="123"/>
  <c r="E61" i="123"/>
  <c r="E53" i="123"/>
  <c r="E66" i="123"/>
  <c r="E58" i="123"/>
  <c r="E67" i="123"/>
  <c r="E59" i="123"/>
  <c r="E51" i="123"/>
  <c r="E64" i="123"/>
  <c r="E56" i="123"/>
  <c r="E72" i="123"/>
  <c r="E92" i="123"/>
  <c r="E84" i="123"/>
  <c r="E76" i="123"/>
  <c r="E93" i="123"/>
  <c r="E77" i="123"/>
  <c r="E90" i="123"/>
  <c r="E82" i="123"/>
  <c r="E74" i="123"/>
  <c r="E91" i="123"/>
  <c r="E83" i="123"/>
  <c r="E75" i="123"/>
  <c r="E81" i="123"/>
  <c r="E96" i="123"/>
  <c r="E88" i="123"/>
  <c r="E80" i="123"/>
  <c r="E89" i="123"/>
  <c r="E94" i="123"/>
  <c r="E86" i="123"/>
  <c r="E78" i="123"/>
  <c r="E95" i="123"/>
  <c r="E87" i="123"/>
  <c r="E79" i="123"/>
  <c r="E85" i="123"/>
  <c r="E73" i="123"/>
  <c r="E47" i="123"/>
  <c r="F18" i="123"/>
  <c r="A22" i="123"/>
  <c r="G22" i="123" s="1"/>
  <c r="F20" i="123"/>
  <c r="C20" i="123"/>
  <c r="N47" i="12"/>
  <c r="N49" i="12"/>
  <c r="AO122" i="122"/>
  <c r="AP122" i="122"/>
  <c r="AS122" i="122"/>
  <c r="AI122" i="122"/>
  <c r="AY122" i="122"/>
  <c r="AF122" i="122"/>
  <c r="AV122" i="122"/>
  <c r="AX161" i="122"/>
  <c r="AL161" i="122"/>
  <c r="AE161" i="122"/>
  <c r="AU161" i="122"/>
  <c r="AN161" i="122"/>
  <c r="AO161" i="122"/>
  <c r="AW122" i="122"/>
  <c r="BA122" i="122"/>
  <c r="AM122" i="122"/>
  <c r="AJ122" i="122"/>
  <c r="AZ122" i="122"/>
  <c r="BB161" i="122"/>
  <c r="AI161" i="122"/>
  <c r="AY161" i="122"/>
  <c r="AR161" i="122"/>
  <c r="AS161" i="122"/>
  <c r="W128" i="8"/>
  <c r="O143" i="8"/>
  <c r="AQ122" i="122"/>
  <c r="AN122" i="122"/>
  <c r="AP161" i="122"/>
  <c r="AM161" i="122"/>
  <c r="AF161" i="122"/>
  <c r="AV161" i="122"/>
  <c r="AG161" i="122"/>
  <c r="AW161" i="122"/>
  <c r="AG122" i="122"/>
  <c r="AK122" i="122"/>
  <c r="AE122" i="122"/>
  <c r="AU122" i="122"/>
  <c r="AR122" i="122"/>
  <c r="AH161" i="122"/>
  <c r="AQ161" i="122"/>
  <c r="AJ161" i="122"/>
  <c r="AZ161" i="122"/>
  <c r="AK161" i="122"/>
  <c r="BA161" i="122"/>
  <c r="AH41" i="3"/>
  <c r="AH40" i="3"/>
  <c r="AH39" i="3"/>
  <c r="AH38" i="3"/>
  <c r="AH37" i="3"/>
  <c r="AH36" i="3"/>
  <c r="AH35" i="3"/>
  <c r="AH27" i="3"/>
  <c r="AH26" i="3"/>
  <c r="AH25" i="3"/>
  <c r="AH24" i="3"/>
  <c r="AH23" i="3"/>
  <c r="AH22" i="3"/>
  <c r="AH12" i="3"/>
  <c r="AH11" i="3"/>
  <c r="AH10" i="3"/>
  <c r="AH9" i="3"/>
  <c r="AH8" i="3"/>
  <c r="AH7" i="3"/>
  <c r="AH6" i="3"/>
  <c r="AZ50" i="12"/>
  <c r="W25" i="12"/>
  <c r="W28" i="12"/>
  <c r="AZ42" i="12"/>
  <c r="AZ44" i="12"/>
  <c r="W21" i="12"/>
  <c r="DE45" i="12"/>
  <c r="AG39" i="3"/>
  <c r="AG38" i="3"/>
  <c r="AG36" i="3"/>
  <c r="AG27" i="3"/>
  <c r="AG26" i="3"/>
  <c r="AG25" i="3"/>
  <c r="AG24" i="3"/>
  <c r="AG23" i="3"/>
  <c r="AG22" i="3"/>
  <c r="Y18" i="12"/>
  <c r="Y19" i="12"/>
  <c r="Y25" i="12"/>
  <c r="Y26" i="12"/>
  <c r="Y29" i="12"/>
  <c r="W22" i="12"/>
  <c r="AY45" i="12"/>
  <c r="W39" i="12"/>
  <c r="W31" i="12"/>
  <c r="Y20" i="12"/>
  <c r="Y33" i="12"/>
  <c r="AZ46" i="12"/>
  <c r="Y40" i="12"/>
  <c r="Y35" i="12"/>
  <c r="Y37" i="12"/>
  <c r="Y41" i="12"/>
  <c r="W33" i="12"/>
  <c r="W40" i="12"/>
  <c r="AZ45" i="12"/>
  <c r="M20" i="12"/>
  <c r="M25" i="12"/>
  <c r="M28" i="12"/>
  <c r="M22" i="12"/>
  <c r="AY43" i="12"/>
  <c r="AY47" i="12"/>
  <c r="AY49" i="12"/>
  <c r="M23" i="12"/>
  <c r="M26" i="12"/>
  <c r="M30" i="12"/>
  <c r="M39" i="12"/>
  <c r="N50" i="12"/>
  <c r="M18" i="12"/>
  <c r="AX130" i="8"/>
  <c r="W120" i="8"/>
  <c r="W143" i="8"/>
  <c r="O139" i="8"/>
  <c r="O125" i="8"/>
  <c r="AX124" i="8"/>
  <c r="AD122" i="122"/>
  <c r="BP37" i="125" s="1"/>
  <c r="AT122" i="122"/>
  <c r="AX125" i="8"/>
  <c r="O126" i="8"/>
  <c r="W130" i="8"/>
  <c r="AX141" i="8"/>
  <c r="O142" i="8"/>
  <c r="AX136" i="8"/>
  <c r="O137" i="8"/>
  <c r="W141" i="8"/>
  <c r="AX135" i="8"/>
  <c r="O136" i="8"/>
  <c r="W140" i="8"/>
  <c r="AX142" i="8"/>
  <c r="W119" i="8"/>
  <c r="W124" i="8"/>
  <c r="O120" i="8"/>
  <c r="AX119" i="8"/>
  <c r="AX138" i="8"/>
  <c r="AH122" i="122"/>
  <c r="AX122" i="122"/>
  <c r="W126" i="8"/>
  <c r="AX137" i="8"/>
  <c r="O138" i="8"/>
  <c r="W142" i="8"/>
  <c r="AX132" i="8"/>
  <c r="O133" i="8"/>
  <c r="W137" i="8"/>
  <c r="AX131" i="8"/>
  <c r="O132" i="8"/>
  <c r="W136" i="8"/>
  <c r="W122" i="8"/>
  <c r="B21" i="123"/>
  <c r="D21" i="123" s="1"/>
  <c r="W123" i="8"/>
  <c r="O119" i="8"/>
  <c r="W139" i="8"/>
  <c r="O135" i="8"/>
  <c r="O124" i="8"/>
  <c r="AX123" i="8"/>
  <c r="W121" i="8"/>
  <c r="AX133" i="8"/>
  <c r="O134" i="8"/>
  <c r="W138" i="8"/>
  <c r="AX128" i="8"/>
  <c r="O129" i="8"/>
  <c r="W133" i="8"/>
  <c r="AX127" i="8"/>
  <c r="O128" i="8"/>
  <c r="W132" i="8"/>
  <c r="AX143" i="8"/>
  <c r="W131" i="8"/>
  <c r="O127" i="8"/>
  <c r="O122" i="8"/>
  <c r="AX121" i="8"/>
  <c r="W135" i="8"/>
  <c r="O131" i="8"/>
  <c r="O123" i="8"/>
  <c r="AX122" i="8"/>
  <c r="AX134" i="8"/>
  <c r="W127" i="8"/>
  <c r="W125" i="8"/>
  <c r="O121" i="8"/>
  <c r="AX120" i="8"/>
  <c r="AX129" i="8"/>
  <c r="O130" i="8"/>
  <c r="W134" i="8"/>
  <c r="W129" i="8"/>
  <c r="AX140" i="8"/>
  <c r="O141" i="8"/>
  <c r="AX139" i="8"/>
  <c r="O140" i="8"/>
  <c r="AG34" i="3"/>
  <c r="AH34" i="3"/>
  <c r="AG21" i="3"/>
  <c r="AH21" i="3"/>
  <c r="AG13" i="3"/>
  <c r="AH13" i="3"/>
  <c r="AG28" i="3"/>
  <c r="AH28" i="3"/>
  <c r="AG5" i="3"/>
  <c r="BR5" i="125" l="1"/>
  <c r="BR12" i="125"/>
  <c r="BR29" i="125"/>
  <c r="BR11" i="125"/>
  <c r="BP5" i="125"/>
  <c r="BP12" i="125"/>
  <c r="BP29" i="125"/>
  <c r="BP11" i="125"/>
  <c r="DH33" i="125"/>
  <c r="DH16" i="125"/>
  <c r="DH17" i="125"/>
  <c r="DH18" i="125"/>
  <c r="DH19" i="125"/>
  <c r="DH34" i="125"/>
  <c r="DH31" i="125"/>
  <c r="DH24" i="125"/>
  <c r="DH21" i="125"/>
  <c r="DH6" i="125"/>
  <c r="DH7" i="125"/>
  <c r="DH22" i="125"/>
  <c r="DH38" i="125"/>
  <c r="DH35" i="125"/>
  <c r="DH28" i="125"/>
  <c r="DH25" i="125"/>
  <c r="DH40" i="125"/>
  <c r="DH8" i="125"/>
  <c r="DH9" i="125"/>
  <c r="DH10" i="125"/>
  <c r="DH26" i="125"/>
  <c r="DH23" i="125"/>
  <c r="DH39" i="125"/>
  <c r="DH32" i="125"/>
  <c r="DH41" i="125"/>
  <c r="DH13" i="125"/>
  <c r="DH14" i="125"/>
  <c r="DH15" i="125"/>
  <c r="DH30" i="125"/>
  <c r="DH27" i="125"/>
  <c r="DH20" i="125"/>
  <c r="DH36" i="125"/>
  <c r="A23" i="123"/>
  <c r="G23" i="123" s="1"/>
  <c r="C21" i="123"/>
  <c r="E20" i="123"/>
  <c r="B22" i="123"/>
  <c r="D22" i="123" s="1"/>
  <c r="E21" i="123" l="1"/>
  <c r="A24" i="123"/>
  <c r="G24" i="123" s="1"/>
  <c r="F21" i="123"/>
  <c r="C22" i="123"/>
  <c r="B23" i="123"/>
  <c r="D23" i="123" s="1"/>
  <c r="A25" i="123" l="1"/>
  <c r="G25" i="123" s="1"/>
  <c r="C23" i="123"/>
  <c r="E22" i="123"/>
  <c r="F22" i="123"/>
  <c r="B24" i="123"/>
  <c r="D24" i="123" s="1"/>
  <c r="F23" i="123" l="1"/>
  <c r="E23" i="123"/>
  <c r="A26" i="123"/>
  <c r="G26" i="123" s="1"/>
  <c r="C24" i="123"/>
  <c r="B25" i="123"/>
  <c r="D25" i="123" s="1"/>
  <c r="A27" i="123" l="1"/>
  <c r="G27" i="123" s="1"/>
  <c r="C25" i="123"/>
  <c r="E24" i="123"/>
  <c r="F24" i="123"/>
  <c r="B26" i="123"/>
  <c r="D26" i="123" s="1"/>
  <c r="F25" i="123" l="1"/>
  <c r="E25" i="123"/>
  <c r="A28" i="123"/>
  <c r="G28" i="123" s="1"/>
  <c r="C26" i="123"/>
  <c r="B27" i="123"/>
  <c r="D27" i="123" s="1"/>
  <c r="A29" i="123" l="1"/>
  <c r="G29" i="123" s="1"/>
  <c r="F27" i="123"/>
  <c r="C27" i="123"/>
  <c r="E26" i="123"/>
  <c r="F26" i="123"/>
  <c r="B28" i="123"/>
  <c r="D28" i="123" s="1"/>
  <c r="A30" i="123" l="1"/>
  <c r="G30" i="123" s="1"/>
  <c r="E27" i="123"/>
  <c r="C28" i="123"/>
  <c r="B29" i="123"/>
  <c r="D29" i="123" s="1"/>
  <c r="A31" i="123" l="1"/>
  <c r="G31" i="123" s="1"/>
  <c r="C29" i="123"/>
  <c r="E29" i="123" s="1"/>
  <c r="E28" i="123"/>
  <c r="F28" i="123"/>
  <c r="B30" i="123"/>
  <c r="D30" i="123" s="1"/>
  <c r="A32" i="123" l="1"/>
  <c r="G32" i="123" s="1"/>
  <c r="F29" i="123"/>
  <c r="C30" i="123"/>
  <c r="B31" i="123"/>
  <c r="D31" i="123" s="1"/>
  <c r="A33" i="123" l="1"/>
  <c r="G33" i="123" s="1"/>
  <c r="C31" i="123"/>
  <c r="E30" i="123"/>
  <c r="F30" i="123"/>
  <c r="B32" i="123"/>
  <c r="D32" i="123" s="1"/>
  <c r="A34" i="123" l="1"/>
  <c r="G34" i="123" s="1"/>
  <c r="E31" i="123"/>
  <c r="C32" i="123"/>
  <c r="F31" i="123"/>
  <c r="B33" i="123"/>
  <c r="D33" i="123" s="1"/>
  <c r="A35" i="123" l="1"/>
  <c r="G35" i="123" s="1"/>
  <c r="E32" i="123"/>
  <c r="C33" i="123"/>
  <c r="F32" i="123"/>
  <c r="B34" i="123"/>
  <c r="D34" i="123" s="1"/>
  <c r="A36" i="123" l="1"/>
  <c r="G36" i="123" s="1"/>
  <c r="F33" i="123"/>
  <c r="C34" i="123"/>
  <c r="E33" i="123"/>
  <c r="B35" i="123"/>
  <c r="D35" i="123" s="1"/>
  <c r="A37" i="123" l="1"/>
  <c r="G37" i="123" s="1"/>
  <c r="C35" i="123"/>
  <c r="F34" i="123"/>
  <c r="E34" i="123"/>
  <c r="B36" i="123"/>
  <c r="D36" i="123" s="1"/>
  <c r="A38" i="123" l="1"/>
  <c r="G38" i="123" s="1"/>
  <c r="E35" i="123"/>
  <c r="C36" i="123"/>
  <c r="F35" i="123"/>
  <c r="B37" i="123"/>
  <c r="D37" i="123" s="1"/>
  <c r="A39" i="123" l="1"/>
  <c r="G39" i="123" s="1"/>
  <c r="F36" i="123"/>
  <c r="C37" i="123"/>
  <c r="E36" i="123"/>
  <c r="B38" i="123"/>
  <c r="D38" i="123" s="1"/>
  <c r="A40" i="123" l="1"/>
  <c r="G40" i="123" s="1"/>
  <c r="C38" i="123"/>
  <c r="E37" i="123"/>
  <c r="F37" i="123"/>
  <c r="B39" i="123"/>
  <c r="D39" i="123" s="1"/>
  <c r="A41" i="123" l="1"/>
  <c r="G41" i="123" s="1"/>
  <c r="C39" i="123"/>
  <c r="F38" i="123"/>
  <c r="E38" i="123"/>
  <c r="B40" i="123"/>
  <c r="D40" i="123" s="1"/>
  <c r="A42" i="123" l="1"/>
  <c r="C40" i="123"/>
  <c r="E39" i="123"/>
  <c r="F39" i="123"/>
  <c r="B41" i="123"/>
  <c r="D41" i="123" s="1"/>
  <c r="G42" i="123" l="1"/>
  <c r="A43" i="123"/>
  <c r="C41" i="123"/>
  <c r="E40" i="123"/>
  <c r="F40" i="123"/>
  <c r="B42" i="123"/>
  <c r="B43" i="123" l="1"/>
  <c r="D43" i="123" s="1"/>
  <c r="D42" i="123"/>
  <c r="B44" i="123"/>
  <c r="D44" i="123" s="1"/>
  <c r="C43" i="123"/>
  <c r="A44" i="123"/>
  <c r="G43" i="123"/>
  <c r="E41" i="123"/>
  <c r="C42" i="123"/>
  <c r="F41" i="123"/>
  <c r="F43" i="123" l="1"/>
  <c r="G44" i="123"/>
  <c r="E43" i="123"/>
  <c r="C44" i="123"/>
  <c r="F42" i="123"/>
  <c r="E42" i="123"/>
  <c r="F44" i="123" l="1"/>
  <c r="E44" i="123"/>
  <c r="BK7" i="25"/>
  <c r="BK3" i="25"/>
  <c r="P6" i="3" l="1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BB41" i="12" l="1"/>
  <c r="BA41" i="12"/>
  <c r="V41" i="12"/>
  <c r="I41" i="12"/>
  <c r="AC41" i="12"/>
  <c r="AK41" i="12"/>
  <c r="AW41" i="12"/>
  <c r="X41" i="12"/>
  <c r="P41" i="12"/>
  <c r="AS41" i="12"/>
  <c r="Z41" i="12"/>
  <c r="AG41" i="12"/>
  <c r="AO41" i="12"/>
  <c r="BB37" i="12"/>
  <c r="AO37" i="12"/>
  <c r="V37" i="12"/>
  <c r="AC37" i="12"/>
  <c r="AS37" i="12"/>
  <c r="I37" i="12"/>
  <c r="AG37" i="12"/>
  <c r="AW37" i="12"/>
  <c r="AK37" i="12"/>
  <c r="BA37" i="12"/>
  <c r="Z37" i="12"/>
  <c r="X37" i="12"/>
  <c r="P37" i="12"/>
  <c r="V33" i="12"/>
  <c r="BB33" i="12"/>
  <c r="AS33" i="12"/>
  <c r="AC33" i="12"/>
  <c r="AO33" i="12"/>
  <c r="BA33" i="12"/>
  <c r="AK33" i="12"/>
  <c r="I33" i="12"/>
  <c r="AW33" i="12"/>
  <c r="AG33" i="12"/>
  <c r="X33" i="12"/>
  <c r="P33" i="12"/>
  <c r="Z33" i="12"/>
  <c r="AO29" i="12"/>
  <c r="V29" i="12"/>
  <c r="BA29" i="12"/>
  <c r="BB29" i="12"/>
  <c r="I29" i="12"/>
  <c r="AS29" i="12"/>
  <c r="AK29" i="12"/>
  <c r="X29" i="12"/>
  <c r="AC29" i="12"/>
  <c r="Z29" i="12"/>
  <c r="AW29" i="12"/>
  <c r="AG29" i="12"/>
  <c r="P29" i="12"/>
  <c r="V25" i="12"/>
  <c r="AC25" i="12"/>
  <c r="AO25" i="12"/>
  <c r="AS25" i="12"/>
  <c r="BA25" i="12"/>
  <c r="BB25" i="12"/>
  <c r="I25" i="12"/>
  <c r="AG25" i="12"/>
  <c r="X25" i="12"/>
  <c r="AW25" i="12"/>
  <c r="AK25" i="12"/>
  <c r="Z25" i="12"/>
  <c r="P25" i="12"/>
  <c r="BA21" i="12"/>
  <c r="AS21" i="12"/>
  <c r="AK21" i="12"/>
  <c r="AW21" i="12"/>
  <c r="I21" i="12"/>
  <c r="AC21" i="12"/>
  <c r="AO21" i="12"/>
  <c r="V21" i="12"/>
  <c r="BB21" i="12"/>
  <c r="AG21" i="12"/>
  <c r="X21" i="12"/>
  <c r="Z21" i="12"/>
  <c r="P21" i="12"/>
  <c r="V40" i="12"/>
  <c r="BB40" i="12"/>
  <c r="AG40" i="12"/>
  <c r="AW40" i="12"/>
  <c r="BA40" i="12"/>
  <c r="AK40" i="12"/>
  <c r="I40" i="12"/>
  <c r="AO40" i="12"/>
  <c r="X40" i="12"/>
  <c r="AS40" i="12"/>
  <c r="AC40" i="12"/>
  <c r="Z40" i="12"/>
  <c r="P40" i="12"/>
  <c r="I36" i="12"/>
  <c r="BA36" i="12"/>
  <c r="V36" i="12"/>
  <c r="P36" i="12"/>
  <c r="AK36" i="12"/>
  <c r="AO36" i="12"/>
  <c r="BB36" i="12"/>
  <c r="AW36" i="12"/>
  <c r="AC36" i="12"/>
  <c r="AG36" i="12"/>
  <c r="Z36" i="12"/>
  <c r="AS36" i="12"/>
  <c r="X36" i="12"/>
  <c r="BA32" i="12"/>
  <c r="V32" i="12"/>
  <c r="AG32" i="12"/>
  <c r="I32" i="12"/>
  <c r="AW32" i="12"/>
  <c r="BB32" i="12"/>
  <c r="AK32" i="12"/>
  <c r="AS32" i="12"/>
  <c r="P32" i="12"/>
  <c r="AO32" i="12"/>
  <c r="X32" i="12"/>
  <c r="Z32" i="12"/>
  <c r="AC32" i="12"/>
  <c r="I28" i="12"/>
  <c r="AG28" i="12"/>
  <c r="BA28" i="12"/>
  <c r="V28" i="12"/>
  <c r="AK28" i="12"/>
  <c r="AO28" i="12"/>
  <c r="BB28" i="12"/>
  <c r="Z28" i="12"/>
  <c r="X28" i="12"/>
  <c r="AS28" i="12"/>
  <c r="AC28" i="12"/>
  <c r="AW28" i="12"/>
  <c r="P28" i="12"/>
  <c r="BA24" i="12"/>
  <c r="I24" i="12"/>
  <c r="AW24" i="12"/>
  <c r="BB24" i="12"/>
  <c r="AO24" i="12"/>
  <c r="AG24" i="12"/>
  <c r="V24" i="12"/>
  <c r="AC24" i="12"/>
  <c r="AS24" i="12"/>
  <c r="AK24" i="12"/>
  <c r="Z24" i="12"/>
  <c r="P24" i="12"/>
  <c r="X24" i="12"/>
  <c r="BA20" i="12"/>
  <c r="V20" i="12"/>
  <c r="AS20" i="12"/>
  <c r="BB20" i="12"/>
  <c r="I20" i="12"/>
  <c r="AG20" i="12"/>
  <c r="AO20" i="12"/>
  <c r="AK20" i="12"/>
  <c r="X20" i="12"/>
  <c r="AC20" i="12"/>
  <c r="Z20" i="12"/>
  <c r="AW20" i="12"/>
  <c r="P20" i="12"/>
  <c r="BB39" i="12"/>
  <c r="I39" i="12"/>
  <c r="AS39" i="12"/>
  <c r="BA39" i="12"/>
  <c r="V39" i="12"/>
  <c r="AK39" i="12"/>
  <c r="X39" i="12"/>
  <c r="AO39" i="12"/>
  <c r="Z39" i="12"/>
  <c r="AG39" i="12"/>
  <c r="AW39" i="12"/>
  <c r="AC39" i="12"/>
  <c r="P39" i="12"/>
  <c r="V35" i="12"/>
  <c r="BB35" i="12"/>
  <c r="AO35" i="12"/>
  <c r="I35" i="12"/>
  <c r="BA35" i="12"/>
  <c r="AK35" i="12"/>
  <c r="AW35" i="12"/>
  <c r="AG35" i="12"/>
  <c r="AS35" i="12"/>
  <c r="AC35" i="12"/>
  <c r="P35" i="12"/>
  <c r="X35" i="12"/>
  <c r="Z35" i="12"/>
  <c r="V31" i="12"/>
  <c r="BB31" i="12"/>
  <c r="I31" i="12"/>
  <c r="BA31" i="12"/>
  <c r="AK31" i="12"/>
  <c r="AW31" i="12"/>
  <c r="AG31" i="12"/>
  <c r="AS31" i="12"/>
  <c r="AC31" i="12"/>
  <c r="AO31" i="12"/>
  <c r="Z31" i="12"/>
  <c r="X31" i="12"/>
  <c r="P31" i="12"/>
  <c r="AC27" i="12"/>
  <c r="V27" i="12"/>
  <c r="AO27" i="12"/>
  <c r="BA27" i="12"/>
  <c r="BB27" i="12"/>
  <c r="I27" i="12"/>
  <c r="P27" i="12"/>
  <c r="X27" i="12"/>
  <c r="AG27" i="12"/>
  <c r="AW27" i="12"/>
  <c r="Z27" i="12"/>
  <c r="AK27" i="12"/>
  <c r="AS27" i="12"/>
  <c r="I23" i="12"/>
  <c r="V23" i="12"/>
  <c r="BB23" i="12"/>
  <c r="AS23" i="12"/>
  <c r="BA23" i="12"/>
  <c r="AG23" i="12"/>
  <c r="AC23" i="12"/>
  <c r="AW23" i="12"/>
  <c r="AK23" i="12"/>
  <c r="Z23" i="12"/>
  <c r="X23" i="12"/>
  <c r="AO23" i="12"/>
  <c r="P23" i="12"/>
  <c r="V19" i="12"/>
  <c r="AO19" i="12"/>
  <c r="BA19" i="12"/>
  <c r="I19" i="12"/>
  <c r="BB19" i="12"/>
  <c r="X19" i="12"/>
  <c r="AW19" i="12"/>
  <c r="AK19" i="12"/>
  <c r="AS19" i="12"/>
  <c r="AG19" i="12"/>
  <c r="AC19" i="12"/>
  <c r="Z19" i="12"/>
  <c r="P19" i="12"/>
  <c r="V38" i="12"/>
  <c r="P38" i="12"/>
  <c r="BA38" i="12"/>
  <c r="BB38" i="12"/>
  <c r="I38" i="12"/>
  <c r="AC38" i="12"/>
  <c r="Z38" i="12"/>
  <c r="AW38" i="12"/>
  <c r="AO38" i="12"/>
  <c r="AS38" i="12"/>
  <c r="AK38" i="12"/>
  <c r="X38" i="12"/>
  <c r="AG38" i="12"/>
  <c r="I34" i="12"/>
  <c r="AC34" i="12"/>
  <c r="AG34" i="12"/>
  <c r="AK34" i="12"/>
  <c r="AO34" i="12"/>
  <c r="AS34" i="12"/>
  <c r="AW34" i="12"/>
  <c r="BB34" i="12"/>
  <c r="BA34" i="12"/>
  <c r="P34" i="12"/>
  <c r="V34" i="12"/>
  <c r="X34" i="12"/>
  <c r="Z34" i="12"/>
  <c r="I30" i="12"/>
  <c r="AG30" i="12"/>
  <c r="BB30" i="12"/>
  <c r="V30" i="12"/>
  <c r="BA30" i="12"/>
  <c r="AO30" i="12"/>
  <c r="AC30" i="12"/>
  <c r="AS30" i="12"/>
  <c r="Z30" i="12"/>
  <c r="X30" i="12"/>
  <c r="AK30" i="12"/>
  <c r="AW30" i="12"/>
  <c r="P30" i="12"/>
  <c r="I26" i="12"/>
  <c r="V26" i="12"/>
  <c r="BA26" i="12"/>
  <c r="BB26" i="12"/>
  <c r="AG26" i="12"/>
  <c r="AO26" i="12"/>
  <c r="AW26" i="12"/>
  <c r="AS26" i="12"/>
  <c r="Z26" i="12"/>
  <c r="AC26" i="12"/>
  <c r="AK26" i="12"/>
  <c r="X26" i="12"/>
  <c r="P26" i="12"/>
  <c r="V22" i="12"/>
  <c r="BA22" i="12"/>
  <c r="AW22" i="12"/>
  <c r="BB22" i="12"/>
  <c r="I22" i="12"/>
  <c r="AC22" i="12"/>
  <c r="X22" i="12"/>
  <c r="AS22" i="12"/>
  <c r="AG22" i="12"/>
  <c r="AK22" i="12"/>
  <c r="AO22" i="12"/>
  <c r="Z22" i="12"/>
  <c r="P22" i="12"/>
  <c r="V18" i="12"/>
  <c r="BA18" i="12"/>
  <c r="BB18" i="12"/>
  <c r="I18" i="12"/>
  <c r="AC18" i="12"/>
  <c r="AW18" i="12"/>
  <c r="AO18" i="12"/>
  <c r="AK18" i="12"/>
  <c r="AG18" i="12"/>
  <c r="AS18" i="12"/>
  <c r="Z18" i="12"/>
  <c r="X18" i="12"/>
  <c r="P18" i="12"/>
  <c r="E1" i="3"/>
  <c r="E2" i="3"/>
  <c r="BR36" i="12" l="1"/>
  <c r="BS36" i="12"/>
  <c r="BP36" i="12"/>
  <c r="BP35" i="12"/>
  <c r="BS35" i="12"/>
  <c r="BR35" i="12"/>
  <c r="BP37" i="12"/>
  <c r="BS37" i="12"/>
  <c r="BR37" i="12"/>
  <c r="BS29" i="12"/>
  <c r="BR29" i="12"/>
  <c r="BP29" i="12"/>
  <c r="K22" i="12"/>
  <c r="K26" i="12"/>
  <c r="AT26" i="12"/>
  <c r="K34" i="12"/>
  <c r="AP26" i="12"/>
  <c r="AL34" i="12"/>
  <c r="K35" i="12"/>
  <c r="AT22" i="12"/>
  <c r="AX22" i="12"/>
  <c r="K30" i="12"/>
  <c r="AX34" i="12"/>
  <c r="K38" i="12"/>
  <c r="K23" i="12"/>
  <c r="AX23" i="12"/>
  <c r="AX27" i="12"/>
  <c r="K27" i="12"/>
  <c r="AL35" i="12"/>
  <c r="AP35" i="12"/>
  <c r="K18" i="12"/>
  <c r="AP22" i="12"/>
  <c r="AL26" i="12"/>
  <c r="AT34" i="12"/>
  <c r="AX38" i="12"/>
  <c r="K19" i="12"/>
  <c r="AL19" i="12"/>
  <c r="AT23" i="12"/>
  <c r="AT27" i="12"/>
  <c r="AP27" i="12"/>
  <c r="K31" i="12"/>
  <c r="AT35" i="12"/>
  <c r="AL39" i="12"/>
  <c r="K39" i="12"/>
  <c r="K24" i="12"/>
  <c r="AL32" i="12"/>
  <c r="K32" i="12"/>
  <c r="AP32" i="12"/>
  <c r="K40" i="12"/>
  <c r="K37" i="12"/>
  <c r="AX20" i="12"/>
  <c r="AL24" i="12"/>
  <c r="AX24" i="12"/>
  <c r="K28" i="12"/>
  <c r="K36" i="12"/>
  <c r="AT40" i="12"/>
  <c r="AL21" i="12"/>
  <c r="K25" i="12"/>
  <c r="K29" i="12"/>
  <c r="AP29" i="12"/>
  <c r="K41" i="12"/>
  <c r="K20" i="12"/>
  <c r="AP28" i="12"/>
  <c r="AT32" i="12"/>
  <c r="AP36" i="12"/>
  <c r="AL29" i="12"/>
  <c r="AX37" i="12"/>
  <c r="AT39" i="12"/>
  <c r="AL20" i="12"/>
  <c r="AP24" i="12"/>
  <c r="AX28" i="12"/>
  <c r="AT28" i="12"/>
  <c r="AL28" i="12"/>
  <c r="AX32" i="12"/>
  <c r="AP40" i="12"/>
  <c r="AL40" i="12"/>
  <c r="AX40" i="12"/>
  <c r="K21" i="12"/>
  <c r="AP21" i="12"/>
  <c r="AX29" i="12"/>
  <c r="AX33" i="12"/>
  <c r="K33" i="12"/>
  <c r="AT33" i="12"/>
  <c r="AL37" i="12"/>
  <c r="AP37" i="12"/>
  <c r="AY30" i="12"/>
  <c r="AD30" i="12"/>
  <c r="Q34" i="12"/>
  <c r="DH34" i="12"/>
  <c r="AY34" i="12"/>
  <c r="AD34" i="12"/>
  <c r="BC35" i="12"/>
  <c r="Q37" i="12"/>
  <c r="BC18" i="12"/>
  <c r="AH23" i="12"/>
  <c r="AH27" i="12"/>
  <c r="AY28" i="12"/>
  <c r="AD28" i="12"/>
  <c r="AH25" i="12"/>
  <c r="BC34" i="12"/>
  <c r="AD31" i="12"/>
  <c r="AY31" i="12"/>
  <c r="AH35" i="12"/>
  <c r="AH39" i="12"/>
  <c r="BC39" i="12"/>
  <c r="AY20" i="12"/>
  <c r="AD20" i="12"/>
  <c r="AH20" i="12"/>
  <c r="BC20" i="12"/>
  <c r="AD24" i="12"/>
  <c r="AY24" i="12"/>
  <c r="BC28" i="12"/>
  <c r="AH32" i="12"/>
  <c r="DH36" i="12"/>
  <c r="Q36" i="12"/>
  <c r="BC40" i="12"/>
  <c r="AY21" i="12"/>
  <c r="AD21" i="12"/>
  <c r="AD29" i="12"/>
  <c r="AY29" i="12"/>
  <c r="Q20" i="12"/>
  <c r="DH20" i="12"/>
  <c r="DH32" i="12"/>
  <c r="Q32" i="12"/>
  <c r="BC36" i="12"/>
  <c r="AY40" i="12"/>
  <c r="AD40" i="12"/>
  <c r="AH21" i="12"/>
  <c r="AH18" i="12"/>
  <c r="AD26" i="12"/>
  <c r="AY26" i="12"/>
  <c r="Q22" i="12"/>
  <c r="DH22" i="12"/>
  <c r="DH30" i="12"/>
  <c r="Q30" i="12"/>
  <c r="AH30" i="12"/>
  <c r="AD38" i="12"/>
  <c r="AY38" i="12"/>
  <c r="BC38" i="12"/>
  <c r="Q38" i="12"/>
  <c r="DH38" i="12"/>
  <c r="Q19" i="12"/>
  <c r="DH19" i="12"/>
  <c r="AD19" i="12"/>
  <c r="AY19" i="12"/>
  <c r="BC19" i="12"/>
  <c r="DH23" i="12"/>
  <c r="Q23" i="12"/>
  <c r="DH27" i="12"/>
  <c r="Q27" i="12"/>
  <c r="BC27" i="12"/>
  <c r="AD27" i="12"/>
  <c r="AY27" i="12"/>
  <c r="Q31" i="12"/>
  <c r="DH31" i="12"/>
  <c r="Q35" i="12"/>
  <c r="DH35" i="12"/>
  <c r="DH39" i="12"/>
  <c r="Q39" i="12"/>
  <c r="AH24" i="12"/>
  <c r="AY32" i="12"/>
  <c r="AD32" i="12"/>
  <c r="AY36" i="12"/>
  <c r="AD36" i="12"/>
  <c r="DH40" i="12"/>
  <c r="Q40" i="12"/>
  <c r="DH25" i="12"/>
  <c r="Q25" i="12"/>
  <c r="AY25" i="12"/>
  <c r="AD25" i="12"/>
  <c r="Q29" i="12"/>
  <c r="AH33" i="12"/>
  <c r="AD33" i="12"/>
  <c r="AY33" i="12"/>
  <c r="BC37" i="12"/>
  <c r="AY37" i="12"/>
  <c r="AD37" i="12"/>
  <c r="DH41" i="12"/>
  <c r="Q41" i="12"/>
  <c r="AD41" i="12"/>
  <c r="AY41" i="12"/>
  <c r="BC41" i="12"/>
  <c r="DH18" i="12"/>
  <c r="Q18" i="12"/>
  <c r="BC22" i="12"/>
  <c r="DH26" i="12"/>
  <c r="Q26" i="12"/>
  <c r="AH31" i="12"/>
  <c r="BC31" i="12"/>
  <c r="DH28" i="12"/>
  <c r="Q28" i="12"/>
  <c r="AH36" i="12"/>
  <c r="AH40" i="12"/>
  <c r="Q21" i="12"/>
  <c r="DH21" i="12"/>
  <c r="BC21" i="12"/>
  <c r="AH22" i="12"/>
  <c r="AY18" i="12"/>
  <c r="AD18" i="12"/>
  <c r="AD22" i="12"/>
  <c r="AY22" i="12"/>
  <c r="AH26" i="12"/>
  <c r="BC26" i="12"/>
  <c r="BC30" i="12"/>
  <c r="AH34" i="12"/>
  <c r="AH38" i="12"/>
  <c r="AH19" i="12"/>
  <c r="AY23" i="12"/>
  <c r="AD23" i="12"/>
  <c r="BC23" i="12"/>
  <c r="AY35" i="12"/>
  <c r="AD35" i="12"/>
  <c r="AD39" i="12"/>
  <c r="AY39" i="12"/>
  <c r="Q24" i="12"/>
  <c r="DH24" i="12"/>
  <c r="BC24" i="12"/>
  <c r="AH28" i="12"/>
  <c r="BC32" i="12"/>
  <c r="BC25" i="12"/>
  <c r="AH29" i="12"/>
  <c r="BC29" i="12"/>
  <c r="Q33" i="12"/>
  <c r="DH33" i="12"/>
  <c r="BC33" i="12"/>
  <c r="AH37" i="12"/>
  <c r="AH41" i="12"/>
  <c r="AZ40" i="12" l="1"/>
  <c r="AR41" i="12"/>
  <c r="O41" i="12"/>
  <c r="N41" i="12"/>
  <c r="AV41" i="12"/>
  <c r="AJ41" i="12"/>
  <c r="AF41" i="12"/>
  <c r="AB41" i="12"/>
  <c r="AN41" i="12"/>
  <c r="AR25" i="12"/>
  <c r="AN25" i="12"/>
  <c r="AB25" i="12"/>
  <c r="N25" i="12"/>
  <c r="AV25" i="12"/>
  <c r="AJ25" i="12"/>
  <c r="AF25" i="12"/>
  <c r="O25" i="12"/>
  <c r="AV37" i="12"/>
  <c r="AF37" i="12"/>
  <c r="AJ37" i="12"/>
  <c r="AR37" i="12"/>
  <c r="AN37" i="12"/>
  <c r="AB37" i="12"/>
  <c r="N37" i="12"/>
  <c r="O37" i="12"/>
  <c r="AX36" i="12"/>
  <c r="N31" i="12"/>
  <c r="AV31" i="12"/>
  <c r="AF31" i="12"/>
  <c r="AR31" i="12"/>
  <c r="AJ31" i="12"/>
  <c r="AB31" i="12"/>
  <c r="O31" i="12"/>
  <c r="AN31" i="12"/>
  <c r="AV18" i="12"/>
  <c r="AF18" i="12"/>
  <c r="AR18" i="12"/>
  <c r="AB18" i="12"/>
  <c r="AN18" i="12"/>
  <c r="AJ18" i="12"/>
  <c r="N18" i="12"/>
  <c r="O18" i="12"/>
  <c r="N38" i="12"/>
  <c r="O38" i="12"/>
  <c r="AR38" i="12"/>
  <c r="AJ38" i="12"/>
  <c r="AN38" i="12"/>
  <c r="AF38" i="12"/>
  <c r="AV38" i="12"/>
  <c r="AB38" i="12"/>
  <c r="AV30" i="12"/>
  <c r="AB30" i="12"/>
  <c r="AF30" i="12"/>
  <c r="AJ30" i="12"/>
  <c r="AR30" i="12"/>
  <c r="AN30" i="12"/>
  <c r="N30" i="12"/>
  <c r="O30" i="12"/>
  <c r="AT18" i="12"/>
  <c r="AP23" i="12"/>
  <c r="AP38" i="12"/>
  <c r="AJ34" i="12"/>
  <c r="N34" i="12"/>
  <c r="AV34" i="12"/>
  <c r="AF34" i="12"/>
  <c r="AR34" i="12"/>
  <c r="AB34" i="12"/>
  <c r="O34" i="12"/>
  <c r="AN34" i="12"/>
  <c r="AB22" i="12"/>
  <c r="AN22" i="12"/>
  <c r="AV22" i="12"/>
  <c r="AF22" i="12"/>
  <c r="AJ22" i="12"/>
  <c r="AR22" i="12"/>
  <c r="N22" i="12"/>
  <c r="O22" i="12"/>
  <c r="AJ33" i="12"/>
  <c r="AB33" i="12"/>
  <c r="AV33" i="12"/>
  <c r="N33" i="12"/>
  <c r="AF33" i="12"/>
  <c r="AR33" i="12"/>
  <c r="AN33" i="12"/>
  <c r="O33" i="12"/>
  <c r="AR21" i="12"/>
  <c r="AB21" i="12"/>
  <c r="AN21" i="12"/>
  <c r="AJ21" i="12"/>
  <c r="N21" i="12"/>
  <c r="AV21" i="12"/>
  <c r="AF21" i="12"/>
  <c r="O21" i="12"/>
  <c r="AL33" i="12"/>
  <c r="AT21" i="12"/>
  <c r="AN20" i="12"/>
  <c r="AR20" i="12"/>
  <c r="AB20" i="12"/>
  <c r="AV20" i="12"/>
  <c r="AJ20" i="12"/>
  <c r="AF20" i="12"/>
  <c r="N20" i="12"/>
  <c r="O20" i="12"/>
  <c r="AT37" i="12"/>
  <c r="AZ37" i="12" s="1"/>
  <c r="AJ29" i="12"/>
  <c r="AN29" i="12"/>
  <c r="AV29" i="12"/>
  <c r="AB29" i="12"/>
  <c r="N29" i="12"/>
  <c r="O29" i="12"/>
  <c r="AF29" i="12"/>
  <c r="AR29" i="12"/>
  <c r="AT36" i="12"/>
  <c r="AT20" i="12"/>
  <c r="AT25" i="12"/>
  <c r="N40" i="12"/>
  <c r="AF40" i="12"/>
  <c r="AJ40" i="12"/>
  <c r="AN40" i="12"/>
  <c r="AV40" i="12"/>
  <c r="AB40" i="12"/>
  <c r="AR40" i="12"/>
  <c r="O40" i="12"/>
  <c r="AR24" i="12"/>
  <c r="AF24" i="12"/>
  <c r="AB24" i="12"/>
  <c r="AN24" i="12"/>
  <c r="AV24" i="12"/>
  <c r="N24" i="12"/>
  <c r="AJ24" i="12"/>
  <c r="O24" i="12"/>
  <c r="AP20" i="12"/>
  <c r="AL23" i="12"/>
  <c r="AL38" i="12"/>
  <c r="AL31" i="12"/>
  <c r="AP19" i="12"/>
  <c r="AR35" i="12"/>
  <c r="AV35" i="12"/>
  <c r="AB35" i="12"/>
  <c r="AF35" i="12"/>
  <c r="AJ35" i="12"/>
  <c r="N35" i="12"/>
  <c r="O35" i="12"/>
  <c r="AN35" i="12"/>
  <c r="AT31" i="12"/>
  <c r="AX31" i="12"/>
  <c r="AP30" i="12"/>
  <c r="AX26" i="12"/>
  <c r="AZ26" i="12" s="1"/>
  <c r="AZ32" i="12"/>
  <c r="AP41" i="12"/>
  <c r="AL41" i="12"/>
  <c r="AJ36" i="12"/>
  <c r="O36" i="12"/>
  <c r="AV36" i="12"/>
  <c r="AF36" i="12"/>
  <c r="AR36" i="12"/>
  <c r="AB36" i="12"/>
  <c r="AN36" i="12"/>
  <c r="N36" i="12"/>
  <c r="AX25" i="12"/>
  <c r="AF32" i="12"/>
  <c r="N32" i="12"/>
  <c r="AV32" i="12"/>
  <c r="AR32" i="12"/>
  <c r="AB32" i="12"/>
  <c r="AJ32" i="12"/>
  <c r="AN32" i="12"/>
  <c r="O32" i="12"/>
  <c r="AJ39" i="12"/>
  <c r="AR39" i="12"/>
  <c r="AV39" i="12"/>
  <c r="AF39" i="12"/>
  <c r="AB39" i="12"/>
  <c r="N39" i="12"/>
  <c r="AN39" i="12"/>
  <c r="O39" i="12"/>
  <c r="AX39" i="12"/>
  <c r="O19" i="12"/>
  <c r="AN19" i="12"/>
  <c r="AV19" i="12"/>
  <c r="AR19" i="12"/>
  <c r="AB19" i="12"/>
  <c r="AJ19" i="12"/>
  <c r="N19" i="12"/>
  <c r="AF19" i="12"/>
  <c r="AP39" i="12"/>
  <c r="AJ23" i="12"/>
  <c r="AR23" i="12"/>
  <c r="AV23" i="12"/>
  <c r="AB23" i="12"/>
  <c r="AF23" i="12"/>
  <c r="AN23" i="12"/>
  <c r="N23" i="12"/>
  <c r="O23" i="12"/>
  <c r="AT30" i="12"/>
  <c r="AX18" i="12"/>
  <c r="AP31" i="12"/>
  <c r="AT19" i="12"/>
  <c r="AL18" i="12"/>
  <c r="AP34" i="12"/>
  <c r="AZ34" i="12" s="1"/>
  <c r="AL22" i="12"/>
  <c r="AZ22" i="12" s="1"/>
  <c r="AT41" i="12"/>
  <c r="AP33" i="12"/>
  <c r="AP25" i="12"/>
  <c r="AL25" i="12"/>
  <c r="AR28" i="12"/>
  <c r="AV28" i="12"/>
  <c r="AN28" i="12"/>
  <c r="AJ28" i="12"/>
  <c r="AB28" i="12"/>
  <c r="AF28" i="12"/>
  <c r="N28" i="12"/>
  <c r="O28" i="12"/>
  <c r="AX41" i="12"/>
  <c r="AT29" i="12"/>
  <c r="AZ29" i="12" s="1"/>
  <c r="AX21" i="12"/>
  <c r="AL36" i="12"/>
  <c r="AZ36" i="12" s="1"/>
  <c r="AT24" i="12"/>
  <c r="AL30" i="12"/>
  <c r="AJ27" i="12"/>
  <c r="N27" i="12"/>
  <c r="AN27" i="12"/>
  <c r="AR27" i="12"/>
  <c r="AF27" i="12"/>
  <c r="AV27" i="12"/>
  <c r="AB27" i="12"/>
  <c r="O27" i="12"/>
  <c r="AX19" i="12"/>
  <c r="AX30" i="12"/>
  <c r="AP18" i="12"/>
  <c r="AX35" i="12"/>
  <c r="AZ35" i="12" s="1"/>
  <c r="AL27" i="12"/>
  <c r="AZ27" i="12" s="1"/>
  <c r="AT38" i="12"/>
  <c r="AZ38" i="12" s="1"/>
  <c r="AF26" i="12"/>
  <c r="AV26" i="12"/>
  <c r="AR26" i="12"/>
  <c r="AN26" i="12"/>
  <c r="N26" i="12"/>
  <c r="AB26" i="12"/>
  <c r="AJ26" i="12"/>
  <c r="O26" i="12"/>
  <c r="AZ24" i="12"/>
  <c r="T24" i="12"/>
  <c r="R24" i="12"/>
  <c r="S24" i="12"/>
  <c r="U24" i="12"/>
  <c r="R41" i="12"/>
  <c r="S41" i="12"/>
  <c r="U41" i="12"/>
  <c r="T41" i="12"/>
  <c r="S25" i="12"/>
  <c r="T25" i="12"/>
  <c r="R25" i="12"/>
  <c r="U25" i="12"/>
  <c r="U40" i="12"/>
  <c r="R40" i="12"/>
  <c r="S40" i="12"/>
  <c r="T40" i="12"/>
  <c r="U31" i="12"/>
  <c r="S31" i="12"/>
  <c r="T31" i="12"/>
  <c r="R31" i="12"/>
  <c r="S23" i="12"/>
  <c r="T23" i="12"/>
  <c r="U23" i="12"/>
  <c r="R23" i="12"/>
  <c r="S19" i="12"/>
  <c r="R19" i="12"/>
  <c r="U19" i="12"/>
  <c r="T19" i="12"/>
  <c r="R30" i="12"/>
  <c r="S30" i="12"/>
  <c r="T30" i="12"/>
  <c r="U30" i="12"/>
  <c r="R22" i="12"/>
  <c r="U22" i="12"/>
  <c r="T22" i="12"/>
  <c r="S22" i="12"/>
  <c r="T20" i="12"/>
  <c r="U20" i="12"/>
  <c r="R20" i="12"/>
  <c r="S20" i="12"/>
  <c r="T29" i="12"/>
  <c r="S29" i="12"/>
  <c r="U29" i="12"/>
  <c r="R29" i="12"/>
  <c r="R39" i="12"/>
  <c r="U39" i="12"/>
  <c r="S39" i="12"/>
  <c r="T39" i="12"/>
  <c r="S32" i="12"/>
  <c r="T32" i="12"/>
  <c r="U32" i="12"/>
  <c r="R32" i="12"/>
  <c r="R36" i="12"/>
  <c r="T36" i="12"/>
  <c r="U36" i="12"/>
  <c r="S36" i="12"/>
  <c r="AZ28" i="12"/>
  <c r="S37" i="12"/>
  <c r="T37" i="12"/>
  <c r="R37" i="12"/>
  <c r="U37" i="12"/>
  <c r="R34" i="12"/>
  <c r="T34" i="12"/>
  <c r="U34" i="12"/>
  <c r="S34" i="12"/>
  <c r="U21" i="12"/>
  <c r="T21" i="12"/>
  <c r="R21" i="12"/>
  <c r="S21" i="12"/>
  <c r="R18" i="12"/>
  <c r="S18" i="12"/>
  <c r="U18" i="12"/>
  <c r="T18" i="12"/>
  <c r="T35" i="12"/>
  <c r="R35" i="12"/>
  <c r="U35" i="12"/>
  <c r="S35" i="12"/>
  <c r="T27" i="12"/>
  <c r="R27" i="12"/>
  <c r="U27" i="12"/>
  <c r="S27" i="12"/>
  <c r="U38" i="12"/>
  <c r="R38" i="12"/>
  <c r="T38" i="12"/>
  <c r="S38" i="12"/>
  <c r="S33" i="12"/>
  <c r="T33" i="12"/>
  <c r="R33" i="12"/>
  <c r="U33" i="12"/>
  <c r="S28" i="12"/>
  <c r="U28" i="12"/>
  <c r="T28" i="12"/>
  <c r="R28" i="12"/>
  <c r="R26" i="12"/>
  <c r="U26" i="12"/>
  <c r="S26" i="12"/>
  <c r="T26" i="12"/>
  <c r="AZ39" i="12" l="1"/>
  <c r="AZ20" i="12"/>
  <c r="AZ19" i="12"/>
  <c r="AZ41" i="12"/>
  <c r="AZ31" i="12"/>
  <c r="AZ21" i="12"/>
  <c r="AZ30" i="12"/>
  <c r="AZ23" i="12"/>
  <c r="AZ25" i="12"/>
  <c r="AZ18" i="12"/>
  <c r="AZ33" i="12"/>
  <c r="G52" i="101" l="1"/>
  <c r="G58" i="101" l="1"/>
  <c r="D66" i="101" l="1"/>
  <c r="J13" i="119" l="1"/>
  <c r="G55" i="101" l="1"/>
  <c r="G54" i="101"/>
  <c r="G53" i="101"/>
  <c r="G59" i="101" l="1"/>
  <c r="U288" i="8" l="1"/>
  <c r="U289" i="8" s="1"/>
  <c r="U290" i="8" s="1"/>
  <c r="U291" i="8" s="1"/>
  <c r="U292" i="8" s="1"/>
  <c r="U293" i="8" s="1"/>
  <c r="U294" i="8" s="1"/>
  <c r="U295" i="8" s="1"/>
  <c r="U296" i="8" s="1"/>
  <c r="U297" i="8" s="1"/>
  <c r="U298" i="8" s="1"/>
  <c r="U299" i="8" s="1"/>
  <c r="U300" i="8" s="1"/>
  <c r="U301" i="8" s="1"/>
  <c r="U302" i="8" s="1"/>
  <c r="U303" i="8" s="1"/>
  <c r="U304" i="8" s="1"/>
  <c r="U305" i="8" s="1"/>
  <c r="U306" i="8" s="1"/>
  <c r="U307" i="8" s="1"/>
  <c r="CI185" i="8" l="1"/>
  <c r="CJ185" i="8"/>
  <c r="CI186" i="8"/>
  <c r="CJ186" i="8"/>
  <c r="CI187" i="8"/>
  <c r="CJ187" i="8"/>
  <c r="CI188" i="8"/>
  <c r="CJ188" i="8"/>
  <c r="CI189" i="8"/>
  <c r="CJ189" i="8"/>
  <c r="CI190" i="8"/>
  <c r="CJ190" i="8"/>
  <c r="CI191" i="8"/>
  <c r="CJ191" i="8"/>
  <c r="CI192" i="8"/>
  <c r="CJ192" i="8"/>
  <c r="CI193" i="8"/>
  <c r="CJ193" i="8"/>
  <c r="CI194" i="8"/>
  <c r="CJ194" i="8"/>
  <c r="CI195" i="8"/>
  <c r="CJ195" i="8"/>
  <c r="CI196" i="8"/>
  <c r="CJ196" i="8"/>
  <c r="CI197" i="8"/>
  <c r="CJ197" i="8"/>
  <c r="CI198" i="8"/>
  <c r="CJ198" i="8"/>
  <c r="CI199" i="8"/>
  <c r="CJ199" i="8"/>
  <c r="CI200" i="8"/>
  <c r="CJ200" i="8"/>
  <c r="CI201" i="8"/>
  <c r="CJ201" i="8"/>
  <c r="CI202" i="8"/>
  <c r="CJ202" i="8"/>
  <c r="CI203" i="8"/>
  <c r="CJ203" i="8"/>
  <c r="CI204" i="8"/>
  <c r="CJ204" i="8"/>
  <c r="CI205" i="8"/>
  <c r="CJ205" i="8"/>
  <c r="CI206" i="8"/>
  <c r="CJ206" i="8"/>
  <c r="CI207" i="8"/>
  <c r="CJ207" i="8"/>
  <c r="CI208" i="8"/>
  <c r="CJ208" i="8"/>
  <c r="CI209" i="8"/>
  <c r="CJ209" i="8"/>
  <c r="CI210" i="8"/>
  <c r="CJ210" i="8"/>
  <c r="CI211" i="8"/>
  <c r="CJ211" i="8"/>
  <c r="CI212" i="8"/>
  <c r="CJ212" i="8"/>
  <c r="CI213" i="8"/>
  <c r="CJ213" i="8"/>
  <c r="CI214" i="8"/>
  <c r="CJ214" i="8"/>
  <c r="CI215" i="8"/>
  <c r="CJ215" i="8"/>
  <c r="CI216" i="8"/>
  <c r="CJ216" i="8"/>
  <c r="CJ184" i="8"/>
  <c r="CI184" i="8"/>
  <c r="BT184" i="8"/>
  <c r="I184" i="8"/>
  <c r="BX184" i="8" l="1"/>
  <c r="CN184" i="8"/>
  <c r="G6" i="12"/>
  <c r="DC6" i="12"/>
  <c r="G7" i="12"/>
  <c r="DC7" i="12"/>
  <c r="G8" i="12"/>
  <c r="DC8" i="12"/>
  <c r="G9" i="12"/>
  <c r="DC9" i="12"/>
  <c r="G10" i="12"/>
  <c r="DC10" i="12"/>
  <c r="G11" i="12"/>
  <c r="DC11" i="12"/>
  <c r="G12" i="12"/>
  <c r="DC12" i="12"/>
  <c r="G13" i="12"/>
  <c r="DC13" i="12"/>
  <c r="G14" i="12"/>
  <c r="DC14" i="12"/>
  <c r="G15" i="12"/>
  <c r="DC15" i="12"/>
  <c r="G16" i="12"/>
  <c r="DC16" i="12"/>
  <c r="G17" i="12"/>
  <c r="DC17" i="12"/>
  <c r="G26" i="98"/>
  <c r="G27" i="98" s="1"/>
  <c r="DN10" i="12" l="1"/>
  <c r="DK10" i="12"/>
  <c r="DM10" i="12"/>
  <c r="DL10" i="12"/>
  <c r="DN8" i="12"/>
  <c r="DL8" i="12"/>
  <c r="DK8" i="12"/>
  <c r="DM8" i="12"/>
  <c r="DN6" i="12"/>
  <c r="DL6" i="12"/>
  <c r="DK6" i="12"/>
  <c r="DM6" i="12"/>
  <c r="DN9" i="12"/>
  <c r="DL9" i="12"/>
  <c r="DM9" i="12"/>
  <c r="DK9" i="12"/>
  <c r="DN7" i="12"/>
  <c r="DM7" i="12"/>
  <c r="DL7" i="12"/>
  <c r="DK7" i="12"/>
  <c r="DN16" i="12"/>
  <c r="DM16" i="12"/>
  <c r="DL16" i="12"/>
  <c r="DK16" i="12"/>
  <c r="DN14" i="12"/>
  <c r="DM14" i="12"/>
  <c r="DL14" i="12"/>
  <c r="DK14" i="12"/>
  <c r="DN17" i="12"/>
  <c r="DM17" i="12"/>
  <c r="DL17" i="12"/>
  <c r="DK17" i="12"/>
  <c r="DN15" i="12"/>
  <c r="DM15" i="12"/>
  <c r="DL15" i="12"/>
  <c r="DK15" i="12"/>
  <c r="DN13" i="12"/>
  <c r="DM13" i="12"/>
  <c r="DL13" i="12"/>
  <c r="DK13" i="12"/>
  <c r="BS16" i="12"/>
  <c r="BP16" i="12"/>
  <c r="BR16" i="12"/>
  <c r="DQ16" i="12"/>
  <c r="DS16" i="12"/>
  <c r="DR16" i="12"/>
  <c r="BS14" i="12"/>
  <c r="BP14" i="12"/>
  <c r="DQ14" i="12"/>
  <c r="DS14" i="12"/>
  <c r="DR14" i="12"/>
  <c r="BR14" i="12"/>
  <c r="BS10" i="12"/>
  <c r="BR10" i="12"/>
  <c r="DQ10" i="12"/>
  <c r="DS10" i="12"/>
  <c r="BP10" i="12"/>
  <c r="DR10" i="12"/>
  <c r="BS8" i="12"/>
  <c r="BR8" i="12"/>
  <c r="BP8" i="12"/>
  <c r="DQ8" i="12"/>
  <c r="DR8" i="12"/>
  <c r="DS8" i="12"/>
  <c r="BS6" i="12"/>
  <c r="BR6" i="12"/>
  <c r="DQ6" i="12"/>
  <c r="DS6" i="12"/>
  <c r="DR6" i="12"/>
  <c r="BP6" i="12"/>
  <c r="BS17" i="12"/>
  <c r="BP17" i="12"/>
  <c r="DR17" i="12"/>
  <c r="DS17" i="12"/>
  <c r="BR17" i="12"/>
  <c r="DQ17" i="12"/>
  <c r="BS15" i="12"/>
  <c r="BR15" i="12"/>
  <c r="DR15" i="12"/>
  <c r="DQ15" i="12"/>
  <c r="BP15" i="12"/>
  <c r="DS15" i="12"/>
  <c r="BS13" i="12"/>
  <c r="BP13" i="12"/>
  <c r="DR13" i="12"/>
  <c r="DS13" i="12"/>
  <c r="DQ13" i="12"/>
  <c r="BR13" i="12"/>
  <c r="BS9" i="12"/>
  <c r="BR9" i="12"/>
  <c r="DR9" i="12"/>
  <c r="DS9" i="12"/>
  <c r="BP9" i="12"/>
  <c r="DQ9" i="12"/>
  <c r="BS7" i="12"/>
  <c r="BP7" i="12"/>
  <c r="DR7" i="12"/>
  <c r="DQ7" i="12"/>
  <c r="BR7" i="12"/>
  <c r="DS7" i="12"/>
  <c r="BN17" i="12"/>
  <c r="BH17" i="12"/>
  <c r="DW17" i="12"/>
  <c r="H17" i="12"/>
  <c r="DO17" i="12"/>
  <c r="DP17" i="12"/>
  <c r="DU17" i="12"/>
  <c r="DV17" i="12"/>
  <c r="DW15" i="12"/>
  <c r="BN15" i="12"/>
  <c r="BH15" i="12"/>
  <c r="H15" i="12"/>
  <c r="DO15" i="12"/>
  <c r="DP15" i="12"/>
  <c r="DU15" i="12"/>
  <c r="DV15" i="12"/>
  <c r="BH13" i="12"/>
  <c r="DW13" i="12"/>
  <c r="BN13" i="12"/>
  <c r="H13" i="12"/>
  <c r="DO13" i="12"/>
  <c r="DP13" i="12"/>
  <c r="DU13" i="12"/>
  <c r="DV13" i="12"/>
  <c r="H11" i="12"/>
  <c r="DO11" i="12"/>
  <c r="DP11" i="12"/>
  <c r="DR11" i="12" s="1"/>
  <c r="DU11" i="12"/>
  <c r="DV11" i="12"/>
  <c r="BH9" i="12"/>
  <c r="DW9" i="12"/>
  <c r="BN9" i="12"/>
  <c r="H9" i="12"/>
  <c r="DO9" i="12"/>
  <c r="DP9" i="12"/>
  <c r="DU9" i="12"/>
  <c r="DV9" i="12"/>
  <c r="DW7" i="12"/>
  <c r="BN7" i="12"/>
  <c r="BH7" i="12"/>
  <c r="H7" i="12"/>
  <c r="DO7" i="12"/>
  <c r="DP7" i="12"/>
  <c r="DU7" i="12"/>
  <c r="DV7" i="12"/>
  <c r="BH16" i="12"/>
  <c r="BN16" i="12"/>
  <c r="DW16" i="12"/>
  <c r="H16" i="12"/>
  <c r="DO16" i="12"/>
  <c r="DP16" i="12"/>
  <c r="DU16" i="12"/>
  <c r="DV16" i="12"/>
  <c r="BN14" i="12"/>
  <c r="DW14" i="12"/>
  <c r="BH14" i="12"/>
  <c r="H14" i="12"/>
  <c r="DO14" i="12"/>
  <c r="DP14" i="12"/>
  <c r="DU14" i="12"/>
  <c r="DV14" i="12"/>
  <c r="H12" i="12"/>
  <c r="DO12" i="12"/>
  <c r="DP12" i="12"/>
  <c r="DQ12" i="12" s="1"/>
  <c r="DU12" i="12"/>
  <c r="DV12" i="12"/>
  <c r="BN10" i="12"/>
  <c r="DW10" i="12"/>
  <c r="BH10" i="12"/>
  <c r="H10" i="12"/>
  <c r="DO10" i="12"/>
  <c r="DP10" i="12"/>
  <c r="DU10" i="12"/>
  <c r="DV10" i="12"/>
  <c r="BH8" i="12"/>
  <c r="BN8" i="12"/>
  <c r="DW8" i="12"/>
  <c r="H8" i="12"/>
  <c r="DO8" i="12"/>
  <c r="DP8" i="12"/>
  <c r="DU8" i="12"/>
  <c r="DV8" i="12"/>
  <c r="BN6" i="12"/>
  <c r="DW6" i="12"/>
  <c r="BH6" i="12"/>
  <c r="H6" i="12"/>
  <c r="DO6" i="12"/>
  <c r="DP6" i="12"/>
  <c r="DU6" i="12"/>
  <c r="DV6" i="12"/>
  <c r="BA17" i="12"/>
  <c r="J16" i="12"/>
  <c r="AQ14" i="12"/>
  <c r="AE13" i="12"/>
  <c r="AM17" i="12"/>
  <c r="AA17" i="12"/>
  <c r="AC17" i="12" s="1"/>
  <c r="AQ16" i="12"/>
  <c r="AU17" i="12"/>
  <c r="AI17" i="12"/>
  <c r="AK17" i="12" s="1"/>
  <c r="BA16" i="12"/>
  <c r="AU16" i="12"/>
  <c r="AW16" i="12" s="1"/>
  <c r="AM16" i="12"/>
  <c r="AO16" i="12" s="1"/>
  <c r="AE16" i="12"/>
  <c r="AG16" i="12" s="1"/>
  <c r="BA13" i="12"/>
  <c r="W13" i="12"/>
  <c r="AS16" i="12"/>
  <c r="J8" i="12"/>
  <c r="AI16" i="12"/>
  <c r="AK16" i="12" s="1"/>
  <c r="AA16" i="12"/>
  <c r="AC16" i="12" s="1"/>
  <c r="I16" i="12"/>
  <c r="BB13" i="12"/>
  <c r="AU13" i="12"/>
  <c r="AM13" i="12"/>
  <c r="AO13" i="12" s="1"/>
  <c r="Y13" i="12"/>
  <c r="J13" i="12"/>
  <c r="AI15" i="12"/>
  <c r="AQ13" i="12"/>
  <c r="AQ17" i="12"/>
  <c r="AS17" i="12" s="1"/>
  <c r="AE17" i="12"/>
  <c r="AE15" i="12"/>
  <c r="AG13" i="12"/>
  <c r="AA13" i="12"/>
  <c r="L14" i="12"/>
  <c r="AM14" i="12"/>
  <c r="AO14" i="12" s="1"/>
  <c r="AE14" i="12"/>
  <c r="AG14" i="12" s="1"/>
  <c r="AS14" i="12"/>
  <c r="AU14" i="12"/>
  <c r="AW14" i="12" s="1"/>
  <c r="AI14" i="12"/>
  <c r="AK14" i="12" s="1"/>
  <c r="BA14" i="12"/>
  <c r="AA14" i="12"/>
  <c r="I17" i="12"/>
  <c r="AG17" i="12"/>
  <c r="AO17" i="12"/>
  <c r="AW17" i="12"/>
  <c r="AU15" i="12"/>
  <c r="AM15" i="12"/>
  <c r="I13" i="12"/>
  <c r="V13" i="12"/>
  <c r="Z13" i="12"/>
  <c r="AS13" i="12"/>
  <c r="AI13" i="12"/>
  <c r="AC13" i="12"/>
  <c r="X13" i="12"/>
  <c r="L13" i="12"/>
  <c r="M13" i="12" s="1"/>
  <c r="J11" i="12"/>
  <c r="J6" i="12"/>
  <c r="J7" i="12"/>
  <c r="AR17" i="12"/>
  <c r="L17" i="12"/>
  <c r="M17" i="12" s="1"/>
  <c r="J17" i="12"/>
  <c r="AX17" i="12"/>
  <c r="BB17" i="12"/>
  <c r="AQ15" i="12"/>
  <c r="AS15" i="12" s="1"/>
  <c r="AA15" i="12"/>
  <c r="AC15" i="12" s="1"/>
  <c r="L15" i="12"/>
  <c r="M15" i="12" s="1"/>
  <c r="P15" i="12" s="1"/>
  <c r="Q15" i="12" s="1"/>
  <c r="AN15" i="12"/>
  <c r="I15" i="12"/>
  <c r="AF15" i="12" s="1"/>
  <c r="AG15" i="12"/>
  <c r="AK15" i="12"/>
  <c r="AO15" i="12"/>
  <c r="AW15" i="12"/>
  <c r="AX15" i="12" s="1"/>
  <c r="BA15" i="12"/>
  <c r="J15" i="12"/>
  <c r="BB15" i="12"/>
  <c r="L16" i="12"/>
  <c r="M16" i="12" s="1"/>
  <c r="I14" i="12"/>
  <c r="AR14" i="12" s="1"/>
  <c r="M14" i="12"/>
  <c r="P14" i="12" s="1"/>
  <c r="Q14" i="12" s="1"/>
  <c r="BB16" i="12"/>
  <c r="BB14" i="12"/>
  <c r="AX14" i="12"/>
  <c r="AT14" i="12"/>
  <c r="AP14" i="12"/>
  <c r="AL14" i="12"/>
  <c r="AH14" i="12"/>
  <c r="J14" i="12"/>
  <c r="J12" i="12"/>
  <c r="J10" i="12"/>
  <c r="J9" i="12"/>
  <c r="DS12" i="12" l="1"/>
  <c r="DR12" i="12"/>
  <c r="DS11" i="12"/>
  <c r="DQ11" i="12"/>
  <c r="K13" i="12"/>
  <c r="BC13" i="12"/>
  <c r="K16" i="12"/>
  <c r="AD16" i="12"/>
  <c r="BC16" i="12"/>
  <c r="O16" i="12"/>
  <c r="AL15" i="12"/>
  <c r="AN17" i="12"/>
  <c r="AP15" i="12"/>
  <c r="AV15" i="12"/>
  <c r="O15" i="12"/>
  <c r="K14" i="12"/>
  <c r="AL16" i="12"/>
  <c r="AV16" i="12"/>
  <c r="BC15" i="12"/>
  <c r="AH15" i="12"/>
  <c r="AD15" i="12"/>
  <c r="AT15" i="12"/>
  <c r="AP17" i="12"/>
  <c r="AJ17" i="12"/>
  <c r="AJ14" i="12"/>
  <c r="AN14" i="12"/>
  <c r="AJ16" i="12"/>
  <c r="K15" i="12"/>
  <c r="AL17" i="12"/>
  <c r="AB17" i="12"/>
  <c r="AV14" i="12"/>
  <c r="AF14" i="12"/>
  <c r="O14" i="12"/>
  <c r="AB15" i="12"/>
  <c r="BC17" i="12"/>
  <c r="AH17" i="12"/>
  <c r="AJ15" i="12"/>
  <c r="P16" i="12"/>
  <c r="AR15" i="12"/>
  <c r="O17" i="12"/>
  <c r="P17" i="12"/>
  <c r="K17" i="12"/>
  <c r="AK13" i="12"/>
  <c r="AL13" i="12" s="1"/>
  <c r="AJ13" i="12"/>
  <c r="AF13" i="12"/>
  <c r="AP13" i="12"/>
  <c r="AH13" i="12"/>
  <c r="AN13" i="12"/>
  <c r="AN16" i="12"/>
  <c r="AT17" i="12"/>
  <c r="AD17" i="12"/>
  <c r="AV17" i="12"/>
  <c r="AF17" i="12"/>
  <c r="P13" i="12"/>
  <c r="Q13" i="12" s="1"/>
  <c r="O13" i="12"/>
  <c r="AD13" i="12"/>
  <c r="AB13" i="12"/>
  <c r="AV13" i="12"/>
  <c r="AC14" i="12"/>
  <c r="AY14" i="12" s="1"/>
  <c r="AB14" i="12"/>
  <c r="AW13" i="12"/>
  <c r="AX13" i="12" s="1"/>
  <c r="BC14" i="12"/>
  <c r="AR13" i="12"/>
  <c r="AY16" i="12"/>
  <c r="N14" i="12"/>
  <c r="AY17" i="12"/>
  <c r="N17" i="12"/>
  <c r="N16" i="12"/>
  <c r="N13" i="12"/>
  <c r="AY15" i="12"/>
  <c r="N15" i="12"/>
  <c r="CA185" i="8"/>
  <c r="CB185" i="8"/>
  <c r="CC185" i="8"/>
  <c r="CD185" i="8"/>
  <c r="CE185" i="8"/>
  <c r="CF185" i="8"/>
  <c r="CG185" i="8"/>
  <c r="CH185" i="8"/>
  <c r="CA186" i="8"/>
  <c r="CB186" i="8"/>
  <c r="CC186" i="8"/>
  <c r="CD186" i="8"/>
  <c r="CE186" i="8"/>
  <c r="CF186" i="8"/>
  <c r="CG186" i="8"/>
  <c r="CH186" i="8"/>
  <c r="CA187" i="8"/>
  <c r="CB187" i="8"/>
  <c r="CC187" i="8"/>
  <c r="CD187" i="8"/>
  <c r="CE187" i="8"/>
  <c r="CF187" i="8"/>
  <c r="CG187" i="8"/>
  <c r="CH187" i="8"/>
  <c r="CA188" i="8"/>
  <c r="CB188" i="8"/>
  <c r="CC188" i="8"/>
  <c r="CD188" i="8"/>
  <c r="CE188" i="8"/>
  <c r="CF188" i="8"/>
  <c r="CG188" i="8"/>
  <c r="CH188" i="8"/>
  <c r="CA189" i="8"/>
  <c r="CB189" i="8"/>
  <c r="CC189" i="8"/>
  <c r="CD189" i="8"/>
  <c r="CE189" i="8"/>
  <c r="CF189" i="8"/>
  <c r="CG189" i="8"/>
  <c r="CH189" i="8"/>
  <c r="CA190" i="8"/>
  <c r="CB190" i="8"/>
  <c r="CC190" i="8"/>
  <c r="CD190" i="8"/>
  <c r="CE190" i="8"/>
  <c r="CF190" i="8"/>
  <c r="CG190" i="8"/>
  <c r="CH190" i="8"/>
  <c r="CA191" i="8"/>
  <c r="CB191" i="8"/>
  <c r="CC191" i="8"/>
  <c r="CD191" i="8"/>
  <c r="CE191" i="8"/>
  <c r="CF191" i="8"/>
  <c r="CG191" i="8"/>
  <c r="CH191" i="8"/>
  <c r="CA192" i="8"/>
  <c r="CB192" i="8"/>
  <c r="CC192" i="8"/>
  <c r="CD192" i="8"/>
  <c r="CE192" i="8"/>
  <c r="CF192" i="8"/>
  <c r="CG192" i="8"/>
  <c r="CH192" i="8"/>
  <c r="CA193" i="8"/>
  <c r="CB193" i="8"/>
  <c r="CC193" i="8"/>
  <c r="CD193" i="8"/>
  <c r="CE193" i="8"/>
  <c r="CF193" i="8"/>
  <c r="CG193" i="8"/>
  <c r="CH193" i="8"/>
  <c r="CA194" i="8"/>
  <c r="CB194" i="8"/>
  <c r="CC194" i="8"/>
  <c r="CD194" i="8"/>
  <c r="CE194" i="8"/>
  <c r="CF194" i="8"/>
  <c r="CG194" i="8"/>
  <c r="CH194" i="8"/>
  <c r="CA195" i="8"/>
  <c r="CB195" i="8"/>
  <c r="CC195" i="8"/>
  <c r="CD195" i="8"/>
  <c r="CE195" i="8"/>
  <c r="CF195" i="8"/>
  <c r="CG195" i="8"/>
  <c r="CH195" i="8"/>
  <c r="CA196" i="8"/>
  <c r="CB196" i="8"/>
  <c r="CC196" i="8"/>
  <c r="CD196" i="8"/>
  <c r="CE196" i="8"/>
  <c r="CF196" i="8"/>
  <c r="CG196" i="8"/>
  <c r="CH196" i="8"/>
  <c r="CA197" i="8"/>
  <c r="CB197" i="8"/>
  <c r="CC197" i="8"/>
  <c r="CD197" i="8"/>
  <c r="CE197" i="8"/>
  <c r="CF197" i="8"/>
  <c r="CG197" i="8"/>
  <c r="CH197" i="8"/>
  <c r="CA198" i="8"/>
  <c r="CB198" i="8"/>
  <c r="CC198" i="8"/>
  <c r="CD198" i="8"/>
  <c r="CE198" i="8"/>
  <c r="CF198" i="8"/>
  <c r="CG198" i="8"/>
  <c r="CH198" i="8"/>
  <c r="CA199" i="8"/>
  <c r="CB199" i="8"/>
  <c r="CC199" i="8"/>
  <c r="CD199" i="8"/>
  <c r="CE199" i="8"/>
  <c r="CF199" i="8"/>
  <c r="CG199" i="8"/>
  <c r="CH199" i="8"/>
  <c r="CA200" i="8"/>
  <c r="CB200" i="8"/>
  <c r="CC200" i="8"/>
  <c r="CD200" i="8"/>
  <c r="CE200" i="8"/>
  <c r="CF200" i="8"/>
  <c r="CG200" i="8"/>
  <c r="CH200" i="8"/>
  <c r="CA201" i="8"/>
  <c r="CB201" i="8"/>
  <c r="CC201" i="8"/>
  <c r="CD201" i="8"/>
  <c r="CE201" i="8"/>
  <c r="CF201" i="8"/>
  <c r="CG201" i="8"/>
  <c r="CH201" i="8"/>
  <c r="CA202" i="8"/>
  <c r="CB202" i="8"/>
  <c r="CC202" i="8"/>
  <c r="CD202" i="8"/>
  <c r="CE202" i="8"/>
  <c r="CF202" i="8"/>
  <c r="CG202" i="8"/>
  <c r="CH202" i="8"/>
  <c r="CA203" i="8"/>
  <c r="CB203" i="8"/>
  <c r="CC203" i="8"/>
  <c r="CD203" i="8"/>
  <c r="CE203" i="8"/>
  <c r="CF203" i="8"/>
  <c r="CG203" i="8"/>
  <c r="CH203" i="8"/>
  <c r="CA204" i="8"/>
  <c r="CB204" i="8"/>
  <c r="CC204" i="8"/>
  <c r="CD204" i="8"/>
  <c r="CE204" i="8"/>
  <c r="CF204" i="8"/>
  <c r="CG204" i="8"/>
  <c r="CH204" i="8"/>
  <c r="CA205" i="8"/>
  <c r="CB205" i="8"/>
  <c r="CC205" i="8"/>
  <c r="CD205" i="8"/>
  <c r="CE205" i="8"/>
  <c r="CF205" i="8"/>
  <c r="CG205" i="8"/>
  <c r="CH205" i="8"/>
  <c r="CA206" i="8"/>
  <c r="CB206" i="8"/>
  <c r="CC206" i="8"/>
  <c r="CD206" i="8"/>
  <c r="CE206" i="8"/>
  <c r="CF206" i="8"/>
  <c r="CG206" i="8"/>
  <c r="CH206" i="8"/>
  <c r="CA207" i="8"/>
  <c r="CB207" i="8"/>
  <c r="CC207" i="8"/>
  <c r="CD207" i="8"/>
  <c r="CE207" i="8"/>
  <c r="CF207" i="8"/>
  <c r="CG207" i="8"/>
  <c r="CH207" i="8"/>
  <c r="CA208" i="8"/>
  <c r="CB208" i="8"/>
  <c r="CC208" i="8"/>
  <c r="CD208" i="8"/>
  <c r="CE208" i="8"/>
  <c r="CF208" i="8"/>
  <c r="CG208" i="8"/>
  <c r="CH208" i="8"/>
  <c r="CA209" i="8"/>
  <c r="CB209" i="8"/>
  <c r="CC209" i="8"/>
  <c r="CD209" i="8"/>
  <c r="CE209" i="8"/>
  <c r="CF209" i="8"/>
  <c r="CG209" i="8"/>
  <c r="CH209" i="8"/>
  <c r="CA210" i="8"/>
  <c r="CB210" i="8"/>
  <c r="CC210" i="8"/>
  <c r="CD210" i="8"/>
  <c r="CE210" i="8"/>
  <c r="CF210" i="8"/>
  <c r="CG210" i="8"/>
  <c r="CH210" i="8"/>
  <c r="CA211" i="8"/>
  <c r="CB211" i="8"/>
  <c r="CC211" i="8"/>
  <c r="CD211" i="8"/>
  <c r="CE211" i="8"/>
  <c r="CF211" i="8"/>
  <c r="CG211" i="8"/>
  <c r="CH211" i="8"/>
  <c r="CA212" i="8"/>
  <c r="CB212" i="8"/>
  <c r="CC212" i="8"/>
  <c r="CD212" i="8"/>
  <c r="CE212" i="8"/>
  <c r="CF212" i="8"/>
  <c r="CG212" i="8"/>
  <c r="CH212" i="8"/>
  <c r="CA213" i="8"/>
  <c r="CB213" i="8"/>
  <c r="CC213" i="8"/>
  <c r="CD213" i="8"/>
  <c r="CE213" i="8"/>
  <c r="CF213" i="8"/>
  <c r="CG213" i="8"/>
  <c r="CH213" i="8"/>
  <c r="CA214" i="8"/>
  <c r="CB214" i="8"/>
  <c r="CC214" i="8"/>
  <c r="CD214" i="8"/>
  <c r="CE214" i="8"/>
  <c r="CF214" i="8"/>
  <c r="CG214" i="8"/>
  <c r="CH214" i="8"/>
  <c r="CA215" i="8"/>
  <c r="CB215" i="8"/>
  <c r="CC215" i="8"/>
  <c r="CD215" i="8"/>
  <c r="CE215" i="8"/>
  <c r="CF215" i="8"/>
  <c r="CG215" i="8"/>
  <c r="CH215" i="8"/>
  <c r="CA216" i="8"/>
  <c r="CB216" i="8"/>
  <c r="CC216" i="8"/>
  <c r="CD216" i="8"/>
  <c r="CE216" i="8"/>
  <c r="CF216" i="8"/>
  <c r="CG216" i="8"/>
  <c r="CH216" i="8"/>
  <c r="CF184" i="8"/>
  <c r="CG184" i="8"/>
  <c r="CH184" i="8"/>
  <c r="CE184" i="8"/>
  <c r="CB184" i="8"/>
  <c r="CC184" i="8"/>
  <c r="CD184" i="8"/>
  <c r="CA184" i="8"/>
  <c r="AZ15" i="12" l="1"/>
  <c r="AZ17" i="12"/>
  <c r="AH16" i="12"/>
  <c r="AR16" i="12"/>
  <c r="AX16" i="12"/>
  <c r="AF16" i="12"/>
  <c r="AT16" i="12"/>
  <c r="AB16" i="12"/>
  <c r="AP16" i="12"/>
  <c r="AT13" i="12"/>
  <c r="AZ13" i="12" s="1"/>
  <c r="T13" i="12"/>
  <c r="U13" i="12"/>
  <c r="R13" i="12"/>
  <c r="S13" i="12"/>
  <c r="AY13" i="12"/>
  <c r="Q17" i="12"/>
  <c r="Q16" i="12"/>
  <c r="AD14" i="12"/>
  <c r="AZ14" i="12" s="1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184" i="8"/>
  <c r="AZ16" i="12" l="1"/>
  <c r="D12" i="25" l="1"/>
  <c r="D11" i="25"/>
  <c r="D10" i="25"/>
  <c r="DC5" i="12" l="1"/>
  <c r="B1" i="12"/>
  <c r="G5" i="12"/>
  <c r="CZ4" i="12"/>
  <c r="CY4" i="12"/>
  <c r="CX4" i="12"/>
  <c r="CW4" i="12"/>
  <c r="CV4" i="12"/>
  <c r="CU4" i="12"/>
  <c r="CS4" i="12"/>
  <c r="CR4" i="12"/>
  <c r="CQ4" i="12"/>
  <c r="CE4" i="12"/>
  <c r="CD4" i="12"/>
  <c r="CC4" i="12"/>
  <c r="CB4" i="12"/>
  <c r="CA4" i="12"/>
  <c r="BZ4" i="12"/>
  <c r="BY4" i="12"/>
  <c r="DP5" i="12" l="1"/>
  <c r="DS5" i="12" s="1"/>
  <c r="H5" i="12"/>
  <c r="DV5" i="12"/>
  <c r="DU5" i="12"/>
  <c r="DT17" i="12"/>
  <c r="DT33" i="12"/>
  <c r="DT6" i="12"/>
  <c r="DT10" i="12"/>
  <c r="DT14" i="12"/>
  <c r="DT18" i="12"/>
  <c r="DT22" i="12"/>
  <c r="DT26" i="12"/>
  <c r="DT30" i="12"/>
  <c r="DT34" i="12"/>
  <c r="DT38" i="12"/>
  <c r="DT7" i="12"/>
  <c r="DT15" i="12"/>
  <c r="DT19" i="12"/>
  <c r="DT27" i="12"/>
  <c r="DT35" i="12"/>
  <c r="DT39" i="12"/>
  <c r="DT11" i="12"/>
  <c r="DT23" i="12"/>
  <c r="DT31" i="12"/>
  <c r="DT8" i="12"/>
  <c r="DT12" i="12"/>
  <c r="DT16" i="12"/>
  <c r="DT20" i="12"/>
  <c r="DT24" i="12"/>
  <c r="DT28" i="12"/>
  <c r="DT32" i="12"/>
  <c r="DT36" i="12"/>
  <c r="DT40" i="12"/>
  <c r="DT9" i="12"/>
  <c r="DT13" i="12"/>
  <c r="DT21" i="12"/>
  <c r="DT25" i="12"/>
  <c r="DT29" i="12"/>
  <c r="DT37" i="12"/>
  <c r="DT41" i="12"/>
  <c r="DO5" i="12"/>
  <c r="DT5" i="12" s="1"/>
  <c r="J5" i="12"/>
  <c r="BH36" i="12" l="1"/>
  <c r="BH35" i="12"/>
  <c r="BH37" i="12"/>
  <c r="DR5" i="12"/>
  <c r="DQ5" i="12"/>
  <c r="L79" i="98"/>
  <c r="E69" i="98" l="1"/>
  <c r="E70" i="98"/>
  <c r="E68" i="98"/>
  <c r="B13" i="120" l="1"/>
  <c r="B10" i="120"/>
  <c r="E8" i="25"/>
  <c r="E4" i="25"/>
  <c r="B7" i="120"/>
  <c r="B11" i="120"/>
  <c r="B8" i="120"/>
  <c r="E2" i="25"/>
  <c r="E6" i="25"/>
  <c r="B5" i="120"/>
  <c r="E10" i="25"/>
  <c r="B9" i="120"/>
  <c r="E3" i="25"/>
  <c r="E7" i="25"/>
  <c r="B12" i="120"/>
  <c r="B6" i="120"/>
  <c r="E12" i="25"/>
  <c r="E11" i="25"/>
  <c r="H34" i="98" l="1"/>
  <c r="I34" i="98"/>
  <c r="AY5" i="8"/>
  <c r="AY6" i="8" s="1"/>
  <c r="AP5" i="8"/>
  <c r="AP6" i="8" s="1"/>
  <c r="AR5" i="8"/>
  <c r="AR6" i="8" s="1"/>
  <c r="AV5" i="8"/>
  <c r="AV6" i="8" s="1"/>
  <c r="AW5" i="8"/>
  <c r="AW6" i="8" s="1"/>
  <c r="AX5" i="8"/>
  <c r="AX6" i="8" s="1"/>
  <c r="W5" i="8"/>
  <c r="W6" i="8" s="1"/>
  <c r="X5" i="8"/>
  <c r="X6" i="8" s="1"/>
  <c r="AF5" i="8"/>
  <c r="AF6" i="8" s="1"/>
  <c r="AG5" i="8"/>
  <c r="AG6" i="8" s="1"/>
  <c r="AH5" i="8"/>
  <c r="AH6" i="8" s="1"/>
  <c r="AI5" i="8"/>
  <c r="AI6" i="8" s="1"/>
  <c r="AJ5" i="8"/>
  <c r="AJ6" i="8" s="1"/>
  <c r="AK5" i="8"/>
  <c r="AK6" i="8" s="1"/>
  <c r="AL5" i="8"/>
  <c r="AL6" i="8" s="1"/>
  <c r="AM5" i="8"/>
  <c r="AM6" i="8" s="1"/>
  <c r="V5" i="8"/>
  <c r="V6" i="8" s="1"/>
  <c r="O5" i="8"/>
  <c r="O6" i="8" s="1"/>
  <c r="G6" i="8"/>
  <c r="K6" i="8"/>
  <c r="B6" i="8"/>
  <c r="B5" i="8"/>
  <c r="B4" i="8"/>
  <c r="BW185" i="8"/>
  <c r="BW186" i="8"/>
  <c r="BW187" i="8"/>
  <c r="BW188" i="8"/>
  <c r="BW189" i="8"/>
  <c r="BW190" i="8"/>
  <c r="BW191" i="8"/>
  <c r="BW192" i="8"/>
  <c r="BW193" i="8"/>
  <c r="BW194" i="8"/>
  <c r="BW195" i="8"/>
  <c r="BW196" i="8"/>
  <c r="BW197" i="8"/>
  <c r="BW198" i="8"/>
  <c r="BW199" i="8"/>
  <c r="BW200" i="8"/>
  <c r="BW201" i="8"/>
  <c r="BW202" i="8"/>
  <c r="BW203" i="8"/>
  <c r="BW204" i="8"/>
  <c r="BW205" i="8"/>
  <c r="BW206" i="8"/>
  <c r="BW207" i="8"/>
  <c r="BW208" i="8"/>
  <c r="BW209" i="8"/>
  <c r="BW210" i="8"/>
  <c r="BW211" i="8"/>
  <c r="BW212" i="8"/>
  <c r="BW213" i="8"/>
  <c r="BW214" i="8"/>
  <c r="BW215" i="8"/>
  <c r="BW216" i="8"/>
  <c r="BW184" i="8"/>
  <c r="BT185" i="8"/>
  <c r="BT187" i="8"/>
  <c r="BT188" i="8"/>
  <c r="BT189" i="8"/>
  <c r="BT190" i="8"/>
  <c r="BT191" i="8"/>
  <c r="BT192" i="8"/>
  <c r="BT193" i="8"/>
  <c r="BT194" i="8"/>
  <c r="BT195" i="8"/>
  <c r="BT196" i="8"/>
  <c r="BT197" i="8"/>
  <c r="BT198" i="8"/>
  <c r="BT199" i="8"/>
  <c r="BT200" i="8"/>
  <c r="BT201" i="8"/>
  <c r="BT202" i="8"/>
  <c r="BT203" i="8"/>
  <c r="BT204" i="8"/>
  <c r="BT205" i="8"/>
  <c r="BT206" i="8"/>
  <c r="BT207" i="8"/>
  <c r="BT208" i="8"/>
  <c r="BT209" i="8"/>
  <c r="BT210" i="8"/>
  <c r="BT211" i="8"/>
  <c r="BT212" i="8"/>
  <c r="BT213" i="8"/>
  <c r="BT214" i="8"/>
  <c r="BT215" i="8"/>
  <c r="BT216" i="8"/>
  <c r="I185" i="8"/>
  <c r="J185" i="8"/>
  <c r="K185" i="8"/>
  <c r="L185" i="8"/>
  <c r="I186" i="8"/>
  <c r="J186" i="8"/>
  <c r="K186" i="8"/>
  <c r="L186" i="8"/>
  <c r="I187" i="8"/>
  <c r="J187" i="8"/>
  <c r="K187" i="8"/>
  <c r="L187" i="8"/>
  <c r="I188" i="8"/>
  <c r="J188" i="8"/>
  <c r="K188" i="8"/>
  <c r="L188" i="8"/>
  <c r="I189" i="8"/>
  <c r="J189" i="8"/>
  <c r="K189" i="8"/>
  <c r="L189" i="8"/>
  <c r="I190" i="8"/>
  <c r="J190" i="8"/>
  <c r="K190" i="8"/>
  <c r="L190" i="8"/>
  <c r="I191" i="8"/>
  <c r="J191" i="8"/>
  <c r="K191" i="8"/>
  <c r="L191" i="8"/>
  <c r="I192" i="8"/>
  <c r="J192" i="8"/>
  <c r="K192" i="8"/>
  <c r="L192" i="8"/>
  <c r="I193" i="8"/>
  <c r="J193" i="8"/>
  <c r="K193" i="8"/>
  <c r="L193" i="8"/>
  <c r="I194" i="8"/>
  <c r="J194" i="8"/>
  <c r="K194" i="8"/>
  <c r="L194" i="8"/>
  <c r="I195" i="8"/>
  <c r="J195" i="8"/>
  <c r="K195" i="8"/>
  <c r="L195" i="8"/>
  <c r="I196" i="8"/>
  <c r="J196" i="8"/>
  <c r="K196" i="8"/>
  <c r="L196" i="8"/>
  <c r="I197" i="8"/>
  <c r="J197" i="8"/>
  <c r="K197" i="8"/>
  <c r="L197" i="8"/>
  <c r="I198" i="8"/>
  <c r="J198" i="8"/>
  <c r="K198" i="8"/>
  <c r="L198" i="8"/>
  <c r="I199" i="8"/>
  <c r="J199" i="8"/>
  <c r="K199" i="8"/>
  <c r="L199" i="8"/>
  <c r="I200" i="8"/>
  <c r="J200" i="8"/>
  <c r="K200" i="8"/>
  <c r="L200" i="8"/>
  <c r="I201" i="8"/>
  <c r="J201" i="8"/>
  <c r="K201" i="8"/>
  <c r="L201" i="8"/>
  <c r="I202" i="8"/>
  <c r="J202" i="8"/>
  <c r="K202" i="8"/>
  <c r="L202" i="8"/>
  <c r="I203" i="8"/>
  <c r="J203" i="8"/>
  <c r="K203" i="8"/>
  <c r="L203" i="8"/>
  <c r="I204" i="8"/>
  <c r="J204" i="8"/>
  <c r="K204" i="8"/>
  <c r="L204" i="8"/>
  <c r="I205" i="8"/>
  <c r="J205" i="8"/>
  <c r="K205" i="8"/>
  <c r="L205" i="8"/>
  <c r="I206" i="8"/>
  <c r="J206" i="8"/>
  <c r="K206" i="8"/>
  <c r="L206" i="8"/>
  <c r="I207" i="8"/>
  <c r="J207" i="8"/>
  <c r="K207" i="8"/>
  <c r="L207" i="8"/>
  <c r="I208" i="8"/>
  <c r="J208" i="8"/>
  <c r="K208" i="8"/>
  <c r="L208" i="8"/>
  <c r="I209" i="8"/>
  <c r="J209" i="8"/>
  <c r="K209" i="8"/>
  <c r="L209" i="8"/>
  <c r="I210" i="8"/>
  <c r="J210" i="8"/>
  <c r="K210" i="8"/>
  <c r="L210" i="8"/>
  <c r="I211" i="8"/>
  <c r="J211" i="8"/>
  <c r="K211" i="8"/>
  <c r="L211" i="8"/>
  <c r="I212" i="8"/>
  <c r="J212" i="8"/>
  <c r="K212" i="8"/>
  <c r="L212" i="8"/>
  <c r="I213" i="8"/>
  <c r="J213" i="8"/>
  <c r="K213" i="8"/>
  <c r="L213" i="8"/>
  <c r="I214" i="8"/>
  <c r="J214" i="8"/>
  <c r="K214" i="8"/>
  <c r="L214" i="8"/>
  <c r="I215" i="8"/>
  <c r="J215" i="8"/>
  <c r="K215" i="8"/>
  <c r="L215" i="8"/>
  <c r="I216" i="8"/>
  <c r="J216" i="8"/>
  <c r="K216" i="8"/>
  <c r="L216" i="8"/>
  <c r="J184" i="8"/>
  <c r="K184" i="8"/>
  <c r="L184" i="8"/>
  <c r="BK185" i="8"/>
  <c r="BL185" i="8"/>
  <c r="BK186" i="8"/>
  <c r="BL186" i="8"/>
  <c r="BK187" i="8"/>
  <c r="BL187" i="8"/>
  <c r="BK188" i="8"/>
  <c r="BL188" i="8"/>
  <c r="BK189" i="8"/>
  <c r="BL189" i="8"/>
  <c r="BK190" i="8"/>
  <c r="BL190" i="8"/>
  <c r="BK191" i="8"/>
  <c r="BL191" i="8"/>
  <c r="BK192" i="8"/>
  <c r="BL192" i="8"/>
  <c r="BK193" i="8"/>
  <c r="BL193" i="8"/>
  <c r="BK194" i="8"/>
  <c r="BL194" i="8"/>
  <c r="BK195" i="8"/>
  <c r="BL195" i="8"/>
  <c r="BK196" i="8"/>
  <c r="BL196" i="8"/>
  <c r="BK197" i="8"/>
  <c r="BL197" i="8"/>
  <c r="BK198" i="8"/>
  <c r="BL198" i="8"/>
  <c r="BK199" i="8"/>
  <c r="BL199" i="8"/>
  <c r="BK200" i="8"/>
  <c r="BL200" i="8"/>
  <c r="BK201" i="8"/>
  <c r="BL201" i="8"/>
  <c r="BK202" i="8"/>
  <c r="BL202" i="8"/>
  <c r="BK203" i="8"/>
  <c r="BL203" i="8"/>
  <c r="BK204" i="8"/>
  <c r="BL204" i="8"/>
  <c r="BK205" i="8"/>
  <c r="BL205" i="8"/>
  <c r="BK206" i="8"/>
  <c r="BL206" i="8"/>
  <c r="BK207" i="8"/>
  <c r="BL207" i="8"/>
  <c r="BK208" i="8"/>
  <c r="BL208" i="8"/>
  <c r="BK209" i="8"/>
  <c r="BL209" i="8"/>
  <c r="BK210" i="8"/>
  <c r="BL210" i="8"/>
  <c r="BK211" i="8"/>
  <c r="BL211" i="8"/>
  <c r="BK212" i="8"/>
  <c r="BL212" i="8"/>
  <c r="BK213" i="8"/>
  <c r="BL213" i="8"/>
  <c r="BK214" i="8"/>
  <c r="BL214" i="8"/>
  <c r="BK215" i="8"/>
  <c r="BL215" i="8"/>
  <c r="BK216" i="8"/>
  <c r="BL216" i="8"/>
  <c r="BL184" i="8"/>
  <c r="BK184" i="8"/>
  <c r="BB185" i="8"/>
  <c r="BC185" i="8"/>
  <c r="BB186" i="8"/>
  <c r="BC186" i="8"/>
  <c r="BB187" i="8"/>
  <c r="BC187" i="8"/>
  <c r="BB188" i="8"/>
  <c r="BC188" i="8"/>
  <c r="BB189" i="8"/>
  <c r="BC189" i="8"/>
  <c r="BB190" i="8"/>
  <c r="BC190" i="8"/>
  <c r="BB191" i="8"/>
  <c r="BC191" i="8"/>
  <c r="BB192" i="8"/>
  <c r="BC192" i="8"/>
  <c r="BB193" i="8"/>
  <c r="BC193" i="8"/>
  <c r="BB194" i="8"/>
  <c r="BC194" i="8"/>
  <c r="BB195" i="8"/>
  <c r="BC195" i="8"/>
  <c r="BB196" i="8"/>
  <c r="BC196" i="8"/>
  <c r="BB197" i="8"/>
  <c r="BC197" i="8"/>
  <c r="BB198" i="8"/>
  <c r="BC198" i="8"/>
  <c r="BB199" i="8"/>
  <c r="BC199" i="8"/>
  <c r="BB200" i="8"/>
  <c r="BC200" i="8"/>
  <c r="BB201" i="8"/>
  <c r="BC201" i="8"/>
  <c r="BB202" i="8"/>
  <c r="BC202" i="8"/>
  <c r="BB203" i="8"/>
  <c r="BC203" i="8"/>
  <c r="BB204" i="8"/>
  <c r="BC204" i="8"/>
  <c r="BB205" i="8"/>
  <c r="BC205" i="8"/>
  <c r="BB206" i="8"/>
  <c r="BC206" i="8"/>
  <c r="BB207" i="8"/>
  <c r="BC207" i="8"/>
  <c r="BB208" i="8"/>
  <c r="BC208" i="8"/>
  <c r="BB209" i="8"/>
  <c r="BC209" i="8"/>
  <c r="BB210" i="8"/>
  <c r="BC210" i="8"/>
  <c r="BB211" i="8"/>
  <c r="BC211" i="8"/>
  <c r="BB212" i="8"/>
  <c r="BC212" i="8"/>
  <c r="BB213" i="8"/>
  <c r="BC213" i="8"/>
  <c r="BB214" i="8"/>
  <c r="BC214" i="8"/>
  <c r="BB215" i="8"/>
  <c r="BC215" i="8"/>
  <c r="BB216" i="8"/>
  <c r="BC216" i="8"/>
  <c r="BC184" i="8"/>
  <c r="BB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184" i="8"/>
  <c r="AO185" i="8"/>
  <c r="AO186" i="8"/>
  <c r="AO187" i="8"/>
  <c r="AO188" i="8"/>
  <c r="AO189" i="8"/>
  <c r="AO190" i="8"/>
  <c r="AO191" i="8"/>
  <c r="AO192" i="8"/>
  <c r="AO193" i="8"/>
  <c r="AO194" i="8"/>
  <c r="AO195" i="8"/>
  <c r="AO196" i="8"/>
  <c r="AO197" i="8"/>
  <c r="AO198" i="8"/>
  <c r="AO199" i="8"/>
  <c r="AO200" i="8"/>
  <c r="AO201" i="8"/>
  <c r="AO202" i="8"/>
  <c r="AO203" i="8"/>
  <c r="AO204" i="8"/>
  <c r="AO205" i="8"/>
  <c r="AO206" i="8"/>
  <c r="AO207" i="8"/>
  <c r="AO208" i="8"/>
  <c r="AO209" i="8"/>
  <c r="AO210" i="8"/>
  <c r="AO211" i="8"/>
  <c r="AO212" i="8"/>
  <c r="AO213" i="8"/>
  <c r="AO214" i="8"/>
  <c r="AO215" i="8"/>
  <c r="AO216" i="8"/>
  <c r="AO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184" i="8"/>
  <c r="AE185" i="8"/>
  <c r="AE186" i="8"/>
  <c r="AE187" i="8"/>
  <c r="AE188" i="8"/>
  <c r="AE189" i="8"/>
  <c r="AE190" i="8"/>
  <c r="AE191" i="8"/>
  <c r="AE192" i="8"/>
  <c r="AE193" i="8"/>
  <c r="AE194" i="8"/>
  <c r="AE195" i="8"/>
  <c r="AE196" i="8"/>
  <c r="AE197" i="8"/>
  <c r="AE198" i="8"/>
  <c r="AE199" i="8"/>
  <c r="AE200" i="8"/>
  <c r="AE201" i="8"/>
  <c r="AE202" i="8"/>
  <c r="AE203" i="8"/>
  <c r="AE204" i="8"/>
  <c r="AE205" i="8"/>
  <c r="AE206" i="8"/>
  <c r="AE207" i="8"/>
  <c r="AE208" i="8"/>
  <c r="AE209" i="8"/>
  <c r="AE210" i="8"/>
  <c r="AE211" i="8"/>
  <c r="AE212" i="8"/>
  <c r="AE213" i="8"/>
  <c r="AE214" i="8"/>
  <c r="AE215" i="8"/>
  <c r="AE216" i="8"/>
  <c r="AE184" i="8"/>
  <c r="P185" i="8"/>
  <c r="P186" i="8"/>
  <c r="Q186" i="8" s="1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BX214" i="8" l="1"/>
  <c r="CN214" i="8"/>
  <c r="BX206" i="8"/>
  <c r="CN206" i="8"/>
  <c r="BX198" i="8"/>
  <c r="CN198" i="8"/>
  <c r="BX190" i="8"/>
  <c r="CN190" i="8"/>
  <c r="BY214" i="8"/>
  <c r="CQ214" i="8"/>
  <c r="BY202" i="8"/>
  <c r="CQ202" i="8"/>
  <c r="BY194" i="8"/>
  <c r="CQ194" i="8"/>
  <c r="BY186" i="8"/>
  <c r="CQ186" i="8"/>
  <c r="BX209" i="8"/>
  <c r="CN209" i="8"/>
  <c r="BX201" i="8"/>
  <c r="CN201" i="8"/>
  <c r="BX193" i="8"/>
  <c r="CN193" i="8"/>
  <c r="BX189" i="8"/>
  <c r="CN189" i="8"/>
  <c r="BY209" i="8"/>
  <c r="CQ209" i="8"/>
  <c r="BY201" i="8"/>
  <c r="CQ201" i="8"/>
  <c r="BY197" i="8"/>
  <c r="CQ197" i="8"/>
  <c r="BY189" i="8"/>
  <c r="CQ189" i="8"/>
  <c r="BY185" i="8"/>
  <c r="CQ185" i="8"/>
  <c r="BX216" i="8"/>
  <c r="CN216" i="8"/>
  <c r="BX212" i="8"/>
  <c r="CN212" i="8"/>
  <c r="BX208" i="8"/>
  <c r="CN208" i="8"/>
  <c r="BX204" i="8"/>
  <c r="CN204" i="8"/>
  <c r="BX200" i="8"/>
  <c r="CN200" i="8"/>
  <c r="BX196" i="8"/>
  <c r="CN196" i="8"/>
  <c r="BX192" i="8"/>
  <c r="CN192" i="8"/>
  <c r="BX188" i="8"/>
  <c r="CN188" i="8"/>
  <c r="BY216" i="8"/>
  <c r="CQ216" i="8"/>
  <c r="BY212" i="8"/>
  <c r="CQ212" i="8"/>
  <c r="BY208" i="8"/>
  <c r="CQ208" i="8"/>
  <c r="BY204" i="8"/>
  <c r="CQ204" i="8"/>
  <c r="BY200" i="8"/>
  <c r="CQ200" i="8"/>
  <c r="BY196" i="8"/>
  <c r="CQ196" i="8"/>
  <c r="BY192" i="8"/>
  <c r="CQ192" i="8"/>
  <c r="BY188" i="8"/>
  <c r="CQ188" i="8"/>
  <c r="BX210" i="8"/>
  <c r="CN210" i="8"/>
  <c r="BX202" i="8"/>
  <c r="CN202" i="8"/>
  <c r="BX194" i="8"/>
  <c r="CN194" i="8"/>
  <c r="BX185" i="8"/>
  <c r="CN185" i="8"/>
  <c r="BY210" i="8"/>
  <c r="CQ210" i="8"/>
  <c r="BY206" i="8"/>
  <c r="CQ206" i="8"/>
  <c r="BY198" i="8"/>
  <c r="CQ198" i="8"/>
  <c r="BY190" i="8"/>
  <c r="CQ190" i="8"/>
  <c r="BX213" i="8"/>
  <c r="CN213" i="8"/>
  <c r="BX205" i="8"/>
  <c r="CN205" i="8"/>
  <c r="BX197" i="8"/>
  <c r="CN197" i="8"/>
  <c r="BY184" i="8"/>
  <c r="CQ184" i="8"/>
  <c r="BY213" i="8"/>
  <c r="CQ213" i="8"/>
  <c r="BY205" i="8"/>
  <c r="CQ205" i="8"/>
  <c r="BY193" i="8"/>
  <c r="CQ193" i="8"/>
  <c r="BX215" i="8"/>
  <c r="CN215" i="8"/>
  <c r="BX211" i="8"/>
  <c r="CN211" i="8"/>
  <c r="BX207" i="8"/>
  <c r="CN207" i="8"/>
  <c r="BX203" i="8"/>
  <c r="CN203" i="8"/>
  <c r="BX199" i="8"/>
  <c r="CN199" i="8"/>
  <c r="BX195" i="8"/>
  <c r="CN195" i="8"/>
  <c r="BX191" i="8"/>
  <c r="CN191" i="8"/>
  <c r="BX187" i="8"/>
  <c r="CN187" i="8"/>
  <c r="BY215" i="8"/>
  <c r="CQ215" i="8"/>
  <c r="BY211" i="8"/>
  <c r="CQ211" i="8"/>
  <c r="BY207" i="8"/>
  <c r="CQ207" i="8"/>
  <c r="BY203" i="8"/>
  <c r="CQ203" i="8"/>
  <c r="BY199" i="8"/>
  <c r="CQ199" i="8"/>
  <c r="BY195" i="8"/>
  <c r="CQ195" i="8"/>
  <c r="BY191" i="8"/>
  <c r="CQ191" i="8"/>
  <c r="BY187" i="8"/>
  <c r="CQ187" i="8"/>
  <c r="V88" i="8"/>
  <c r="V84" i="8"/>
  <c r="V89" i="8"/>
  <c r="V85" i="8"/>
  <c r="V86" i="8"/>
  <c r="V81" i="8"/>
  <c r="V77" i="8"/>
  <c r="V73" i="8"/>
  <c r="V69" i="8"/>
  <c r="V65" i="8"/>
  <c r="V87" i="8"/>
  <c r="V83" i="8"/>
  <c r="V82" i="8"/>
  <c r="V78" i="8"/>
  <c r="V74" i="8"/>
  <c r="V70" i="8"/>
  <c r="V66" i="8"/>
  <c r="V79" i="8"/>
  <c r="V75" i="8"/>
  <c r="V71" i="8"/>
  <c r="V67" i="8"/>
  <c r="V80" i="8"/>
  <c r="V72" i="8"/>
  <c r="V76" i="8"/>
  <c r="V68" i="8"/>
  <c r="V60" i="8"/>
  <c r="V56" i="8"/>
  <c r="V61" i="8"/>
  <c r="V57" i="8"/>
  <c r="V63" i="8"/>
  <c r="V55" i="8"/>
  <c r="V62" i="8"/>
  <c r="V52" i="8"/>
  <c r="V48" i="8"/>
  <c r="V44" i="8"/>
  <c r="V40" i="8"/>
  <c r="V54" i="8"/>
  <c r="V51" i="8"/>
  <c r="V59" i="8"/>
  <c r="V53" i="8"/>
  <c r="V47" i="8"/>
  <c r="V46" i="8"/>
  <c r="V45" i="8"/>
  <c r="V43" i="8"/>
  <c r="V42" i="8"/>
  <c r="V41" i="8"/>
  <c r="V50" i="8"/>
  <c r="V49" i="8"/>
  <c r="V39" i="8"/>
  <c r="V58" i="8"/>
  <c r="Q189" i="8"/>
  <c r="AP215" i="8"/>
  <c r="AP211" i="8"/>
  <c r="AP207" i="8"/>
  <c r="AP203" i="8"/>
  <c r="AP199" i="8"/>
  <c r="AP195" i="8"/>
  <c r="AP191" i="8"/>
  <c r="AP187" i="8"/>
  <c r="Q192" i="8"/>
  <c r="Q188" i="8"/>
  <c r="AG216" i="8"/>
  <c r="AG212" i="8"/>
  <c r="AG208" i="8"/>
  <c r="AG204" i="8"/>
  <c r="AG200" i="8"/>
  <c r="AG196" i="8"/>
  <c r="AG192" i="8"/>
  <c r="AG188" i="8"/>
  <c r="BD215" i="8"/>
  <c r="BD213" i="8"/>
  <c r="BD211" i="8"/>
  <c r="BD209" i="8"/>
  <c r="BD207" i="8"/>
  <c r="BD205" i="8"/>
  <c r="BD203" i="8"/>
  <c r="BD201" i="8"/>
  <c r="BD199" i="8"/>
  <c r="BD197" i="8"/>
  <c r="BD195" i="8"/>
  <c r="BD193" i="8"/>
  <c r="BD191" i="8"/>
  <c r="BD189" i="8"/>
  <c r="BD187" i="8"/>
  <c r="BD185" i="8"/>
  <c r="BM216" i="8"/>
  <c r="BM214" i="8"/>
  <c r="BM212" i="8"/>
  <c r="BM210" i="8"/>
  <c r="BM208" i="8"/>
  <c r="BM206" i="8"/>
  <c r="BM204" i="8"/>
  <c r="BM202" i="8"/>
  <c r="BM200" i="8"/>
  <c r="BM198" i="8"/>
  <c r="BM196" i="8"/>
  <c r="BM194" i="8"/>
  <c r="BM192" i="8"/>
  <c r="BM190" i="8"/>
  <c r="BM188" i="8"/>
  <c r="BM186" i="8"/>
  <c r="AG185" i="8"/>
  <c r="Q204" i="8"/>
  <c r="AG184" i="8"/>
  <c r="AG213" i="8"/>
  <c r="AG209" i="8"/>
  <c r="AG205" i="8"/>
  <c r="AG201" i="8"/>
  <c r="AG197" i="8"/>
  <c r="AG193" i="8"/>
  <c r="AG189" i="8"/>
  <c r="AP202" i="8"/>
  <c r="AP186" i="8"/>
  <c r="Q215" i="8"/>
  <c r="AP216" i="8"/>
  <c r="AP212" i="8"/>
  <c r="AP208" i="8"/>
  <c r="AP204" i="8"/>
  <c r="AP200" i="8"/>
  <c r="AP196" i="8"/>
  <c r="AP192" i="8"/>
  <c r="AP188" i="8"/>
  <c r="Q193" i="8"/>
  <c r="Q187" i="8"/>
  <c r="AG215" i="8"/>
  <c r="AG211" i="8"/>
  <c r="AG207" i="8"/>
  <c r="AG203" i="8"/>
  <c r="AG199" i="8"/>
  <c r="AG195" i="8"/>
  <c r="AG191" i="8"/>
  <c r="AG187" i="8"/>
  <c r="BD206" i="8"/>
  <c r="BM184" i="8"/>
  <c r="Q216" i="8"/>
  <c r="Q214" i="8"/>
  <c r="Q212" i="8"/>
  <c r="Q208" i="8"/>
  <c r="AP214" i="8"/>
  <c r="AP210" i="8"/>
  <c r="AP206" i="8"/>
  <c r="AP198" i="8"/>
  <c r="AP194" i="8"/>
  <c r="AP190" i="8"/>
  <c r="Q200" i="8"/>
  <c r="Q196" i="8"/>
  <c r="AG214" i="8"/>
  <c r="AG206" i="8"/>
  <c r="AG198" i="8"/>
  <c r="AG190" i="8"/>
  <c r="BD216" i="8"/>
  <c r="BD214" i="8"/>
  <c r="BD212" i="8"/>
  <c r="BD210" i="8"/>
  <c r="BD202" i="8"/>
  <c r="BD198" i="8"/>
  <c r="BD194" i="8"/>
  <c r="Q209" i="8"/>
  <c r="Q202" i="8"/>
  <c r="Q198" i="8"/>
  <c r="AG210" i="8"/>
  <c r="AG202" i="8"/>
  <c r="AG194" i="8"/>
  <c r="AG186" i="8"/>
  <c r="Q205" i="8"/>
  <c r="Q203" i="8"/>
  <c r="Q199" i="8"/>
  <c r="BD184" i="8"/>
  <c r="AP184" i="8"/>
  <c r="AP213" i="8"/>
  <c r="AP209" i="8"/>
  <c r="AP205" i="8"/>
  <c r="AP201" i="8"/>
  <c r="AP197" i="8"/>
  <c r="AP193" i="8"/>
  <c r="AP189" i="8"/>
  <c r="AP185" i="8"/>
  <c r="Q185" i="8"/>
  <c r="BD208" i="8"/>
  <c r="BD204" i="8"/>
  <c r="BD200" i="8"/>
  <c r="BD196" i="8"/>
  <c r="BD192" i="8"/>
  <c r="BD190" i="8"/>
  <c r="BD188" i="8"/>
  <c r="BD186" i="8"/>
  <c r="BM215" i="8"/>
  <c r="BM213" i="8"/>
  <c r="BM211" i="8"/>
  <c r="BM209" i="8"/>
  <c r="BM207" i="8"/>
  <c r="BM205" i="8"/>
  <c r="BM203" i="8"/>
  <c r="BM201" i="8"/>
  <c r="BM199" i="8"/>
  <c r="BM197" i="8"/>
  <c r="BM195" i="8"/>
  <c r="BM193" i="8"/>
  <c r="BM191" i="8"/>
  <c r="BM189" i="8"/>
  <c r="BM187" i="8"/>
  <c r="BM185" i="8"/>
  <c r="Q213" i="8"/>
  <c r="Q211" i="8"/>
  <c r="Q206" i="8"/>
  <c r="Q197" i="8"/>
  <c r="Q195" i="8"/>
  <c r="Q190" i="8"/>
  <c r="Q210" i="8"/>
  <c r="Q201" i="8"/>
  <c r="Q194" i="8"/>
  <c r="Q207" i="8"/>
  <c r="Q191" i="8"/>
  <c r="V168" i="8" l="1"/>
  <c r="V164" i="8"/>
  <c r="V160" i="8"/>
  <c r="V156" i="8"/>
  <c r="V152" i="8"/>
  <c r="V148" i="8"/>
  <c r="V169" i="8"/>
  <c r="V165" i="8"/>
  <c r="V161" i="8"/>
  <c r="V157" i="8"/>
  <c r="V153" i="8"/>
  <c r="V149" i="8"/>
  <c r="V145" i="8"/>
  <c r="V166" i="8"/>
  <c r="V162" i="8"/>
  <c r="V158" i="8"/>
  <c r="V154" i="8"/>
  <c r="V150" i="8"/>
  <c r="V146" i="8"/>
  <c r="V167" i="8"/>
  <c r="V163" i="8"/>
  <c r="V159" i="8"/>
  <c r="V155" i="8"/>
  <c r="V147" i="8"/>
  <c r="V151" i="8"/>
  <c r="V143" i="8"/>
  <c r="V127" i="8"/>
  <c r="V128" i="8"/>
  <c r="V133" i="8"/>
  <c r="V124" i="8"/>
  <c r="V142" i="8"/>
  <c r="V125" i="8"/>
  <c r="V131" i="8"/>
  <c r="V132" i="8"/>
  <c r="V137" i="8"/>
  <c r="V120" i="8"/>
  <c r="V126" i="8"/>
  <c r="V122" i="8"/>
  <c r="V134" i="8"/>
  <c r="V121" i="8"/>
  <c r="V130" i="8"/>
  <c r="V135" i="8"/>
  <c r="V136" i="8"/>
  <c r="V141" i="8"/>
  <c r="V123" i="8"/>
  <c r="V138" i="8"/>
  <c r="V139" i="8"/>
  <c r="V140" i="8"/>
  <c r="V129" i="8"/>
  <c r="V119" i="8"/>
  <c r="P184" i="8"/>
  <c r="Q184" i="8" s="1"/>
  <c r="P287" i="8" l="1"/>
  <c r="P288" i="8" s="1"/>
  <c r="P289" i="8" s="1"/>
  <c r="P290" i="8" s="1"/>
  <c r="P291" i="8" s="1"/>
  <c r="P292" i="8" s="1"/>
  <c r="P293" i="8" s="1"/>
  <c r="P294" i="8" s="1"/>
  <c r="P295" i="8" s="1"/>
  <c r="P296" i="8" s="1"/>
  <c r="P297" i="8" s="1"/>
  <c r="P298" i="8" s="1"/>
  <c r="P299" i="8" s="1"/>
  <c r="P300" i="8" s="1"/>
  <c r="P301" i="8" s="1"/>
  <c r="P302" i="8" s="1"/>
  <c r="P303" i="8" s="1"/>
  <c r="P304" i="8" s="1"/>
  <c r="P305" i="8" s="1"/>
  <c r="P306" i="8" s="1"/>
  <c r="P307" i="8" s="1"/>
  <c r="H5" i="8" l="1"/>
  <c r="I5" i="8" l="1"/>
  <c r="H6" i="8"/>
  <c r="B65" i="8"/>
  <c r="B39" i="8"/>
  <c r="B13" i="8"/>
  <c r="BO175" i="8"/>
  <c r="AT175" i="8"/>
  <c r="W175" i="8"/>
  <c r="P39" i="8" l="1"/>
  <c r="R39" i="8"/>
  <c r="AL39" i="8"/>
  <c r="AH39" i="8"/>
  <c r="AK39" i="8"/>
  <c r="AG39" i="8"/>
  <c r="I39" i="8"/>
  <c r="Q39" i="8"/>
  <c r="AI39" i="8"/>
  <c r="H39" i="8"/>
  <c r="K39" i="8"/>
  <c r="AF39" i="8"/>
  <c r="G39" i="8"/>
  <c r="AJ39" i="8"/>
  <c r="AM39" i="8"/>
  <c r="J39" i="8"/>
  <c r="BB39" i="8"/>
  <c r="BC39" i="8"/>
  <c r="BA39" i="8"/>
  <c r="AZ39" i="8"/>
  <c r="R65" i="8"/>
  <c r="Q65" i="8"/>
  <c r="P65" i="8"/>
  <c r="BC65" i="8"/>
  <c r="BA65" i="8"/>
  <c r="BB65" i="8"/>
  <c r="AZ65" i="8"/>
  <c r="R13" i="8"/>
  <c r="Q13" i="8"/>
  <c r="P13" i="8"/>
  <c r="AK13" i="8"/>
  <c r="AG13" i="8"/>
  <c r="H13" i="8"/>
  <c r="AJ13" i="8"/>
  <c r="G13" i="8"/>
  <c r="AL13" i="8"/>
  <c r="AI13" i="8"/>
  <c r="AH13" i="8"/>
  <c r="K13" i="8"/>
  <c r="AM13" i="8"/>
  <c r="N13" i="8"/>
  <c r="AF13" i="8"/>
  <c r="I13" i="8"/>
  <c r="J13" i="8"/>
  <c r="BB13" i="8"/>
  <c r="BC13" i="8"/>
  <c r="BA13" i="8"/>
  <c r="AZ13" i="8"/>
  <c r="AM65" i="8"/>
  <c r="AI65" i="8"/>
  <c r="K65" i="8"/>
  <c r="G65" i="8"/>
  <c r="AL65" i="8"/>
  <c r="AH65" i="8"/>
  <c r="J65" i="8"/>
  <c r="AK65" i="8"/>
  <c r="AG65" i="8"/>
  <c r="I65" i="8"/>
  <c r="AJ65" i="8"/>
  <c r="AF65" i="8"/>
  <c r="H65" i="8"/>
  <c r="T39" i="8"/>
  <c r="S39" i="8"/>
  <c r="U13" i="8"/>
  <c r="S13" i="8"/>
  <c r="T13" i="8"/>
  <c r="AP65" i="8"/>
  <c r="U65" i="8"/>
  <c r="AR65" i="8"/>
  <c r="U39" i="8"/>
  <c r="AR39" i="8"/>
  <c r="AP39" i="8"/>
  <c r="AR13" i="8"/>
  <c r="AP13" i="8"/>
  <c r="J5" i="8"/>
  <c r="J6" i="8" s="1"/>
  <c r="I6" i="8"/>
  <c r="A144" i="8"/>
  <c r="A118" i="8"/>
  <c r="A92" i="8"/>
  <c r="A64" i="8"/>
  <c r="B66" i="8" s="1"/>
  <c r="A38" i="8"/>
  <c r="A12" i="8"/>
  <c r="B40" i="8"/>
  <c r="A67" i="8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B94" i="8"/>
  <c r="A95" i="8"/>
  <c r="A41" i="8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R66" i="8" l="1"/>
  <c r="Q66" i="8"/>
  <c r="P66" i="8"/>
  <c r="AZ66" i="8"/>
  <c r="BB66" i="8"/>
  <c r="BC66" i="8"/>
  <c r="BA66" i="8"/>
  <c r="BA146" i="8" s="1"/>
  <c r="AZ119" i="8"/>
  <c r="R40" i="8"/>
  <c r="P40" i="8"/>
  <c r="Q40" i="8"/>
  <c r="AL40" i="8"/>
  <c r="AH40" i="8"/>
  <c r="AK40" i="8"/>
  <c r="AG40" i="8"/>
  <c r="H40" i="8"/>
  <c r="AI40" i="8"/>
  <c r="I40" i="8"/>
  <c r="AF40" i="8"/>
  <c r="G40" i="8"/>
  <c r="K40" i="8"/>
  <c r="J40" i="8"/>
  <c r="AM40" i="8"/>
  <c r="AJ40" i="8"/>
  <c r="BB40" i="8"/>
  <c r="BB120" i="8" s="1"/>
  <c r="AZ40" i="8"/>
  <c r="AZ120" i="8" s="1"/>
  <c r="BA40" i="8"/>
  <c r="BC40" i="8"/>
  <c r="BA93" i="8"/>
  <c r="AZ145" i="8"/>
  <c r="BA119" i="8"/>
  <c r="AZ93" i="8"/>
  <c r="BC93" i="8"/>
  <c r="BB145" i="8"/>
  <c r="DH37" i="12" s="1"/>
  <c r="BB146" i="8"/>
  <c r="BC119" i="8"/>
  <c r="BC120" i="8"/>
  <c r="BC145" i="8"/>
  <c r="BC146" i="8"/>
  <c r="BB93" i="8"/>
  <c r="DH37" i="127" s="1"/>
  <c r="BA145" i="8"/>
  <c r="BB119" i="8"/>
  <c r="DH37" i="125" s="1"/>
  <c r="AM66" i="8"/>
  <c r="AI66" i="8"/>
  <c r="AI146" i="8" s="1"/>
  <c r="J66" i="8"/>
  <c r="J146" i="8" s="1"/>
  <c r="AL66" i="8"/>
  <c r="AL146" i="8" s="1"/>
  <c r="AH66" i="8"/>
  <c r="I66" i="8"/>
  <c r="K66" i="8"/>
  <c r="K146" i="8" s="1"/>
  <c r="AK66" i="8"/>
  <c r="AG66" i="8"/>
  <c r="AG146" i="8" s="1"/>
  <c r="H66" i="8"/>
  <c r="G66" i="8"/>
  <c r="G146" i="8" s="1"/>
  <c r="AJ66" i="8"/>
  <c r="AF66" i="8"/>
  <c r="AF146" i="8" s="1"/>
  <c r="S40" i="8"/>
  <c r="T40" i="8"/>
  <c r="T93" i="8"/>
  <c r="BS37" i="127" s="1"/>
  <c r="S119" i="8"/>
  <c r="S120" i="8"/>
  <c r="S93" i="8"/>
  <c r="T119" i="8"/>
  <c r="BS37" i="125" s="1"/>
  <c r="T120" i="8"/>
  <c r="AH93" i="8"/>
  <c r="AI93" i="8"/>
  <c r="AL93" i="8"/>
  <c r="K93" i="8"/>
  <c r="AG93" i="8"/>
  <c r="AF119" i="8"/>
  <c r="AJ119" i="8"/>
  <c r="H119" i="8"/>
  <c r="K119" i="8"/>
  <c r="AG119" i="8"/>
  <c r="U145" i="8"/>
  <c r="AK145" i="8"/>
  <c r="H145" i="8"/>
  <c r="AH145" i="8"/>
  <c r="AP93" i="8"/>
  <c r="AR93" i="8"/>
  <c r="U93" i="8"/>
  <c r="AK93" i="8"/>
  <c r="AP119" i="8"/>
  <c r="J119" i="8"/>
  <c r="AH119" i="8"/>
  <c r="U119" i="8"/>
  <c r="AK119" i="8"/>
  <c r="AJ145" i="8"/>
  <c r="I145" i="8"/>
  <c r="AM145" i="8"/>
  <c r="AL145" i="8"/>
  <c r="AP66" i="8"/>
  <c r="AP146" i="8" s="1"/>
  <c r="AR66" i="8"/>
  <c r="AR146" i="8" s="1"/>
  <c r="U66" i="8"/>
  <c r="H93" i="8"/>
  <c r="I93" i="8"/>
  <c r="AF93" i="8"/>
  <c r="AL119" i="8"/>
  <c r="I119" i="8"/>
  <c r="AM119" i="8"/>
  <c r="AI119" i="8"/>
  <c r="J145" i="8"/>
  <c r="G145" i="8"/>
  <c r="AP145" i="8"/>
  <c r="AP40" i="8"/>
  <c r="G120" i="8"/>
  <c r="AR40" i="8"/>
  <c r="AR120" i="8" s="1"/>
  <c r="U40" i="8"/>
  <c r="AM93" i="8"/>
  <c r="J93" i="8"/>
  <c r="AJ93" i="8"/>
  <c r="G93" i="8"/>
  <c r="AR119" i="8"/>
  <c r="G119" i="8"/>
  <c r="AR145" i="8"/>
  <c r="AF145" i="8"/>
  <c r="AI145" i="8"/>
  <c r="K145" i="8"/>
  <c r="AG145" i="8"/>
  <c r="B95" i="8"/>
  <c r="B96" i="8" s="1"/>
  <c r="B67" i="8"/>
  <c r="B41" i="8"/>
  <c r="A147" i="8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B146" i="8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A121" i="8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B120" i="8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I37" i="98"/>
  <c r="H37" i="98"/>
  <c r="A15" i="8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B3" i="8"/>
  <c r="C3" i="8" s="1"/>
  <c r="D3" i="8" s="1"/>
  <c r="E3" i="8" s="1"/>
  <c r="F3" i="8" s="1"/>
  <c r="G3" i="8" s="1"/>
  <c r="H3" i="8" s="1"/>
  <c r="I3" i="8" s="1"/>
  <c r="J3" i="8" s="1"/>
  <c r="K3" i="8" s="1"/>
  <c r="H39" i="98"/>
  <c r="H40" i="98"/>
  <c r="DH12" i="127" l="1"/>
  <c r="DH11" i="127"/>
  <c r="DH5" i="127"/>
  <c r="BS54" i="12"/>
  <c r="BS11" i="127"/>
  <c r="BS29" i="127"/>
  <c r="BS5" i="127"/>
  <c r="BS12" i="127"/>
  <c r="DH5" i="125"/>
  <c r="DH11" i="125"/>
  <c r="DH12" i="125"/>
  <c r="BA120" i="8"/>
  <c r="R67" i="8"/>
  <c r="Q67" i="8"/>
  <c r="P67" i="8"/>
  <c r="BA67" i="8"/>
  <c r="BC67" i="8"/>
  <c r="BB67" i="8"/>
  <c r="AZ67" i="8"/>
  <c r="BS12" i="125"/>
  <c r="BS29" i="125"/>
  <c r="BS5" i="125"/>
  <c r="BS11" i="125"/>
  <c r="P41" i="8"/>
  <c r="Q41" i="8"/>
  <c r="AL41" i="8"/>
  <c r="AH41" i="8"/>
  <c r="R41" i="8"/>
  <c r="AK41" i="8"/>
  <c r="AG41" i="8"/>
  <c r="K41" i="8"/>
  <c r="K121" i="8" s="1"/>
  <c r="G41" i="8"/>
  <c r="AI41" i="8"/>
  <c r="I41" i="8"/>
  <c r="AJ41" i="8"/>
  <c r="J41" i="8"/>
  <c r="AF41" i="8"/>
  <c r="H41" i="8"/>
  <c r="AM41" i="8"/>
  <c r="AM121" i="8" s="1"/>
  <c r="BB41" i="8"/>
  <c r="BA41" i="8"/>
  <c r="AZ41" i="8"/>
  <c r="BC41" i="8"/>
  <c r="AZ146" i="8"/>
  <c r="AM67" i="8"/>
  <c r="AI67" i="8"/>
  <c r="I67" i="8"/>
  <c r="I147" i="8" s="1"/>
  <c r="AL67" i="8"/>
  <c r="AH67" i="8"/>
  <c r="H67" i="8"/>
  <c r="AK67" i="8"/>
  <c r="AG67" i="8"/>
  <c r="K67" i="8"/>
  <c r="G67" i="8"/>
  <c r="AJ67" i="8"/>
  <c r="AF67" i="8"/>
  <c r="J67" i="8"/>
  <c r="I40" i="98"/>
  <c r="AW48" i="8"/>
  <c r="AW49" i="8"/>
  <c r="AW59" i="8"/>
  <c r="AW56" i="8"/>
  <c r="AW43" i="8"/>
  <c r="AW50" i="8"/>
  <c r="AW40" i="8"/>
  <c r="AW55" i="8"/>
  <c r="AW39" i="8"/>
  <c r="AW57" i="8"/>
  <c r="AW62" i="8"/>
  <c r="AW61" i="8"/>
  <c r="AW51" i="8"/>
  <c r="AW53" i="8"/>
  <c r="AW63" i="8"/>
  <c r="AW41" i="8"/>
  <c r="AW46" i="8"/>
  <c r="AW45" i="8"/>
  <c r="AW42" i="8"/>
  <c r="AW52" i="8"/>
  <c r="AW60" i="8"/>
  <c r="AW54" i="8"/>
  <c r="AW47" i="8"/>
  <c r="AW58" i="8"/>
  <c r="AW44" i="8"/>
  <c r="L3" i="8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BB3" i="8" s="1"/>
  <c r="BC3" i="8" s="1"/>
  <c r="I39" i="98"/>
  <c r="AV63" i="8"/>
  <c r="AV62" i="8"/>
  <c r="AV59" i="8"/>
  <c r="AV53" i="8"/>
  <c r="AV46" i="8"/>
  <c r="AV60" i="8"/>
  <c r="AV47" i="8"/>
  <c r="AV44" i="8"/>
  <c r="AV58" i="8"/>
  <c r="AV55" i="8"/>
  <c r="AV42" i="8"/>
  <c r="AV43" i="8"/>
  <c r="AV52" i="8"/>
  <c r="AV39" i="8"/>
  <c r="AV54" i="8"/>
  <c r="AV40" i="8"/>
  <c r="AV45" i="8"/>
  <c r="AV57" i="8"/>
  <c r="AV56" i="8"/>
  <c r="AV61" i="8"/>
  <c r="AV49" i="8"/>
  <c r="AV50" i="8"/>
  <c r="AV51" i="8"/>
  <c r="AV48" i="8"/>
  <c r="AV41" i="8"/>
  <c r="Q7" i="25"/>
  <c r="O6" i="25"/>
  <c r="D31" i="119" s="1"/>
  <c r="O7" i="25"/>
  <c r="D30" i="119" s="1"/>
  <c r="Q6" i="25"/>
  <c r="Q8" i="25"/>
  <c r="S6" i="25"/>
  <c r="E31" i="119" s="1"/>
  <c r="S8" i="25"/>
  <c r="E35" i="119" s="1"/>
  <c r="S7" i="25"/>
  <c r="E30" i="119" s="1"/>
  <c r="U7" i="25"/>
  <c r="U6" i="25"/>
  <c r="T41" i="8"/>
  <c r="S41" i="8"/>
  <c r="CM39" i="127"/>
  <c r="CM35" i="127"/>
  <c r="CM40" i="127"/>
  <c r="CM36" i="127"/>
  <c r="CM32" i="127"/>
  <c r="CM41" i="127"/>
  <c r="CM37" i="127"/>
  <c r="CM33" i="127"/>
  <c r="CM38" i="127"/>
  <c r="CM34" i="127"/>
  <c r="CM31" i="127"/>
  <c r="CM27" i="127"/>
  <c r="CM23" i="127"/>
  <c r="CM28" i="127"/>
  <c r="CM24" i="127"/>
  <c r="CM29" i="127"/>
  <c r="CM25" i="127"/>
  <c r="CM30" i="127"/>
  <c r="CM26" i="127"/>
  <c r="CM22" i="127"/>
  <c r="CM18" i="127"/>
  <c r="CM14" i="127"/>
  <c r="CM19" i="127"/>
  <c r="CM15" i="127"/>
  <c r="CM20" i="127"/>
  <c r="CM16" i="127"/>
  <c r="CM21" i="127"/>
  <c r="CM17" i="127"/>
  <c r="CM13" i="127"/>
  <c r="CM10" i="127"/>
  <c r="CM6" i="127"/>
  <c r="CM12" i="127"/>
  <c r="CM11" i="127"/>
  <c r="CM7" i="127"/>
  <c r="CM8" i="127"/>
  <c r="CM9" i="127"/>
  <c r="CM5" i="127"/>
  <c r="CN40" i="125"/>
  <c r="CN41" i="125"/>
  <c r="CN36" i="125"/>
  <c r="CN32" i="125"/>
  <c r="CN28" i="125"/>
  <c r="CN24" i="125"/>
  <c r="CN39" i="125"/>
  <c r="CN35" i="125"/>
  <c r="CN31" i="125"/>
  <c r="CN27" i="125"/>
  <c r="CN23" i="125"/>
  <c r="CN38" i="125"/>
  <c r="CN34" i="125"/>
  <c r="CN30" i="125"/>
  <c r="CN26" i="125"/>
  <c r="CN22" i="125"/>
  <c r="CN37" i="125"/>
  <c r="CN33" i="125"/>
  <c r="CN29" i="125"/>
  <c r="CN25" i="125"/>
  <c r="CN21" i="125"/>
  <c r="CN18" i="125"/>
  <c r="CN14" i="125"/>
  <c r="CN10" i="125"/>
  <c r="CN6" i="125"/>
  <c r="CN17" i="125"/>
  <c r="CN13" i="125"/>
  <c r="CN9" i="125"/>
  <c r="CN5" i="125"/>
  <c r="CN20" i="125"/>
  <c r="CN16" i="125"/>
  <c r="CN12" i="125"/>
  <c r="CN8" i="125"/>
  <c r="CN19" i="125"/>
  <c r="CN15" i="125"/>
  <c r="CN11" i="125"/>
  <c r="CN7" i="125"/>
  <c r="BM41" i="125"/>
  <c r="BM36" i="125"/>
  <c r="BN36" i="125" s="1"/>
  <c r="BO36" i="125" s="1"/>
  <c r="BM32" i="125"/>
  <c r="BM28" i="125"/>
  <c r="BO28" i="125" s="1"/>
  <c r="BM24" i="125"/>
  <c r="BM40" i="125"/>
  <c r="BO40" i="125" s="1"/>
  <c r="BM39" i="125"/>
  <c r="BM35" i="125"/>
  <c r="BM31" i="125"/>
  <c r="BM27" i="125"/>
  <c r="BM23" i="125"/>
  <c r="BM38" i="125"/>
  <c r="BO38" i="125" s="1"/>
  <c r="BM34" i="125"/>
  <c r="BM30" i="125"/>
  <c r="BO30" i="125" s="1"/>
  <c r="BM26" i="125"/>
  <c r="BM22" i="125"/>
  <c r="BO22" i="125" s="1"/>
  <c r="BM37" i="125"/>
  <c r="BN37" i="125" s="1"/>
  <c r="BO37" i="125" s="1"/>
  <c r="BM33" i="125"/>
  <c r="BM25" i="125"/>
  <c r="BO25" i="125" s="1"/>
  <c r="BM21" i="125"/>
  <c r="BM18" i="125"/>
  <c r="BO18" i="125" s="1"/>
  <c r="BM14" i="125"/>
  <c r="BM10" i="125"/>
  <c r="BO10" i="125" s="1"/>
  <c r="BM6" i="125"/>
  <c r="BM17" i="125"/>
  <c r="BO17" i="125" s="1"/>
  <c r="BM13" i="125"/>
  <c r="BM9" i="125"/>
  <c r="BO9" i="125" s="1"/>
  <c r="BM5" i="125"/>
  <c r="BM20" i="125"/>
  <c r="BO20" i="125" s="1"/>
  <c r="BM16" i="125"/>
  <c r="BM12" i="125"/>
  <c r="BM8" i="125"/>
  <c r="BO8" i="125" s="1"/>
  <c r="BM19" i="125"/>
  <c r="BO19" i="125" s="1"/>
  <c r="BM15" i="125"/>
  <c r="BM11" i="125"/>
  <c r="BM7" i="125"/>
  <c r="BO7" i="125" s="1"/>
  <c r="CM41" i="125"/>
  <c r="CM40" i="125"/>
  <c r="CM37" i="125"/>
  <c r="CM33" i="125"/>
  <c r="CM29" i="125"/>
  <c r="CM25" i="125"/>
  <c r="CM36" i="125"/>
  <c r="CM32" i="125"/>
  <c r="CM28" i="125"/>
  <c r="CM24" i="125"/>
  <c r="CM39" i="125"/>
  <c r="CM35" i="125"/>
  <c r="CM31" i="125"/>
  <c r="CM27" i="125"/>
  <c r="CM23" i="125"/>
  <c r="CM38" i="125"/>
  <c r="CM34" i="125"/>
  <c r="CM30" i="125"/>
  <c r="CM26" i="125"/>
  <c r="CM22" i="125"/>
  <c r="CM21" i="125"/>
  <c r="CM19" i="125"/>
  <c r="CM15" i="125"/>
  <c r="CM11" i="125"/>
  <c r="CM7" i="125"/>
  <c r="CM18" i="125"/>
  <c r="CM14" i="125"/>
  <c r="CM10" i="125"/>
  <c r="CM6" i="125"/>
  <c r="CM17" i="125"/>
  <c r="CM13" i="125"/>
  <c r="CM9" i="125"/>
  <c r="CM5" i="125"/>
  <c r="CM20" i="125"/>
  <c r="CM16" i="125"/>
  <c r="CM12" i="125"/>
  <c r="CM8" i="125"/>
  <c r="BM38" i="127"/>
  <c r="BN38" i="127" s="1"/>
  <c r="BO38" i="127" s="1"/>
  <c r="BM34" i="127"/>
  <c r="BM39" i="127"/>
  <c r="BN39" i="127" s="1"/>
  <c r="BM35" i="127"/>
  <c r="BM40" i="127"/>
  <c r="BM36" i="127"/>
  <c r="BM41" i="127"/>
  <c r="BM37" i="127"/>
  <c r="BN37" i="127" s="1"/>
  <c r="BO37" i="127" s="1"/>
  <c r="BM33" i="127"/>
  <c r="BM30" i="127"/>
  <c r="BM26" i="127"/>
  <c r="BN26" i="127" s="1"/>
  <c r="BM31" i="127"/>
  <c r="BM27" i="127"/>
  <c r="BM23" i="127"/>
  <c r="BM32" i="127"/>
  <c r="BM28" i="127"/>
  <c r="BM24" i="127"/>
  <c r="BM25" i="127"/>
  <c r="BM21" i="127"/>
  <c r="BM17" i="127"/>
  <c r="BN17" i="127" s="1"/>
  <c r="BO17" i="127" s="1"/>
  <c r="BM22" i="127"/>
  <c r="BM18" i="127"/>
  <c r="BM14" i="127"/>
  <c r="BM19" i="127"/>
  <c r="BM15" i="127"/>
  <c r="BM20" i="127"/>
  <c r="BN20" i="127" s="1"/>
  <c r="BM16" i="127"/>
  <c r="BM13" i="127"/>
  <c r="BM9" i="127"/>
  <c r="BM5" i="127"/>
  <c r="BM10" i="127"/>
  <c r="BM6" i="127"/>
  <c r="BM11" i="127"/>
  <c r="BM7" i="127"/>
  <c r="BM12" i="127"/>
  <c r="BM8" i="127"/>
  <c r="CN40" i="127"/>
  <c r="CN36" i="127"/>
  <c r="CN32" i="127"/>
  <c r="CN41" i="127"/>
  <c r="CN37" i="127"/>
  <c r="CN33" i="127"/>
  <c r="CN38" i="127"/>
  <c r="CN34" i="127"/>
  <c r="CN39" i="127"/>
  <c r="CN35" i="127"/>
  <c r="CN28" i="127"/>
  <c r="CN24" i="127"/>
  <c r="CN29" i="127"/>
  <c r="CN25" i="127"/>
  <c r="CN30" i="127"/>
  <c r="CN26" i="127"/>
  <c r="CN31" i="127"/>
  <c r="CN27" i="127"/>
  <c r="CN23" i="127"/>
  <c r="CN19" i="127"/>
  <c r="CN15" i="127"/>
  <c r="CN20" i="127"/>
  <c r="CN16" i="127"/>
  <c r="CN12" i="127"/>
  <c r="CN21" i="127"/>
  <c r="CN17" i="127"/>
  <c r="CN13" i="127"/>
  <c r="CN22" i="127"/>
  <c r="CN18" i="127"/>
  <c r="CN14" i="127"/>
  <c r="CN11" i="127"/>
  <c r="CN7" i="127"/>
  <c r="CN8" i="127"/>
  <c r="CN9" i="127"/>
  <c r="CN5" i="127"/>
  <c r="CN10" i="127"/>
  <c r="CN6" i="127"/>
  <c r="CM24" i="12"/>
  <c r="CM21" i="12"/>
  <c r="CM28" i="12"/>
  <c r="CM23" i="12"/>
  <c r="CM26" i="12"/>
  <c r="CM18" i="12"/>
  <c r="CM25" i="12"/>
  <c r="CM31" i="12"/>
  <c r="CM27" i="12"/>
  <c r="CM41" i="12"/>
  <c r="CM36" i="12"/>
  <c r="CM40" i="12"/>
  <c r="CM22" i="12"/>
  <c r="CM35" i="12"/>
  <c r="CM29" i="12"/>
  <c r="CM30" i="12"/>
  <c r="CM37" i="12"/>
  <c r="CM33" i="12"/>
  <c r="CM39" i="12"/>
  <c r="CM38" i="12"/>
  <c r="CM19" i="12"/>
  <c r="CM32" i="12"/>
  <c r="CM20" i="12"/>
  <c r="CM34" i="12"/>
  <c r="BO6" i="125"/>
  <c r="BO14" i="125"/>
  <c r="BO16" i="125"/>
  <c r="BO24" i="125"/>
  <c r="BO13" i="125"/>
  <c r="BO15" i="125"/>
  <c r="BO21" i="125"/>
  <c r="BO26" i="125"/>
  <c r="BO27" i="125"/>
  <c r="BO31" i="125"/>
  <c r="BO39" i="127"/>
  <c r="BO32" i="125"/>
  <c r="BO34" i="125"/>
  <c r="BO20" i="127"/>
  <c r="BO41" i="125"/>
  <c r="BO39" i="125"/>
  <c r="BO23" i="125"/>
  <c r="BO33" i="125"/>
  <c r="BO26" i="127"/>
  <c r="CN24" i="12"/>
  <c r="CN33" i="12"/>
  <c r="CN25" i="12"/>
  <c r="CN26" i="12"/>
  <c r="CN36" i="12"/>
  <c r="CN22" i="12"/>
  <c r="CN29" i="12"/>
  <c r="CN39" i="12"/>
  <c r="CN40" i="12"/>
  <c r="CN28" i="12"/>
  <c r="CN19" i="12"/>
  <c r="CN23" i="12"/>
  <c r="CN38" i="12"/>
  <c r="CN21" i="12"/>
  <c r="CN18" i="12"/>
  <c r="CN27" i="12"/>
  <c r="CN20" i="12"/>
  <c r="CN41" i="12"/>
  <c r="CN32" i="12"/>
  <c r="CN35" i="12"/>
  <c r="CN34" i="12"/>
  <c r="CN37" i="12"/>
  <c r="CN31" i="12"/>
  <c r="CN30" i="12"/>
  <c r="BM7" i="12"/>
  <c r="BM9" i="12"/>
  <c r="BM14" i="12"/>
  <c r="BM16" i="12"/>
  <c r="BM18" i="12"/>
  <c r="BO18" i="12" s="1"/>
  <c r="BM20" i="12"/>
  <c r="BO20" i="12" s="1"/>
  <c r="BM22" i="12"/>
  <c r="BO22" i="12" s="1"/>
  <c r="BM24" i="12"/>
  <c r="BO24" i="12" s="1"/>
  <c r="BM26" i="12"/>
  <c r="BO26" i="12" s="1"/>
  <c r="BM28" i="12"/>
  <c r="BO28" i="12" s="1"/>
  <c r="BM30" i="12"/>
  <c r="BO30" i="12" s="1"/>
  <c r="BM32" i="12"/>
  <c r="BO32" i="12" s="1"/>
  <c r="BM34" i="12"/>
  <c r="BO34" i="12" s="1"/>
  <c r="BM36" i="12"/>
  <c r="BM38" i="12"/>
  <c r="BO38" i="12" s="1"/>
  <c r="BM40" i="12"/>
  <c r="BO40" i="12" s="1"/>
  <c r="BM10" i="12"/>
  <c r="BM8" i="12"/>
  <c r="BM6" i="12"/>
  <c r="BM13" i="12"/>
  <c r="BM15" i="12"/>
  <c r="BM17" i="12"/>
  <c r="BM19" i="12"/>
  <c r="BO19" i="12" s="1"/>
  <c r="BM21" i="12"/>
  <c r="BO21" i="12" s="1"/>
  <c r="BM23" i="12"/>
  <c r="BO23" i="12" s="1"/>
  <c r="BM25" i="12"/>
  <c r="BO25" i="12" s="1"/>
  <c r="BM27" i="12"/>
  <c r="BO27" i="12" s="1"/>
  <c r="BM31" i="12"/>
  <c r="BO31" i="12" s="1"/>
  <c r="BM33" i="12"/>
  <c r="BO33" i="12" s="1"/>
  <c r="BM35" i="12"/>
  <c r="BM37" i="12"/>
  <c r="BM39" i="12"/>
  <c r="BO39" i="12" s="1"/>
  <c r="BM41" i="12"/>
  <c r="BO41" i="12" s="1"/>
  <c r="I121" i="8"/>
  <c r="AH121" i="8"/>
  <c r="AR41" i="8"/>
  <c r="AL121" i="8"/>
  <c r="AG121" i="8"/>
  <c r="AJ121" i="8"/>
  <c r="H121" i="8"/>
  <c r="AP41" i="8"/>
  <c r="AP121" i="8" s="1"/>
  <c r="U41" i="8"/>
  <c r="U121" i="8" s="1"/>
  <c r="AK121" i="8"/>
  <c r="J121" i="8"/>
  <c r="I120" i="8"/>
  <c r="U120" i="8"/>
  <c r="AP120" i="8"/>
  <c r="H120" i="8"/>
  <c r="AJ120" i="8"/>
  <c r="AF120" i="8"/>
  <c r="AR67" i="8"/>
  <c r="AJ147" i="8"/>
  <c r="AM147" i="8"/>
  <c r="AP67" i="8"/>
  <c r="U67" i="8"/>
  <c r="U147" i="8" s="1"/>
  <c r="AI121" i="8"/>
  <c r="AL120" i="8"/>
  <c r="J120" i="8"/>
  <c r="AH146" i="8"/>
  <c r="AK146" i="8"/>
  <c r="AG120" i="8"/>
  <c r="AF121" i="8"/>
  <c r="X62" i="8"/>
  <c r="X58" i="8"/>
  <c r="X63" i="8"/>
  <c r="X59" i="8"/>
  <c r="X57" i="8"/>
  <c r="X53" i="8"/>
  <c r="X56" i="8"/>
  <c r="X54" i="8"/>
  <c r="X50" i="8"/>
  <c r="X46" i="8"/>
  <c r="X42" i="8"/>
  <c r="X60" i="8"/>
  <c r="X41" i="8"/>
  <c r="X40" i="8"/>
  <c r="X39" i="8"/>
  <c r="X61" i="8"/>
  <c r="X55" i="8"/>
  <c r="X45" i="8"/>
  <c r="X44" i="8"/>
  <c r="X43" i="8"/>
  <c r="X52" i="8"/>
  <c r="X49" i="8"/>
  <c r="X48" i="8"/>
  <c r="X47" i="8"/>
  <c r="X51" i="8"/>
  <c r="AI120" i="8"/>
  <c r="AM120" i="8"/>
  <c r="AM146" i="8"/>
  <c r="AH120" i="8"/>
  <c r="H146" i="8"/>
  <c r="U146" i="8"/>
  <c r="X86" i="8"/>
  <c r="X82" i="8"/>
  <c r="X87" i="8"/>
  <c r="X83" i="8"/>
  <c r="X88" i="8"/>
  <c r="X84" i="8"/>
  <c r="X79" i="8"/>
  <c r="X75" i="8"/>
  <c r="X71" i="8"/>
  <c r="X67" i="8"/>
  <c r="X80" i="8"/>
  <c r="X76" i="8"/>
  <c r="X72" i="8"/>
  <c r="X68" i="8"/>
  <c r="X78" i="8"/>
  <c r="X74" i="8"/>
  <c r="X70" i="8"/>
  <c r="X66" i="8"/>
  <c r="X89" i="8"/>
  <c r="X85" i="8"/>
  <c r="X81" i="8"/>
  <c r="X77" i="8"/>
  <c r="X73" i="8"/>
  <c r="X69" i="8"/>
  <c r="X65" i="8"/>
  <c r="I146" i="8"/>
  <c r="AJ146" i="8"/>
  <c r="AK120" i="8"/>
  <c r="K120" i="8"/>
  <c r="B97" i="8"/>
  <c r="B42" i="8"/>
  <c r="B68" i="8"/>
  <c r="BL7" i="25"/>
  <c r="BN36" i="12" l="1"/>
  <c r="BO36" i="12" s="1"/>
  <c r="BN35" i="12"/>
  <c r="BO35" i="12" s="1"/>
  <c r="BN35" i="125"/>
  <c r="BO35" i="125" s="1"/>
  <c r="BN37" i="12"/>
  <c r="BO37" i="12" s="1"/>
  <c r="P68" i="8"/>
  <c r="R68" i="8"/>
  <c r="Q68" i="8"/>
  <c r="BB68" i="8"/>
  <c r="AZ68" i="8"/>
  <c r="AZ148" i="8" s="1"/>
  <c r="BA68" i="8"/>
  <c r="BA148" i="8" s="1"/>
  <c r="BC68" i="8"/>
  <c r="BB121" i="8"/>
  <c r="BA147" i="8"/>
  <c r="BC121" i="8"/>
  <c r="AZ147" i="8"/>
  <c r="AZ121" i="8"/>
  <c r="BB147" i="8"/>
  <c r="BB148" i="8"/>
  <c r="P42" i="8"/>
  <c r="Q42" i="8"/>
  <c r="R42" i="8"/>
  <c r="AL42" i="8"/>
  <c r="AH42" i="8"/>
  <c r="AK42" i="8"/>
  <c r="AG42" i="8"/>
  <c r="J42" i="8"/>
  <c r="AI42" i="8"/>
  <c r="I42" i="8"/>
  <c r="AF42" i="8"/>
  <c r="H42" i="8"/>
  <c r="AJ42" i="8"/>
  <c r="AM42" i="8"/>
  <c r="G42" i="8"/>
  <c r="K42" i="8"/>
  <c r="BB42" i="8"/>
  <c r="AZ42" i="8"/>
  <c r="BC42" i="8"/>
  <c r="BA42" i="8"/>
  <c r="BA121" i="8"/>
  <c r="BC147" i="8"/>
  <c r="BC148" i="8"/>
  <c r="AM68" i="8"/>
  <c r="AI68" i="8"/>
  <c r="H68" i="8"/>
  <c r="I68" i="8"/>
  <c r="AL68" i="8"/>
  <c r="AH68" i="8"/>
  <c r="K68" i="8"/>
  <c r="G68" i="8"/>
  <c r="AK68" i="8"/>
  <c r="AG68" i="8"/>
  <c r="J68" i="8"/>
  <c r="J148" i="8" s="1"/>
  <c r="AJ68" i="8"/>
  <c r="AF68" i="8"/>
  <c r="AV129" i="8"/>
  <c r="AV128" i="8"/>
  <c r="AV131" i="8"/>
  <c r="AV142" i="8"/>
  <c r="AV141" i="8"/>
  <c r="AV119" i="8"/>
  <c r="AV120" i="8"/>
  <c r="AV132" i="8"/>
  <c r="AV127" i="8"/>
  <c r="AV139" i="8"/>
  <c r="AV133" i="8"/>
  <c r="AV130" i="8"/>
  <c r="AV125" i="8"/>
  <c r="AV121" i="8"/>
  <c r="AV143" i="8"/>
  <c r="AV137" i="8"/>
  <c r="AV123" i="8"/>
  <c r="AV138" i="8"/>
  <c r="AV135" i="8"/>
  <c r="AV134" i="8"/>
  <c r="AV140" i="8"/>
  <c r="AV136" i="8"/>
  <c r="AV124" i="8"/>
  <c r="AV122" i="8"/>
  <c r="AV126" i="8"/>
  <c r="AW127" i="8"/>
  <c r="AW126" i="8"/>
  <c r="AW125" i="8"/>
  <c r="AW139" i="8"/>
  <c r="AW141" i="8"/>
  <c r="AW133" i="8"/>
  <c r="AW143" i="8"/>
  <c r="AW123" i="8"/>
  <c r="AW136" i="8"/>
  <c r="AW128" i="8"/>
  <c r="AW130" i="8"/>
  <c r="AW122" i="8"/>
  <c r="AW132" i="8"/>
  <c r="AW142" i="8"/>
  <c r="AW124" i="8"/>
  <c r="AW137" i="8"/>
  <c r="AW140" i="8"/>
  <c r="AW135" i="8"/>
  <c r="AW134" i="8"/>
  <c r="AW131" i="8"/>
  <c r="AW120" i="8"/>
  <c r="AW129" i="8"/>
  <c r="AW121" i="8"/>
  <c r="AW119" i="8"/>
  <c r="AW138" i="8"/>
  <c r="AV88" i="8"/>
  <c r="AV84" i="8"/>
  <c r="AV80" i="8"/>
  <c r="AV76" i="8"/>
  <c r="AV72" i="8"/>
  <c r="AV68" i="8"/>
  <c r="AV87" i="8"/>
  <c r="AV83" i="8"/>
  <c r="AV79" i="8"/>
  <c r="AV75" i="8"/>
  <c r="AV71" i="8"/>
  <c r="AV67" i="8"/>
  <c r="AV86" i="8"/>
  <c r="AV82" i="8"/>
  <c r="AV66" i="8"/>
  <c r="AV78" i="8"/>
  <c r="AV74" i="8"/>
  <c r="AV70" i="8"/>
  <c r="AV89" i="8"/>
  <c r="AV85" i="8"/>
  <c r="AV81" i="8"/>
  <c r="AV77" i="8"/>
  <c r="AV73" i="8"/>
  <c r="AV69" i="8"/>
  <c r="AV65" i="8"/>
  <c r="AW87" i="8"/>
  <c r="AW83" i="8"/>
  <c r="AW79" i="8"/>
  <c r="AW75" i="8"/>
  <c r="AW71" i="8"/>
  <c r="AW67" i="8"/>
  <c r="AW86" i="8"/>
  <c r="AW82" i="8"/>
  <c r="AW78" i="8"/>
  <c r="AW74" i="8"/>
  <c r="AW70" i="8"/>
  <c r="AW66" i="8"/>
  <c r="AW85" i="8"/>
  <c r="AW81" i="8"/>
  <c r="AW77" i="8"/>
  <c r="AW73" i="8"/>
  <c r="AW69" i="8"/>
  <c r="AW89" i="8"/>
  <c r="AW65" i="8"/>
  <c r="AW88" i="8"/>
  <c r="AW84" i="8"/>
  <c r="AW80" i="8"/>
  <c r="AW76" i="8"/>
  <c r="AW72" i="8"/>
  <c r="AW68" i="8"/>
  <c r="BN9" i="127"/>
  <c r="BO9" i="127" s="1"/>
  <c r="BN30" i="127"/>
  <c r="BN34" i="127"/>
  <c r="BO34" i="127" s="1"/>
  <c r="BN6" i="127"/>
  <c r="BN13" i="127"/>
  <c r="BO13" i="127" s="1"/>
  <c r="BN19" i="127"/>
  <c r="BO19" i="127" s="1"/>
  <c r="BN24" i="127"/>
  <c r="BO24" i="127" s="1"/>
  <c r="BN10" i="127"/>
  <c r="BO10" i="127" s="1"/>
  <c r="BN16" i="127"/>
  <c r="BO16" i="127" s="1"/>
  <c r="BN14" i="127"/>
  <c r="BO14" i="127" s="1"/>
  <c r="BN21" i="127"/>
  <c r="BO21" i="127" s="1"/>
  <c r="BN28" i="127"/>
  <c r="BO28" i="127" s="1"/>
  <c r="BN31" i="127"/>
  <c r="BO31" i="127" s="1"/>
  <c r="BN35" i="127"/>
  <c r="BO35" i="127" s="1"/>
  <c r="BN15" i="127"/>
  <c r="BO15" i="127" s="1"/>
  <c r="BN22" i="127"/>
  <c r="BO22" i="127" s="1"/>
  <c r="BN23" i="127"/>
  <c r="BO23" i="127" s="1"/>
  <c r="BN36" i="127"/>
  <c r="BO36" i="127" s="1"/>
  <c r="BN8" i="127"/>
  <c r="BO8" i="127" s="1"/>
  <c r="BN27" i="127"/>
  <c r="BO27" i="127" s="1"/>
  <c r="BN33" i="127"/>
  <c r="BO33" i="127" s="1"/>
  <c r="BN40" i="127"/>
  <c r="BO40" i="127" s="1"/>
  <c r="BN7" i="127"/>
  <c r="BO7" i="127" s="1"/>
  <c r="BN18" i="127"/>
  <c r="BO18" i="127" s="1"/>
  <c r="BN25" i="127"/>
  <c r="BO25" i="127" s="1"/>
  <c r="BN32" i="127"/>
  <c r="BO32" i="127" s="1"/>
  <c r="BN41" i="127"/>
  <c r="BO41" i="127" s="1"/>
  <c r="T121" i="8"/>
  <c r="S121" i="8"/>
  <c r="S42" i="8"/>
  <c r="T42" i="8"/>
  <c r="CO7" i="25"/>
  <c r="BM7" i="25"/>
  <c r="AR42" i="8"/>
  <c r="AR122" i="8" s="1"/>
  <c r="G122" i="8"/>
  <c r="AP42" i="8"/>
  <c r="U42" i="8"/>
  <c r="AG147" i="8"/>
  <c r="K147" i="8"/>
  <c r="AK147" i="8"/>
  <c r="AH147" i="8"/>
  <c r="AL147" i="8"/>
  <c r="AR121" i="8"/>
  <c r="AI147" i="8"/>
  <c r="AR147" i="8"/>
  <c r="G121" i="8"/>
  <c r="X166" i="8"/>
  <c r="X162" i="8"/>
  <c r="X158" i="8"/>
  <c r="X154" i="8"/>
  <c r="X150" i="8"/>
  <c r="X146" i="8"/>
  <c r="X167" i="8"/>
  <c r="X163" i="8"/>
  <c r="X159" i="8"/>
  <c r="X155" i="8"/>
  <c r="X151" i="8"/>
  <c r="X147" i="8"/>
  <c r="X168" i="8"/>
  <c r="X164" i="8"/>
  <c r="X160" i="8"/>
  <c r="X156" i="8"/>
  <c r="X152" i="8"/>
  <c r="X148" i="8"/>
  <c r="X169" i="8"/>
  <c r="X165" i="8"/>
  <c r="X161" i="8"/>
  <c r="X157" i="8"/>
  <c r="X153" i="8"/>
  <c r="X145" i="8"/>
  <c r="X149" i="8"/>
  <c r="X132" i="8"/>
  <c r="X129" i="8"/>
  <c r="X130" i="8"/>
  <c r="X135" i="8"/>
  <c r="X140" i="8"/>
  <c r="X133" i="8"/>
  <c r="X134" i="8"/>
  <c r="X139" i="8"/>
  <c r="X122" i="8"/>
  <c r="X124" i="8"/>
  <c r="X123" i="8"/>
  <c r="X137" i="8"/>
  <c r="X138" i="8"/>
  <c r="X143" i="8"/>
  <c r="X127" i="8"/>
  <c r="X125" i="8"/>
  <c r="X120" i="8"/>
  <c r="X119" i="8"/>
  <c r="X141" i="8"/>
  <c r="X142" i="8"/>
  <c r="X126" i="8"/>
  <c r="X131" i="8"/>
  <c r="X128" i="8"/>
  <c r="X121" i="8"/>
  <c r="X136" i="8"/>
  <c r="AP147" i="8"/>
  <c r="AF147" i="8"/>
  <c r="H147" i="8"/>
  <c r="U68" i="8"/>
  <c r="G148" i="8"/>
  <c r="AR68" i="8"/>
  <c r="AP68" i="8"/>
  <c r="G147" i="8"/>
  <c r="J147" i="8"/>
  <c r="B98" i="8"/>
  <c r="B43" i="8"/>
  <c r="B69" i="8"/>
  <c r="BL3" i="25"/>
  <c r="BN6" i="25"/>
  <c r="Q43" i="8" l="1"/>
  <c r="R43" i="8"/>
  <c r="AL43" i="8"/>
  <c r="AH43" i="8"/>
  <c r="AK43" i="8"/>
  <c r="AG43" i="8"/>
  <c r="I43" i="8"/>
  <c r="P43" i="8"/>
  <c r="AI43" i="8"/>
  <c r="J43" i="8"/>
  <c r="G43" i="8"/>
  <c r="AF43" i="8"/>
  <c r="H43" i="8"/>
  <c r="K43" i="8"/>
  <c r="AM43" i="8"/>
  <c r="AJ43" i="8"/>
  <c r="AJ123" i="8" s="1"/>
  <c r="BB43" i="8"/>
  <c r="BB123" i="8" s="1"/>
  <c r="BA43" i="8"/>
  <c r="AZ43" i="8"/>
  <c r="BC43" i="8"/>
  <c r="BC123" i="8" s="1"/>
  <c r="AZ122" i="8"/>
  <c r="BA122" i="8"/>
  <c r="BB122" i="8"/>
  <c r="Q69" i="8"/>
  <c r="P69" i="8"/>
  <c r="R69" i="8"/>
  <c r="BC69" i="8"/>
  <c r="BB69" i="8"/>
  <c r="BA69" i="8"/>
  <c r="AZ69" i="8"/>
  <c r="AZ123" i="8"/>
  <c r="BC122" i="8"/>
  <c r="AZ149" i="8"/>
  <c r="AM69" i="8"/>
  <c r="AI69" i="8"/>
  <c r="K69" i="8"/>
  <c r="G69" i="8"/>
  <c r="AL69" i="8"/>
  <c r="AH69" i="8"/>
  <c r="J69" i="8"/>
  <c r="AK69" i="8"/>
  <c r="AG69" i="8"/>
  <c r="I69" i="8"/>
  <c r="H69" i="8"/>
  <c r="AJ69" i="8"/>
  <c r="AF69" i="8"/>
  <c r="AV161" i="8"/>
  <c r="AV165" i="8"/>
  <c r="AV169" i="8"/>
  <c r="AV158" i="8"/>
  <c r="AV167" i="8"/>
  <c r="AV147" i="8"/>
  <c r="AV156" i="8"/>
  <c r="AV146" i="8"/>
  <c r="AV162" i="8"/>
  <c r="AV155" i="8"/>
  <c r="AV159" i="8"/>
  <c r="AV160" i="8"/>
  <c r="AV163" i="8"/>
  <c r="AV152" i="8"/>
  <c r="AV149" i="8"/>
  <c r="AV145" i="8"/>
  <c r="AV157" i="8"/>
  <c r="AV150" i="8"/>
  <c r="AV166" i="8"/>
  <c r="AV151" i="8"/>
  <c r="AV148" i="8"/>
  <c r="AV164" i="8"/>
  <c r="AV153" i="8"/>
  <c r="AV154" i="8"/>
  <c r="AV168" i="8"/>
  <c r="AW149" i="8"/>
  <c r="AW165" i="8"/>
  <c r="AW154" i="8"/>
  <c r="AW158" i="8"/>
  <c r="AW147" i="8"/>
  <c r="AW163" i="8"/>
  <c r="AW148" i="8"/>
  <c r="AW152" i="8"/>
  <c r="AW153" i="8"/>
  <c r="AW169" i="8"/>
  <c r="AW150" i="8"/>
  <c r="AW151" i="8"/>
  <c r="AW167" i="8"/>
  <c r="AW145" i="8"/>
  <c r="AW146" i="8"/>
  <c r="AW164" i="8"/>
  <c r="AW157" i="8"/>
  <c r="AW162" i="8"/>
  <c r="AW166" i="8"/>
  <c r="AW155" i="8"/>
  <c r="AW159" i="8"/>
  <c r="AW156" i="8"/>
  <c r="AW160" i="8"/>
  <c r="AW161" i="8"/>
  <c r="AW168" i="8"/>
  <c r="CO3" i="25"/>
  <c r="BM3" i="25"/>
  <c r="BO6" i="127"/>
  <c r="BO30" i="127"/>
  <c r="T122" i="8"/>
  <c r="S122" i="8"/>
  <c r="T43" i="8"/>
  <c r="S43" i="8"/>
  <c r="S123" i="8" s="1"/>
  <c r="AK123" i="8"/>
  <c r="AG123" i="8"/>
  <c r="U43" i="8"/>
  <c r="U123" i="8" s="1"/>
  <c r="K123" i="8"/>
  <c r="AR43" i="8"/>
  <c r="AM123" i="8"/>
  <c r="AH123" i="8"/>
  <c r="AL123" i="8"/>
  <c r="AF123" i="8"/>
  <c r="J123" i="8"/>
  <c r="AI123" i="8"/>
  <c r="H123" i="8"/>
  <c r="AP43" i="8"/>
  <c r="I123" i="8"/>
  <c r="AM148" i="8"/>
  <c r="AG148" i="8"/>
  <c r="U122" i="8"/>
  <c r="K122" i="8"/>
  <c r="AH122" i="8"/>
  <c r="J122" i="8"/>
  <c r="AJ122" i="8"/>
  <c r="I148" i="8"/>
  <c r="H148" i="8"/>
  <c r="AL148" i="8"/>
  <c r="AJ148" i="8"/>
  <c r="AF148" i="8"/>
  <c r="AI148" i="8"/>
  <c r="K148" i="8"/>
  <c r="I122" i="8"/>
  <c r="AI122" i="8"/>
  <c r="AM122" i="8"/>
  <c r="AH148" i="8"/>
  <c r="AR148" i="8"/>
  <c r="AK122" i="8"/>
  <c r="AP122" i="8"/>
  <c r="AP123" i="8"/>
  <c r="AG122" i="8"/>
  <c r="AP69" i="8"/>
  <c r="U69" i="8"/>
  <c r="U149" i="8" s="1"/>
  <c r="AR69" i="8"/>
  <c r="AR149" i="8" s="1"/>
  <c r="U148" i="8"/>
  <c r="AK148" i="8"/>
  <c r="AP148" i="8"/>
  <c r="H122" i="8"/>
  <c r="AL122" i="8"/>
  <c r="AF122" i="8"/>
  <c r="B99" i="8"/>
  <c r="B70" i="8"/>
  <c r="B44" i="8"/>
  <c r="BN2" i="25"/>
  <c r="BN19" i="25" l="1"/>
  <c r="BC149" i="8"/>
  <c r="R44" i="8"/>
  <c r="P44" i="8"/>
  <c r="AL44" i="8"/>
  <c r="AH44" i="8"/>
  <c r="AK44" i="8"/>
  <c r="AG44" i="8"/>
  <c r="H44" i="8"/>
  <c r="Q44" i="8"/>
  <c r="AI44" i="8"/>
  <c r="J44" i="8"/>
  <c r="AJ44" i="8"/>
  <c r="AF44" i="8"/>
  <c r="I44" i="8"/>
  <c r="G44" i="8"/>
  <c r="G124" i="8" s="1"/>
  <c r="AM44" i="8"/>
  <c r="K44" i="8"/>
  <c r="BB44" i="8"/>
  <c r="AZ44" i="8"/>
  <c r="BC44" i="8"/>
  <c r="BA44" i="8"/>
  <c r="R70" i="8"/>
  <c r="Q70" i="8"/>
  <c r="P70" i="8"/>
  <c r="AZ70" i="8"/>
  <c r="AZ150" i="8" s="1"/>
  <c r="BC70" i="8"/>
  <c r="BB70" i="8"/>
  <c r="BB150" i="8" s="1"/>
  <c r="BA70" i="8"/>
  <c r="BA150" i="8" s="1"/>
  <c r="BA123" i="8"/>
  <c r="BA149" i="8"/>
  <c r="BB149" i="8"/>
  <c r="AM70" i="8"/>
  <c r="AI70" i="8"/>
  <c r="J70" i="8"/>
  <c r="J150" i="8" s="1"/>
  <c r="AL70" i="8"/>
  <c r="AH70" i="8"/>
  <c r="AH150" i="8" s="1"/>
  <c r="I70" i="8"/>
  <c r="G70" i="8"/>
  <c r="AK70" i="8"/>
  <c r="AG70" i="8"/>
  <c r="AG150" i="8" s="1"/>
  <c r="H70" i="8"/>
  <c r="H150" i="8" s="1"/>
  <c r="AJ70" i="8"/>
  <c r="AJ150" i="8" s="1"/>
  <c r="AF70" i="8"/>
  <c r="K70" i="8"/>
  <c r="K150" i="8" s="1"/>
  <c r="T123" i="8"/>
  <c r="S44" i="8"/>
  <c r="T44" i="8"/>
  <c r="AI150" i="8"/>
  <c r="AP70" i="8"/>
  <c r="AP150" i="8" s="1"/>
  <c r="AR70" i="8"/>
  <c r="AR150" i="8" s="1"/>
  <c r="U70" i="8"/>
  <c r="AI149" i="8"/>
  <c r="AP149" i="8"/>
  <c r="AM149" i="8"/>
  <c r="G123" i="8"/>
  <c r="AJ149" i="8"/>
  <c r="AL149" i="8"/>
  <c r="I149" i="8"/>
  <c r="H149" i="8"/>
  <c r="AG149" i="8"/>
  <c r="K149" i="8"/>
  <c r="AR123" i="8"/>
  <c r="AP44" i="8"/>
  <c r="AR44" i="8"/>
  <c r="U44" i="8"/>
  <c r="J149" i="8"/>
  <c r="G149" i="8"/>
  <c r="AH149" i="8"/>
  <c r="AK149" i="8"/>
  <c r="AF149" i="8"/>
  <c r="CN14" i="12"/>
  <c r="CN17" i="12"/>
  <c r="CN15" i="12"/>
  <c r="CN16" i="12"/>
  <c r="CN13" i="12"/>
  <c r="CM13" i="12"/>
  <c r="CM14" i="12"/>
  <c r="CM16" i="12"/>
  <c r="CM17" i="12"/>
  <c r="CM15" i="12"/>
  <c r="B100" i="8"/>
  <c r="B45" i="8"/>
  <c r="B71" i="8"/>
  <c r="P45" i="8" l="1"/>
  <c r="Q45" i="8"/>
  <c r="R45" i="8"/>
  <c r="AL45" i="8"/>
  <c r="AH45" i="8"/>
  <c r="AK45" i="8"/>
  <c r="AG45" i="8"/>
  <c r="AG125" i="8" s="1"/>
  <c r="K45" i="8"/>
  <c r="G45" i="8"/>
  <c r="AI45" i="8"/>
  <c r="J45" i="8"/>
  <c r="AF45" i="8"/>
  <c r="I45" i="8"/>
  <c r="AM45" i="8"/>
  <c r="H45" i="8"/>
  <c r="H125" i="8" s="1"/>
  <c r="AJ45" i="8"/>
  <c r="BB45" i="8"/>
  <c r="BA45" i="8"/>
  <c r="AZ45" i="8"/>
  <c r="BC45" i="8"/>
  <c r="BC150" i="8"/>
  <c r="BA124" i="8"/>
  <c r="BC125" i="8"/>
  <c r="BC124" i="8"/>
  <c r="BB125" i="8"/>
  <c r="BB124" i="8"/>
  <c r="R71" i="8"/>
  <c r="Q71" i="8"/>
  <c r="P71" i="8"/>
  <c r="BA71" i="8"/>
  <c r="BC71" i="8"/>
  <c r="BB71" i="8"/>
  <c r="AZ71" i="8"/>
  <c r="AZ125" i="8"/>
  <c r="AZ124" i="8"/>
  <c r="AM71" i="8"/>
  <c r="AI71" i="8"/>
  <c r="I71" i="8"/>
  <c r="J71" i="8"/>
  <c r="AL71" i="8"/>
  <c r="AH71" i="8"/>
  <c r="H71" i="8"/>
  <c r="AK71" i="8"/>
  <c r="AG71" i="8"/>
  <c r="K71" i="8"/>
  <c r="G71" i="8"/>
  <c r="AJ71" i="8"/>
  <c r="AF71" i="8"/>
  <c r="T124" i="8"/>
  <c r="S124" i="8"/>
  <c r="T45" i="8"/>
  <c r="S45" i="8"/>
  <c r="AF124" i="8"/>
  <c r="AP124" i="8"/>
  <c r="AJ124" i="8"/>
  <c r="K124" i="8"/>
  <c r="J124" i="8"/>
  <c r="AK124" i="8"/>
  <c r="AR124" i="8"/>
  <c r="I150" i="8"/>
  <c r="U150" i="8"/>
  <c r="AK150" i="8"/>
  <c r="AL150" i="8"/>
  <c r="G150" i="8"/>
  <c r="AI124" i="8"/>
  <c r="U124" i="8"/>
  <c r="AG124" i="8"/>
  <c r="H124" i="8"/>
  <c r="AH124" i="8"/>
  <c r="AF150" i="8"/>
  <c r="AM125" i="8"/>
  <c r="AI125" i="8"/>
  <c r="I125" i="8"/>
  <c r="AR45" i="8"/>
  <c r="AR125" i="8" s="1"/>
  <c r="AL125" i="8"/>
  <c r="K125" i="8"/>
  <c r="AP45" i="8"/>
  <c r="AP125" i="8" s="1"/>
  <c r="AK125" i="8"/>
  <c r="AF125" i="8"/>
  <c r="U45" i="8"/>
  <c r="U125" i="8" s="1"/>
  <c r="J125" i="8"/>
  <c r="AH125" i="8"/>
  <c r="G125" i="8"/>
  <c r="AJ125" i="8"/>
  <c r="AR71" i="8"/>
  <c r="AI151" i="8"/>
  <c r="U71" i="8"/>
  <c r="U151" i="8" s="1"/>
  <c r="AP71" i="8"/>
  <c r="I124" i="8"/>
  <c r="AM124" i="8"/>
  <c r="AL124" i="8"/>
  <c r="AM151" i="8"/>
  <c r="AM150" i="8"/>
  <c r="B101" i="8"/>
  <c r="B72" i="8"/>
  <c r="B46" i="8"/>
  <c r="P46" i="8" l="1"/>
  <c r="Q46" i="8"/>
  <c r="R46" i="8"/>
  <c r="AL46" i="8"/>
  <c r="AH46" i="8"/>
  <c r="AH126" i="8" s="1"/>
  <c r="AK46" i="8"/>
  <c r="AG46" i="8"/>
  <c r="AG126" i="8" s="1"/>
  <c r="J46" i="8"/>
  <c r="AI46" i="8"/>
  <c r="K46" i="8"/>
  <c r="H46" i="8"/>
  <c r="AJ46" i="8"/>
  <c r="G46" i="8"/>
  <c r="AF46" i="8"/>
  <c r="I46" i="8"/>
  <c r="AM46" i="8"/>
  <c r="BB46" i="8"/>
  <c r="AZ46" i="8"/>
  <c r="BA46" i="8"/>
  <c r="BA126" i="8" s="1"/>
  <c r="BC46" i="8"/>
  <c r="BB151" i="8"/>
  <c r="BC151" i="8"/>
  <c r="BA125" i="8"/>
  <c r="P72" i="8"/>
  <c r="R72" i="8"/>
  <c r="Q72" i="8"/>
  <c r="BB72" i="8"/>
  <c r="AZ72" i="8"/>
  <c r="BA72" i="8"/>
  <c r="BA152" i="8" s="1"/>
  <c r="BC72" i="8"/>
  <c r="BA151" i="8"/>
  <c r="AZ152" i="8"/>
  <c r="AZ151" i="8"/>
  <c r="AM72" i="8"/>
  <c r="AI72" i="8"/>
  <c r="H72" i="8"/>
  <c r="H152" i="8" s="1"/>
  <c r="AL72" i="8"/>
  <c r="AH72" i="8"/>
  <c r="K72" i="8"/>
  <c r="G72" i="8"/>
  <c r="AK72" i="8"/>
  <c r="AK152" i="8" s="1"/>
  <c r="AG72" i="8"/>
  <c r="J72" i="8"/>
  <c r="J152" i="8" s="1"/>
  <c r="AJ72" i="8"/>
  <c r="AJ152" i="8" s="1"/>
  <c r="AF72" i="8"/>
  <c r="AF152" i="8" s="1"/>
  <c r="I72" i="8"/>
  <c r="T125" i="8"/>
  <c r="S125" i="8"/>
  <c r="S46" i="8"/>
  <c r="T46" i="8"/>
  <c r="T126" i="8" s="1"/>
  <c r="AR46" i="8"/>
  <c r="AR126" i="8" s="1"/>
  <c r="AJ126" i="8"/>
  <c r="AF126" i="8"/>
  <c r="J126" i="8"/>
  <c r="AL126" i="8"/>
  <c r="K126" i="8"/>
  <c r="AP46" i="8"/>
  <c r="AP126" i="8" s="1"/>
  <c r="AK126" i="8"/>
  <c r="U46" i="8"/>
  <c r="U126" i="8" s="1"/>
  <c r="I126" i="8"/>
  <c r="G126" i="8"/>
  <c r="AI126" i="8"/>
  <c r="H126" i="8"/>
  <c r="AM126" i="8"/>
  <c r="AG151" i="8"/>
  <c r="H151" i="8"/>
  <c r="AH151" i="8"/>
  <c r="AG152" i="8"/>
  <c r="U72" i="8"/>
  <c r="U152" i="8" s="1"/>
  <c r="K152" i="8"/>
  <c r="AR72" i="8"/>
  <c r="AR152" i="8" s="1"/>
  <c r="AP72" i="8"/>
  <c r="AP152" i="8" s="1"/>
  <c r="AH152" i="8"/>
  <c r="AM152" i="8"/>
  <c r="I152" i="8"/>
  <c r="AP151" i="8"/>
  <c r="J151" i="8"/>
  <c r="AJ151" i="8"/>
  <c r="I151" i="8"/>
  <c r="AK151" i="8"/>
  <c r="K151" i="8"/>
  <c r="G151" i="8"/>
  <c r="AI152" i="8"/>
  <c r="AR151" i="8"/>
  <c r="AF151" i="8"/>
  <c r="AL151" i="8"/>
  <c r="B102" i="8"/>
  <c r="B47" i="8"/>
  <c r="B73" i="8"/>
  <c r="AZ126" i="8" l="1"/>
  <c r="Q73" i="8"/>
  <c r="P73" i="8"/>
  <c r="R73" i="8"/>
  <c r="BC73" i="8"/>
  <c r="BC153" i="8" s="1"/>
  <c r="AZ73" i="8"/>
  <c r="BB73" i="8"/>
  <c r="BB153" i="8" s="1"/>
  <c r="BA73" i="8"/>
  <c r="BB126" i="8"/>
  <c r="BC126" i="8"/>
  <c r="Q47" i="8"/>
  <c r="R47" i="8"/>
  <c r="AL47" i="8"/>
  <c r="AH47" i="8"/>
  <c r="AH127" i="8" s="1"/>
  <c r="P47" i="8"/>
  <c r="AK47" i="8"/>
  <c r="AK127" i="8" s="1"/>
  <c r="AG47" i="8"/>
  <c r="I47" i="8"/>
  <c r="I127" i="8" s="1"/>
  <c r="AI47" i="8"/>
  <c r="K47" i="8"/>
  <c r="AF47" i="8"/>
  <c r="J47" i="8"/>
  <c r="H47" i="8"/>
  <c r="AJ47" i="8"/>
  <c r="AJ127" i="8" s="1"/>
  <c r="G47" i="8"/>
  <c r="AM47" i="8"/>
  <c r="BB47" i="8"/>
  <c r="BB127" i="8" s="1"/>
  <c r="BC47" i="8"/>
  <c r="BC127" i="8" s="1"/>
  <c r="BA47" i="8"/>
  <c r="AZ47" i="8"/>
  <c r="AZ127" i="8" s="1"/>
  <c r="BC152" i="8"/>
  <c r="BB152" i="8"/>
  <c r="AM73" i="8"/>
  <c r="AI73" i="8"/>
  <c r="K73" i="8"/>
  <c r="K153" i="8" s="1"/>
  <c r="G73" i="8"/>
  <c r="AL73" i="8"/>
  <c r="AH73" i="8"/>
  <c r="AH153" i="8" s="1"/>
  <c r="J73" i="8"/>
  <c r="H73" i="8"/>
  <c r="H153" i="8" s="1"/>
  <c r="AK73" i="8"/>
  <c r="AG73" i="8"/>
  <c r="I73" i="8"/>
  <c r="I153" i="8" s="1"/>
  <c r="AJ73" i="8"/>
  <c r="AJ153" i="8" s="1"/>
  <c r="AF73" i="8"/>
  <c r="AF153" i="8" s="1"/>
  <c r="S126" i="8"/>
  <c r="T47" i="8"/>
  <c r="T127" i="8" s="1"/>
  <c r="S47" i="8"/>
  <c r="S127" i="8" s="1"/>
  <c r="AP73" i="8"/>
  <c r="AP153" i="8" s="1"/>
  <c r="AK153" i="8"/>
  <c r="AG153" i="8"/>
  <c r="U73" i="8"/>
  <c r="U153" i="8" s="1"/>
  <c r="AI153" i="8"/>
  <c r="AM153" i="8"/>
  <c r="AR73" i="8"/>
  <c r="AR153" i="8" s="1"/>
  <c r="AL152" i="8"/>
  <c r="G152" i="8"/>
  <c r="AG127" i="8"/>
  <c r="U47" i="8"/>
  <c r="U127" i="8" s="1"/>
  <c r="K127" i="8"/>
  <c r="G127" i="8"/>
  <c r="AL127" i="8"/>
  <c r="AF127" i="8"/>
  <c r="J127" i="8"/>
  <c r="AP47" i="8"/>
  <c r="AP127" i="8" s="1"/>
  <c r="AR47" i="8"/>
  <c r="AR127" i="8" s="1"/>
  <c r="AI127" i="8"/>
  <c r="H127" i="8"/>
  <c r="AM127" i="8"/>
  <c r="B103" i="8"/>
  <c r="B74" i="8"/>
  <c r="B48" i="8"/>
  <c r="BA127" i="8" l="1"/>
  <c r="BA153" i="8"/>
  <c r="R74" i="8"/>
  <c r="Q74" i="8"/>
  <c r="P74" i="8"/>
  <c r="AZ74" i="8"/>
  <c r="BC74" i="8"/>
  <c r="BC154" i="8" s="1"/>
  <c r="BB74" i="8"/>
  <c r="BB154" i="8" s="1"/>
  <c r="BA74" i="8"/>
  <c r="BA154" i="8" s="1"/>
  <c r="R48" i="8"/>
  <c r="P48" i="8"/>
  <c r="AL48" i="8"/>
  <c r="AH48" i="8"/>
  <c r="AK48" i="8"/>
  <c r="AG48" i="8"/>
  <c r="AG128" i="8" s="1"/>
  <c r="H48" i="8"/>
  <c r="Q48" i="8"/>
  <c r="AI48" i="8"/>
  <c r="K48" i="8"/>
  <c r="K128" i="8" s="1"/>
  <c r="AF48" i="8"/>
  <c r="J48" i="8"/>
  <c r="J128" i="8" s="1"/>
  <c r="AM48" i="8"/>
  <c r="I48" i="8"/>
  <c r="I128" i="8" s="1"/>
  <c r="AJ48" i="8"/>
  <c r="G48" i="8"/>
  <c r="G128" i="8" s="1"/>
  <c r="BB48" i="8"/>
  <c r="BB128" i="8" s="1"/>
  <c r="AZ48" i="8"/>
  <c r="AZ128" i="8" s="1"/>
  <c r="BA48" i="8"/>
  <c r="BA128" i="8" s="1"/>
  <c r="BC48" i="8"/>
  <c r="BC128" i="8" s="1"/>
  <c r="AZ154" i="8"/>
  <c r="AZ153" i="8"/>
  <c r="AM74" i="8"/>
  <c r="AI74" i="8"/>
  <c r="J74" i="8"/>
  <c r="AL74" i="8"/>
  <c r="AL154" i="8" s="1"/>
  <c r="AH74" i="8"/>
  <c r="I74" i="8"/>
  <c r="AK74" i="8"/>
  <c r="AK154" i="8" s="1"/>
  <c r="AG74" i="8"/>
  <c r="AG154" i="8" s="1"/>
  <c r="H74" i="8"/>
  <c r="G74" i="8"/>
  <c r="G154" i="8" s="1"/>
  <c r="AJ74" i="8"/>
  <c r="AJ154" i="8" s="1"/>
  <c r="AF74" i="8"/>
  <c r="AF154" i="8" s="1"/>
  <c r="K74" i="8"/>
  <c r="S48" i="8"/>
  <c r="S128" i="8" s="1"/>
  <c r="T48" i="8"/>
  <c r="T128" i="8" s="1"/>
  <c r="AP48" i="8"/>
  <c r="AP128" i="8" s="1"/>
  <c r="AL128" i="8"/>
  <c r="AH128" i="8"/>
  <c r="H128" i="8"/>
  <c r="AK128" i="8"/>
  <c r="AF128" i="8"/>
  <c r="U48" i="8"/>
  <c r="U128" i="8" s="1"/>
  <c r="AJ128" i="8"/>
  <c r="AR48" i="8"/>
  <c r="AR128" i="8" s="1"/>
  <c r="AI128" i="8"/>
  <c r="AM128" i="8"/>
  <c r="AL153" i="8"/>
  <c r="AM154" i="8"/>
  <c r="AI154" i="8"/>
  <c r="I154" i="8"/>
  <c r="AP74" i="8"/>
  <c r="AP154" i="8" s="1"/>
  <c r="AH154" i="8"/>
  <c r="H154" i="8"/>
  <c r="K154" i="8"/>
  <c r="U74" i="8"/>
  <c r="U154" i="8" s="1"/>
  <c r="AR74" i="8"/>
  <c r="AR154" i="8" s="1"/>
  <c r="J154" i="8"/>
  <c r="J153" i="8"/>
  <c r="G153" i="8"/>
  <c r="B104" i="8"/>
  <c r="B49" i="8"/>
  <c r="B75" i="8"/>
  <c r="R75" i="8" l="1"/>
  <c r="Q75" i="8"/>
  <c r="P75" i="8"/>
  <c r="BA75" i="8"/>
  <c r="BA155" i="8" s="1"/>
  <c r="AZ75" i="8"/>
  <c r="AZ155" i="8" s="1"/>
  <c r="BC75" i="8"/>
  <c r="BC155" i="8" s="1"/>
  <c r="BB75" i="8"/>
  <c r="BB155" i="8" s="1"/>
  <c r="P49" i="8"/>
  <c r="Q49" i="8"/>
  <c r="AL49" i="8"/>
  <c r="AH49" i="8"/>
  <c r="AK49" i="8"/>
  <c r="AG49" i="8"/>
  <c r="K49" i="8"/>
  <c r="G49" i="8"/>
  <c r="AI49" i="8"/>
  <c r="AI129" i="8" s="1"/>
  <c r="I49" i="8"/>
  <c r="AJ49" i="8"/>
  <c r="H49" i="8"/>
  <c r="R49" i="8"/>
  <c r="AF49" i="8"/>
  <c r="J49" i="8"/>
  <c r="J129" i="8" s="1"/>
  <c r="AM49" i="8"/>
  <c r="AM129" i="8" s="1"/>
  <c r="BB49" i="8"/>
  <c r="BB129" i="8" s="1"/>
  <c r="BC49" i="8"/>
  <c r="BC129" i="8" s="1"/>
  <c r="BA49" i="8"/>
  <c r="BA129" i="8" s="1"/>
  <c r="AZ49" i="8"/>
  <c r="AZ129" i="8" s="1"/>
  <c r="AM75" i="8"/>
  <c r="AI75" i="8"/>
  <c r="I75" i="8"/>
  <c r="I155" i="8" s="1"/>
  <c r="J75" i="8"/>
  <c r="J155" i="8" s="1"/>
  <c r="AL75" i="8"/>
  <c r="AL155" i="8" s="1"/>
  <c r="AH75" i="8"/>
  <c r="H75" i="8"/>
  <c r="H155" i="8" s="1"/>
  <c r="AK75" i="8"/>
  <c r="AG75" i="8"/>
  <c r="K75" i="8"/>
  <c r="G75" i="8"/>
  <c r="AJ75" i="8"/>
  <c r="AJ155" i="8" s="1"/>
  <c r="AF75" i="8"/>
  <c r="AF155" i="8" s="1"/>
  <c r="T49" i="8"/>
  <c r="T129" i="8" s="1"/>
  <c r="S49" i="8"/>
  <c r="S129" i="8" s="1"/>
  <c r="I129" i="8"/>
  <c r="AP49" i="8"/>
  <c r="AP129" i="8" s="1"/>
  <c r="AK129" i="8"/>
  <c r="AF129" i="8"/>
  <c r="U49" i="8"/>
  <c r="U129" i="8" s="1"/>
  <c r="AJ129" i="8"/>
  <c r="H129" i="8"/>
  <c r="AR49" i="8"/>
  <c r="AR129" i="8" s="1"/>
  <c r="AG129" i="8"/>
  <c r="AH129" i="8"/>
  <c r="G129" i="8"/>
  <c r="AL129" i="8"/>
  <c r="K129" i="8"/>
  <c r="AR75" i="8"/>
  <c r="AR155" i="8" s="1"/>
  <c r="AM155" i="8"/>
  <c r="AI155" i="8"/>
  <c r="AK155" i="8"/>
  <c r="K155" i="8"/>
  <c r="AP75" i="8"/>
  <c r="AP155" i="8" s="1"/>
  <c r="AG155" i="8"/>
  <c r="U75" i="8"/>
  <c r="U155" i="8" s="1"/>
  <c r="AH155" i="8"/>
  <c r="G155" i="8"/>
  <c r="B105" i="8"/>
  <c r="B76" i="8"/>
  <c r="B50" i="8"/>
  <c r="P50" i="8" l="1"/>
  <c r="Q50" i="8"/>
  <c r="AK50" i="8"/>
  <c r="AG50" i="8"/>
  <c r="AG130" i="8" s="1"/>
  <c r="R50" i="8"/>
  <c r="AI50" i="8"/>
  <c r="AI130" i="8" s="1"/>
  <c r="AM50" i="8"/>
  <c r="AM130" i="8" s="1"/>
  <c r="AH50" i="8"/>
  <c r="AH130" i="8" s="1"/>
  <c r="J50" i="8"/>
  <c r="J130" i="8" s="1"/>
  <c r="AJ50" i="8"/>
  <c r="G50" i="8"/>
  <c r="AF50" i="8"/>
  <c r="AF130" i="8" s="1"/>
  <c r="K50" i="8"/>
  <c r="I50" i="8"/>
  <c r="H50" i="8"/>
  <c r="H130" i="8" s="1"/>
  <c r="AL50" i="8"/>
  <c r="AL130" i="8" s="1"/>
  <c r="BB50" i="8"/>
  <c r="BB130" i="8" s="1"/>
  <c r="AZ50" i="8"/>
  <c r="AZ130" i="8" s="1"/>
  <c r="BA50" i="8"/>
  <c r="BA130" i="8" s="1"/>
  <c r="BC50" i="8"/>
  <c r="BC130" i="8" s="1"/>
  <c r="P76" i="8"/>
  <c r="R76" i="8"/>
  <c r="Q76" i="8"/>
  <c r="BB76" i="8"/>
  <c r="BB156" i="8" s="1"/>
  <c r="BC76" i="8"/>
  <c r="BC156" i="8" s="1"/>
  <c r="BA76" i="8"/>
  <c r="BA156" i="8" s="1"/>
  <c r="AZ76" i="8"/>
  <c r="AZ156" i="8" s="1"/>
  <c r="AM76" i="8"/>
  <c r="AI76" i="8"/>
  <c r="H76" i="8"/>
  <c r="H156" i="8" s="1"/>
  <c r="AL76" i="8"/>
  <c r="AL156" i="8" s="1"/>
  <c r="AH76" i="8"/>
  <c r="AH156" i="8" s="1"/>
  <c r="K76" i="8"/>
  <c r="K156" i="8" s="1"/>
  <c r="G76" i="8"/>
  <c r="AK76" i="8"/>
  <c r="AG76" i="8"/>
  <c r="AG156" i="8" s="1"/>
  <c r="J76" i="8"/>
  <c r="AJ76" i="8"/>
  <c r="AJ156" i="8" s="1"/>
  <c r="AF76" i="8"/>
  <c r="AF156" i="8" s="1"/>
  <c r="I76" i="8"/>
  <c r="I156" i="8" s="1"/>
  <c r="S50" i="8"/>
  <c r="S130" i="8" s="1"/>
  <c r="T50" i="8"/>
  <c r="T130" i="8" s="1"/>
  <c r="AR50" i="8"/>
  <c r="AR130" i="8" s="1"/>
  <c r="AJ130" i="8"/>
  <c r="AK130" i="8"/>
  <c r="U50" i="8"/>
  <c r="U130" i="8" s="1"/>
  <c r="I130" i="8"/>
  <c r="AP50" i="8"/>
  <c r="AP130" i="8" s="1"/>
  <c r="G130" i="8"/>
  <c r="K130" i="8"/>
  <c r="AK156" i="8"/>
  <c r="U76" i="8"/>
  <c r="U156" i="8" s="1"/>
  <c r="G156" i="8"/>
  <c r="AR76" i="8"/>
  <c r="AR156" i="8" s="1"/>
  <c r="J156" i="8"/>
  <c r="AP76" i="8"/>
  <c r="AP156" i="8" s="1"/>
  <c r="AM156" i="8"/>
  <c r="AI156" i="8"/>
  <c r="B106" i="8"/>
  <c r="B51" i="8"/>
  <c r="B77" i="8"/>
  <c r="Q51" i="8" l="1"/>
  <c r="R51" i="8"/>
  <c r="AK51" i="8"/>
  <c r="AG51" i="8"/>
  <c r="P51" i="8"/>
  <c r="AL51" i="8"/>
  <c r="AF51" i="8"/>
  <c r="AF131" i="8" s="1"/>
  <c r="AJ51" i="8"/>
  <c r="I51" i="8"/>
  <c r="AM51" i="8"/>
  <c r="G51" i="8"/>
  <c r="AI51" i="8"/>
  <c r="K51" i="8"/>
  <c r="K131" i="8" s="1"/>
  <c r="AH51" i="8"/>
  <c r="J51" i="8"/>
  <c r="J131" i="8" s="1"/>
  <c r="H51" i="8"/>
  <c r="BB51" i="8"/>
  <c r="BB131" i="8" s="1"/>
  <c r="BA51" i="8"/>
  <c r="BA131" i="8" s="1"/>
  <c r="AZ51" i="8"/>
  <c r="AZ131" i="8" s="1"/>
  <c r="BC51" i="8"/>
  <c r="BC131" i="8" s="1"/>
  <c r="Q77" i="8"/>
  <c r="P77" i="8"/>
  <c r="R77" i="8"/>
  <c r="BC77" i="8"/>
  <c r="BC157" i="8" s="1"/>
  <c r="BA77" i="8"/>
  <c r="BA157" i="8" s="1"/>
  <c r="BB77" i="8"/>
  <c r="BB157" i="8" s="1"/>
  <c r="AZ77" i="8"/>
  <c r="AZ157" i="8" s="1"/>
  <c r="AM77" i="8"/>
  <c r="AM157" i="8" s="1"/>
  <c r="AI77" i="8"/>
  <c r="AI157" i="8" s="1"/>
  <c r="K77" i="8"/>
  <c r="K157" i="8" s="1"/>
  <c r="G77" i="8"/>
  <c r="G157" i="8" s="1"/>
  <c r="AL77" i="8"/>
  <c r="AH77" i="8"/>
  <c r="J77" i="8"/>
  <c r="H77" i="8"/>
  <c r="H157" i="8" s="1"/>
  <c r="AK77" i="8"/>
  <c r="AK157" i="8" s="1"/>
  <c r="AG77" i="8"/>
  <c r="AG157" i="8" s="1"/>
  <c r="I77" i="8"/>
  <c r="AJ77" i="8"/>
  <c r="AJ157" i="8" s="1"/>
  <c r="AF77" i="8"/>
  <c r="AF157" i="8" s="1"/>
  <c r="T51" i="8"/>
  <c r="T131" i="8" s="1"/>
  <c r="S51" i="8"/>
  <c r="S131" i="8" s="1"/>
  <c r="AP77" i="8"/>
  <c r="AP157" i="8" s="1"/>
  <c r="AL157" i="8"/>
  <c r="AH157" i="8"/>
  <c r="U77" i="8"/>
  <c r="U157" i="8" s="1"/>
  <c r="J157" i="8"/>
  <c r="AR77" i="8"/>
  <c r="AR157" i="8" s="1"/>
  <c r="I157" i="8"/>
  <c r="AK131" i="8"/>
  <c r="AG131" i="8"/>
  <c r="U51" i="8"/>
  <c r="U131" i="8" s="1"/>
  <c r="G131" i="8"/>
  <c r="AL131" i="8"/>
  <c r="AR51" i="8"/>
  <c r="AR131" i="8" s="1"/>
  <c r="AJ131" i="8"/>
  <c r="I131" i="8"/>
  <c r="AP51" i="8"/>
  <c r="AP131" i="8" s="1"/>
  <c r="AI131" i="8"/>
  <c r="H131" i="8"/>
  <c r="AM131" i="8"/>
  <c r="AH131" i="8"/>
  <c r="B107" i="8"/>
  <c r="B78" i="8"/>
  <c r="B52" i="8"/>
  <c r="R78" i="8" l="1"/>
  <c r="Q78" i="8"/>
  <c r="P78" i="8"/>
  <c r="AZ78" i="8"/>
  <c r="AZ158" i="8" s="1"/>
  <c r="BB78" i="8"/>
  <c r="BB158" i="8" s="1"/>
  <c r="BC78" i="8"/>
  <c r="BC158" i="8" s="1"/>
  <c r="BA78" i="8"/>
  <c r="BA158" i="8" s="1"/>
  <c r="R52" i="8"/>
  <c r="AK52" i="8"/>
  <c r="AG52" i="8"/>
  <c r="P52" i="8"/>
  <c r="AJ52" i="8"/>
  <c r="AF52" i="8"/>
  <c r="AL52" i="8"/>
  <c r="Q52" i="8"/>
  <c r="AI52" i="8"/>
  <c r="AI132" i="8" s="1"/>
  <c r="H52" i="8"/>
  <c r="G52" i="8"/>
  <c r="AH52" i="8"/>
  <c r="I52" i="8"/>
  <c r="K52" i="8"/>
  <c r="J52" i="8"/>
  <c r="AM52" i="8"/>
  <c r="AM132" i="8" s="1"/>
  <c r="BB52" i="8"/>
  <c r="BB132" i="8" s="1"/>
  <c r="AZ52" i="8"/>
  <c r="AZ132" i="8" s="1"/>
  <c r="BC52" i="8"/>
  <c r="BC132" i="8" s="1"/>
  <c r="BA52" i="8"/>
  <c r="BA132" i="8" s="1"/>
  <c r="AM78" i="8"/>
  <c r="AI78" i="8"/>
  <c r="J78" i="8"/>
  <c r="J158" i="8" s="1"/>
  <c r="AL78" i="8"/>
  <c r="AH78" i="8"/>
  <c r="I78" i="8"/>
  <c r="AK78" i="8"/>
  <c r="AG78" i="8"/>
  <c r="AG158" i="8" s="1"/>
  <c r="H78" i="8"/>
  <c r="G78" i="8"/>
  <c r="AJ78" i="8"/>
  <c r="AF78" i="8"/>
  <c r="AF158" i="8" s="1"/>
  <c r="K78" i="8"/>
  <c r="K158" i="8" s="1"/>
  <c r="S52" i="8"/>
  <c r="S132" i="8" s="1"/>
  <c r="T52" i="8"/>
  <c r="T132" i="8" s="1"/>
  <c r="AP52" i="8"/>
  <c r="AP132" i="8" s="1"/>
  <c r="AL132" i="8"/>
  <c r="AH132" i="8"/>
  <c r="H132" i="8"/>
  <c r="AR52" i="8"/>
  <c r="AR132" i="8" s="1"/>
  <c r="AK132" i="8"/>
  <c r="AF132" i="8"/>
  <c r="U52" i="8"/>
  <c r="U132" i="8" s="1"/>
  <c r="J132" i="8"/>
  <c r="AJ132" i="8"/>
  <c r="I132" i="8"/>
  <c r="G132" i="8"/>
  <c r="K132" i="8"/>
  <c r="AG132" i="8"/>
  <c r="AM158" i="8"/>
  <c r="AI158" i="8"/>
  <c r="I158" i="8"/>
  <c r="AP78" i="8"/>
  <c r="AP158" i="8" s="1"/>
  <c r="AL158" i="8"/>
  <c r="AH158" i="8"/>
  <c r="H158" i="8"/>
  <c r="AK158" i="8"/>
  <c r="AR78" i="8"/>
  <c r="AR158" i="8" s="1"/>
  <c r="U78" i="8"/>
  <c r="U158" i="8" s="1"/>
  <c r="G158" i="8"/>
  <c r="AJ158" i="8"/>
  <c r="B108" i="8"/>
  <c r="B53" i="8"/>
  <c r="B79" i="8"/>
  <c r="R79" i="8" l="1"/>
  <c r="Q79" i="8"/>
  <c r="P79" i="8"/>
  <c r="BA79" i="8"/>
  <c r="BA159" i="8" s="1"/>
  <c r="BC79" i="8"/>
  <c r="BC159" i="8" s="1"/>
  <c r="BB79" i="8"/>
  <c r="BB159" i="8" s="1"/>
  <c r="AZ79" i="8"/>
  <c r="AZ159" i="8" s="1"/>
  <c r="P53" i="8"/>
  <c r="AK53" i="8"/>
  <c r="AG53" i="8"/>
  <c r="AG133" i="8" s="1"/>
  <c r="Q53" i="8"/>
  <c r="AJ53" i="8"/>
  <c r="AF53" i="8"/>
  <c r="AL53" i="8"/>
  <c r="AL133" i="8" s="1"/>
  <c r="AI53" i="8"/>
  <c r="AI133" i="8" s="1"/>
  <c r="K53" i="8"/>
  <c r="K133" i="8" s="1"/>
  <c r="G53" i="8"/>
  <c r="R53" i="8"/>
  <c r="AM53" i="8"/>
  <c r="H53" i="8"/>
  <c r="J53" i="8"/>
  <c r="J133" i="8" s="1"/>
  <c r="AH53" i="8"/>
  <c r="I53" i="8"/>
  <c r="I133" i="8" s="1"/>
  <c r="BB53" i="8"/>
  <c r="BB133" i="8" s="1"/>
  <c r="BA53" i="8"/>
  <c r="BA133" i="8" s="1"/>
  <c r="AZ53" i="8"/>
  <c r="AZ133" i="8" s="1"/>
  <c r="BC53" i="8"/>
  <c r="BC133" i="8" s="1"/>
  <c r="AM79" i="8"/>
  <c r="AI79" i="8"/>
  <c r="I79" i="8"/>
  <c r="I159" i="8" s="1"/>
  <c r="AL79" i="8"/>
  <c r="AL159" i="8" s="1"/>
  <c r="AH79" i="8"/>
  <c r="AH159" i="8" s="1"/>
  <c r="H79" i="8"/>
  <c r="AK79" i="8"/>
  <c r="AG79" i="8"/>
  <c r="AG159" i="8" s="1"/>
  <c r="K79" i="8"/>
  <c r="G79" i="8"/>
  <c r="AJ79" i="8"/>
  <c r="AJ159" i="8" s="1"/>
  <c r="AF79" i="8"/>
  <c r="AF159" i="8" s="1"/>
  <c r="J79" i="8"/>
  <c r="J159" i="8" s="1"/>
  <c r="T53" i="8"/>
  <c r="T133" i="8" s="1"/>
  <c r="S53" i="8"/>
  <c r="S133" i="8" s="1"/>
  <c r="AR79" i="8"/>
  <c r="AR159" i="8" s="1"/>
  <c r="AM159" i="8"/>
  <c r="AI159" i="8"/>
  <c r="AK159" i="8"/>
  <c r="K159" i="8"/>
  <c r="G159" i="8"/>
  <c r="H159" i="8"/>
  <c r="AP79" i="8"/>
  <c r="AP159" i="8" s="1"/>
  <c r="U79" i="8"/>
  <c r="U159" i="8" s="1"/>
  <c r="AR53" i="8"/>
  <c r="AR133" i="8" s="1"/>
  <c r="AJ133" i="8"/>
  <c r="AF133" i="8"/>
  <c r="AM133" i="8"/>
  <c r="AH133" i="8"/>
  <c r="G133" i="8"/>
  <c r="AP53" i="8"/>
  <c r="AP133" i="8" s="1"/>
  <c r="U53" i="8"/>
  <c r="U133" i="8" s="1"/>
  <c r="H133" i="8"/>
  <c r="AK133" i="8"/>
  <c r="B109" i="8"/>
  <c r="B80" i="8"/>
  <c r="B54" i="8"/>
  <c r="P54" i="8" l="1"/>
  <c r="Q54" i="8"/>
  <c r="AK54" i="8"/>
  <c r="AG54" i="8"/>
  <c r="R54" i="8"/>
  <c r="AJ54" i="8"/>
  <c r="AF54" i="8"/>
  <c r="AF134" i="8" s="1"/>
  <c r="AL54" i="8"/>
  <c r="AL134" i="8" s="1"/>
  <c r="AI54" i="8"/>
  <c r="J54" i="8"/>
  <c r="AH54" i="8"/>
  <c r="H54" i="8"/>
  <c r="G54" i="8"/>
  <c r="G134" i="8" s="1"/>
  <c r="K54" i="8"/>
  <c r="AM54" i="8"/>
  <c r="AM134" i="8" s="1"/>
  <c r="I54" i="8"/>
  <c r="I134" i="8" s="1"/>
  <c r="BB54" i="8"/>
  <c r="BB134" i="8" s="1"/>
  <c r="BC54" i="8"/>
  <c r="BC134" i="8" s="1"/>
  <c r="BA54" i="8"/>
  <c r="BA134" i="8" s="1"/>
  <c r="AZ54" i="8"/>
  <c r="AZ134" i="8" s="1"/>
  <c r="P80" i="8"/>
  <c r="R80" i="8"/>
  <c r="Q80" i="8"/>
  <c r="BB80" i="8"/>
  <c r="BB160" i="8" s="1"/>
  <c r="AZ80" i="8"/>
  <c r="AZ160" i="8" s="1"/>
  <c r="BC80" i="8"/>
  <c r="BC160" i="8" s="1"/>
  <c r="BA80" i="8"/>
  <c r="BA160" i="8" s="1"/>
  <c r="AM80" i="8"/>
  <c r="AI80" i="8"/>
  <c r="AI160" i="8" s="1"/>
  <c r="H80" i="8"/>
  <c r="H160" i="8" s="1"/>
  <c r="AL80" i="8"/>
  <c r="AL160" i="8" s="1"/>
  <c r="AH80" i="8"/>
  <c r="AH160" i="8" s="1"/>
  <c r="K80" i="8"/>
  <c r="G80" i="8"/>
  <c r="AK80" i="8"/>
  <c r="AG80" i="8"/>
  <c r="J80" i="8"/>
  <c r="AJ80" i="8"/>
  <c r="AJ160" i="8" s="1"/>
  <c r="AF80" i="8"/>
  <c r="AF160" i="8" s="1"/>
  <c r="I80" i="8"/>
  <c r="I160" i="8" s="1"/>
  <c r="S54" i="8"/>
  <c r="S134" i="8" s="1"/>
  <c r="T54" i="8"/>
  <c r="T134" i="8" s="1"/>
  <c r="AK134" i="8"/>
  <c r="AG134" i="8"/>
  <c r="U54" i="8"/>
  <c r="U134" i="8" s="1"/>
  <c r="K134" i="8"/>
  <c r="AR54" i="8"/>
  <c r="AR134" i="8" s="1"/>
  <c r="AJ134" i="8"/>
  <c r="J134" i="8"/>
  <c r="H134" i="8"/>
  <c r="AH134" i="8"/>
  <c r="AI134" i="8"/>
  <c r="AP54" i="8"/>
  <c r="AP134" i="8" s="1"/>
  <c r="AK160" i="8"/>
  <c r="AG160" i="8"/>
  <c r="U80" i="8"/>
  <c r="U160" i="8" s="1"/>
  <c r="K160" i="8"/>
  <c r="G160" i="8"/>
  <c r="AR80" i="8"/>
  <c r="AR160" i="8" s="1"/>
  <c r="J160" i="8"/>
  <c r="AP80" i="8"/>
  <c r="AP160" i="8" s="1"/>
  <c r="AM160" i="8"/>
  <c r="B110" i="8"/>
  <c r="B55" i="8"/>
  <c r="B81" i="8"/>
  <c r="Q81" i="8" l="1"/>
  <c r="P81" i="8"/>
  <c r="R81" i="8"/>
  <c r="BC81" i="8"/>
  <c r="BC161" i="8" s="1"/>
  <c r="AZ81" i="8"/>
  <c r="AZ161" i="8" s="1"/>
  <c r="BB81" i="8"/>
  <c r="BB161" i="8" s="1"/>
  <c r="BA81" i="8"/>
  <c r="BA161" i="8" s="1"/>
  <c r="Q55" i="8"/>
  <c r="R55" i="8"/>
  <c r="AK55" i="8"/>
  <c r="AG55" i="8"/>
  <c r="AJ55" i="8"/>
  <c r="AF55" i="8"/>
  <c r="AL55" i="8"/>
  <c r="AI55" i="8"/>
  <c r="AI135" i="8" s="1"/>
  <c r="I55" i="8"/>
  <c r="AH55" i="8"/>
  <c r="H55" i="8"/>
  <c r="J55" i="8"/>
  <c r="G55" i="8"/>
  <c r="K55" i="8"/>
  <c r="P55" i="8"/>
  <c r="AM55" i="8"/>
  <c r="AM135" i="8" s="1"/>
  <c r="BB55" i="8"/>
  <c r="BB135" i="8" s="1"/>
  <c r="AZ55" i="8"/>
  <c r="AZ135" i="8" s="1"/>
  <c r="BA55" i="8"/>
  <c r="BA135" i="8" s="1"/>
  <c r="BC55" i="8"/>
  <c r="BC135" i="8" s="1"/>
  <c r="AM81" i="8"/>
  <c r="AI81" i="8"/>
  <c r="K81" i="8"/>
  <c r="K161" i="8" s="1"/>
  <c r="G81" i="8"/>
  <c r="G161" i="8" s="1"/>
  <c r="AL81" i="8"/>
  <c r="AH81" i="8"/>
  <c r="J81" i="8"/>
  <c r="AK81" i="8"/>
  <c r="AG81" i="8"/>
  <c r="I81" i="8"/>
  <c r="AJ81" i="8"/>
  <c r="AJ161" i="8" s="1"/>
  <c r="AF81" i="8"/>
  <c r="AF161" i="8" s="1"/>
  <c r="H81" i="8"/>
  <c r="H161" i="8" s="1"/>
  <c r="T55" i="8"/>
  <c r="T135" i="8" s="1"/>
  <c r="S55" i="8"/>
  <c r="S135" i="8" s="1"/>
  <c r="AP81" i="8"/>
  <c r="AP161" i="8" s="1"/>
  <c r="AL161" i="8"/>
  <c r="AH161" i="8"/>
  <c r="AK161" i="8"/>
  <c r="AG161" i="8"/>
  <c r="U81" i="8"/>
  <c r="U161" i="8" s="1"/>
  <c r="AI161" i="8"/>
  <c r="J161" i="8"/>
  <c r="AM161" i="8"/>
  <c r="AR81" i="8"/>
  <c r="AR161" i="8" s="1"/>
  <c r="I161" i="8"/>
  <c r="AK135" i="8"/>
  <c r="AR55" i="8"/>
  <c r="AR135" i="8" s="1"/>
  <c r="AH135" i="8"/>
  <c r="H135" i="8"/>
  <c r="AL135" i="8"/>
  <c r="AG135" i="8"/>
  <c r="U55" i="8"/>
  <c r="U135" i="8" s="1"/>
  <c r="K135" i="8"/>
  <c r="G135" i="8"/>
  <c r="AJ135" i="8"/>
  <c r="AF135" i="8"/>
  <c r="J135" i="8"/>
  <c r="I135" i="8"/>
  <c r="AP55" i="8"/>
  <c r="AP135" i="8" s="1"/>
  <c r="B111" i="8"/>
  <c r="B82" i="8"/>
  <c r="B56" i="8"/>
  <c r="R56" i="8" l="1"/>
  <c r="AK56" i="8"/>
  <c r="AG56" i="8"/>
  <c r="P56" i="8"/>
  <c r="AJ56" i="8"/>
  <c r="AF56" i="8"/>
  <c r="Q56" i="8"/>
  <c r="AL56" i="8"/>
  <c r="AI56" i="8"/>
  <c r="H56" i="8"/>
  <c r="AH56" i="8"/>
  <c r="I56" i="8"/>
  <c r="AM56" i="8"/>
  <c r="G56" i="8"/>
  <c r="J56" i="8"/>
  <c r="J136" i="8" s="1"/>
  <c r="K56" i="8"/>
  <c r="BB56" i="8"/>
  <c r="BB136" i="8" s="1"/>
  <c r="BA56" i="8"/>
  <c r="BA136" i="8" s="1"/>
  <c r="AZ56" i="8"/>
  <c r="AZ136" i="8" s="1"/>
  <c r="BC56" i="8"/>
  <c r="BC136" i="8" s="1"/>
  <c r="R82" i="8"/>
  <c r="Q82" i="8"/>
  <c r="P82" i="8"/>
  <c r="AZ82" i="8"/>
  <c r="AZ162" i="8" s="1"/>
  <c r="BA82" i="8"/>
  <c r="BA162" i="8" s="1"/>
  <c r="BC82" i="8"/>
  <c r="BC162" i="8" s="1"/>
  <c r="BB82" i="8"/>
  <c r="BB162" i="8" s="1"/>
  <c r="AM82" i="8"/>
  <c r="AI82" i="8"/>
  <c r="J82" i="8"/>
  <c r="J162" i="8" s="1"/>
  <c r="AL82" i="8"/>
  <c r="AL162" i="8" s="1"/>
  <c r="AH82" i="8"/>
  <c r="I82" i="8"/>
  <c r="AK82" i="8"/>
  <c r="AK162" i="8" s="1"/>
  <c r="AG82" i="8"/>
  <c r="AG162" i="8" s="1"/>
  <c r="H82" i="8"/>
  <c r="AJ82" i="8"/>
  <c r="AF82" i="8"/>
  <c r="AF162" i="8" s="1"/>
  <c r="K82" i="8"/>
  <c r="G82" i="8"/>
  <c r="G162" i="8" s="1"/>
  <c r="S56" i="8"/>
  <c r="S136" i="8" s="1"/>
  <c r="T56" i="8"/>
  <c r="T136" i="8" s="1"/>
  <c r="AP56" i="8"/>
  <c r="AP136" i="8" s="1"/>
  <c r="AL136" i="8"/>
  <c r="AH136" i="8"/>
  <c r="H136" i="8"/>
  <c r="AK136" i="8"/>
  <c r="AG136" i="8"/>
  <c r="U56" i="8"/>
  <c r="U136" i="8" s="1"/>
  <c r="K136" i="8"/>
  <c r="G136" i="8"/>
  <c r="AI136" i="8"/>
  <c r="AF136" i="8"/>
  <c r="AJ136" i="8"/>
  <c r="AM136" i="8"/>
  <c r="I136" i="8"/>
  <c r="AR56" i="8"/>
  <c r="AR136" i="8" s="1"/>
  <c r="AR82" i="8"/>
  <c r="AR162" i="8" s="1"/>
  <c r="AJ162" i="8"/>
  <c r="AM162" i="8"/>
  <c r="AI162" i="8"/>
  <c r="I162" i="8"/>
  <c r="AP82" i="8"/>
  <c r="AP162" i="8" s="1"/>
  <c r="AH162" i="8"/>
  <c r="H162" i="8"/>
  <c r="K162" i="8"/>
  <c r="U82" i="8"/>
  <c r="U162" i="8" s="1"/>
  <c r="B112" i="8"/>
  <c r="B57" i="8"/>
  <c r="B83" i="8"/>
  <c r="R83" i="8" l="1"/>
  <c r="Q83" i="8"/>
  <c r="P83" i="8"/>
  <c r="BA83" i="8"/>
  <c r="BA163" i="8" s="1"/>
  <c r="BC83" i="8"/>
  <c r="BC163" i="8" s="1"/>
  <c r="AZ83" i="8"/>
  <c r="AZ163" i="8" s="1"/>
  <c r="BB83" i="8"/>
  <c r="BB163" i="8" s="1"/>
  <c r="AL57" i="8"/>
  <c r="P57" i="8"/>
  <c r="AK57" i="8"/>
  <c r="AG57" i="8"/>
  <c r="Q57" i="8"/>
  <c r="AJ57" i="8"/>
  <c r="AF57" i="8"/>
  <c r="AF137" i="8" s="1"/>
  <c r="AM57" i="8"/>
  <c r="AM137" i="8" s="1"/>
  <c r="R57" i="8"/>
  <c r="AI57" i="8"/>
  <c r="AI137" i="8" s="1"/>
  <c r="K57" i="8"/>
  <c r="G57" i="8"/>
  <c r="AH57" i="8"/>
  <c r="I57" i="8"/>
  <c r="H57" i="8"/>
  <c r="H137" i="8" s="1"/>
  <c r="J57" i="8"/>
  <c r="J137" i="8" s="1"/>
  <c r="BB57" i="8"/>
  <c r="BB137" i="8" s="1"/>
  <c r="AZ57" i="8"/>
  <c r="AZ137" i="8" s="1"/>
  <c r="BC57" i="8"/>
  <c r="BC137" i="8" s="1"/>
  <c r="BA57" i="8"/>
  <c r="BA137" i="8" s="1"/>
  <c r="AM83" i="8"/>
  <c r="AI83" i="8"/>
  <c r="I83" i="8"/>
  <c r="I163" i="8" s="1"/>
  <c r="AL83" i="8"/>
  <c r="AL163" i="8" s="1"/>
  <c r="AH83" i="8"/>
  <c r="H83" i="8"/>
  <c r="AK83" i="8"/>
  <c r="AG83" i="8"/>
  <c r="AG163" i="8" s="1"/>
  <c r="K83" i="8"/>
  <c r="K163" i="8" s="1"/>
  <c r="G83" i="8"/>
  <c r="AJ83" i="8"/>
  <c r="AJ163" i="8" s="1"/>
  <c r="AF83" i="8"/>
  <c r="AF163" i="8" s="1"/>
  <c r="J83" i="8"/>
  <c r="T57" i="8"/>
  <c r="T137" i="8" s="1"/>
  <c r="S57" i="8"/>
  <c r="S137" i="8" s="1"/>
  <c r="I137" i="8"/>
  <c r="AP57" i="8"/>
  <c r="AP137" i="8" s="1"/>
  <c r="AL137" i="8"/>
  <c r="AH137" i="8"/>
  <c r="AK137" i="8"/>
  <c r="U57" i="8"/>
  <c r="U137" i="8" s="1"/>
  <c r="G137" i="8"/>
  <c r="AR57" i="8"/>
  <c r="AR137" i="8" s="1"/>
  <c r="K137" i="8"/>
  <c r="AJ137" i="8"/>
  <c r="AG137" i="8"/>
  <c r="AK163" i="8"/>
  <c r="U83" i="8"/>
  <c r="U163" i="8" s="1"/>
  <c r="G163" i="8"/>
  <c r="AR83" i="8"/>
  <c r="AR163" i="8" s="1"/>
  <c r="J163" i="8"/>
  <c r="AM163" i="8"/>
  <c r="H163" i="8"/>
  <c r="AP83" i="8"/>
  <c r="AP163" i="8" s="1"/>
  <c r="AI163" i="8"/>
  <c r="AH163" i="8"/>
  <c r="B113" i="8"/>
  <c r="B84" i="8"/>
  <c r="B58" i="8"/>
  <c r="P58" i="8" l="1"/>
  <c r="AL58" i="8"/>
  <c r="AH58" i="8"/>
  <c r="Q58" i="8"/>
  <c r="AK58" i="8"/>
  <c r="AG58" i="8"/>
  <c r="R58" i="8"/>
  <c r="AJ58" i="8"/>
  <c r="AJ138" i="8" s="1"/>
  <c r="AF58" i="8"/>
  <c r="J58" i="8"/>
  <c r="AM58" i="8"/>
  <c r="AI58" i="8"/>
  <c r="I58" i="8"/>
  <c r="K58" i="8"/>
  <c r="H58" i="8"/>
  <c r="G58" i="8"/>
  <c r="G138" i="8" s="1"/>
  <c r="BB58" i="8"/>
  <c r="BB138" i="8" s="1"/>
  <c r="BA58" i="8"/>
  <c r="BA138" i="8" s="1"/>
  <c r="AZ58" i="8"/>
  <c r="AZ138" i="8" s="1"/>
  <c r="BC58" i="8"/>
  <c r="BC138" i="8" s="1"/>
  <c r="P84" i="8"/>
  <c r="R84" i="8"/>
  <c r="Q84" i="8"/>
  <c r="BB84" i="8"/>
  <c r="BB164" i="8" s="1"/>
  <c r="AZ84" i="8"/>
  <c r="AZ164" i="8" s="1"/>
  <c r="BA84" i="8"/>
  <c r="BA164" i="8" s="1"/>
  <c r="BC84" i="8"/>
  <c r="BC164" i="8" s="1"/>
  <c r="AM84" i="8"/>
  <c r="AM164" i="8" s="1"/>
  <c r="AI84" i="8"/>
  <c r="H84" i="8"/>
  <c r="H164" i="8" s="1"/>
  <c r="AL84" i="8"/>
  <c r="AL164" i="8" s="1"/>
  <c r="AH84" i="8"/>
  <c r="AH164" i="8" s="1"/>
  <c r="K84" i="8"/>
  <c r="G84" i="8"/>
  <c r="AK84" i="8"/>
  <c r="AK164" i="8" s="1"/>
  <c r="AG84" i="8"/>
  <c r="AG164" i="8" s="1"/>
  <c r="J84" i="8"/>
  <c r="AJ84" i="8"/>
  <c r="AJ164" i="8" s="1"/>
  <c r="AF84" i="8"/>
  <c r="AF164" i="8" s="1"/>
  <c r="I84" i="8"/>
  <c r="I164" i="8" s="1"/>
  <c r="S58" i="8"/>
  <c r="S138" i="8" s="1"/>
  <c r="T58" i="8"/>
  <c r="T138" i="8" s="1"/>
  <c r="AR58" i="8"/>
  <c r="AR138" i="8" s="1"/>
  <c r="AF138" i="8"/>
  <c r="J138" i="8"/>
  <c r="AM138" i="8"/>
  <c r="AI138" i="8"/>
  <c r="I138" i="8"/>
  <c r="AK138" i="8"/>
  <c r="U58" i="8"/>
  <c r="U138" i="8" s="1"/>
  <c r="AP58" i="8"/>
  <c r="AP138" i="8" s="1"/>
  <c r="AH138" i="8"/>
  <c r="H138" i="8"/>
  <c r="AG138" i="8"/>
  <c r="K138" i="8"/>
  <c r="AL138" i="8"/>
  <c r="AP84" i="8"/>
  <c r="AP164" i="8" s="1"/>
  <c r="U84" i="8"/>
  <c r="U164" i="8" s="1"/>
  <c r="K164" i="8"/>
  <c r="G164" i="8"/>
  <c r="J164" i="8"/>
  <c r="AI164" i="8"/>
  <c r="AR84" i="8"/>
  <c r="AR164" i="8" s="1"/>
  <c r="B114" i="8"/>
  <c r="B59" i="8"/>
  <c r="B85" i="8"/>
  <c r="Q59" i="8" l="1"/>
  <c r="AL59" i="8"/>
  <c r="AH59" i="8"/>
  <c r="R59" i="8"/>
  <c r="AK59" i="8"/>
  <c r="AG59" i="8"/>
  <c r="AJ59" i="8"/>
  <c r="AJ139" i="8" s="1"/>
  <c r="AF59" i="8"/>
  <c r="AM59" i="8"/>
  <c r="AI59" i="8"/>
  <c r="I59" i="8"/>
  <c r="P59" i="8"/>
  <c r="J59" i="8"/>
  <c r="H59" i="8"/>
  <c r="K59" i="8"/>
  <c r="K139" i="8" s="1"/>
  <c r="G59" i="8"/>
  <c r="BB59" i="8"/>
  <c r="BB139" i="8" s="1"/>
  <c r="AZ59" i="8"/>
  <c r="AZ139" i="8" s="1"/>
  <c r="BC59" i="8"/>
  <c r="BC139" i="8" s="1"/>
  <c r="BA59" i="8"/>
  <c r="BA139" i="8" s="1"/>
  <c r="Q85" i="8"/>
  <c r="P85" i="8"/>
  <c r="R85" i="8"/>
  <c r="BC85" i="8"/>
  <c r="BC165" i="8" s="1"/>
  <c r="BB85" i="8"/>
  <c r="BB165" i="8" s="1"/>
  <c r="BA85" i="8"/>
  <c r="BA165" i="8" s="1"/>
  <c r="AZ85" i="8"/>
  <c r="AZ165" i="8" s="1"/>
  <c r="AM85" i="8"/>
  <c r="AI85" i="8"/>
  <c r="K85" i="8"/>
  <c r="G85" i="8"/>
  <c r="G165" i="8" s="1"/>
  <c r="AL85" i="8"/>
  <c r="AH85" i="8"/>
  <c r="AH165" i="8" s="1"/>
  <c r="J85" i="8"/>
  <c r="J165" i="8" s="1"/>
  <c r="AK85" i="8"/>
  <c r="AK165" i="8" s="1"/>
  <c r="AG85" i="8"/>
  <c r="I85" i="8"/>
  <c r="AJ85" i="8"/>
  <c r="AJ165" i="8" s="1"/>
  <c r="AF85" i="8"/>
  <c r="AF165" i="8" s="1"/>
  <c r="H85" i="8"/>
  <c r="T59" i="8"/>
  <c r="T139" i="8" s="1"/>
  <c r="S59" i="8"/>
  <c r="S139" i="8" s="1"/>
  <c r="AM165" i="8"/>
  <c r="AI165" i="8"/>
  <c r="I165" i="8"/>
  <c r="AP85" i="8"/>
  <c r="AP165" i="8" s="1"/>
  <c r="AL165" i="8"/>
  <c r="H165" i="8"/>
  <c r="K165" i="8"/>
  <c r="AR85" i="8"/>
  <c r="AR165" i="8" s="1"/>
  <c r="U85" i="8"/>
  <c r="U165" i="8" s="1"/>
  <c r="AG165" i="8"/>
  <c r="AK139" i="8"/>
  <c r="AG139" i="8"/>
  <c r="U59" i="8"/>
  <c r="U139" i="8" s="1"/>
  <c r="G139" i="8"/>
  <c r="AR59" i="8"/>
  <c r="AR139" i="8" s="1"/>
  <c r="AF139" i="8"/>
  <c r="J139" i="8"/>
  <c r="AP59" i="8"/>
  <c r="AP139" i="8" s="1"/>
  <c r="AH139" i="8"/>
  <c r="AM139" i="8"/>
  <c r="I139" i="8"/>
  <c r="AI139" i="8"/>
  <c r="AL139" i="8"/>
  <c r="H139" i="8"/>
  <c r="B115" i="8"/>
  <c r="B86" i="8"/>
  <c r="B60" i="8"/>
  <c r="R86" i="8" l="1"/>
  <c r="Q86" i="8"/>
  <c r="P86" i="8"/>
  <c r="AZ86" i="8"/>
  <c r="AZ166" i="8" s="1"/>
  <c r="BA86" i="8"/>
  <c r="BA166" i="8" s="1"/>
  <c r="BC86" i="8"/>
  <c r="BC166" i="8" s="1"/>
  <c r="BB86" i="8"/>
  <c r="BB166" i="8" s="1"/>
  <c r="R60" i="8"/>
  <c r="AL60" i="8"/>
  <c r="AH60" i="8"/>
  <c r="AK60" i="8"/>
  <c r="AG60" i="8"/>
  <c r="P60" i="8"/>
  <c r="AJ60" i="8"/>
  <c r="AF60" i="8"/>
  <c r="H60" i="8"/>
  <c r="AM60" i="8"/>
  <c r="J60" i="8"/>
  <c r="AI60" i="8"/>
  <c r="I60" i="8"/>
  <c r="G60" i="8"/>
  <c r="Q60" i="8"/>
  <c r="K60" i="8"/>
  <c r="BB60" i="8"/>
  <c r="BB140" i="8" s="1"/>
  <c r="BA60" i="8"/>
  <c r="BA140" i="8" s="1"/>
  <c r="AZ60" i="8"/>
  <c r="AZ140" i="8" s="1"/>
  <c r="BC60" i="8"/>
  <c r="BC140" i="8" s="1"/>
  <c r="AM86" i="8"/>
  <c r="AI86" i="8"/>
  <c r="J86" i="8"/>
  <c r="AL86" i="8"/>
  <c r="AL166" i="8" s="1"/>
  <c r="AH86" i="8"/>
  <c r="I86" i="8"/>
  <c r="AK86" i="8"/>
  <c r="AG86" i="8"/>
  <c r="AG166" i="8" s="1"/>
  <c r="H86" i="8"/>
  <c r="AJ86" i="8"/>
  <c r="AJ166" i="8" s="1"/>
  <c r="AF86" i="8"/>
  <c r="AF166" i="8" s="1"/>
  <c r="K86" i="8"/>
  <c r="K166" i="8" s="1"/>
  <c r="G86" i="8"/>
  <c r="S60" i="8"/>
  <c r="S140" i="8" s="1"/>
  <c r="T60" i="8"/>
  <c r="T140" i="8" s="1"/>
  <c r="AR86" i="8"/>
  <c r="AR166" i="8" s="1"/>
  <c r="J166" i="8"/>
  <c r="AM166" i="8"/>
  <c r="AI166" i="8"/>
  <c r="I166" i="8"/>
  <c r="AK166" i="8"/>
  <c r="AP86" i="8"/>
  <c r="AP166" i="8" s="1"/>
  <c r="AH166" i="8"/>
  <c r="U86" i="8"/>
  <c r="U166" i="8" s="1"/>
  <c r="H166" i="8"/>
  <c r="G166" i="8"/>
  <c r="AP60" i="8"/>
  <c r="AP140" i="8" s="1"/>
  <c r="AL140" i="8"/>
  <c r="AH140" i="8"/>
  <c r="H140" i="8"/>
  <c r="AK140" i="8"/>
  <c r="AG140" i="8"/>
  <c r="U60" i="8"/>
  <c r="U140" i="8" s="1"/>
  <c r="K140" i="8"/>
  <c r="G140" i="8"/>
  <c r="AM140" i="8"/>
  <c r="I140" i="8"/>
  <c r="AR60" i="8"/>
  <c r="AR140" i="8" s="1"/>
  <c r="AJ140" i="8"/>
  <c r="J140" i="8"/>
  <c r="AI140" i="8"/>
  <c r="AF140" i="8"/>
  <c r="B116" i="8"/>
  <c r="B61" i="8"/>
  <c r="B87" i="8"/>
  <c r="R87" i="8" l="1"/>
  <c r="Q87" i="8"/>
  <c r="P87" i="8"/>
  <c r="BA87" i="8"/>
  <c r="BA167" i="8" s="1"/>
  <c r="BC87" i="8"/>
  <c r="BC167" i="8" s="1"/>
  <c r="BB87" i="8"/>
  <c r="BB167" i="8" s="1"/>
  <c r="AZ87" i="8"/>
  <c r="AZ167" i="8" s="1"/>
  <c r="AL61" i="8"/>
  <c r="AH61" i="8"/>
  <c r="P61" i="8"/>
  <c r="AK61" i="8"/>
  <c r="AG61" i="8"/>
  <c r="Q61" i="8"/>
  <c r="AJ61" i="8"/>
  <c r="AF61" i="8"/>
  <c r="R61" i="8"/>
  <c r="AM61" i="8"/>
  <c r="AM141" i="8" s="1"/>
  <c r="AI61" i="8"/>
  <c r="K61" i="8"/>
  <c r="G61" i="8"/>
  <c r="J61" i="8"/>
  <c r="I61" i="8"/>
  <c r="H61" i="8"/>
  <c r="H141" i="8" s="1"/>
  <c r="BB61" i="8"/>
  <c r="BB141" i="8" s="1"/>
  <c r="BA61" i="8"/>
  <c r="BA141" i="8" s="1"/>
  <c r="AZ61" i="8"/>
  <c r="AZ141" i="8" s="1"/>
  <c r="BC61" i="8"/>
  <c r="BC141" i="8" s="1"/>
  <c r="AM87" i="8"/>
  <c r="AI87" i="8"/>
  <c r="I87" i="8"/>
  <c r="I167" i="8" s="1"/>
  <c r="AL87" i="8"/>
  <c r="AL167" i="8" s="1"/>
  <c r="AH87" i="8"/>
  <c r="H87" i="8"/>
  <c r="AK87" i="8"/>
  <c r="AK167" i="8" s="1"/>
  <c r="AG87" i="8"/>
  <c r="AG167" i="8" s="1"/>
  <c r="K87" i="8"/>
  <c r="G87" i="8"/>
  <c r="AJ87" i="8"/>
  <c r="AJ167" i="8" s="1"/>
  <c r="AF87" i="8"/>
  <c r="AF167" i="8" s="1"/>
  <c r="J87" i="8"/>
  <c r="T61" i="8"/>
  <c r="T141" i="8" s="1"/>
  <c r="S61" i="8"/>
  <c r="S141" i="8" s="1"/>
  <c r="U87" i="8"/>
  <c r="U167" i="8" s="1"/>
  <c r="K167" i="8"/>
  <c r="G167" i="8"/>
  <c r="AR87" i="8"/>
  <c r="AR167" i="8" s="1"/>
  <c r="J167" i="8"/>
  <c r="AM167" i="8"/>
  <c r="H167" i="8"/>
  <c r="AP87" i="8"/>
  <c r="AP167" i="8" s="1"/>
  <c r="AH167" i="8"/>
  <c r="AI167" i="8"/>
  <c r="AI141" i="8"/>
  <c r="I141" i="8"/>
  <c r="AP61" i="8"/>
  <c r="AP141" i="8" s="1"/>
  <c r="AL141" i="8"/>
  <c r="AH141" i="8"/>
  <c r="AR61" i="8"/>
  <c r="AR141" i="8" s="1"/>
  <c r="AJ141" i="8"/>
  <c r="AG141" i="8"/>
  <c r="K141" i="8"/>
  <c r="G141" i="8"/>
  <c r="AF141" i="8"/>
  <c r="J141" i="8"/>
  <c r="AK141" i="8"/>
  <c r="U61" i="8"/>
  <c r="U141" i="8" s="1"/>
  <c r="B117" i="8"/>
  <c r="B88" i="8"/>
  <c r="B62" i="8"/>
  <c r="P62" i="8" l="1"/>
  <c r="AL62" i="8"/>
  <c r="AH62" i="8"/>
  <c r="AH142" i="8" s="1"/>
  <c r="Q62" i="8"/>
  <c r="AK62" i="8"/>
  <c r="AG62" i="8"/>
  <c r="R62" i="8"/>
  <c r="AJ62" i="8"/>
  <c r="AF62" i="8"/>
  <c r="AF142" i="8" s="1"/>
  <c r="J62" i="8"/>
  <c r="J142" i="8" s="1"/>
  <c r="AM62" i="8"/>
  <c r="AM142" i="8" s="1"/>
  <c r="K62" i="8"/>
  <c r="K142" i="8" s="1"/>
  <c r="G62" i="8"/>
  <c r="I62" i="8"/>
  <c r="H62" i="8"/>
  <c r="AI62" i="8"/>
  <c r="BB62" i="8"/>
  <c r="BB142" i="8" s="1"/>
  <c r="AZ62" i="8"/>
  <c r="AZ142" i="8" s="1"/>
  <c r="BC62" i="8"/>
  <c r="BC142" i="8" s="1"/>
  <c r="BA62" i="8"/>
  <c r="BA142" i="8" s="1"/>
  <c r="P88" i="8"/>
  <c r="R88" i="8"/>
  <c r="Q88" i="8"/>
  <c r="BB88" i="8"/>
  <c r="BB168" i="8" s="1"/>
  <c r="AZ88" i="8"/>
  <c r="AZ168" i="8" s="1"/>
  <c r="BA88" i="8"/>
  <c r="BA168" i="8" s="1"/>
  <c r="BC88" i="8"/>
  <c r="BC168" i="8" s="1"/>
  <c r="AM88" i="8"/>
  <c r="AM168" i="8" s="1"/>
  <c r="AI88" i="8"/>
  <c r="H88" i="8"/>
  <c r="AL88" i="8"/>
  <c r="AL168" i="8" s="1"/>
  <c r="AH88" i="8"/>
  <c r="K88" i="8"/>
  <c r="G88" i="8"/>
  <c r="G168" i="8" s="1"/>
  <c r="AK88" i="8"/>
  <c r="AK168" i="8" s="1"/>
  <c r="AG88" i="8"/>
  <c r="AG168" i="8" s="1"/>
  <c r="J88" i="8"/>
  <c r="AJ88" i="8"/>
  <c r="AJ168" i="8" s="1"/>
  <c r="AF88" i="8"/>
  <c r="AF168" i="8" s="1"/>
  <c r="I88" i="8"/>
  <c r="I168" i="8" s="1"/>
  <c r="S62" i="8"/>
  <c r="S142" i="8" s="1"/>
  <c r="T62" i="8"/>
  <c r="T142" i="8" s="1"/>
  <c r="AR62" i="8"/>
  <c r="AR142" i="8" s="1"/>
  <c r="AJ142" i="8"/>
  <c r="AI142" i="8"/>
  <c r="I142" i="8"/>
  <c r="AG142" i="8"/>
  <c r="AL142" i="8"/>
  <c r="H142" i="8"/>
  <c r="AK142" i="8"/>
  <c r="U62" i="8"/>
  <c r="U142" i="8" s="1"/>
  <c r="G142" i="8"/>
  <c r="AP62" i="8"/>
  <c r="AP142" i="8" s="1"/>
  <c r="AP88" i="8"/>
  <c r="AP168" i="8" s="1"/>
  <c r="AH168" i="8"/>
  <c r="H168" i="8"/>
  <c r="U88" i="8"/>
  <c r="U168" i="8" s="1"/>
  <c r="K168" i="8"/>
  <c r="J168" i="8"/>
  <c r="AI168" i="8"/>
  <c r="AR88" i="8"/>
  <c r="AR168" i="8" s="1"/>
  <c r="B63" i="8"/>
  <c r="B89" i="8"/>
  <c r="Q63" i="8" l="1"/>
  <c r="AL63" i="8"/>
  <c r="AH63" i="8"/>
  <c r="R63" i="8"/>
  <c r="AK63" i="8"/>
  <c r="AG63" i="8"/>
  <c r="AJ63" i="8"/>
  <c r="AF63" i="8"/>
  <c r="AM63" i="8"/>
  <c r="P63" i="8"/>
  <c r="AI63" i="8"/>
  <c r="I63" i="8"/>
  <c r="K63" i="8"/>
  <c r="J63" i="8"/>
  <c r="G63" i="8"/>
  <c r="H63" i="8"/>
  <c r="BB63" i="8"/>
  <c r="BB143" i="8" s="1"/>
  <c r="BA63" i="8"/>
  <c r="BA143" i="8" s="1"/>
  <c r="AZ63" i="8"/>
  <c r="AZ143" i="8" s="1"/>
  <c r="BC63" i="8"/>
  <c r="BC143" i="8" s="1"/>
  <c r="Q89" i="8"/>
  <c r="P89" i="8"/>
  <c r="R89" i="8"/>
  <c r="BB89" i="8"/>
  <c r="BB169" i="8" s="1"/>
  <c r="AZ89" i="8"/>
  <c r="AZ169" i="8" s="1"/>
  <c r="BA89" i="8"/>
  <c r="BA169" i="8" s="1"/>
  <c r="BC89" i="8"/>
  <c r="BC169" i="8" s="1"/>
  <c r="AM89" i="8"/>
  <c r="AI89" i="8"/>
  <c r="K89" i="8"/>
  <c r="G89" i="8"/>
  <c r="G169" i="8" s="1"/>
  <c r="AL89" i="8"/>
  <c r="AH89" i="8"/>
  <c r="J89" i="8"/>
  <c r="J169" i="8" s="1"/>
  <c r="AK89" i="8"/>
  <c r="AK169" i="8" s="1"/>
  <c r="AG89" i="8"/>
  <c r="I89" i="8"/>
  <c r="AJ89" i="8"/>
  <c r="AJ169" i="8" s="1"/>
  <c r="AF89" i="8"/>
  <c r="AF169" i="8" s="1"/>
  <c r="H89" i="8"/>
  <c r="T63" i="8"/>
  <c r="T143" i="8" s="1"/>
  <c r="S63" i="8"/>
  <c r="S143" i="8" s="1"/>
  <c r="AM169" i="8"/>
  <c r="AI169" i="8"/>
  <c r="I169" i="8"/>
  <c r="AP89" i="8"/>
  <c r="AP169" i="8" s="1"/>
  <c r="AL169" i="8"/>
  <c r="AH169" i="8"/>
  <c r="H169" i="8"/>
  <c r="K169" i="8"/>
  <c r="AR89" i="8"/>
  <c r="AR169" i="8" s="1"/>
  <c r="U89" i="8"/>
  <c r="U169" i="8" s="1"/>
  <c r="AG169" i="8"/>
  <c r="AK143" i="8"/>
  <c r="AG143" i="8"/>
  <c r="U63" i="8"/>
  <c r="U143" i="8" s="1"/>
  <c r="K143" i="8"/>
  <c r="G143" i="8"/>
  <c r="AR63" i="8"/>
  <c r="AR143" i="8" s="1"/>
  <c r="AJ143" i="8"/>
  <c r="AF143" i="8"/>
  <c r="J143" i="8"/>
  <c r="AL143" i="8"/>
  <c r="H143" i="8"/>
  <c r="AI143" i="8"/>
  <c r="AM143" i="8"/>
  <c r="AP63" i="8"/>
  <c r="AP143" i="8" s="1"/>
  <c r="I143" i="8"/>
  <c r="AH143" i="8"/>
  <c r="I30" i="98"/>
  <c r="H30" i="98"/>
  <c r="G30" i="98"/>
  <c r="G18" i="98"/>
  <c r="H9" i="123" l="1"/>
  <c r="H10" i="123"/>
  <c r="AV39" i="3"/>
  <c r="AV38" i="3"/>
  <c r="AV37" i="3"/>
  <c r="AV36" i="3"/>
  <c r="AV35" i="3"/>
  <c r="AV33" i="3"/>
  <c r="AV32" i="3"/>
  <c r="AV31" i="3"/>
  <c r="AV30" i="3"/>
  <c r="AV29" i="3"/>
  <c r="AV27" i="3"/>
  <c r="AV26" i="3"/>
  <c r="AV25" i="3"/>
  <c r="AV24" i="3"/>
  <c r="AV23" i="3"/>
  <c r="AV22" i="3"/>
  <c r="AV20" i="3"/>
  <c r="AV19" i="3"/>
  <c r="AV18" i="3"/>
  <c r="AV17" i="3"/>
  <c r="AV16" i="3"/>
  <c r="AV15" i="3"/>
  <c r="AV14" i="3"/>
  <c r="AV12" i="3"/>
  <c r="AV11" i="3"/>
  <c r="AV10" i="3"/>
  <c r="AV9" i="3"/>
  <c r="AV8" i="3"/>
  <c r="AV7" i="3"/>
  <c r="AV6" i="3"/>
  <c r="H4" i="123" l="1"/>
  <c r="H5" i="123"/>
  <c r="H6" i="123"/>
  <c r="DH29" i="127"/>
  <c r="DH29" i="125"/>
  <c r="DH29" i="12"/>
  <c r="H7" i="123"/>
  <c r="H8" i="123"/>
  <c r="T14" i="12"/>
  <c r="R16" i="12"/>
  <c r="U15" i="12"/>
  <c r="L46" i="98"/>
  <c r="L45" i="98"/>
  <c r="G49" i="98"/>
  <c r="L48" i="98"/>
  <c r="L47" i="98"/>
  <c r="P5" i="3"/>
  <c r="L6" i="12"/>
  <c r="L10" i="12"/>
  <c r="L7" i="12"/>
  <c r="L11" i="12"/>
  <c r="L8" i="12"/>
  <c r="L12" i="12"/>
  <c r="L5" i="12"/>
  <c r="L9" i="12"/>
  <c r="F5" i="12"/>
  <c r="A5" i="12"/>
  <c r="D5" i="12"/>
  <c r="C5" i="12"/>
  <c r="B5" i="12"/>
  <c r="C13" i="12"/>
  <c r="D13" i="12"/>
  <c r="A13" i="12"/>
  <c r="F13" i="12"/>
  <c r="B13" i="12"/>
  <c r="D17" i="12"/>
  <c r="A17" i="12"/>
  <c r="F17" i="12"/>
  <c r="B17" i="12"/>
  <c r="C17" i="12"/>
  <c r="D6" i="12"/>
  <c r="A6" i="12"/>
  <c r="F6" i="12"/>
  <c r="B6" i="12"/>
  <c r="C6" i="12"/>
  <c r="D10" i="12"/>
  <c r="A10" i="12"/>
  <c r="F10" i="12"/>
  <c r="B10" i="12"/>
  <c r="C10" i="12"/>
  <c r="B14" i="12"/>
  <c r="C14" i="12"/>
  <c r="D14" i="12"/>
  <c r="F14" i="12"/>
  <c r="A14" i="12"/>
  <c r="AV5" i="3"/>
  <c r="A7" i="12"/>
  <c r="F7" i="12"/>
  <c r="B7" i="12"/>
  <c r="C7" i="12"/>
  <c r="D7" i="12"/>
  <c r="A11" i="12"/>
  <c r="F11" i="12"/>
  <c r="B11" i="12"/>
  <c r="C11" i="12"/>
  <c r="D11" i="12"/>
  <c r="B15" i="12"/>
  <c r="C15" i="12"/>
  <c r="D15" i="12"/>
  <c r="A15" i="12"/>
  <c r="F15" i="12"/>
  <c r="C9" i="12"/>
  <c r="D9" i="12"/>
  <c r="A9" i="12"/>
  <c r="F9" i="12"/>
  <c r="B9" i="12"/>
  <c r="B8" i="12"/>
  <c r="C8" i="12"/>
  <c r="D8" i="12"/>
  <c r="F8" i="12"/>
  <c r="A8" i="12"/>
  <c r="B12" i="12"/>
  <c r="C12" i="12"/>
  <c r="D12" i="12"/>
  <c r="A12" i="12"/>
  <c r="F12" i="12"/>
  <c r="C16" i="12"/>
  <c r="D16" i="12"/>
  <c r="A16" i="12"/>
  <c r="F16" i="12"/>
  <c r="B16" i="12"/>
  <c r="AU14" i="3"/>
  <c r="AU16" i="3"/>
  <c r="AU18" i="3"/>
  <c r="AU20" i="3"/>
  <c r="AU24" i="3"/>
  <c r="AU26" i="3"/>
  <c r="AU15" i="3"/>
  <c r="AU17" i="3"/>
  <c r="AU19" i="3"/>
  <c r="AU25" i="3"/>
  <c r="AU27" i="3"/>
  <c r="AU33" i="3"/>
  <c r="AU39" i="3"/>
  <c r="DW12" i="12" l="1"/>
  <c r="DW12" i="125"/>
  <c r="DW12" i="127"/>
  <c r="DW11" i="12"/>
  <c r="DW11" i="125"/>
  <c r="DW11" i="127"/>
  <c r="DW5" i="127"/>
  <c r="DW5" i="125"/>
  <c r="BM29" i="125"/>
  <c r="BM29" i="127"/>
  <c r="BM29" i="12"/>
  <c r="DW29" i="125"/>
  <c r="BH29" i="125" s="1"/>
  <c r="DW29" i="127"/>
  <c r="BH29" i="127" s="1"/>
  <c r="DW29" i="12"/>
  <c r="DW5" i="12"/>
  <c r="T16" i="12"/>
  <c r="S14" i="12"/>
  <c r="U17" i="12"/>
  <c r="U14" i="12"/>
  <c r="U16" i="12"/>
  <c r="S16" i="12"/>
  <c r="S17" i="12"/>
  <c r="R14" i="12"/>
  <c r="T15" i="12"/>
  <c r="R17" i="12"/>
  <c r="T17" i="12"/>
  <c r="S15" i="12"/>
  <c r="R15" i="12"/>
  <c r="J17" i="119"/>
  <c r="J19" i="119" s="1"/>
  <c r="BK8" i="25"/>
  <c r="BK4" i="25"/>
  <c r="BH5" i="125" l="1"/>
  <c r="BN5" i="125"/>
  <c r="BH5" i="127"/>
  <c r="BN5" i="127"/>
  <c r="BH12" i="127"/>
  <c r="BN12" i="127"/>
  <c r="BO12" i="127" s="1"/>
  <c r="BH11" i="127"/>
  <c r="BN11" i="127"/>
  <c r="BO11" i="127" s="1"/>
  <c r="BH12" i="125"/>
  <c r="BN12" i="125"/>
  <c r="BO12" i="125" s="1"/>
  <c r="BH11" i="125"/>
  <c r="BN11" i="125"/>
  <c r="BN29" i="125"/>
  <c r="BO29" i="125" s="1"/>
  <c r="BH29" i="12"/>
  <c r="BN29" i="12"/>
  <c r="BN29" i="127"/>
  <c r="L5" i="3"/>
  <c r="BK6" i="25"/>
  <c r="BL2" i="25"/>
  <c r="BL4" i="25"/>
  <c r="BN8" i="25"/>
  <c r="BK2" i="25"/>
  <c r="BL6" i="25"/>
  <c r="BL8" i="25"/>
  <c r="BM2" i="25" l="1"/>
  <c r="BM6" i="25"/>
  <c r="BO11" i="125"/>
  <c r="BO5" i="127"/>
  <c r="BO5" i="125"/>
  <c r="BO29" i="12"/>
  <c r="BM8" i="25"/>
  <c r="BM4" i="25"/>
  <c r="BO29" i="127"/>
  <c r="BN4" i="25"/>
  <c r="AG260" i="8" l="1"/>
  <c r="AG259" i="8"/>
  <c r="AG258" i="8"/>
  <c r="AG257" i="8"/>
  <c r="AG256" i="8"/>
  <c r="AG255" i="8"/>
  <c r="AG254" i="8"/>
  <c r="AY89" i="8" s="1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Y39" i="8" s="1"/>
  <c r="AE229" i="8"/>
  <c r="AG228" i="8"/>
  <c r="AY13" i="8" s="1"/>
  <c r="AY93" i="8" s="1"/>
  <c r="DI32" i="127" l="1"/>
  <c r="DI38" i="127"/>
  <c r="DI28" i="127"/>
  <c r="DI30" i="127"/>
  <c r="DI27" i="127"/>
  <c r="DI20" i="127"/>
  <c r="DI17" i="127"/>
  <c r="DI11" i="127"/>
  <c r="DI5" i="127"/>
  <c r="DI41" i="127"/>
  <c r="DI34" i="127"/>
  <c r="DI24" i="127"/>
  <c r="DI26" i="127"/>
  <c r="DI23" i="127"/>
  <c r="DI16" i="127"/>
  <c r="DI13" i="127"/>
  <c r="DI7" i="127"/>
  <c r="DI10" i="127"/>
  <c r="DI40" i="127"/>
  <c r="DI37" i="127"/>
  <c r="DI39" i="127"/>
  <c r="DI29" i="127"/>
  <c r="DI22" i="127"/>
  <c r="DI19" i="127"/>
  <c r="DI12" i="127"/>
  <c r="DI18" i="127"/>
  <c r="DI8" i="127"/>
  <c r="DI6" i="127"/>
  <c r="DI36" i="127"/>
  <c r="DI33" i="127"/>
  <c r="DI35" i="127"/>
  <c r="DI25" i="127"/>
  <c r="DI31" i="127"/>
  <c r="DI15" i="127"/>
  <c r="DI21" i="127"/>
  <c r="DI14" i="127"/>
  <c r="DI9" i="127"/>
  <c r="AY119" i="8"/>
  <c r="AY68" i="8"/>
  <c r="AY43" i="8"/>
  <c r="AY72" i="8"/>
  <c r="AY47" i="8"/>
  <c r="AY76" i="8"/>
  <c r="AY51" i="8"/>
  <c r="AY80" i="8"/>
  <c r="AY55" i="8"/>
  <c r="AY84" i="8"/>
  <c r="AY59" i="8"/>
  <c r="AY88" i="8"/>
  <c r="AY63" i="8"/>
  <c r="AY65" i="8"/>
  <c r="AY40" i="8"/>
  <c r="AY120" i="8" s="1"/>
  <c r="AY69" i="8"/>
  <c r="AY44" i="8"/>
  <c r="AY73" i="8"/>
  <c r="AY48" i="8"/>
  <c r="AY77" i="8"/>
  <c r="AY52" i="8"/>
  <c r="AY81" i="8"/>
  <c r="AY56" i="8"/>
  <c r="AY85" i="8"/>
  <c r="AY60" i="8"/>
  <c r="AY66" i="8"/>
  <c r="AY41" i="8"/>
  <c r="AY74" i="8"/>
  <c r="AY49" i="8"/>
  <c r="AY86" i="8"/>
  <c r="AY61" i="8"/>
  <c r="AY70" i="8"/>
  <c r="AY45" i="8"/>
  <c r="AY78" i="8"/>
  <c r="AY53" i="8"/>
  <c r="AY82" i="8"/>
  <c r="AY57" i="8"/>
  <c r="AY67" i="8"/>
  <c r="AY42" i="8"/>
  <c r="AY71" i="8"/>
  <c r="AY46" i="8"/>
  <c r="AY75" i="8"/>
  <c r="AY50" i="8"/>
  <c r="AY79" i="8"/>
  <c r="AY54" i="8"/>
  <c r="AY83" i="8"/>
  <c r="AY58" i="8"/>
  <c r="AY87" i="8"/>
  <c r="AY62" i="8"/>
  <c r="AE230" i="8"/>
  <c r="AE231" i="8" s="1"/>
  <c r="AE232" i="8" s="1"/>
  <c r="AE233" i="8" s="1"/>
  <c r="AE234" i="8" s="1"/>
  <c r="AE235" i="8" s="1"/>
  <c r="AE236" i="8" s="1"/>
  <c r="AE237" i="8" s="1"/>
  <c r="AE238" i="8" s="1"/>
  <c r="AE239" i="8" s="1"/>
  <c r="AE240" i="8" s="1"/>
  <c r="AE241" i="8" s="1"/>
  <c r="AE242" i="8" s="1"/>
  <c r="AE243" i="8" s="1"/>
  <c r="AE244" i="8" s="1"/>
  <c r="AE245" i="8" s="1"/>
  <c r="AE246" i="8" s="1"/>
  <c r="AE247" i="8" s="1"/>
  <c r="AE248" i="8" s="1"/>
  <c r="AE249" i="8" s="1"/>
  <c r="AE250" i="8" s="1"/>
  <c r="AE251" i="8" s="1"/>
  <c r="AE252" i="8" s="1"/>
  <c r="AE253" i="8" s="1"/>
  <c r="AE254" i="8" s="1"/>
  <c r="AE255" i="8" s="1"/>
  <c r="AE256" i="8" s="1"/>
  <c r="AE257" i="8" s="1"/>
  <c r="AE258" i="8" s="1"/>
  <c r="AE259" i="8" s="1"/>
  <c r="AE260" i="8" s="1"/>
  <c r="AY130" i="8" l="1"/>
  <c r="AY138" i="8"/>
  <c r="AY163" i="8"/>
  <c r="AY167" i="8"/>
  <c r="AY159" i="8"/>
  <c r="AY142" i="8"/>
  <c r="AY134" i="8"/>
  <c r="AY126" i="8"/>
  <c r="DI40" i="125"/>
  <c r="DI32" i="125"/>
  <c r="DI31" i="125"/>
  <c r="DI34" i="125"/>
  <c r="DI37" i="125"/>
  <c r="DI21" i="125"/>
  <c r="DI6" i="125"/>
  <c r="DI5" i="125"/>
  <c r="DI8" i="125"/>
  <c r="DI7" i="125"/>
  <c r="DI39" i="125"/>
  <c r="DI28" i="125"/>
  <c r="DI27" i="125"/>
  <c r="DI30" i="125"/>
  <c r="DI33" i="125"/>
  <c r="DI18" i="125"/>
  <c r="DI17" i="125"/>
  <c r="DI20" i="125"/>
  <c r="DI19" i="125"/>
  <c r="DI41" i="125"/>
  <c r="DI24" i="125"/>
  <c r="DI23" i="125"/>
  <c r="DI26" i="125"/>
  <c r="DI29" i="125"/>
  <c r="DI14" i="125"/>
  <c r="DI13" i="125"/>
  <c r="DI16" i="125"/>
  <c r="DI15" i="125"/>
  <c r="DI36" i="125"/>
  <c r="DI35" i="125"/>
  <c r="DI38" i="125"/>
  <c r="DI22" i="125"/>
  <c r="DI25" i="125"/>
  <c r="DI10" i="125"/>
  <c r="DI9" i="125"/>
  <c r="DI12" i="125"/>
  <c r="DI11" i="125"/>
  <c r="AY124" i="8"/>
  <c r="AY133" i="8"/>
  <c r="AY155" i="8"/>
  <c r="AY158" i="8"/>
  <c r="AY141" i="8"/>
  <c r="AY136" i="8"/>
  <c r="AY128" i="8"/>
  <c r="AY168" i="8"/>
  <c r="AY160" i="8"/>
  <c r="AY122" i="8"/>
  <c r="AY137" i="8"/>
  <c r="AY166" i="8"/>
  <c r="AY161" i="8"/>
  <c r="AY153" i="8"/>
  <c r="AY145" i="8"/>
  <c r="AY146" i="8"/>
  <c r="AY147" i="8"/>
  <c r="AY148" i="8"/>
  <c r="AY149" i="8"/>
  <c r="AY151" i="8"/>
  <c r="AY152" i="8"/>
  <c r="AY139" i="8"/>
  <c r="AY131" i="8"/>
  <c r="AY123" i="8"/>
  <c r="AY121" i="8"/>
  <c r="AY125" i="8"/>
  <c r="AY162" i="8"/>
  <c r="AY150" i="8"/>
  <c r="AY129" i="8"/>
  <c r="AY140" i="8"/>
  <c r="AY132" i="8"/>
  <c r="AY169" i="8"/>
  <c r="AY164" i="8"/>
  <c r="AY156" i="8"/>
  <c r="AY154" i="8"/>
  <c r="AY165" i="8"/>
  <c r="AY157" i="8"/>
  <c r="AY143" i="8"/>
  <c r="AY135" i="8"/>
  <c r="AY127" i="8"/>
  <c r="G82" i="98"/>
  <c r="I80" i="98"/>
  <c r="DI34" i="12" l="1"/>
  <c r="DI36" i="12"/>
  <c r="DI38" i="12"/>
  <c r="DI35" i="12"/>
  <c r="DI40" i="12"/>
  <c r="DI26" i="12"/>
  <c r="DI24" i="12"/>
  <c r="DI41" i="12"/>
  <c r="DI21" i="12"/>
  <c r="DI22" i="12"/>
  <c r="DI25" i="12"/>
  <c r="DI29" i="12"/>
  <c r="DI18" i="12"/>
  <c r="DI33" i="12"/>
  <c r="DI32" i="12"/>
  <c r="DI30" i="12"/>
  <c r="DI23" i="12"/>
  <c r="DI31" i="12"/>
  <c r="DI39" i="12"/>
  <c r="DI28" i="12"/>
  <c r="DI37" i="12"/>
  <c r="DI20" i="12"/>
  <c r="DI19" i="12"/>
  <c r="DI27" i="12"/>
  <c r="I81" i="98"/>
  <c r="L80" i="98"/>
  <c r="L81" i="98"/>
  <c r="I82" i="98"/>
  <c r="L82" i="98" s="1"/>
  <c r="C174" i="8" l="1"/>
  <c r="D174" i="8" s="1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C221" i="8"/>
  <c r="D221" i="8" s="1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R221" i="8" s="1"/>
  <c r="S221" i="8" s="1"/>
  <c r="T221" i="8" s="1"/>
  <c r="U221" i="8" s="1"/>
  <c r="V221" i="8" s="1"/>
  <c r="W221" i="8" s="1"/>
  <c r="X221" i="8" s="1"/>
  <c r="Y221" i="8" s="1"/>
  <c r="Z221" i="8" s="1"/>
  <c r="AA221" i="8" s="1"/>
  <c r="AB221" i="8" s="1"/>
  <c r="AC221" i="8" s="1"/>
  <c r="AD221" i="8" s="1"/>
  <c r="AE221" i="8" s="1"/>
  <c r="AF221" i="8" s="1"/>
  <c r="AG221" i="8" s="1"/>
  <c r="C265" i="8"/>
  <c r="D265" i="8" s="1"/>
  <c r="E265" i="8" s="1"/>
  <c r="F265" i="8" s="1"/>
  <c r="G265" i="8" s="1"/>
  <c r="H265" i="8" s="1"/>
  <c r="I265" i="8" s="1"/>
  <c r="J265" i="8" s="1"/>
  <c r="K265" i="8" s="1"/>
  <c r="L265" i="8" s="1"/>
  <c r="M265" i="8" s="1"/>
  <c r="N265" i="8" s="1"/>
  <c r="O265" i="8" s="1"/>
  <c r="P265" i="8" s="1"/>
  <c r="Q265" i="8" s="1"/>
  <c r="R265" i="8" s="1"/>
  <c r="S265" i="8" s="1"/>
  <c r="T265" i="8" s="1"/>
  <c r="U265" i="8" s="1"/>
  <c r="V265" i="8" s="1"/>
  <c r="W265" i="8" s="1"/>
  <c r="O174" i="8" l="1"/>
  <c r="AB4" i="8"/>
  <c r="AC4" i="8"/>
  <c r="AO4" i="8"/>
  <c r="AO13" i="8" s="1"/>
  <c r="AO93" i="8" s="1"/>
  <c r="AU4" i="8"/>
  <c r="AU13" i="8" s="1"/>
  <c r="AU93" i="8" s="1"/>
  <c r="Z4" i="8"/>
  <c r="AD4" i="8"/>
  <c r="AA4" i="8"/>
  <c r="AE4" i="8"/>
  <c r="AS4" i="8"/>
  <c r="AS13" i="8" s="1"/>
  <c r="AS93" i="8" s="1"/>
  <c r="D4" i="8"/>
  <c r="D13" i="8" s="1"/>
  <c r="D93" i="8" s="1"/>
  <c r="Y4" i="8"/>
  <c r="AN4" i="8"/>
  <c r="AN13" i="8" s="1"/>
  <c r="AN93" i="8" s="1"/>
  <c r="AT4" i="8"/>
  <c r="AQ4" i="8"/>
  <c r="AQ13" i="8" s="1"/>
  <c r="AQ93" i="8" s="1"/>
  <c r="E4" i="8"/>
  <c r="E13" i="8" s="1"/>
  <c r="E93" i="8" s="1"/>
  <c r="C4" i="8"/>
  <c r="C13" i="8" s="1"/>
  <c r="C93" i="8" s="1"/>
  <c r="F4" i="8"/>
  <c r="F13" i="8" s="1"/>
  <c r="F93" i="8" s="1"/>
  <c r="Y176" i="8"/>
  <c r="AV176" i="8" s="1"/>
  <c r="BQ176" i="8" s="1"/>
  <c r="P174" i="8" l="1"/>
  <c r="L4" i="8"/>
  <c r="DG38" i="127"/>
  <c r="DG40" i="127"/>
  <c r="DG37" i="127"/>
  <c r="DG22" i="127"/>
  <c r="DG28" i="127"/>
  <c r="DG21" i="127"/>
  <c r="DG14" i="127"/>
  <c r="DG16" i="127"/>
  <c r="DG10" i="127"/>
  <c r="DG8" i="127"/>
  <c r="DG34" i="127"/>
  <c r="DG36" i="127"/>
  <c r="DG33" i="127"/>
  <c r="DG31" i="127"/>
  <c r="DG24" i="127"/>
  <c r="DG17" i="127"/>
  <c r="DG19" i="127"/>
  <c r="DG12" i="127"/>
  <c r="DG6" i="127"/>
  <c r="DG39" i="127"/>
  <c r="DG32" i="127"/>
  <c r="DG30" i="127"/>
  <c r="DG27" i="127"/>
  <c r="DG29" i="127"/>
  <c r="DG13" i="127"/>
  <c r="DG15" i="127"/>
  <c r="DG9" i="127"/>
  <c r="DG11" i="127"/>
  <c r="DG35" i="127"/>
  <c r="DG41" i="127"/>
  <c r="DG26" i="127"/>
  <c r="DG23" i="127"/>
  <c r="DG25" i="127"/>
  <c r="DG18" i="127"/>
  <c r="DG20" i="127"/>
  <c r="DG5" i="127"/>
  <c r="DG7" i="127"/>
  <c r="CU38" i="127"/>
  <c r="CU40" i="127"/>
  <c r="CU25" i="127"/>
  <c r="CU27" i="127"/>
  <c r="CU20" i="127"/>
  <c r="CU13" i="127"/>
  <c r="CU19" i="127"/>
  <c r="CU5" i="127"/>
  <c r="CU11" i="127"/>
  <c r="CU41" i="127"/>
  <c r="CU34" i="127"/>
  <c r="CU36" i="127"/>
  <c r="CU30" i="127"/>
  <c r="CU23" i="127"/>
  <c r="CU16" i="127"/>
  <c r="CU22" i="127"/>
  <c r="CU15" i="127"/>
  <c r="CU12" i="127"/>
  <c r="CU7" i="127"/>
  <c r="CU37" i="127"/>
  <c r="CU39" i="127"/>
  <c r="CU32" i="127"/>
  <c r="CU26" i="127"/>
  <c r="CU28" i="127"/>
  <c r="CU21" i="127"/>
  <c r="CU18" i="127"/>
  <c r="CU8" i="127"/>
  <c r="CU10" i="127"/>
  <c r="CU33" i="127"/>
  <c r="CU35" i="127"/>
  <c r="CU29" i="127"/>
  <c r="CU31" i="127"/>
  <c r="CU24" i="127"/>
  <c r="CU17" i="127"/>
  <c r="CU14" i="127"/>
  <c r="CU9" i="127"/>
  <c r="CU6" i="127"/>
  <c r="CR35" i="127"/>
  <c r="CR41" i="127"/>
  <c r="CR26" i="127"/>
  <c r="CR28" i="127"/>
  <c r="CR21" i="127"/>
  <c r="CR18" i="127"/>
  <c r="CR20" i="127"/>
  <c r="CR5" i="127"/>
  <c r="CR7" i="127"/>
  <c r="CR38" i="127"/>
  <c r="CR40" i="127"/>
  <c r="CR37" i="127"/>
  <c r="CR31" i="127"/>
  <c r="CR24" i="127"/>
  <c r="CR17" i="127"/>
  <c r="CR14" i="127"/>
  <c r="CR16" i="127"/>
  <c r="CR10" i="127"/>
  <c r="CR8" i="127"/>
  <c r="CR34" i="127"/>
  <c r="CR36" i="127"/>
  <c r="CR33" i="127"/>
  <c r="CR27" i="127"/>
  <c r="CR29" i="127"/>
  <c r="CR13" i="127"/>
  <c r="CR19" i="127"/>
  <c r="CR12" i="127"/>
  <c r="CR6" i="127"/>
  <c r="CR39" i="127"/>
  <c r="CR32" i="127"/>
  <c r="CR30" i="127"/>
  <c r="CR23" i="127"/>
  <c r="CR25" i="127"/>
  <c r="CR22" i="127"/>
  <c r="CR15" i="127"/>
  <c r="CR9" i="127"/>
  <c r="CR11" i="127"/>
  <c r="CQ33" i="127"/>
  <c r="CQ35" i="127"/>
  <c r="CQ29" i="127"/>
  <c r="CQ31" i="127"/>
  <c r="CQ24" i="127"/>
  <c r="CQ17" i="127"/>
  <c r="CQ14" i="127"/>
  <c r="CQ8" i="127"/>
  <c r="CQ6" i="127"/>
  <c r="CQ38" i="127"/>
  <c r="CQ40" i="127"/>
  <c r="CQ25" i="127"/>
  <c r="CQ27" i="127"/>
  <c r="CQ20" i="127"/>
  <c r="CQ13" i="127"/>
  <c r="CQ19" i="127"/>
  <c r="CQ9" i="127"/>
  <c r="CQ11" i="127"/>
  <c r="CQ41" i="127"/>
  <c r="CQ34" i="127"/>
  <c r="CQ36" i="127"/>
  <c r="CQ30" i="127"/>
  <c r="CQ23" i="127"/>
  <c r="CQ16" i="127"/>
  <c r="CQ22" i="127"/>
  <c r="CQ15" i="127"/>
  <c r="CQ5" i="127"/>
  <c r="CQ7" i="127"/>
  <c r="CQ37" i="127"/>
  <c r="CQ39" i="127"/>
  <c r="CQ32" i="127"/>
  <c r="CQ26" i="127"/>
  <c r="CQ28" i="127"/>
  <c r="CQ21" i="127"/>
  <c r="CQ18" i="127"/>
  <c r="CQ12" i="127"/>
  <c r="CQ10" i="127"/>
  <c r="CV38" i="127"/>
  <c r="CV34" i="127"/>
  <c r="CV39" i="127"/>
  <c r="CV35" i="127"/>
  <c r="CV40" i="127"/>
  <c r="CV36" i="127"/>
  <c r="CV32" i="127"/>
  <c r="CV41" i="127"/>
  <c r="CV37" i="127"/>
  <c r="CV33" i="127"/>
  <c r="CV30" i="127"/>
  <c r="CV26" i="127"/>
  <c r="CV31" i="127"/>
  <c r="CV27" i="127"/>
  <c r="CV23" i="127"/>
  <c r="CV28" i="127"/>
  <c r="CV24" i="127"/>
  <c r="CV29" i="127"/>
  <c r="CV25" i="127"/>
  <c r="CV21" i="127"/>
  <c r="CV17" i="127"/>
  <c r="CV13" i="127"/>
  <c r="CV22" i="127"/>
  <c r="CV18" i="127"/>
  <c r="CV14" i="127"/>
  <c r="CV19" i="127"/>
  <c r="CV15" i="127"/>
  <c r="CV20" i="127"/>
  <c r="CV16" i="127"/>
  <c r="CV12" i="127"/>
  <c r="CV9" i="127"/>
  <c r="CV5" i="127"/>
  <c r="CV10" i="127"/>
  <c r="CV6" i="127"/>
  <c r="CV11" i="127"/>
  <c r="CV7" i="127"/>
  <c r="CV8" i="127"/>
  <c r="CT40" i="127"/>
  <c r="CT36" i="127"/>
  <c r="CT32" i="127"/>
  <c r="CT41" i="127"/>
  <c r="CT37" i="127"/>
  <c r="CT33" i="127"/>
  <c r="CT38" i="127"/>
  <c r="CT34" i="127"/>
  <c r="CT39" i="127"/>
  <c r="CT35" i="127"/>
  <c r="CT28" i="127"/>
  <c r="CT24" i="127"/>
  <c r="CT29" i="127"/>
  <c r="CT25" i="127"/>
  <c r="CT30" i="127"/>
  <c r="CT26" i="127"/>
  <c r="CT31" i="127"/>
  <c r="CT27" i="127"/>
  <c r="CT23" i="127"/>
  <c r="CT19" i="127"/>
  <c r="CT15" i="127"/>
  <c r="CT20" i="127"/>
  <c r="CT16" i="127"/>
  <c r="CT12" i="127"/>
  <c r="CT21" i="127"/>
  <c r="CT17" i="127"/>
  <c r="CT13" i="127"/>
  <c r="CT22" i="127"/>
  <c r="CT18" i="127"/>
  <c r="CT14" i="127"/>
  <c r="CT11" i="127"/>
  <c r="CT7" i="127"/>
  <c r="CT8" i="127"/>
  <c r="CT9" i="127"/>
  <c r="CT5" i="127"/>
  <c r="CT10" i="127"/>
  <c r="CT6" i="127"/>
  <c r="AT5" i="8"/>
  <c r="AT6" i="8" s="1"/>
  <c r="AT13" i="8"/>
  <c r="AT93" i="8" s="1"/>
  <c r="DD6" i="127" s="1"/>
  <c r="CX40" i="127"/>
  <c r="CX36" i="127"/>
  <c r="CX32" i="127"/>
  <c r="CX41" i="127"/>
  <c r="CX37" i="127"/>
  <c r="CX33" i="127"/>
  <c r="CX38" i="127"/>
  <c r="CX34" i="127"/>
  <c r="CX39" i="127"/>
  <c r="CX35" i="127"/>
  <c r="CX28" i="127"/>
  <c r="CX24" i="127"/>
  <c r="CX29" i="127"/>
  <c r="CX25" i="127"/>
  <c r="CX30" i="127"/>
  <c r="CX26" i="127"/>
  <c r="CX31" i="127"/>
  <c r="CX27" i="127"/>
  <c r="CX23" i="127"/>
  <c r="CX19" i="127"/>
  <c r="CX15" i="127"/>
  <c r="CX20" i="127"/>
  <c r="CX16" i="127"/>
  <c r="CX12" i="127"/>
  <c r="CX21" i="127"/>
  <c r="CX17" i="127"/>
  <c r="CX13" i="127"/>
  <c r="CX22" i="127"/>
  <c r="CX18" i="127"/>
  <c r="CX14" i="127"/>
  <c r="CX11" i="127"/>
  <c r="CX7" i="127"/>
  <c r="CX8" i="127"/>
  <c r="CX9" i="127"/>
  <c r="CX5" i="127"/>
  <c r="CX10" i="127"/>
  <c r="CX6" i="127"/>
  <c r="AD5" i="8"/>
  <c r="AD6" i="8" s="1"/>
  <c r="AD13" i="8"/>
  <c r="AD93" i="8" s="1"/>
  <c r="AC5" i="8"/>
  <c r="AC6" i="8" s="1"/>
  <c r="AC13" i="8"/>
  <c r="AC93" i="8" s="1"/>
  <c r="CS39" i="127"/>
  <c r="CS35" i="127"/>
  <c r="CS40" i="127"/>
  <c r="CS36" i="127"/>
  <c r="CS32" i="127"/>
  <c r="CS41" i="127"/>
  <c r="CS37" i="127"/>
  <c r="CS33" i="127"/>
  <c r="CS38" i="127"/>
  <c r="CS34" i="127"/>
  <c r="CS31" i="127"/>
  <c r="CS27" i="127"/>
  <c r="CS23" i="127"/>
  <c r="CS28" i="127"/>
  <c r="CS24" i="127"/>
  <c r="CS29" i="127"/>
  <c r="CS25" i="127"/>
  <c r="CS30" i="127"/>
  <c r="CS26" i="127"/>
  <c r="CS22" i="127"/>
  <c r="CS18" i="127"/>
  <c r="CS14" i="127"/>
  <c r="CS19" i="127"/>
  <c r="CS15" i="127"/>
  <c r="CS20" i="127"/>
  <c r="CS16" i="127"/>
  <c r="CS21" i="127"/>
  <c r="CS17" i="127"/>
  <c r="CS13" i="127"/>
  <c r="CS10" i="127"/>
  <c r="CS6" i="127"/>
  <c r="CS11" i="127"/>
  <c r="CS7" i="127"/>
  <c r="CS8" i="127"/>
  <c r="CS12" i="127"/>
  <c r="CS9" i="127"/>
  <c r="CS5" i="127"/>
  <c r="AE5" i="8"/>
  <c r="AE6" i="8" s="1"/>
  <c r="AE13" i="8"/>
  <c r="AE93" i="8" s="1"/>
  <c r="Z5" i="8"/>
  <c r="Z6" i="8" s="1"/>
  <c r="Z13" i="8"/>
  <c r="Z93" i="8" s="1"/>
  <c r="AB5" i="8"/>
  <c r="AB6" i="8" s="1"/>
  <c r="AB13" i="8"/>
  <c r="AB93" i="8" s="1"/>
  <c r="Y5" i="8"/>
  <c r="Y13" i="8"/>
  <c r="Y93" i="8" s="1"/>
  <c r="AA5" i="8"/>
  <c r="AA6" i="8" s="1"/>
  <c r="AA13" i="8"/>
  <c r="AA93" i="8" s="1"/>
  <c r="CZ38" i="127"/>
  <c r="CZ34" i="127"/>
  <c r="CZ39" i="127"/>
  <c r="CZ35" i="127"/>
  <c r="CZ40" i="127"/>
  <c r="CZ36" i="127"/>
  <c r="CZ32" i="127"/>
  <c r="CZ41" i="127"/>
  <c r="CZ37" i="127"/>
  <c r="CZ33" i="127"/>
  <c r="CZ30" i="127"/>
  <c r="CZ26" i="127"/>
  <c r="CZ31" i="127"/>
  <c r="CZ27" i="127"/>
  <c r="CZ23" i="127"/>
  <c r="CZ28" i="127"/>
  <c r="CZ24" i="127"/>
  <c r="CZ29" i="127"/>
  <c r="CZ25" i="127"/>
  <c r="CZ21" i="127"/>
  <c r="CZ17" i="127"/>
  <c r="CZ13" i="127"/>
  <c r="CZ18" i="127"/>
  <c r="CZ14" i="127"/>
  <c r="CZ22" i="127"/>
  <c r="CZ19" i="127"/>
  <c r="CZ15" i="127"/>
  <c r="CZ20" i="127"/>
  <c r="CZ16" i="127"/>
  <c r="CZ12" i="127"/>
  <c r="CZ9" i="127"/>
  <c r="CZ5" i="127"/>
  <c r="CZ10" i="127"/>
  <c r="CZ6" i="127"/>
  <c r="CZ11" i="127"/>
  <c r="CZ7" i="127"/>
  <c r="CZ8" i="127"/>
  <c r="F5" i="8"/>
  <c r="F6" i="8" s="1"/>
  <c r="E5" i="8"/>
  <c r="E6" i="8" s="1"/>
  <c r="D5" i="8"/>
  <c r="D6" i="8" s="1"/>
  <c r="C5" i="8"/>
  <c r="Y6" i="8"/>
  <c r="AS5" i="8"/>
  <c r="AU5" i="8"/>
  <c r="AN5" i="8"/>
  <c r="AO5" i="8"/>
  <c r="AQ5" i="8"/>
  <c r="CD3" i="25"/>
  <c r="CA3" i="25"/>
  <c r="CB3" i="25"/>
  <c r="BY3" i="25"/>
  <c r="BZ3" i="25"/>
  <c r="CA4" i="25"/>
  <c r="CA2" i="25"/>
  <c r="CB4" i="25"/>
  <c r="BZ2" i="25"/>
  <c r="CB2" i="25"/>
  <c r="BZ4" i="25"/>
  <c r="DF6" i="127" l="1"/>
  <c r="DJ6" i="127" s="1"/>
  <c r="DF7" i="127"/>
  <c r="DJ7" i="127" s="1"/>
  <c r="DF11" i="127"/>
  <c r="DF21" i="127"/>
  <c r="DJ21" i="127" s="1"/>
  <c r="DF16" i="127"/>
  <c r="DJ16" i="127" s="1"/>
  <c r="DF13" i="127"/>
  <c r="DJ13" i="127" s="1"/>
  <c r="DF17" i="127"/>
  <c r="DJ17" i="127" s="1"/>
  <c r="L5" i="8"/>
  <c r="L13" i="8"/>
  <c r="DF29" i="127"/>
  <c r="DJ29" i="127" s="1"/>
  <c r="DF32" i="127"/>
  <c r="DJ32" i="127" s="1"/>
  <c r="M4" i="8"/>
  <c r="Q174" i="8"/>
  <c r="DJ11" i="127"/>
  <c r="DF26" i="127"/>
  <c r="DJ26" i="127" s="1"/>
  <c r="DF31" i="127"/>
  <c r="DJ31" i="127" s="1"/>
  <c r="DF37" i="127"/>
  <c r="DJ37" i="127" s="1"/>
  <c r="DF14" i="127"/>
  <c r="DJ14" i="127" s="1"/>
  <c r="DF30" i="127"/>
  <c r="DJ30" i="127" s="1"/>
  <c r="DF22" i="127"/>
  <c r="DJ22" i="127" s="1"/>
  <c r="DF41" i="127"/>
  <c r="DJ41" i="127" s="1"/>
  <c r="DF18" i="127"/>
  <c r="DJ18" i="127" s="1"/>
  <c r="DF25" i="127"/>
  <c r="DJ25" i="127" s="1"/>
  <c r="DF34" i="127"/>
  <c r="DJ34" i="127" s="1"/>
  <c r="DF8" i="127"/>
  <c r="DJ8" i="127" s="1"/>
  <c r="DF5" i="127"/>
  <c r="DJ5" i="127" s="1"/>
  <c r="DF23" i="127"/>
  <c r="DJ23" i="127" s="1"/>
  <c r="DF38" i="127"/>
  <c r="DJ38" i="127" s="1"/>
  <c r="DF15" i="127"/>
  <c r="DJ15" i="127" s="1"/>
  <c r="DF9" i="127"/>
  <c r="DJ9" i="127" s="1"/>
  <c r="DF27" i="127"/>
  <c r="DJ27" i="127" s="1"/>
  <c r="DF33" i="127"/>
  <c r="DJ33" i="127" s="1"/>
  <c r="DF19" i="127"/>
  <c r="DJ19" i="127" s="1"/>
  <c r="CL35" i="127"/>
  <c r="CL41" i="127"/>
  <c r="CL26" i="127"/>
  <c r="CL28" i="127"/>
  <c r="CL21" i="127"/>
  <c r="CL18" i="127"/>
  <c r="CL20" i="127"/>
  <c r="CL5" i="127"/>
  <c r="CL7" i="127"/>
  <c r="CL38" i="127"/>
  <c r="CL40" i="127"/>
  <c r="CL37" i="127"/>
  <c r="CL31" i="127"/>
  <c r="CL24" i="127"/>
  <c r="CL17" i="127"/>
  <c r="CL14" i="127"/>
  <c r="CL16" i="127"/>
  <c r="CL10" i="127"/>
  <c r="CL8" i="127"/>
  <c r="CL34" i="127"/>
  <c r="CL36" i="127"/>
  <c r="CL33" i="127"/>
  <c r="CL27" i="127"/>
  <c r="CL29" i="127"/>
  <c r="CL13" i="127"/>
  <c r="CL19" i="127"/>
  <c r="CL12" i="127"/>
  <c r="CL6" i="127"/>
  <c r="CL39" i="127"/>
  <c r="CL32" i="127"/>
  <c r="CL30" i="127"/>
  <c r="CL23" i="127"/>
  <c r="CL25" i="127"/>
  <c r="CL22" i="127"/>
  <c r="CL15" i="127"/>
  <c r="CL9" i="127"/>
  <c r="CL11" i="127"/>
  <c r="DF20" i="127"/>
  <c r="DJ20" i="127" s="1"/>
  <c r="DF35" i="127"/>
  <c r="DJ35" i="127" s="1"/>
  <c r="DF36" i="127"/>
  <c r="DJ36" i="127" s="1"/>
  <c r="DF10" i="127"/>
  <c r="DJ10" i="127" s="1"/>
  <c r="DF24" i="127"/>
  <c r="DJ24" i="127" s="1"/>
  <c r="DF39" i="127"/>
  <c r="DJ39" i="127" s="1"/>
  <c r="DF40" i="127"/>
  <c r="DJ40" i="127" s="1"/>
  <c r="DF12" i="127"/>
  <c r="DJ12" i="127" s="1"/>
  <c r="DF28" i="127"/>
  <c r="DJ28" i="127" s="1"/>
  <c r="CK41" i="127"/>
  <c r="CK34" i="127"/>
  <c r="CK36" i="127"/>
  <c r="CK30" i="127"/>
  <c r="CK23" i="127"/>
  <c r="CK16" i="127"/>
  <c r="CK22" i="127"/>
  <c r="CK15" i="127"/>
  <c r="CK12" i="127"/>
  <c r="CK7" i="127"/>
  <c r="CK37" i="127"/>
  <c r="CK39" i="127"/>
  <c r="CK32" i="127"/>
  <c r="CK26" i="127"/>
  <c r="CK28" i="127"/>
  <c r="CK21" i="127"/>
  <c r="CK18" i="127"/>
  <c r="CK8" i="127"/>
  <c r="CK10" i="127"/>
  <c r="CK33" i="127"/>
  <c r="CK35" i="127"/>
  <c r="CK29" i="127"/>
  <c r="CK31" i="127"/>
  <c r="CK24" i="127"/>
  <c r="CK17" i="127"/>
  <c r="CK14" i="127"/>
  <c r="CK9" i="127"/>
  <c r="CK6" i="127"/>
  <c r="CK38" i="127"/>
  <c r="CK40" i="127"/>
  <c r="CK25" i="127"/>
  <c r="CK27" i="127"/>
  <c r="CK20" i="127"/>
  <c r="CK13" i="127"/>
  <c r="CK19" i="127"/>
  <c r="CK5" i="127"/>
  <c r="CK11" i="127"/>
  <c r="DD34" i="127"/>
  <c r="DD23" i="127"/>
  <c r="DD39" i="127"/>
  <c r="DD27" i="127"/>
  <c r="DD24" i="127"/>
  <c r="DD22" i="127"/>
  <c r="DD17" i="127"/>
  <c r="DD18" i="127"/>
  <c r="DD41" i="127"/>
  <c r="DD31" i="127"/>
  <c r="DD7" i="127"/>
  <c r="DD32" i="127"/>
  <c r="DD19" i="127"/>
  <c r="DD11" i="127"/>
  <c r="DD21" i="127"/>
  <c r="DD40" i="127"/>
  <c r="DD28" i="127"/>
  <c r="DD29" i="127"/>
  <c r="DD20" i="127"/>
  <c r="DD36" i="127"/>
  <c r="DD26" i="127"/>
  <c r="DD14" i="127"/>
  <c r="DD37" i="127"/>
  <c r="DD30" i="127"/>
  <c r="DD35" i="127"/>
  <c r="DD16" i="127"/>
  <c r="DD15" i="127"/>
  <c r="DD10" i="127"/>
  <c r="DD38" i="127"/>
  <c r="DD12" i="127"/>
  <c r="DD5" i="127"/>
  <c r="DD25" i="127"/>
  <c r="DD13" i="127"/>
  <c r="DD8" i="127"/>
  <c r="DD33" i="127"/>
  <c r="DD9" i="127"/>
  <c r="CJ36" i="127"/>
  <c r="CJ33" i="127"/>
  <c r="CJ35" i="127"/>
  <c r="CJ25" i="127"/>
  <c r="CJ27" i="127"/>
  <c r="CJ20" i="127"/>
  <c r="CJ17" i="127"/>
  <c r="CJ14" i="127"/>
  <c r="CJ9" i="127"/>
  <c r="CJ32" i="127"/>
  <c r="CJ38" i="127"/>
  <c r="CJ28" i="127"/>
  <c r="CJ30" i="127"/>
  <c r="CJ23" i="127"/>
  <c r="CJ16" i="127"/>
  <c r="CJ13" i="127"/>
  <c r="CJ11" i="127"/>
  <c r="CJ5" i="127"/>
  <c r="CJ41" i="127"/>
  <c r="CJ34" i="127"/>
  <c r="CJ24" i="127"/>
  <c r="CJ26" i="127"/>
  <c r="CJ19" i="127"/>
  <c r="CJ12" i="127"/>
  <c r="CJ22" i="127"/>
  <c r="CJ7" i="127"/>
  <c r="CJ10" i="127"/>
  <c r="CJ40" i="127"/>
  <c r="CJ37" i="127"/>
  <c r="CJ39" i="127"/>
  <c r="CJ29" i="127"/>
  <c r="CJ31" i="127"/>
  <c r="CJ15" i="127"/>
  <c r="CJ21" i="127"/>
  <c r="CJ18" i="127"/>
  <c r="CJ8" i="127"/>
  <c r="CJ6" i="127"/>
  <c r="CI36" i="127"/>
  <c r="CI38" i="127"/>
  <c r="CI23" i="127"/>
  <c r="CI29" i="127"/>
  <c r="CI22" i="127"/>
  <c r="CI15" i="127"/>
  <c r="CI17" i="127"/>
  <c r="CI11" i="127"/>
  <c r="CI9" i="127"/>
  <c r="CI39" i="127"/>
  <c r="CI41" i="127"/>
  <c r="CI34" i="127"/>
  <c r="CI28" i="127"/>
  <c r="CI25" i="127"/>
  <c r="CI18" i="127"/>
  <c r="CI20" i="127"/>
  <c r="CI13" i="127"/>
  <c r="CI7" i="127"/>
  <c r="CI5" i="127"/>
  <c r="CI35" i="127"/>
  <c r="CI37" i="127"/>
  <c r="CI31" i="127"/>
  <c r="CI24" i="127"/>
  <c r="CI30" i="127"/>
  <c r="CI14" i="127"/>
  <c r="CI16" i="127"/>
  <c r="CI10" i="127"/>
  <c r="CI8" i="127"/>
  <c r="CI40" i="127"/>
  <c r="CI33" i="127"/>
  <c r="CI27" i="127"/>
  <c r="CI32" i="127"/>
  <c r="CI26" i="127"/>
  <c r="CI19" i="127"/>
  <c r="CI21" i="127"/>
  <c r="CI6" i="127"/>
  <c r="CI12" i="127"/>
  <c r="BY35" i="127"/>
  <c r="BY37" i="127"/>
  <c r="BY31" i="127"/>
  <c r="BY28" i="127"/>
  <c r="BY21" i="127"/>
  <c r="BY14" i="127"/>
  <c r="BY16" i="127"/>
  <c r="BY6" i="127"/>
  <c r="BY12" i="127"/>
  <c r="BY38" i="127"/>
  <c r="BY40" i="127"/>
  <c r="BY33" i="127"/>
  <c r="BY27" i="127"/>
  <c r="BY24" i="127"/>
  <c r="BY17" i="127"/>
  <c r="BY19" i="127"/>
  <c r="BY9" i="127"/>
  <c r="BY13" i="127"/>
  <c r="BY8" i="127"/>
  <c r="BY34" i="127"/>
  <c r="BY36" i="127"/>
  <c r="BY30" i="127"/>
  <c r="BY23" i="127"/>
  <c r="BY29" i="127"/>
  <c r="BY22" i="127"/>
  <c r="BY15" i="127"/>
  <c r="BY5" i="127"/>
  <c r="BY11" i="127"/>
  <c r="BY39" i="127"/>
  <c r="BY41" i="127"/>
  <c r="BY26" i="127"/>
  <c r="BY32" i="127"/>
  <c r="BY25" i="127"/>
  <c r="BY18" i="127"/>
  <c r="BY20" i="127"/>
  <c r="BY10" i="127"/>
  <c r="BY7" i="127"/>
  <c r="BZ35" i="127"/>
  <c r="BZ37" i="127"/>
  <c r="BZ31" i="127"/>
  <c r="BZ28" i="127"/>
  <c r="BZ30" i="127"/>
  <c r="BZ14" i="127"/>
  <c r="BZ16" i="127"/>
  <c r="BZ10" i="127"/>
  <c r="BZ12" i="127"/>
  <c r="BZ40" i="127"/>
  <c r="BZ33" i="127"/>
  <c r="BZ27" i="127"/>
  <c r="BZ24" i="127"/>
  <c r="BZ26" i="127"/>
  <c r="BZ19" i="127"/>
  <c r="BZ21" i="127"/>
  <c r="BZ6" i="127"/>
  <c r="BZ8" i="127"/>
  <c r="BZ36" i="127"/>
  <c r="BZ38" i="127"/>
  <c r="BZ23" i="127"/>
  <c r="BZ29" i="127"/>
  <c r="BZ22" i="127"/>
  <c r="BZ15" i="127"/>
  <c r="BZ17" i="127"/>
  <c r="BZ11" i="127"/>
  <c r="BZ9" i="127"/>
  <c r="BZ39" i="127"/>
  <c r="BZ41" i="127"/>
  <c r="BZ34" i="127"/>
  <c r="BZ32" i="127"/>
  <c r="BZ25" i="127"/>
  <c r="BZ18" i="127"/>
  <c r="BZ20" i="127"/>
  <c r="BZ13" i="127"/>
  <c r="BZ7" i="127"/>
  <c r="BZ5" i="127"/>
  <c r="CW39" i="127"/>
  <c r="CW32" i="127"/>
  <c r="CW38" i="127"/>
  <c r="CW23" i="127"/>
  <c r="CW25" i="127"/>
  <c r="CW18" i="127"/>
  <c r="CW20" i="127"/>
  <c r="CW13" i="127"/>
  <c r="CW11" i="127"/>
  <c r="CW5" i="127"/>
  <c r="CW35" i="127"/>
  <c r="CW41" i="127"/>
  <c r="CW34" i="127"/>
  <c r="CW28" i="127"/>
  <c r="CW30" i="127"/>
  <c r="CW14" i="127"/>
  <c r="CW16" i="127"/>
  <c r="CW10" i="127"/>
  <c r="CW7" i="127"/>
  <c r="CW40" i="127"/>
  <c r="CW37" i="127"/>
  <c r="CW31" i="127"/>
  <c r="CW24" i="127"/>
  <c r="CW26" i="127"/>
  <c r="CW19" i="127"/>
  <c r="CW21" i="127"/>
  <c r="CW6" i="127"/>
  <c r="CW8" i="127"/>
  <c r="CW36" i="127"/>
  <c r="CW33" i="127"/>
  <c r="CW27" i="127"/>
  <c r="CW29" i="127"/>
  <c r="CW22" i="127"/>
  <c r="CW15" i="127"/>
  <c r="CW17" i="127"/>
  <c r="CW12" i="127"/>
  <c r="CW9" i="127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CC38" i="127"/>
  <c r="CC34" i="127"/>
  <c r="CC39" i="127"/>
  <c r="CC35" i="127"/>
  <c r="CC40" i="127"/>
  <c r="CC36" i="127"/>
  <c r="CC41" i="127"/>
  <c r="CC37" i="127"/>
  <c r="CC33" i="127"/>
  <c r="CC30" i="127"/>
  <c r="CC26" i="127"/>
  <c r="CC31" i="127"/>
  <c r="CC27" i="127"/>
  <c r="CC23" i="127"/>
  <c r="CC32" i="127"/>
  <c r="CC28" i="127"/>
  <c r="CC24" i="127"/>
  <c r="CC29" i="127"/>
  <c r="CC25" i="127"/>
  <c r="CC21" i="127"/>
  <c r="CC17" i="127"/>
  <c r="CC13" i="127"/>
  <c r="CC22" i="127"/>
  <c r="CC18" i="127"/>
  <c r="CC14" i="127"/>
  <c r="CC19" i="127"/>
  <c r="CC15" i="127"/>
  <c r="CC20" i="127"/>
  <c r="CC16" i="127"/>
  <c r="CC9" i="127"/>
  <c r="CC5" i="127"/>
  <c r="CC10" i="127"/>
  <c r="CC6" i="127"/>
  <c r="CC11" i="127"/>
  <c r="CC7" i="127"/>
  <c r="CC12" i="127"/>
  <c r="CC8" i="127"/>
  <c r="CD39" i="127"/>
  <c r="CD35" i="127"/>
  <c r="CD40" i="127"/>
  <c r="CD36" i="127"/>
  <c r="CD41" i="127"/>
  <c r="CD37" i="127"/>
  <c r="CD33" i="127"/>
  <c r="CD38" i="127"/>
  <c r="CD34" i="127"/>
  <c r="CD31" i="127"/>
  <c r="CD27" i="127"/>
  <c r="CD23" i="127"/>
  <c r="CD32" i="127"/>
  <c r="CD28" i="127"/>
  <c r="CD24" i="127"/>
  <c r="CD29" i="127"/>
  <c r="CD25" i="127"/>
  <c r="CD30" i="127"/>
  <c r="CD26" i="127"/>
  <c r="CD22" i="127"/>
  <c r="CD18" i="127"/>
  <c r="CD14" i="127"/>
  <c r="CD19" i="127"/>
  <c r="CD15" i="127"/>
  <c r="CD20" i="127"/>
  <c r="CD16" i="127"/>
  <c r="CD21" i="127"/>
  <c r="CD17" i="127"/>
  <c r="CD13" i="127"/>
  <c r="CD10" i="127"/>
  <c r="CD6" i="127"/>
  <c r="CD11" i="127"/>
  <c r="CD7" i="127"/>
  <c r="CD12" i="127"/>
  <c r="CD8" i="127"/>
  <c r="CD9" i="127"/>
  <c r="CD5" i="127"/>
  <c r="CH38" i="127"/>
  <c r="CH34" i="127"/>
  <c r="CH39" i="127"/>
  <c r="CH35" i="127"/>
  <c r="CH40" i="127"/>
  <c r="CH36" i="127"/>
  <c r="CH32" i="127"/>
  <c r="CH41" i="127"/>
  <c r="CH37" i="127"/>
  <c r="CH33" i="127"/>
  <c r="CH30" i="127"/>
  <c r="CH26" i="127"/>
  <c r="CH31" i="127"/>
  <c r="CH27" i="127"/>
  <c r="CH23" i="127"/>
  <c r="CH28" i="127"/>
  <c r="CH24" i="127"/>
  <c r="CH29" i="127"/>
  <c r="CH25" i="127"/>
  <c r="CH21" i="127"/>
  <c r="CH17" i="127"/>
  <c r="CH13" i="127"/>
  <c r="CH22" i="127"/>
  <c r="CH18" i="127"/>
  <c r="CH14" i="127"/>
  <c r="CH19" i="127"/>
  <c r="CH15" i="127"/>
  <c r="CH20" i="127"/>
  <c r="CH16" i="127"/>
  <c r="CH12" i="127"/>
  <c r="CH9" i="127"/>
  <c r="CH5" i="127"/>
  <c r="CH10" i="127"/>
  <c r="CH6" i="127"/>
  <c r="CH11" i="127"/>
  <c r="CH7" i="127"/>
  <c r="CH8" i="127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CY41" i="127"/>
  <c r="CY37" i="127"/>
  <c r="CY33" i="127"/>
  <c r="CY38" i="127"/>
  <c r="CY34" i="127"/>
  <c r="CY39" i="127"/>
  <c r="CY35" i="127"/>
  <c r="CY40" i="127"/>
  <c r="CY36" i="127"/>
  <c r="CY32" i="127"/>
  <c r="CY29" i="127"/>
  <c r="CY25" i="127"/>
  <c r="CY30" i="127"/>
  <c r="CY26" i="127"/>
  <c r="CY22" i="127"/>
  <c r="CY31" i="127"/>
  <c r="CY27" i="127"/>
  <c r="CY23" i="127"/>
  <c r="CY28" i="127"/>
  <c r="CY24" i="127"/>
  <c r="CY20" i="127"/>
  <c r="CY16" i="127"/>
  <c r="CY21" i="127"/>
  <c r="CY17" i="127"/>
  <c r="CY13" i="127"/>
  <c r="CY18" i="127"/>
  <c r="CY14" i="127"/>
  <c r="CY19" i="127"/>
  <c r="CY15" i="127"/>
  <c r="CY12" i="127"/>
  <c r="CY8" i="127"/>
  <c r="CY9" i="127"/>
  <c r="CY5" i="127"/>
  <c r="CY10" i="127"/>
  <c r="CY6" i="127"/>
  <c r="CY11" i="127"/>
  <c r="CY7" i="127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C6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CG41" i="127"/>
  <c r="CG37" i="127"/>
  <c r="CG33" i="127"/>
  <c r="CG38" i="127"/>
  <c r="CG34" i="127"/>
  <c r="CG39" i="127"/>
  <c r="CG35" i="127"/>
  <c r="CG40" i="127"/>
  <c r="CG36" i="127"/>
  <c r="CG29" i="127"/>
  <c r="CG25" i="127"/>
  <c r="CG30" i="127"/>
  <c r="CG26" i="127"/>
  <c r="CG31" i="127"/>
  <c r="CG27" i="127"/>
  <c r="CG23" i="127"/>
  <c r="CG32" i="127"/>
  <c r="CG28" i="127"/>
  <c r="CG24" i="127"/>
  <c r="CG20" i="127"/>
  <c r="CG16" i="127"/>
  <c r="CG21" i="127"/>
  <c r="CG17" i="127"/>
  <c r="CG13" i="127"/>
  <c r="CG22" i="127"/>
  <c r="CG18" i="127"/>
  <c r="CG14" i="127"/>
  <c r="CG19" i="127"/>
  <c r="CG15" i="127"/>
  <c r="CG12" i="127"/>
  <c r="CG8" i="127"/>
  <c r="CG9" i="127"/>
  <c r="CG5" i="127"/>
  <c r="CG10" i="127"/>
  <c r="CG6" i="127"/>
  <c r="CG11" i="127"/>
  <c r="CG7" i="127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CA40" i="127"/>
  <c r="CA36" i="127"/>
  <c r="CA41" i="127"/>
  <c r="CA37" i="127"/>
  <c r="CA33" i="127"/>
  <c r="CA38" i="127"/>
  <c r="CA34" i="127"/>
  <c r="CA39" i="127"/>
  <c r="CA35" i="127"/>
  <c r="CA32" i="127"/>
  <c r="CA28" i="127"/>
  <c r="CA24" i="127"/>
  <c r="CA29" i="127"/>
  <c r="CA25" i="127"/>
  <c r="CA30" i="127"/>
  <c r="CA26" i="127"/>
  <c r="CA31" i="127"/>
  <c r="CA27" i="127"/>
  <c r="CA23" i="127"/>
  <c r="CA19" i="127"/>
  <c r="CA15" i="127"/>
  <c r="CA20" i="127"/>
  <c r="CA16" i="127"/>
  <c r="CA21" i="127"/>
  <c r="CA17" i="127"/>
  <c r="CA13" i="127"/>
  <c r="CA22" i="127"/>
  <c r="CA18" i="127"/>
  <c r="CA14" i="127"/>
  <c r="CA11" i="127"/>
  <c r="CA7" i="127"/>
  <c r="CA12" i="127"/>
  <c r="CA8" i="127"/>
  <c r="CA9" i="127"/>
  <c r="CA5" i="127"/>
  <c r="CA10" i="127"/>
  <c r="CA6" i="127"/>
  <c r="CB41" i="127"/>
  <c r="CB37" i="127"/>
  <c r="CB33" i="127"/>
  <c r="CB38" i="127"/>
  <c r="CB34" i="127"/>
  <c r="CB39" i="127"/>
  <c r="CB35" i="127"/>
  <c r="CB40" i="127"/>
  <c r="CB36" i="127"/>
  <c r="CB29" i="127"/>
  <c r="CB25" i="127"/>
  <c r="CB30" i="127"/>
  <c r="CB26" i="127"/>
  <c r="CB31" i="127"/>
  <c r="CB27" i="127"/>
  <c r="CB23" i="127"/>
  <c r="CB32" i="127"/>
  <c r="CB28" i="127"/>
  <c r="CB24" i="127"/>
  <c r="CB20" i="127"/>
  <c r="CB16" i="127"/>
  <c r="CB21" i="127"/>
  <c r="CB17" i="127"/>
  <c r="CB13" i="127"/>
  <c r="CB22" i="127"/>
  <c r="CB18" i="127"/>
  <c r="CB14" i="127"/>
  <c r="CB19" i="127"/>
  <c r="CB15" i="127"/>
  <c r="CB12" i="127"/>
  <c r="CB8" i="127"/>
  <c r="CB9" i="127"/>
  <c r="CB5" i="127"/>
  <c r="CB10" i="127"/>
  <c r="CB6" i="127"/>
  <c r="CB11" i="127"/>
  <c r="CB7" i="127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CE40" i="127"/>
  <c r="CE36" i="127"/>
  <c r="CE41" i="127"/>
  <c r="CE37" i="127"/>
  <c r="CE33" i="127"/>
  <c r="CE38" i="127"/>
  <c r="CE34" i="127"/>
  <c r="CE39" i="127"/>
  <c r="CE35" i="127"/>
  <c r="CE32" i="127"/>
  <c r="CE28" i="127"/>
  <c r="CE24" i="127"/>
  <c r="CE29" i="127"/>
  <c r="CE25" i="127"/>
  <c r="CE30" i="127"/>
  <c r="CE26" i="127"/>
  <c r="CE31" i="127"/>
  <c r="CE27" i="127"/>
  <c r="CE23" i="127"/>
  <c r="CE19" i="127"/>
  <c r="CE15" i="127"/>
  <c r="CE20" i="127"/>
  <c r="CE16" i="127"/>
  <c r="CE21" i="127"/>
  <c r="CE17" i="127"/>
  <c r="CE13" i="127"/>
  <c r="CE22" i="127"/>
  <c r="CE18" i="127"/>
  <c r="CE14" i="127"/>
  <c r="CE11" i="127"/>
  <c r="CE7" i="127"/>
  <c r="CE12" i="127"/>
  <c r="CE8" i="127"/>
  <c r="CE9" i="127"/>
  <c r="CE5" i="127"/>
  <c r="CE10" i="127"/>
  <c r="CE6" i="127"/>
  <c r="AU6" i="8"/>
  <c r="AO6" i="8"/>
  <c r="AS6" i="8"/>
  <c r="AN6" i="8"/>
  <c r="AQ6" i="8"/>
  <c r="CE3" i="25"/>
  <c r="BQ3" i="25"/>
  <c r="CC3" i="25"/>
  <c r="CH3" i="25"/>
  <c r="CD2" i="25"/>
  <c r="CE2" i="25"/>
  <c r="CJ2" i="25"/>
  <c r="CE4" i="25"/>
  <c r="CD4" i="25"/>
  <c r="CJ4" i="25"/>
  <c r="CO40" i="127" l="1"/>
  <c r="CO37" i="127"/>
  <c r="CO11" i="127"/>
  <c r="CO9" i="127"/>
  <c r="CO23" i="127"/>
  <c r="CO30" i="127"/>
  <c r="CO6" i="127"/>
  <c r="CO33" i="127"/>
  <c r="D168" i="8"/>
  <c r="D164" i="8"/>
  <c r="D160" i="8"/>
  <c r="D156" i="8"/>
  <c r="R174" i="8"/>
  <c r="N4" i="8"/>
  <c r="L93" i="8"/>
  <c r="M5" i="8"/>
  <c r="M13" i="8"/>
  <c r="L6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CO20" i="127"/>
  <c r="CO29" i="127"/>
  <c r="CO7" i="127"/>
  <c r="CO36" i="127"/>
  <c r="CO19" i="127"/>
  <c r="CO13" i="127"/>
  <c r="CO38" i="127"/>
  <c r="CO16" i="127"/>
  <c r="CO10" i="127"/>
  <c r="CO12" i="127"/>
  <c r="CO31" i="127"/>
  <c r="CO39" i="127"/>
  <c r="CO5" i="127"/>
  <c r="CO15" i="127"/>
  <c r="CO22" i="127"/>
  <c r="CO32" i="127"/>
  <c r="CO26" i="127"/>
  <c r="CO34" i="127"/>
  <c r="CO41" i="127"/>
  <c r="CO8" i="127"/>
  <c r="CO14" i="127"/>
  <c r="CO17" i="127"/>
  <c r="CO24" i="127"/>
  <c r="CO27" i="127"/>
  <c r="CO25" i="127"/>
  <c r="CO35" i="127"/>
  <c r="Z141" i="8"/>
  <c r="Z137" i="8"/>
  <c r="Z133" i="8"/>
  <c r="Z129" i="8"/>
  <c r="Z125" i="8"/>
  <c r="Y142" i="8"/>
  <c r="Y138" i="8"/>
  <c r="Y134" i="8"/>
  <c r="Y130" i="8"/>
  <c r="Y126" i="8"/>
  <c r="AD169" i="8"/>
  <c r="AD165" i="8"/>
  <c r="AD161" i="8"/>
  <c r="AD157" i="8"/>
  <c r="AD153" i="8"/>
  <c r="AD140" i="8"/>
  <c r="AD136" i="8"/>
  <c r="AD132" i="8"/>
  <c r="AD128" i="8"/>
  <c r="AT143" i="8"/>
  <c r="AT139" i="8"/>
  <c r="AT135" i="8"/>
  <c r="AT131" i="8"/>
  <c r="AT127" i="8"/>
  <c r="CO18" i="127"/>
  <c r="CO21" i="127"/>
  <c r="CO28" i="127"/>
  <c r="AE137" i="8"/>
  <c r="AE133" i="8"/>
  <c r="AE129" i="8"/>
  <c r="AB142" i="8"/>
  <c r="AB138" i="8"/>
  <c r="AB134" i="8"/>
  <c r="AB130" i="8"/>
  <c r="AB126" i="8"/>
  <c r="AA143" i="8"/>
  <c r="AA139" i="8"/>
  <c r="AA135" i="8"/>
  <c r="AA131" i="8"/>
  <c r="AA127" i="8"/>
  <c r="AA123" i="8"/>
  <c r="F140" i="8"/>
  <c r="F136" i="8"/>
  <c r="F132" i="8"/>
  <c r="F128" i="8"/>
  <c r="AC169" i="8"/>
  <c r="AC165" i="8"/>
  <c r="AC161" i="8"/>
  <c r="AC157" i="8"/>
  <c r="AC153" i="8"/>
  <c r="Z166" i="8"/>
  <c r="Z162" i="8"/>
  <c r="Z158" i="8"/>
  <c r="Z154" i="8"/>
  <c r="AN141" i="8"/>
  <c r="AN137" i="8"/>
  <c r="AN133" i="8"/>
  <c r="AN129" i="8"/>
  <c r="AB168" i="8"/>
  <c r="AB164" i="8"/>
  <c r="AB160" i="8"/>
  <c r="AB156" i="8"/>
  <c r="AB152" i="8"/>
  <c r="D143" i="8"/>
  <c r="D139" i="8"/>
  <c r="D135" i="8"/>
  <c r="D131" i="8"/>
  <c r="D127" i="8"/>
  <c r="Y166" i="8"/>
  <c r="Y162" i="8"/>
  <c r="Y158" i="8"/>
  <c r="Y154" i="8"/>
  <c r="AT167" i="8"/>
  <c r="AT163" i="8"/>
  <c r="AT159" i="8"/>
  <c r="AT155" i="8"/>
  <c r="AS142" i="8"/>
  <c r="AS138" i="8"/>
  <c r="AS134" i="8"/>
  <c r="AS130" i="8"/>
  <c r="AS126" i="8"/>
  <c r="AA169" i="8"/>
  <c r="AA165" i="8"/>
  <c r="AA161" i="8"/>
  <c r="AA157" i="8"/>
  <c r="AU140" i="8"/>
  <c r="AU136" i="8"/>
  <c r="AU132" i="8"/>
  <c r="AU128" i="8"/>
  <c r="AC142" i="8"/>
  <c r="AC138" i="8"/>
  <c r="AC134" i="8"/>
  <c r="AC130" i="8"/>
  <c r="AC126" i="8"/>
  <c r="E143" i="8"/>
  <c r="E139" i="8"/>
  <c r="E135" i="8"/>
  <c r="E131" i="8"/>
  <c r="E127" i="8"/>
  <c r="F166" i="8"/>
  <c r="F162" i="8"/>
  <c r="F158" i="8"/>
  <c r="F154" i="8"/>
  <c r="F150" i="8"/>
  <c r="AO142" i="8"/>
  <c r="AO138" i="8"/>
  <c r="AO134" i="8"/>
  <c r="AO130" i="8"/>
  <c r="AO126" i="8"/>
  <c r="AO122" i="8"/>
  <c r="E169" i="8"/>
  <c r="E165" i="8"/>
  <c r="E161" i="8"/>
  <c r="E157" i="8"/>
  <c r="E153" i="8"/>
  <c r="AQ140" i="8"/>
  <c r="AQ136" i="8"/>
  <c r="AQ132" i="8"/>
  <c r="AQ128" i="8"/>
  <c r="C141" i="8"/>
  <c r="C137" i="8"/>
  <c r="C133" i="8"/>
  <c r="C129" i="8"/>
  <c r="C125" i="8"/>
  <c r="AE168" i="8"/>
  <c r="AE164" i="8"/>
  <c r="AE160" i="8"/>
  <c r="AE156" i="8"/>
  <c r="AE152" i="8"/>
  <c r="AE148" i="8"/>
  <c r="D169" i="8"/>
  <c r="D165" i="8"/>
  <c r="D161" i="8"/>
  <c r="D157" i="8"/>
  <c r="D153" i="8"/>
  <c r="CQ3" i="25"/>
  <c r="AE141" i="8"/>
  <c r="D167" i="8"/>
  <c r="D163" i="8"/>
  <c r="D159" i="8"/>
  <c r="D155" i="8"/>
  <c r="CF3" i="25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Z142" i="8"/>
  <c r="Z138" i="8"/>
  <c r="Z134" i="8"/>
  <c r="Z130" i="8"/>
  <c r="Z126" i="8"/>
  <c r="Y143" i="8"/>
  <c r="Y139" i="8"/>
  <c r="Y135" i="8"/>
  <c r="Y131" i="8"/>
  <c r="Y127" i="8"/>
  <c r="Y119" i="8"/>
  <c r="Y121" i="8"/>
  <c r="Y120" i="8"/>
  <c r="Y122" i="8"/>
  <c r="Y123" i="8"/>
  <c r="Y124" i="8"/>
  <c r="AD166" i="8"/>
  <c r="AD162" i="8"/>
  <c r="AD158" i="8"/>
  <c r="AD154" i="8"/>
  <c r="AD141" i="8"/>
  <c r="AD137" i="8"/>
  <c r="AD133" i="8"/>
  <c r="AD129" i="8"/>
  <c r="AD125" i="8"/>
  <c r="AD121" i="8"/>
  <c r="CF6" i="127"/>
  <c r="CP6" i="127" s="1"/>
  <c r="CF8" i="127"/>
  <c r="CF14" i="127"/>
  <c r="CF17" i="127"/>
  <c r="CF15" i="127"/>
  <c r="CF31" i="127"/>
  <c r="CF29" i="127"/>
  <c r="CF35" i="127"/>
  <c r="CF33" i="127"/>
  <c r="CP33" i="127" s="1"/>
  <c r="CF40" i="127"/>
  <c r="CP40" i="127" s="1"/>
  <c r="AT140" i="8"/>
  <c r="AT136" i="8"/>
  <c r="AT132" i="8"/>
  <c r="AT128" i="8"/>
  <c r="AE142" i="8"/>
  <c r="AE138" i="8"/>
  <c r="AE134" i="8"/>
  <c r="AE130" i="8"/>
  <c r="AE126" i="8"/>
  <c r="AE122" i="8"/>
  <c r="AB143" i="8"/>
  <c r="AB139" i="8"/>
  <c r="AB135" i="8"/>
  <c r="AB131" i="8"/>
  <c r="AB127" i="8"/>
  <c r="AB119" i="8"/>
  <c r="AB121" i="8"/>
  <c r="AB120" i="8"/>
  <c r="AB122" i="8"/>
  <c r="AB123" i="8"/>
  <c r="AB124" i="8"/>
  <c r="AA140" i="8"/>
  <c r="AA136" i="8"/>
  <c r="AA132" i="8"/>
  <c r="AA128" i="8"/>
  <c r="F141" i="8"/>
  <c r="F137" i="8"/>
  <c r="F133" i="8"/>
  <c r="F129" i="8"/>
  <c r="F121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AC166" i="8"/>
  <c r="AC162" i="8"/>
  <c r="AC158" i="8"/>
  <c r="AC154" i="8"/>
  <c r="Z167" i="8"/>
  <c r="Z163" i="8"/>
  <c r="Z159" i="8"/>
  <c r="Z155" i="8"/>
  <c r="AN142" i="8"/>
  <c r="AN138" i="8"/>
  <c r="AN134" i="8"/>
  <c r="AN130" i="8"/>
  <c r="AN126" i="8"/>
  <c r="AB169" i="8"/>
  <c r="AB165" i="8"/>
  <c r="AB161" i="8"/>
  <c r="AB157" i="8"/>
  <c r="AB153" i="8"/>
  <c r="AB146" i="8"/>
  <c r="AB145" i="8"/>
  <c r="AB147" i="8"/>
  <c r="AB149" i="8"/>
  <c r="AB148" i="8"/>
  <c r="AB150" i="8"/>
  <c r="AB151" i="8"/>
  <c r="D140" i="8"/>
  <c r="D136" i="8"/>
  <c r="D132" i="8"/>
  <c r="D128" i="8"/>
  <c r="D124" i="8"/>
  <c r="D120" i="8"/>
  <c r="Y167" i="8"/>
  <c r="Y163" i="8"/>
  <c r="Y159" i="8"/>
  <c r="Y155" i="8"/>
  <c r="AT168" i="8"/>
  <c r="AT164" i="8"/>
  <c r="AT160" i="8"/>
  <c r="AT156" i="8"/>
  <c r="AS143" i="8"/>
  <c r="AS139" i="8"/>
  <c r="AS135" i="8"/>
  <c r="AS131" i="8"/>
  <c r="AS127" i="8"/>
  <c r="AS120" i="8"/>
  <c r="AS119" i="8"/>
  <c r="AS122" i="8"/>
  <c r="AS121" i="8"/>
  <c r="AS123" i="8"/>
  <c r="AS124" i="8"/>
  <c r="AS125" i="8"/>
  <c r="AA166" i="8"/>
  <c r="AA162" i="8"/>
  <c r="AA158" i="8"/>
  <c r="AU141" i="8"/>
  <c r="AU137" i="8"/>
  <c r="AU133" i="8"/>
  <c r="AU129" i="8"/>
  <c r="AU125" i="8"/>
  <c r="AC143" i="8"/>
  <c r="AC139" i="8"/>
  <c r="AC135" i="8"/>
  <c r="AC131" i="8"/>
  <c r="AC127" i="8"/>
  <c r="AC120" i="8"/>
  <c r="AC119" i="8"/>
  <c r="AC122" i="8"/>
  <c r="AC121" i="8"/>
  <c r="AC123" i="8"/>
  <c r="AC124" i="8"/>
  <c r="AC125" i="8"/>
  <c r="E140" i="8"/>
  <c r="E136" i="8"/>
  <c r="E132" i="8"/>
  <c r="E128" i="8"/>
  <c r="E120" i="8"/>
  <c r="F167" i="8"/>
  <c r="F163" i="8"/>
  <c r="F159" i="8"/>
  <c r="F155" i="8"/>
  <c r="AO143" i="8"/>
  <c r="AO139" i="8"/>
  <c r="AO135" i="8"/>
  <c r="AO131" i="8"/>
  <c r="AO127" i="8"/>
  <c r="AO119" i="8"/>
  <c r="AO121" i="8"/>
  <c r="AO120" i="8"/>
  <c r="AO123" i="8"/>
  <c r="AO124" i="8"/>
  <c r="E166" i="8"/>
  <c r="E162" i="8"/>
  <c r="E158" i="8"/>
  <c r="E154" i="8"/>
  <c r="AQ141" i="8"/>
  <c r="AQ137" i="8"/>
  <c r="AQ133" i="8"/>
  <c r="AQ129" i="8"/>
  <c r="AQ125" i="8"/>
  <c r="C142" i="8"/>
  <c r="C138" i="8"/>
  <c r="C134" i="8"/>
  <c r="C130" i="8"/>
  <c r="C126" i="8"/>
  <c r="AE169" i="8"/>
  <c r="AE165" i="8"/>
  <c r="AE161" i="8"/>
  <c r="AE157" i="8"/>
  <c r="AE153" i="8"/>
  <c r="AE145" i="8"/>
  <c r="AE146" i="8"/>
  <c r="AE147" i="8"/>
  <c r="AE149" i="8"/>
  <c r="AE150" i="8"/>
  <c r="AE151" i="8"/>
  <c r="D166" i="8"/>
  <c r="D162" i="8"/>
  <c r="D158" i="8"/>
  <c r="D15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CF10" i="127"/>
  <c r="CF12" i="127"/>
  <c r="CF18" i="127"/>
  <c r="CF21" i="127"/>
  <c r="CF19" i="127"/>
  <c r="CF26" i="127"/>
  <c r="CF24" i="127"/>
  <c r="CF39" i="127"/>
  <c r="CF37" i="127"/>
  <c r="CP37" i="127" s="1"/>
  <c r="AT119" i="8"/>
  <c r="AT121" i="8"/>
  <c r="AT120" i="8"/>
  <c r="AT123" i="8"/>
  <c r="AT122" i="8"/>
  <c r="AT124" i="8"/>
  <c r="AA119" i="8"/>
  <c r="AA121" i="8"/>
  <c r="AA120" i="8"/>
  <c r="AA122" i="8"/>
  <c r="AA125" i="8"/>
  <c r="AA124" i="8"/>
  <c r="AC145" i="8"/>
  <c r="AC146" i="8"/>
  <c r="AC147" i="8"/>
  <c r="AC148" i="8"/>
  <c r="AC149" i="8"/>
  <c r="AC150" i="8"/>
  <c r="D119" i="8"/>
  <c r="D121" i="8"/>
  <c r="D123" i="8"/>
  <c r="D126" i="8"/>
  <c r="D125" i="8"/>
  <c r="AA145" i="8"/>
  <c r="AA146" i="8"/>
  <c r="AA148" i="8"/>
  <c r="AA147" i="8"/>
  <c r="AA149" i="8"/>
  <c r="AA150" i="8"/>
  <c r="AA152" i="8"/>
  <c r="AA151" i="8"/>
  <c r="AA154" i="8"/>
  <c r="AA153" i="8"/>
  <c r="E119" i="8"/>
  <c r="E121" i="8"/>
  <c r="E123" i="8"/>
  <c r="E124" i="8"/>
  <c r="E125" i="8"/>
  <c r="E145" i="8"/>
  <c r="E146" i="8"/>
  <c r="E148" i="8"/>
  <c r="E149" i="8"/>
  <c r="E150" i="8"/>
  <c r="E151" i="8"/>
  <c r="E152" i="8"/>
  <c r="D145" i="8"/>
  <c r="D146" i="8"/>
  <c r="D147" i="8"/>
  <c r="D148" i="8"/>
  <c r="D150" i="8"/>
  <c r="D149" i="8"/>
  <c r="D152" i="8"/>
  <c r="D151" i="8"/>
  <c r="AD145" i="8"/>
  <c r="AD146" i="8"/>
  <c r="AD147" i="8"/>
  <c r="AD148" i="8"/>
  <c r="AD149" i="8"/>
  <c r="AD150" i="8"/>
  <c r="AD151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Z140" i="8"/>
  <c r="Z136" i="8"/>
  <c r="Z132" i="8"/>
  <c r="Z128" i="8"/>
  <c r="Z124" i="8"/>
  <c r="Y141" i="8"/>
  <c r="Y137" i="8"/>
  <c r="Y133" i="8"/>
  <c r="Y129" i="8"/>
  <c r="Y125" i="8"/>
  <c r="AD168" i="8"/>
  <c r="AD164" i="8"/>
  <c r="AD160" i="8"/>
  <c r="AD156" i="8"/>
  <c r="AD152" i="8"/>
  <c r="AD143" i="8"/>
  <c r="AD139" i="8"/>
  <c r="AD135" i="8"/>
  <c r="AD131" i="8"/>
  <c r="AD127" i="8"/>
  <c r="AD123" i="8"/>
  <c r="AD119" i="8"/>
  <c r="AD120" i="8"/>
  <c r="AD122" i="8"/>
  <c r="AD124" i="8"/>
  <c r="CF5" i="127"/>
  <c r="CF7" i="127"/>
  <c r="CP7" i="127" s="1"/>
  <c r="DA7" i="127" s="1"/>
  <c r="CF22" i="127"/>
  <c r="CF16" i="127"/>
  <c r="CP16" i="127" s="1"/>
  <c r="CF23" i="127"/>
  <c r="CP23" i="127" s="1"/>
  <c r="CF30" i="127"/>
  <c r="CP30" i="127" s="1"/>
  <c r="CF28" i="127"/>
  <c r="CP28" i="127" s="1"/>
  <c r="CF34" i="127"/>
  <c r="CF41" i="127"/>
  <c r="AT142" i="8"/>
  <c r="AT138" i="8"/>
  <c r="AT134" i="8"/>
  <c r="AT130" i="8"/>
  <c r="AT126" i="8"/>
  <c r="AE140" i="8"/>
  <c r="AE136" i="8"/>
  <c r="AE132" i="8"/>
  <c r="AE128" i="8"/>
  <c r="AB141" i="8"/>
  <c r="AB137" i="8"/>
  <c r="AB133" i="8"/>
  <c r="AB129" i="8"/>
  <c r="AB125" i="8"/>
  <c r="AA142" i="8"/>
  <c r="AA138" i="8"/>
  <c r="AA134" i="8"/>
  <c r="AA130" i="8"/>
  <c r="AA126" i="8"/>
  <c r="F143" i="8"/>
  <c r="F139" i="8"/>
  <c r="F135" i="8"/>
  <c r="F131" i="8"/>
  <c r="F127" i="8"/>
  <c r="F123" i="8"/>
  <c r="F119" i="8"/>
  <c r="F120" i="8"/>
  <c r="F122" i="8"/>
  <c r="F124" i="8"/>
  <c r="F125" i="8"/>
  <c r="AC168" i="8"/>
  <c r="AC164" i="8"/>
  <c r="AC160" i="8"/>
  <c r="AC156" i="8"/>
  <c r="AC152" i="8"/>
  <c r="Z169" i="8"/>
  <c r="Z165" i="8"/>
  <c r="Z161" i="8"/>
  <c r="Z157" i="8"/>
  <c r="Z153" i="8"/>
  <c r="Z145" i="8"/>
  <c r="Z146" i="8"/>
  <c r="Z147" i="8"/>
  <c r="Z148" i="8"/>
  <c r="Z149" i="8"/>
  <c r="Z150" i="8"/>
  <c r="Z151" i="8"/>
  <c r="Z152" i="8"/>
  <c r="AN140" i="8"/>
  <c r="AN136" i="8"/>
  <c r="AN132" i="8"/>
  <c r="AN128" i="8"/>
  <c r="AN124" i="8"/>
  <c r="AB167" i="8"/>
  <c r="AB163" i="8"/>
  <c r="AB159" i="8"/>
  <c r="AB155" i="8"/>
  <c r="D142" i="8"/>
  <c r="D138" i="8"/>
  <c r="D134" i="8"/>
  <c r="D130" i="8"/>
  <c r="D122" i="8"/>
  <c r="Y169" i="8"/>
  <c r="Y165" i="8"/>
  <c r="Y161" i="8"/>
  <c r="Y157" i="8"/>
  <c r="Y153" i="8"/>
  <c r="Y145" i="8"/>
  <c r="CE17" i="12" s="1"/>
  <c r="Y146" i="8"/>
  <c r="Y147" i="8"/>
  <c r="Y148" i="8"/>
  <c r="Y150" i="8"/>
  <c r="Y149" i="8"/>
  <c r="Y151" i="8"/>
  <c r="Y152" i="8"/>
  <c r="AT166" i="8"/>
  <c r="AT162" i="8"/>
  <c r="AT158" i="8"/>
  <c r="AT154" i="8"/>
  <c r="AS141" i="8"/>
  <c r="AS137" i="8"/>
  <c r="AS133" i="8"/>
  <c r="AS129" i="8"/>
  <c r="AA168" i="8"/>
  <c r="AA164" i="8"/>
  <c r="AA160" i="8"/>
  <c r="AA156" i="8"/>
  <c r="AU143" i="8"/>
  <c r="AU139" i="8"/>
  <c r="AU135" i="8"/>
  <c r="AU131" i="8"/>
  <c r="AU127" i="8"/>
  <c r="AU119" i="8"/>
  <c r="AU121" i="8"/>
  <c r="AU120" i="8"/>
  <c r="AU123" i="8"/>
  <c r="AU122" i="8"/>
  <c r="AU124" i="8"/>
  <c r="AC141" i="8"/>
  <c r="AC137" i="8"/>
  <c r="AC133" i="8"/>
  <c r="AC129" i="8"/>
  <c r="E142" i="8"/>
  <c r="E138" i="8"/>
  <c r="E134" i="8"/>
  <c r="E130" i="8"/>
  <c r="E126" i="8"/>
  <c r="E122" i="8"/>
  <c r="F169" i="8"/>
  <c r="F165" i="8"/>
  <c r="F161" i="8"/>
  <c r="F157" i="8"/>
  <c r="F153" i="8"/>
  <c r="F145" i="8"/>
  <c r="F146" i="8"/>
  <c r="F147" i="8"/>
  <c r="F148" i="8"/>
  <c r="F149" i="8"/>
  <c r="F151" i="8"/>
  <c r="AO141" i="8"/>
  <c r="AO137" i="8"/>
  <c r="AO133" i="8"/>
  <c r="AO129" i="8"/>
  <c r="AO125" i="8"/>
  <c r="E168" i="8"/>
  <c r="E164" i="8"/>
  <c r="E160" i="8"/>
  <c r="E156" i="8"/>
  <c r="AQ143" i="8"/>
  <c r="AQ139" i="8"/>
  <c r="AQ135" i="8"/>
  <c r="AQ131" i="8"/>
  <c r="AQ127" i="8"/>
  <c r="AQ119" i="8"/>
  <c r="AQ121" i="8"/>
  <c r="AQ120" i="8"/>
  <c r="AQ122" i="8"/>
  <c r="AQ123" i="8"/>
  <c r="AQ124" i="8"/>
  <c r="C140" i="8"/>
  <c r="C136" i="8"/>
  <c r="C132" i="8"/>
  <c r="C128" i="8"/>
  <c r="AE167" i="8"/>
  <c r="AE163" i="8"/>
  <c r="AE159" i="8"/>
  <c r="AE155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Z143" i="8"/>
  <c r="Z139" i="8"/>
  <c r="Z135" i="8"/>
  <c r="Z131" i="8"/>
  <c r="Z127" i="8"/>
  <c r="Z119" i="8"/>
  <c r="Z120" i="8"/>
  <c r="Z122" i="8"/>
  <c r="Z121" i="8"/>
  <c r="Z123" i="8"/>
  <c r="Y140" i="8"/>
  <c r="Y136" i="8"/>
  <c r="Y132" i="8"/>
  <c r="Y128" i="8"/>
  <c r="AD167" i="8"/>
  <c r="AD163" i="8"/>
  <c r="AD159" i="8"/>
  <c r="AD155" i="8"/>
  <c r="AD142" i="8"/>
  <c r="AD138" i="8"/>
  <c r="AD134" i="8"/>
  <c r="AD130" i="8"/>
  <c r="AD126" i="8"/>
  <c r="CF9" i="127"/>
  <c r="CF11" i="127"/>
  <c r="CF13" i="127"/>
  <c r="CF20" i="127"/>
  <c r="CF27" i="127"/>
  <c r="CF25" i="127"/>
  <c r="CF32" i="127"/>
  <c r="CP32" i="127" s="1"/>
  <c r="CF38" i="127"/>
  <c r="CF36" i="127"/>
  <c r="AT141" i="8"/>
  <c r="AT137" i="8"/>
  <c r="AT133" i="8"/>
  <c r="AT129" i="8"/>
  <c r="AT125" i="8"/>
  <c r="AE143" i="8"/>
  <c r="AE139" i="8"/>
  <c r="AE135" i="8"/>
  <c r="AE131" i="8"/>
  <c r="AE127" i="8"/>
  <c r="AE123" i="8"/>
  <c r="AE119" i="8"/>
  <c r="AE121" i="8"/>
  <c r="AE120" i="8"/>
  <c r="AE124" i="8"/>
  <c r="AE125" i="8"/>
  <c r="AB140" i="8"/>
  <c r="AB136" i="8"/>
  <c r="AB132" i="8"/>
  <c r="AB128" i="8"/>
  <c r="AA141" i="8"/>
  <c r="AA137" i="8"/>
  <c r="AA133" i="8"/>
  <c r="AA129" i="8"/>
  <c r="F142" i="8"/>
  <c r="F138" i="8"/>
  <c r="F134" i="8"/>
  <c r="F130" i="8"/>
  <c r="F126" i="8"/>
  <c r="AC167" i="8"/>
  <c r="AC163" i="8"/>
  <c r="AC159" i="8"/>
  <c r="AC155" i="8"/>
  <c r="AC151" i="8"/>
  <c r="Z168" i="8"/>
  <c r="Z164" i="8"/>
  <c r="Z160" i="8"/>
  <c r="Z156" i="8"/>
  <c r="AN143" i="8"/>
  <c r="AN139" i="8"/>
  <c r="AN135" i="8"/>
  <c r="AN131" i="8"/>
  <c r="AN127" i="8"/>
  <c r="AN120" i="8"/>
  <c r="AN119" i="8"/>
  <c r="AN121" i="8"/>
  <c r="AN122" i="8"/>
  <c r="AN123" i="8"/>
  <c r="AN125" i="8"/>
  <c r="AB166" i="8"/>
  <c r="AB162" i="8"/>
  <c r="AB158" i="8"/>
  <c r="AB154" i="8"/>
  <c r="D141" i="8"/>
  <c r="D137" i="8"/>
  <c r="D133" i="8"/>
  <c r="D129" i="8"/>
  <c r="Y168" i="8"/>
  <c r="Y164" i="8"/>
  <c r="Y160" i="8"/>
  <c r="Y156" i="8"/>
  <c r="AT169" i="8"/>
  <c r="AT165" i="8"/>
  <c r="AT161" i="8"/>
  <c r="AT157" i="8"/>
  <c r="AT153" i="8"/>
  <c r="AT145" i="8"/>
  <c r="AT146" i="8"/>
  <c r="AT147" i="8"/>
  <c r="AT148" i="8"/>
  <c r="AT149" i="8"/>
  <c r="AT150" i="8"/>
  <c r="AT152" i="8"/>
  <c r="AT151" i="8"/>
  <c r="AS140" i="8"/>
  <c r="AS136" i="8"/>
  <c r="AS132" i="8"/>
  <c r="AS128" i="8"/>
  <c r="AA167" i="8"/>
  <c r="AA163" i="8"/>
  <c r="AA159" i="8"/>
  <c r="AA155" i="8"/>
  <c r="AU142" i="8"/>
  <c r="AU138" i="8"/>
  <c r="AU134" i="8"/>
  <c r="AU130" i="8"/>
  <c r="AU126" i="8"/>
  <c r="AC140" i="8"/>
  <c r="AC136" i="8"/>
  <c r="AC132" i="8"/>
  <c r="AC128" i="8"/>
  <c r="E141" i="8"/>
  <c r="E137" i="8"/>
  <c r="E133" i="8"/>
  <c r="E129" i="8"/>
  <c r="F168" i="8"/>
  <c r="F164" i="8"/>
  <c r="F160" i="8"/>
  <c r="F156" i="8"/>
  <c r="F152" i="8"/>
  <c r="AO140" i="8"/>
  <c r="AO136" i="8"/>
  <c r="AO132" i="8"/>
  <c r="AO128" i="8"/>
  <c r="E167" i="8"/>
  <c r="E163" i="8"/>
  <c r="E159" i="8"/>
  <c r="E155" i="8"/>
  <c r="E147" i="8"/>
  <c r="AQ142" i="8"/>
  <c r="AQ138" i="8"/>
  <c r="AQ134" i="8"/>
  <c r="AQ130" i="8"/>
  <c r="AQ126" i="8"/>
  <c r="C143" i="8"/>
  <c r="C139" i="8"/>
  <c r="C135" i="8"/>
  <c r="C131" i="8"/>
  <c r="C127" i="8"/>
  <c r="C119" i="8"/>
  <c r="C121" i="8"/>
  <c r="C120" i="8"/>
  <c r="C122" i="8"/>
  <c r="C123" i="8"/>
  <c r="C124" i="8"/>
  <c r="AE166" i="8"/>
  <c r="AE162" i="8"/>
  <c r="AE158" i="8"/>
  <c r="AE154" i="8"/>
  <c r="CB13" i="12"/>
  <c r="CB15" i="12"/>
  <c r="CB17" i="12"/>
  <c r="CB14" i="12"/>
  <c r="CB16" i="12"/>
  <c r="CE14" i="12"/>
  <c r="CE16" i="12"/>
  <c r="CE13" i="12"/>
  <c r="BY13" i="12"/>
  <c r="BY17" i="12"/>
  <c r="BY16" i="12"/>
  <c r="BY14" i="12"/>
  <c r="BY15" i="12"/>
  <c r="BZ13" i="12"/>
  <c r="BZ15" i="12"/>
  <c r="BZ17" i="12"/>
  <c r="BZ14" i="12"/>
  <c r="BZ16" i="12"/>
  <c r="CC14" i="12"/>
  <c r="CC17" i="12"/>
  <c r="CC16" i="12"/>
  <c r="CC15" i="12"/>
  <c r="CC13" i="12"/>
  <c r="CD16" i="12"/>
  <c r="CD15" i="12"/>
  <c r="CD13" i="12"/>
  <c r="CD17" i="12"/>
  <c r="CD14" i="12"/>
  <c r="CA17" i="12"/>
  <c r="CA14" i="12"/>
  <c r="CA15" i="12"/>
  <c r="CA16" i="12"/>
  <c r="CA13" i="12"/>
  <c r="BV3" i="25"/>
  <c r="BW3" i="25"/>
  <c r="BW2" i="25"/>
  <c r="BQ4" i="25"/>
  <c r="BV4" i="25"/>
  <c r="BQ2" i="25"/>
  <c r="BV2" i="25"/>
  <c r="BW4" i="25"/>
  <c r="CC2" i="25"/>
  <c r="CC4" i="25"/>
  <c r="BV19" i="25" l="1"/>
  <c r="BQ19" i="25"/>
  <c r="BW19" i="25"/>
  <c r="CP25" i="127"/>
  <c r="CP11" i="127"/>
  <c r="DA11" i="127" s="1"/>
  <c r="CP36" i="127"/>
  <c r="CP27" i="127"/>
  <c r="DA27" i="127" s="1"/>
  <c r="CP39" i="127"/>
  <c r="DA39" i="127" s="1"/>
  <c r="CP8" i="127"/>
  <c r="CP9" i="127"/>
  <c r="DA9" i="127" s="1"/>
  <c r="CP34" i="127"/>
  <c r="DA34" i="127" s="1"/>
  <c r="CP18" i="127"/>
  <c r="CP15" i="127"/>
  <c r="DA15" i="127" s="1"/>
  <c r="CP13" i="127"/>
  <c r="DA13" i="127" s="1"/>
  <c r="CP12" i="127"/>
  <c r="DA12" i="127" s="1"/>
  <c r="CP17" i="127"/>
  <c r="CP38" i="127"/>
  <c r="DA38" i="127" s="1"/>
  <c r="CP41" i="127"/>
  <c r="DA41" i="127" s="1"/>
  <c r="CP21" i="127"/>
  <c r="DA21" i="127" s="1"/>
  <c r="CP31" i="127"/>
  <c r="CP24" i="127"/>
  <c r="CP22" i="127"/>
  <c r="DA22" i="127" s="1"/>
  <c r="CP26" i="127"/>
  <c r="DA26" i="127" s="1"/>
  <c r="CP35" i="127"/>
  <c r="DA35" i="127" s="1"/>
  <c r="CP19" i="127"/>
  <c r="DA19" i="127" s="1"/>
  <c r="CP10" i="127"/>
  <c r="DA10" i="127" s="1"/>
  <c r="CP14" i="127"/>
  <c r="DA14" i="127" s="1"/>
  <c r="CP20" i="127"/>
  <c r="CE15" i="12"/>
  <c r="M93" i="8"/>
  <c r="M6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N93" i="8"/>
  <c r="N5" i="8"/>
  <c r="L120" i="8"/>
  <c r="L139" i="8"/>
  <c r="L131" i="8"/>
  <c r="L123" i="8"/>
  <c r="L136" i="8"/>
  <c r="L128" i="8"/>
  <c r="L132" i="8"/>
  <c r="L125" i="8"/>
  <c r="L130" i="8"/>
  <c r="L137" i="8"/>
  <c r="L129" i="8"/>
  <c r="L121" i="8"/>
  <c r="L142" i="8"/>
  <c r="L134" i="8"/>
  <c r="L126" i="8"/>
  <c r="L143" i="8"/>
  <c r="L135" i="8"/>
  <c r="L127" i="8"/>
  <c r="L119" i="8"/>
  <c r="L140" i="8"/>
  <c r="L124" i="8"/>
  <c r="L141" i="8"/>
  <c r="L133" i="8"/>
  <c r="L138" i="8"/>
  <c r="L122" i="8"/>
  <c r="S174" i="8"/>
  <c r="AZ4" i="8"/>
  <c r="AZ5" i="8" s="1"/>
  <c r="AZ6" i="8" s="1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DG38" i="125"/>
  <c r="DG22" i="125"/>
  <c r="DG25" i="125"/>
  <c r="DG28" i="125"/>
  <c r="DG31" i="125"/>
  <c r="DG12" i="125"/>
  <c r="DG11" i="125"/>
  <c r="DG10" i="125"/>
  <c r="DG13" i="125"/>
  <c r="DG9" i="125"/>
  <c r="DG34" i="125"/>
  <c r="DG37" i="125"/>
  <c r="DG21" i="125"/>
  <c r="DG24" i="125"/>
  <c r="DG27" i="125"/>
  <c r="DG8" i="125"/>
  <c r="DG7" i="125"/>
  <c r="DG6" i="125"/>
  <c r="DG41" i="125"/>
  <c r="DG30" i="125"/>
  <c r="DG33" i="125"/>
  <c r="DG36" i="125"/>
  <c r="DG39" i="125"/>
  <c r="DG23" i="125"/>
  <c r="DG19" i="125"/>
  <c r="DG18" i="125"/>
  <c r="DG20" i="125"/>
  <c r="DG40" i="125"/>
  <c r="DG26" i="125"/>
  <c r="DG29" i="125"/>
  <c r="DG32" i="125"/>
  <c r="DG35" i="125"/>
  <c r="DG16" i="125"/>
  <c r="DG15" i="125"/>
  <c r="DG14" i="125"/>
  <c r="DG17" i="125"/>
  <c r="DG5" i="125"/>
  <c r="CL38" i="125"/>
  <c r="CL22" i="125"/>
  <c r="CL25" i="125"/>
  <c r="CL28" i="125"/>
  <c r="CL31" i="125"/>
  <c r="CL16" i="125"/>
  <c r="CL15" i="125"/>
  <c r="CL14" i="125"/>
  <c r="CL13" i="125"/>
  <c r="CL34" i="125"/>
  <c r="CL37" i="125"/>
  <c r="CL21" i="125"/>
  <c r="CL24" i="125"/>
  <c r="CL27" i="125"/>
  <c r="CL12" i="125"/>
  <c r="CL11" i="125"/>
  <c r="CL10" i="125"/>
  <c r="CL9" i="125"/>
  <c r="CL41" i="125"/>
  <c r="CL30" i="125"/>
  <c r="CL33" i="125"/>
  <c r="CL36" i="125"/>
  <c r="CL39" i="125"/>
  <c r="CL23" i="125"/>
  <c r="CL8" i="125"/>
  <c r="CL7" i="125"/>
  <c r="CL6" i="125"/>
  <c r="CL5" i="125"/>
  <c r="CL40" i="125"/>
  <c r="CL26" i="125"/>
  <c r="CL29" i="125"/>
  <c r="CL32" i="125"/>
  <c r="CL35" i="125"/>
  <c r="CL20" i="125"/>
  <c r="CL19" i="125"/>
  <c r="CL18" i="125"/>
  <c r="CL17" i="125"/>
  <c r="CL24" i="12"/>
  <c r="CL35" i="12"/>
  <c r="CL23" i="12"/>
  <c r="CL38" i="12"/>
  <c r="CL22" i="12"/>
  <c r="CL29" i="12"/>
  <c r="CL25" i="12"/>
  <c r="CL28" i="12"/>
  <c r="CL40" i="12"/>
  <c r="CL41" i="12"/>
  <c r="CL34" i="12"/>
  <c r="CL30" i="12"/>
  <c r="CL19" i="12"/>
  <c r="CL33" i="12"/>
  <c r="CL32" i="12"/>
  <c r="CL39" i="12"/>
  <c r="CL18" i="12"/>
  <c r="CL26" i="12"/>
  <c r="CL36" i="12"/>
  <c r="CL27" i="12"/>
  <c r="CL21" i="12"/>
  <c r="CL31" i="12"/>
  <c r="CL20" i="12"/>
  <c r="CL37" i="12"/>
  <c r="CL13" i="12"/>
  <c r="CL17" i="12"/>
  <c r="CL15" i="12"/>
  <c r="CL14" i="12"/>
  <c r="CL16" i="12"/>
  <c r="DF39" i="125"/>
  <c r="DF23" i="125"/>
  <c r="DF26" i="125"/>
  <c r="DF29" i="125"/>
  <c r="DF32" i="125"/>
  <c r="DF17" i="125"/>
  <c r="DF16" i="125"/>
  <c r="DF15" i="125"/>
  <c r="DF14" i="125"/>
  <c r="DF35" i="125"/>
  <c r="DF38" i="125"/>
  <c r="DF22" i="125"/>
  <c r="DF25" i="125"/>
  <c r="DF28" i="125"/>
  <c r="DJ28" i="125" s="1"/>
  <c r="DF13" i="125"/>
  <c r="DF12" i="125"/>
  <c r="DF11" i="125"/>
  <c r="DF10" i="125"/>
  <c r="DJ10" i="125" s="1"/>
  <c r="DF41" i="125"/>
  <c r="DF31" i="125"/>
  <c r="DF34" i="125"/>
  <c r="DF37" i="125"/>
  <c r="DF21" i="125"/>
  <c r="DF24" i="125"/>
  <c r="DF9" i="125"/>
  <c r="DF8" i="125"/>
  <c r="DJ8" i="125" s="1"/>
  <c r="DF7" i="125"/>
  <c r="DF6" i="125"/>
  <c r="DF40" i="125"/>
  <c r="DJ40" i="125" s="1"/>
  <c r="DF27" i="125"/>
  <c r="DF30" i="125"/>
  <c r="DJ30" i="125" s="1"/>
  <c r="DF33" i="125"/>
  <c r="DF36" i="125"/>
  <c r="DF20" i="125"/>
  <c r="DF5" i="125"/>
  <c r="DF19" i="125"/>
  <c r="DF18" i="125"/>
  <c r="AO167" i="8"/>
  <c r="CK41" i="125"/>
  <c r="CK31" i="125"/>
  <c r="CK34" i="125"/>
  <c r="CK37" i="125"/>
  <c r="CK36" i="125"/>
  <c r="CK17" i="125"/>
  <c r="CK21" i="125"/>
  <c r="CK8" i="125"/>
  <c r="CK7" i="125"/>
  <c r="CK6" i="125"/>
  <c r="CK40" i="125"/>
  <c r="CK27" i="125"/>
  <c r="CK30" i="125"/>
  <c r="CK33" i="125"/>
  <c r="CK32" i="125"/>
  <c r="CK13" i="125"/>
  <c r="CK20" i="125"/>
  <c r="CK19" i="125"/>
  <c r="CK18" i="125"/>
  <c r="CK39" i="125"/>
  <c r="CK23" i="125"/>
  <c r="CK26" i="125"/>
  <c r="CK29" i="125"/>
  <c r="CK28" i="125"/>
  <c r="CK9" i="125"/>
  <c r="CK16" i="125"/>
  <c r="CK15" i="125"/>
  <c r="CK14" i="125"/>
  <c r="CK35" i="125"/>
  <c r="CK38" i="125"/>
  <c r="CK22" i="125"/>
  <c r="CK25" i="125"/>
  <c r="CK24" i="125"/>
  <c r="CK5" i="125"/>
  <c r="CK12" i="125"/>
  <c r="CK11" i="125"/>
  <c r="CK10" i="125"/>
  <c r="CK23" i="12"/>
  <c r="CK41" i="12"/>
  <c r="CK20" i="12"/>
  <c r="CK29" i="12"/>
  <c r="CK32" i="12"/>
  <c r="CK22" i="12"/>
  <c r="CK35" i="12"/>
  <c r="CK25" i="12"/>
  <c r="CK38" i="12"/>
  <c r="CK21" i="12"/>
  <c r="CK27" i="12"/>
  <c r="CK39" i="12"/>
  <c r="CK28" i="12"/>
  <c r="CK33" i="12"/>
  <c r="CK18" i="12"/>
  <c r="CK24" i="12"/>
  <c r="CK26" i="12"/>
  <c r="CK31" i="12"/>
  <c r="CK37" i="12"/>
  <c r="CK19" i="12"/>
  <c r="CK36" i="12"/>
  <c r="CK30" i="12"/>
  <c r="CK40" i="12"/>
  <c r="CK34" i="12"/>
  <c r="CK14" i="12"/>
  <c r="CK17" i="12"/>
  <c r="CK15" i="12"/>
  <c r="CK13" i="12"/>
  <c r="CK16" i="12"/>
  <c r="CP2" i="25"/>
  <c r="CP3" i="25"/>
  <c r="CP4" i="25"/>
  <c r="CI33" i="12"/>
  <c r="CI19" i="12"/>
  <c r="CI25" i="12"/>
  <c r="CI40" i="12"/>
  <c r="CI23" i="12"/>
  <c r="CI41" i="12"/>
  <c r="CI29" i="12"/>
  <c r="CI36" i="12"/>
  <c r="CI31" i="12"/>
  <c r="CI37" i="12"/>
  <c r="CI39" i="12"/>
  <c r="CI27" i="12"/>
  <c r="CI30" i="12"/>
  <c r="CI24" i="12"/>
  <c r="CI38" i="12"/>
  <c r="CI34" i="12"/>
  <c r="CI28" i="12"/>
  <c r="CI21" i="12"/>
  <c r="CI18" i="12"/>
  <c r="CI35" i="12"/>
  <c r="CI22" i="12"/>
  <c r="CI20" i="12"/>
  <c r="CI32" i="12"/>
  <c r="CI26" i="12"/>
  <c r="CI17" i="12"/>
  <c r="CI13" i="12"/>
  <c r="CI16" i="12"/>
  <c r="CI14" i="12"/>
  <c r="CI15" i="12"/>
  <c r="C169" i="8"/>
  <c r="C165" i="8"/>
  <c r="C161" i="8"/>
  <c r="C157" i="8"/>
  <c r="C153" i="8"/>
  <c r="AO169" i="8"/>
  <c r="DD26" i="125"/>
  <c r="DD32" i="125"/>
  <c r="DD25" i="125"/>
  <c r="DD11" i="125"/>
  <c r="DD28" i="125"/>
  <c r="DD21" i="125"/>
  <c r="DD24" i="125"/>
  <c r="DD20" i="125"/>
  <c r="DD29" i="125"/>
  <c r="DD36" i="125"/>
  <c r="DD18" i="125"/>
  <c r="DD35" i="125"/>
  <c r="DD14" i="125"/>
  <c r="DD10" i="125"/>
  <c r="DD31" i="125"/>
  <c r="DD9" i="125"/>
  <c r="DD27" i="125"/>
  <c r="DD6" i="125"/>
  <c r="DD16" i="125"/>
  <c r="DD39" i="125"/>
  <c r="DD17" i="125"/>
  <c r="DD38" i="125"/>
  <c r="DD13" i="125"/>
  <c r="DD8" i="125"/>
  <c r="DD34" i="125"/>
  <c r="DD7" i="125"/>
  <c r="DD30" i="125"/>
  <c r="DD5" i="125"/>
  <c r="DD23" i="125"/>
  <c r="DD15" i="125"/>
  <c r="DD22" i="125"/>
  <c r="DD12" i="125"/>
  <c r="DD40" i="125"/>
  <c r="DD37" i="125"/>
  <c r="DD41" i="125"/>
  <c r="DD33" i="125"/>
  <c r="DD19" i="125"/>
  <c r="CU41" i="125"/>
  <c r="CU31" i="125"/>
  <c r="CU34" i="125"/>
  <c r="CU37" i="125"/>
  <c r="CU21" i="125"/>
  <c r="CU24" i="125"/>
  <c r="CU5" i="125"/>
  <c r="CU8" i="125"/>
  <c r="CU7" i="125"/>
  <c r="CU6" i="125"/>
  <c r="CU40" i="125"/>
  <c r="CU27" i="125"/>
  <c r="CU30" i="125"/>
  <c r="CU33" i="125"/>
  <c r="CU36" i="125"/>
  <c r="CU17" i="125"/>
  <c r="CU20" i="125"/>
  <c r="CU19" i="125"/>
  <c r="CU18" i="125"/>
  <c r="CU39" i="125"/>
  <c r="CU23" i="125"/>
  <c r="CU26" i="125"/>
  <c r="CU29" i="125"/>
  <c r="CU32" i="125"/>
  <c r="CU13" i="125"/>
  <c r="CU16" i="125"/>
  <c r="CU15" i="125"/>
  <c r="CU14" i="125"/>
  <c r="CU35" i="125"/>
  <c r="CU38" i="125"/>
  <c r="CU22" i="125"/>
  <c r="CU25" i="125"/>
  <c r="CU28" i="125"/>
  <c r="CU9" i="125"/>
  <c r="CU12" i="125"/>
  <c r="CU11" i="125"/>
  <c r="CU10" i="125"/>
  <c r="CJ36" i="125"/>
  <c r="CJ39" i="125"/>
  <c r="CJ23" i="125"/>
  <c r="CJ26" i="125"/>
  <c r="CJ29" i="125"/>
  <c r="CJ14" i="125"/>
  <c r="CJ13" i="125"/>
  <c r="CJ16" i="125"/>
  <c r="CJ15" i="125"/>
  <c r="CJ32" i="125"/>
  <c r="CJ35" i="125"/>
  <c r="CJ38" i="125"/>
  <c r="CJ22" i="125"/>
  <c r="CJ25" i="125"/>
  <c r="CJ10" i="125"/>
  <c r="CJ9" i="125"/>
  <c r="CJ12" i="125"/>
  <c r="CJ11" i="125"/>
  <c r="CJ40" i="125"/>
  <c r="CJ28" i="125"/>
  <c r="CJ31" i="125"/>
  <c r="CJ34" i="125"/>
  <c r="CJ37" i="125"/>
  <c r="CJ21" i="125"/>
  <c r="CJ6" i="125"/>
  <c r="CJ5" i="125"/>
  <c r="CJ8" i="125"/>
  <c r="CJ7" i="125"/>
  <c r="CJ41" i="125"/>
  <c r="CJ24" i="125"/>
  <c r="CJ27" i="125"/>
  <c r="CJ30" i="125"/>
  <c r="CJ33" i="125"/>
  <c r="CJ18" i="125"/>
  <c r="CJ17" i="125"/>
  <c r="CJ20" i="125"/>
  <c r="CJ19" i="125"/>
  <c r="CI41" i="125"/>
  <c r="CI29" i="125"/>
  <c r="CI28" i="125"/>
  <c r="CI31" i="125"/>
  <c r="CI34" i="125"/>
  <c r="CI19" i="125"/>
  <c r="CI18" i="125"/>
  <c r="CI21" i="125"/>
  <c r="CI5" i="125"/>
  <c r="CI8" i="125"/>
  <c r="CI40" i="125"/>
  <c r="CI25" i="125"/>
  <c r="CI24" i="125"/>
  <c r="CI27" i="125"/>
  <c r="CI30" i="125"/>
  <c r="CI15" i="125"/>
  <c r="CI14" i="125"/>
  <c r="CI17" i="125"/>
  <c r="CI20" i="125"/>
  <c r="CI37" i="125"/>
  <c r="CI36" i="125"/>
  <c r="CI39" i="125"/>
  <c r="CI23" i="125"/>
  <c r="CI26" i="125"/>
  <c r="CI11" i="125"/>
  <c r="CI10" i="125"/>
  <c r="CI13" i="125"/>
  <c r="CI16" i="125"/>
  <c r="CI33" i="125"/>
  <c r="CI32" i="125"/>
  <c r="CI35" i="125"/>
  <c r="CI38" i="125"/>
  <c r="CI22" i="125"/>
  <c r="CI7" i="125"/>
  <c r="CI6" i="125"/>
  <c r="CI9" i="125"/>
  <c r="CI12" i="125"/>
  <c r="CJ37" i="12"/>
  <c r="CJ23" i="12"/>
  <c r="CJ39" i="12"/>
  <c r="CJ19" i="12"/>
  <c r="CJ32" i="12"/>
  <c r="CJ38" i="12"/>
  <c r="CJ20" i="12"/>
  <c r="CJ33" i="12"/>
  <c r="CJ34" i="12"/>
  <c r="CJ35" i="12"/>
  <c r="CJ18" i="12"/>
  <c r="CJ36" i="12"/>
  <c r="CJ26" i="12"/>
  <c r="CJ24" i="12"/>
  <c r="CJ21" i="12"/>
  <c r="CJ25" i="12"/>
  <c r="CJ40" i="12"/>
  <c r="CJ29" i="12"/>
  <c r="CJ30" i="12"/>
  <c r="CJ28" i="12"/>
  <c r="CJ22" i="12"/>
  <c r="CJ31" i="12"/>
  <c r="CJ41" i="12"/>
  <c r="CJ27" i="12"/>
  <c r="CJ15" i="12"/>
  <c r="CJ16" i="12"/>
  <c r="CJ14" i="12"/>
  <c r="CJ13" i="12"/>
  <c r="CJ17" i="12"/>
  <c r="AO163" i="8"/>
  <c r="AO159" i="8"/>
  <c r="AO155" i="8"/>
  <c r="AO151" i="8"/>
  <c r="AO165" i="8"/>
  <c r="AO161" i="8"/>
  <c r="AO157" i="8"/>
  <c r="AO153" i="8"/>
  <c r="CQ40" i="125"/>
  <c r="CQ27" i="125"/>
  <c r="CQ30" i="125"/>
  <c r="CQ33" i="125"/>
  <c r="CQ36" i="125"/>
  <c r="CQ17" i="125"/>
  <c r="CQ20" i="125"/>
  <c r="CQ19" i="125"/>
  <c r="CQ18" i="125"/>
  <c r="CQ39" i="125"/>
  <c r="CQ23" i="125"/>
  <c r="CQ26" i="125"/>
  <c r="CQ29" i="125"/>
  <c r="CQ32" i="125"/>
  <c r="CQ13" i="125"/>
  <c r="CQ16" i="125"/>
  <c r="CQ15" i="125"/>
  <c r="CQ14" i="125"/>
  <c r="CQ35" i="125"/>
  <c r="CQ38" i="125"/>
  <c r="CQ22" i="125"/>
  <c r="CQ25" i="125"/>
  <c r="CQ28" i="125"/>
  <c r="CQ9" i="125"/>
  <c r="CQ12" i="125"/>
  <c r="CQ11" i="125"/>
  <c r="CQ10" i="125"/>
  <c r="CQ41" i="125"/>
  <c r="CQ31" i="125"/>
  <c r="CQ34" i="125"/>
  <c r="CQ37" i="125"/>
  <c r="CQ21" i="125"/>
  <c r="CQ24" i="125"/>
  <c r="CQ5" i="125"/>
  <c r="CQ8" i="125"/>
  <c r="CQ7" i="125"/>
  <c r="CQ6" i="125"/>
  <c r="AS169" i="8"/>
  <c r="AS165" i="8"/>
  <c r="AS161" i="8"/>
  <c r="AS157" i="8"/>
  <c r="AQ155" i="8"/>
  <c r="CR40" i="125"/>
  <c r="CR26" i="125"/>
  <c r="CR29" i="125"/>
  <c r="CR32" i="125"/>
  <c r="CR35" i="125"/>
  <c r="CR20" i="125"/>
  <c r="CR19" i="125"/>
  <c r="CR18" i="125"/>
  <c r="CR17" i="125"/>
  <c r="CR38" i="125"/>
  <c r="CR22" i="125"/>
  <c r="CR25" i="125"/>
  <c r="CR28" i="125"/>
  <c r="CR31" i="125"/>
  <c r="CR16" i="125"/>
  <c r="CR15" i="125"/>
  <c r="CR14" i="125"/>
  <c r="CR13" i="125"/>
  <c r="CR34" i="125"/>
  <c r="CR37" i="125"/>
  <c r="CR21" i="125"/>
  <c r="CR24" i="125"/>
  <c r="CR27" i="125"/>
  <c r="CR12" i="125"/>
  <c r="CR11" i="125"/>
  <c r="CR10" i="125"/>
  <c r="CR9" i="125"/>
  <c r="CR41" i="125"/>
  <c r="CR30" i="125"/>
  <c r="CR33" i="125"/>
  <c r="CR36" i="125"/>
  <c r="CR39" i="125"/>
  <c r="CR23" i="125"/>
  <c r="CR8" i="125"/>
  <c r="CR7" i="125"/>
  <c r="CR6" i="125"/>
  <c r="CR5" i="125"/>
  <c r="C149" i="8"/>
  <c r="BZ40" i="125"/>
  <c r="BZ25" i="125"/>
  <c r="BZ24" i="125"/>
  <c r="BZ27" i="125"/>
  <c r="BZ30" i="125"/>
  <c r="BZ15" i="125"/>
  <c r="BZ14" i="125"/>
  <c r="BZ17" i="125"/>
  <c r="BZ20" i="125"/>
  <c r="BZ29" i="125"/>
  <c r="BZ34" i="125"/>
  <c r="BZ21" i="125"/>
  <c r="BZ37" i="125"/>
  <c r="BZ36" i="125"/>
  <c r="BZ39" i="125"/>
  <c r="BZ23" i="125"/>
  <c r="BZ26" i="125"/>
  <c r="BZ11" i="125"/>
  <c r="BZ10" i="125"/>
  <c r="BZ13" i="125"/>
  <c r="BZ16" i="125"/>
  <c r="BZ28" i="125"/>
  <c r="BZ18" i="125"/>
  <c r="BZ8" i="125"/>
  <c r="BZ33" i="125"/>
  <c r="BZ32" i="125"/>
  <c r="BZ35" i="125"/>
  <c r="BZ38" i="125"/>
  <c r="BZ22" i="125"/>
  <c r="BZ7" i="125"/>
  <c r="BZ6" i="125"/>
  <c r="BZ9" i="125"/>
  <c r="BZ12" i="125"/>
  <c r="BZ41" i="125"/>
  <c r="BZ31" i="125"/>
  <c r="BZ19" i="125"/>
  <c r="BZ5" i="125"/>
  <c r="BZ29" i="12"/>
  <c r="BZ28" i="12"/>
  <c r="BZ23" i="12"/>
  <c r="BZ32" i="12"/>
  <c r="BZ31" i="12"/>
  <c r="BZ21" i="12"/>
  <c r="BZ35" i="12"/>
  <c r="BZ30" i="12"/>
  <c r="BZ36" i="12"/>
  <c r="BZ24" i="12"/>
  <c r="BZ40" i="12"/>
  <c r="BZ34" i="12"/>
  <c r="BZ38" i="12"/>
  <c r="BZ22" i="12"/>
  <c r="BZ33" i="12"/>
  <c r="BZ39" i="12"/>
  <c r="BZ41" i="12"/>
  <c r="BZ20" i="12"/>
  <c r="BZ25" i="12"/>
  <c r="BZ19" i="12"/>
  <c r="BZ18" i="12"/>
  <c r="BZ37" i="12"/>
  <c r="BZ26" i="12"/>
  <c r="BZ27" i="12"/>
  <c r="AN169" i="8"/>
  <c r="AN165" i="8"/>
  <c r="AN161" i="8"/>
  <c r="AN157" i="8"/>
  <c r="AN153" i="8"/>
  <c r="AU168" i="8"/>
  <c r="AU164" i="8"/>
  <c r="AU160" i="8"/>
  <c r="AU156" i="8"/>
  <c r="AQ169" i="8"/>
  <c r="AQ165" i="8"/>
  <c r="AQ161" i="8"/>
  <c r="AQ157" i="8"/>
  <c r="AQ153" i="8"/>
  <c r="BY34" i="125"/>
  <c r="BY37" i="125"/>
  <c r="BY21" i="125"/>
  <c r="BY24" i="125"/>
  <c r="BY27" i="125"/>
  <c r="BY12" i="125"/>
  <c r="BY11" i="125"/>
  <c r="BY10" i="125"/>
  <c r="BY9" i="125"/>
  <c r="BY41" i="125"/>
  <c r="BY30" i="125"/>
  <c r="BY33" i="125"/>
  <c r="BY36" i="125"/>
  <c r="BY39" i="125"/>
  <c r="BY23" i="125"/>
  <c r="BY8" i="125"/>
  <c r="BY7" i="125"/>
  <c r="BY6" i="125"/>
  <c r="BY5" i="125"/>
  <c r="BY40" i="125"/>
  <c r="BY26" i="125"/>
  <c r="BY29" i="125"/>
  <c r="BY32" i="125"/>
  <c r="BY35" i="125"/>
  <c r="BY20" i="125"/>
  <c r="BY19" i="125"/>
  <c r="BY18" i="125"/>
  <c r="BY17" i="125"/>
  <c r="BY38" i="125"/>
  <c r="BY22" i="125"/>
  <c r="BY25" i="125"/>
  <c r="BY28" i="125"/>
  <c r="BY31" i="125"/>
  <c r="BY16" i="125"/>
  <c r="BY15" i="125"/>
  <c r="BY14" i="125"/>
  <c r="BY13" i="125"/>
  <c r="BY21" i="12"/>
  <c r="BY36" i="12"/>
  <c r="BY26" i="12"/>
  <c r="BY23" i="12"/>
  <c r="BY22" i="12"/>
  <c r="BY29" i="12"/>
  <c r="BY37" i="12"/>
  <c r="BY38" i="12"/>
  <c r="BY32" i="12"/>
  <c r="BY30" i="12"/>
  <c r="BY40" i="12"/>
  <c r="BY34" i="12"/>
  <c r="BY41" i="12"/>
  <c r="BY39" i="12"/>
  <c r="BY20" i="12"/>
  <c r="BY35" i="12"/>
  <c r="BY33" i="12"/>
  <c r="BY28" i="12"/>
  <c r="BY31" i="12"/>
  <c r="BY24" i="12"/>
  <c r="BY27" i="12"/>
  <c r="BY19" i="12"/>
  <c r="BY18" i="12"/>
  <c r="BY25" i="12"/>
  <c r="CW41" i="125"/>
  <c r="CW29" i="125"/>
  <c r="CW32" i="125"/>
  <c r="CW39" i="125"/>
  <c r="CW23" i="125"/>
  <c r="CW26" i="125"/>
  <c r="CW11" i="125"/>
  <c r="CW10" i="125"/>
  <c r="CW9" i="125"/>
  <c r="CW8" i="125"/>
  <c r="CW40" i="125"/>
  <c r="CW25" i="125"/>
  <c r="CW28" i="125"/>
  <c r="CW35" i="125"/>
  <c r="CW38" i="125"/>
  <c r="CW22" i="125"/>
  <c r="CW7" i="125"/>
  <c r="CW6" i="125"/>
  <c r="CW5" i="125"/>
  <c r="CW37" i="125"/>
  <c r="CW21" i="125"/>
  <c r="CW24" i="125"/>
  <c r="CW31" i="125"/>
  <c r="CW34" i="125"/>
  <c r="CW19" i="125"/>
  <c r="CW18" i="125"/>
  <c r="CW17" i="125"/>
  <c r="CW16" i="125"/>
  <c r="CW33" i="125"/>
  <c r="CW36" i="125"/>
  <c r="CW20" i="125"/>
  <c r="CW27" i="125"/>
  <c r="CW30" i="125"/>
  <c r="CW15" i="125"/>
  <c r="CW14" i="125"/>
  <c r="CW13" i="125"/>
  <c r="CW12" i="125"/>
  <c r="BX4" i="25"/>
  <c r="BX3" i="25"/>
  <c r="BX2" i="25"/>
  <c r="DA25" i="127"/>
  <c r="AS166" i="8"/>
  <c r="AS162" i="8"/>
  <c r="AS158" i="8"/>
  <c r="CV41" i="125"/>
  <c r="CV40" i="125"/>
  <c r="CV38" i="125"/>
  <c r="CV34" i="125"/>
  <c r="CV30" i="125"/>
  <c r="CV26" i="125"/>
  <c r="CV22" i="125"/>
  <c r="CV37" i="125"/>
  <c r="CV33" i="125"/>
  <c r="CV29" i="125"/>
  <c r="CV25" i="125"/>
  <c r="CV21" i="125"/>
  <c r="CV36" i="125"/>
  <c r="CV32" i="125"/>
  <c r="CV28" i="125"/>
  <c r="CV24" i="125"/>
  <c r="CV39" i="125"/>
  <c r="CV35" i="125"/>
  <c r="CV31" i="125"/>
  <c r="CV27" i="125"/>
  <c r="CV23" i="125"/>
  <c r="CV20" i="125"/>
  <c r="CV16" i="125"/>
  <c r="CV12" i="125"/>
  <c r="CV8" i="125"/>
  <c r="CV19" i="125"/>
  <c r="CV15" i="125"/>
  <c r="CV11" i="125"/>
  <c r="CV7" i="125"/>
  <c r="CV18" i="125"/>
  <c r="CV14" i="125"/>
  <c r="CV10" i="125"/>
  <c r="CV6" i="125"/>
  <c r="CV17" i="125"/>
  <c r="CV13" i="125"/>
  <c r="CV9" i="125"/>
  <c r="CV5" i="125"/>
  <c r="DA16" i="127"/>
  <c r="AN166" i="8"/>
  <c r="AN162" i="8"/>
  <c r="AN158" i="8"/>
  <c r="AN154" i="8"/>
  <c r="CG21" i="12"/>
  <c r="CG27" i="12"/>
  <c r="CG18" i="12"/>
  <c r="CG30" i="12"/>
  <c r="CG28" i="12"/>
  <c r="CG19" i="12"/>
  <c r="CG29" i="12"/>
  <c r="CG34" i="12"/>
  <c r="CG22" i="12"/>
  <c r="CG24" i="12"/>
  <c r="CG31" i="12"/>
  <c r="CG32" i="12"/>
  <c r="CG26" i="12"/>
  <c r="CG25" i="12"/>
  <c r="CG39" i="12"/>
  <c r="CG33" i="12"/>
  <c r="CG20" i="12"/>
  <c r="CG36" i="12"/>
  <c r="CG38" i="12"/>
  <c r="CG37" i="12"/>
  <c r="CG35" i="12"/>
  <c r="CG41" i="12"/>
  <c r="CG40" i="12"/>
  <c r="CG23" i="12"/>
  <c r="CG13" i="12"/>
  <c r="CG16" i="12"/>
  <c r="CG17" i="12"/>
  <c r="CG15" i="12"/>
  <c r="CG14" i="12"/>
  <c r="CC41" i="125"/>
  <c r="CC40" i="125"/>
  <c r="CC38" i="125"/>
  <c r="CC34" i="125"/>
  <c r="CC30" i="125"/>
  <c r="CC26" i="125"/>
  <c r="CC22" i="125"/>
  <c r="CC37" i="125"/>
  <c r="CC33" i="125"/>
  <c r="CC29" i="125"/>
  <c r="CC25" i="125"/>
  <c r="CC21" i="125"/>
  <c r="CC36" i="125"/>
  <c r="CC32" i="125"/>
  <c r="CC28" i="125"/>
  <c r="CC24" i="125"/>
  <c r="CC39" i="125"/>
  <c r="CC35" i="125"/>
  <c r="CC31" i="125"/>
  <c r="CC27" i="125"/>
  <c r="CC23" i="125"/>
  <c r="CC20" i="125"/>
  <c r="CC16" i="125"/>
  <c r="CC12" i="125"/>
  <c r="CC8" i="125"/>
  <c r="CC19" i="125"/>
  <c r="CC15" i="125"/>
  <c r="CC11" i="125"/>
  <c r="CC7" i="125"/>
  <c r="CC18" i="125"/>
  <c r="CC14" i="125"/>
  <c r="CC10" i="125"/>
  <c r="CC6" i="125"/>
  <c r="CC17" i="125"/>
  <c r="CC13" i="125"/>
  <c r="CC9" i="125"/>
  <c r="CC5" i="125"/>
  <c r="AU169" i="8"/>
  <c r="AU165" i="8"/>
  <c r="AU161" i="8"/>
  <c r="AU157" i="8"/>
  <c r="AU153" i="8"/>
  <c r="AU145" i="8"/>
  <c r="AU146" i="8"/>
  <c r="AU147" i="8"/>
  <c r="AU148" i="8"/>
  <c r="AU149" i="8"/>
  <c r="AU150" i="8"/>
  <c r="AU151" i="8"/>
  <c r="AU152" i="8"/>
  <c r="AQ166" i="8"/>
  <c r="AQ162" i="8"/>
  <c r="AQ158" i="8"/>
  <c r="AQ154" i="8"/>
  <c r="C166" i="8"/>
  <c r="C162" i="8"/>
  <c r="C158" i="8"/>
  <c r="C154" i="8"/>
  <c r="CP29" i="127"/>
  <c r="AO166" i="8"/>
  <c r="AO162" i="8"/>
  <c r="AO158" i="8"/>
  <c r="AO154" i="8"/>
  <c r="CS41" i="125"/>
  <c r="CS40" i="125"/>
  <c r="CS37" i="125"/>
  <c r="CS33" i="125"/>
  <c r="CS29" i="125"/>
  <c r="CS25" i="125"/>
  <c r="CS21" i="125"/>
  <c r="CS36" i="125"/>
  <c r="CS32" i="125"/>
  <c r="CS28" i="125"/>
  <c r="CS24" i="125"/>
  <c r="CS39" i="125"/>
  <c r="CS35" i="125"/>
  <c r="CS31" i="125"/>
  <c r="CS27" i="125"/>
  <c r="CS23" i="125"/>
  <c r="CS38" i="125"/>
  <c r="CS34" i="125"/>
  <c r="CS30" i="125"/>
  <c r="CS26" i="125"/>
  <c r="CS22" i="125"/>
  <c r="CS19" i="125"/>
  <c r="CS15" i="125"/>
  <c r="CS11" i="125"/>
  <c r="CS7" i="125"/>
  <c r="CS18" i="125"/>
  <c r="CS14" i="125"/>
  <c r="CS10" i="125"/>
  <c r="CS6" i="125"/>
  <c r="CS17" i="125"/>
  <c r="CS13" i="125"/>
  <c r="CS9" i="125"/>
  <c r="CS5" i="125"/>
  <c r="CS20" i="125"/>
  <c r="CS16" i="125"/>
  <c r="CS12" i="125"/>
  <c r="CS8" i="125"/>
  <c r="CH41" i="125"/>
  <c r="CH40" i="125"/>
  <c r="CH38" i="125"/>
  <c r="CH34" i="125"/>
  <c r="CH30" i="125"/>
  <c r="CH26" i="125"/>
  <c r="CH22" i="125"/>
  <c r="CH37" i="125"/>
  <c r="CH33" i="125"/>
  <c r="CH29" i="125"/>
  <c r="CH25" i="125"/>
  <c r="CH21" i="125"/>
  <c r="CH36" i="125"/>
  <c r="CH32" i="125"/>
  <c r="CH28" i="125"/>
  <c r="CH24" i="125"/>
  <c r="CH39" i="125"/>
  <c r="CH35" i="125"/>
  <c r="CH31" i="125"/>
  <c r="CH27" i="125"/>
  <c r="CH23" i="125"/>
  <c r="CH20" i="125"/>
  <c r="CH16" i="125"/>
  <c r="CH12" i="125"/>
  <c r="CH8" i="125"/>
  <c r="CH19" i="125"/>
  <c r="CH15" i="125"/>
  <c r="CH11" i="125"/>
  <c r="CH7" i="125"/>
  <c r="CH18" i="125"/>
  <c r="CH14" i="125"/>
  <c r="CH10" i="125"/>
  <c r="CH6" i="125"/>
  <c r="CH17" i="125"/>
  <c r="CH13" i="125"/>
  <c r="CH9" i="125"/>
  <c r="CH5" i="125"/>
  <c r="DA36" i="127"/>
  <c r="AS146" i="8"/>
  <c r="AS145" i="8"/>
  <c r="AS147" i="8"/>
  <c r="AS148" i="8"/>
  <c r="AS149" i="8"/>
  <c r="AS150" i="8"/>
  <c r="AS151" i="8"/>
  <c r="AS152" i="8"/>
  <c r="AS154" i="8"/>
  <c r="AS153" i="8"/>
  <c r="CZ41" i="125"/>
  <c r="CZ40" i="125"/>
  <c r="CZ38" i="125"/>
  <c r="CZ34" i="125"/>
  <c r="CZ30" i="125"/>
  <c r="CZ26" i="125"/>
  <c r="CZ22" i="125"/>
  <c r="CZ37" i="125"/>
  <c r="CZ33" i="125"/>
  <c r="CZ29" i="125"/>
  <c r="CZ25" i="125"/>
  <c r="CZ21" i="125"/>
  <c r="CZ36" i="125"/>
  <c r="CZ32" i="125"/>
  <c r="CZ28" i="125"/>
  <c r="CZ24" i="125"/>
  <c r="CZ39" i="125"/>
  <c r="CZ35" i="125"/>
  <c r="CZ31" i="125"/>
  <c r="CZ27" i="125"/>
  <c r="CZ23" i="125"/>
  <c r="CZ16" i="125"/>
  <c r="CZ12" i="125"/>
  <c r="CZ8" i="125"/>
  <c r="CZ19" i="125"/>
  <c r="CZ15" i="125"/>
  <c r="CZ11" i="125"/>
  <c r="CZ7" i="125"/>
  <c r="CZ20" i="125"/>
  <c r="CZ18" i="125"/>
  <c r="CZ14" i="125"/>
  <c r="CZ10" i="125"/>
  <c r="CZ6" i="125"/>
  <c r="CZ17" i="125"/>
  <c r="CZ13" i="125"/>
  <c r="CZ9" i="125"/>
  <c r="CZ5" i="125"/>
  <c r="CB32" i="12"/>
  <c r="CB19" i="12"/>
  <c r="CB21" i="12"/>
  <c r="CB38" i="12"/>
  <c r="CB26" i="12"/>
  <c r="CB27" i="12"/>
  <c r="CB37" i="12"/>
  <c r="CB22" i="12"/>
  <c r="CB23" i="12"/>
  <c r="CB31" i="12"/>
  <c r="CB34" i="12"/>
  <c r="CB29" i="12"/>
  <c r="CB33" i="12"/>
  <c r="CB30" i="12"/>
  <c r="CB28" i="12"/>
  <c r="CB41" i="12"/>
  <c r="CB36" i="12"/>
  <c r="CB39" i="12"/>
  <c r="CB25" i="12"/>
  <c r="CB20" i="12"/>
  <c r="CB18" i="12"/>
  <c r="CB40" i="12"/>
  <c r="CB24" i="12"/>
  <c r="CB35" i="12"/>
  <c r="DA28" i="127"/>
  <c r="AN145" i="8"/>
  <c r="AN147" i="8"/>
  <c r="AN146" i="8"/>
  <c r="AN148" i="8"/>
  <c r="AN149" i="8"/>
  <c r="AN150" i="8"/>
  <c r="AN151" i="8"/>
  <c r="DA24" i="127"/>
  <c r="DA18" i="127"/>
  <c r="AQ145" i="8"/>
  <c r="AQ147" i="8"/>
  <c r="AQ146" i="8"/>
  <c r="AQ148" i="8"/>
  <c r="AQ149" i="8"/>
  <c r="AQ150" i="8"/>
  <c r="AQ152" i="8"/>
  <c r="AQ151" i="8"/>
  <c r="CD33" i="12"/>
  <c r="CD26" i="12"/>
  <c r="CD29" i="12"/>
  <c r="CD19" i="12"/>
  <c r="CD25" i="12"/>
  <c r="CD31" i="12"/>
  <c r="CD37" i="12"/>
  <c r="CD21" i="12"/>
  <c r="CD40" i="12"/>
  <c r="CD39" i="12"/>
  <c r="CD35" i="12"/>
  <c r="CD41" i="12"/>
  <c r="CD27" i="12"/>
  <c r="CD22" i="12"/>
  <c r="CD28" i="12"/>
  <c r="CD32" i="12"/>
  <c r="CD18" i="12"/>
  <c r="CD34" i="12"/>
  <c r="CD36" i="12"/>
  <c r="CD30" i="12"/>
  <c r="CD24" i="12"/>
  <c r="CD23" i="12"/>
  <c r="CD20" i="12"/>
  <c r="CD38" i="12"/>
  <c r="C145" i="8"/>
  <c r="C147" i="8"/>
  <c r="C146" i="8"/>
  <c r="C148" i="8"/>
  <c r="C150" i="8"/>
  <c r="C151" i="8"/>
  <c r="C152" i="8"/>
  <c r="CD41" i="125"/>
  <c r="CD40" i="125"/>
  <c r="CD37" i="125"/>
  <c r="CD33" i="125"/>
  <c r="CD29" i="125"/>
  <c r="CD25" i="125"/>
  <c r="CD36" i="125"/>
  <c r="CD32" i="125"/>
  <c r="CD28" i="125"/>
  <c r="CD24" i="125"/>
  <c r="CD39" i="125"/>
  <c r="CD35" i="125"/>
  <c r="CD31" i="125"/>
  <c r="CD27" i="125"/>
  <c r="CD23" i="125"/>
  <c r="CD38" i="125"/>
  <c r="CD34" i="125"/>
  <c r="CD30" i="125"/>
  <c r="CD26" i="125"/>
  <c r="CD22" i="125"/>
  <c r="CD21" i="125"/>
  <c r="CD19" i="125"/>
  <c r="CD15" i="125"/>
  <c r="CD11" i="125"/>
  <c r="CD7" i="125"/>
  <c r="CD18" i="125"/>
  <c r="CD14" i="125"/>
  <c r="CD10" i="125"/>
  <c r="CD6" i="125"/>
  <c r="CD17" i="125"/>
  <c r="CD13" i="125"/>
  <c r="CD9" i="125"/>
  <c r="CD5" i="125"/>
  <c r="CD20" i="125"/>
  <c r="CD16" i="125"/>
  <c r="CD12" i="125"/>
  <c r="CD8" i="125"/>
  <c r="DA40" i="127"/>
  <c r="DA31" i="127"/>
  <c r="DA8" i="127"/>
  <c r="AO145" i="8"/>
  <c r="CW27" i="12" s="1"/>
  <c r="AO146" i="8"/>
  <c r="AO147" i="8"/>
  <c r="AO148" i="8"/>
  <c r="AO149" i="8"/>
  <c r="AO150" i="8"/>
  <c r="DA20" i="127"/>
  <c r="AS168" i="8"/>
  <c r="AS164" i="8"/>
  <c r="AS160" i="8"/>
  <c r="AS156" i="8"/>
  <c r="CA40" i="12"/>
  <c r="CA34" i="12"/>
  <c r="CA28" i="12"/>
  <c r="CA29" i="12"/>
  <c r="CA25" i="12"/>
  <c r="CA31" i="12"/>
  <c r="CA24" i="12"/>
  <c r="CA23" i="12"/>
  <c r="CA19" i="12"/>
  <c r="CA32" i="12"/>
  <c r="CA36" i="12"/>
  <c r="CA41" i="12"/>
  <c r="CA33" i="12"/>
  <c r="CA39" i="12"/>
  <c r="CA37" i="12"/>
  <c r="CA18" i="12"/>
  <c r="CA35" i="12"/>
  <c r="CA30" i="12"/>
  <c r="CA38" i="12"/>
  <c r="CA21" i="12"/>
  <c r="CA20" i="12"/>
  <c r="CA27" i="12"/>
  <c r="CA26" i="12"/>
  <c r="CA22" i="12"/>
  <c r="DA30" i="127"/>
  <c r="AN168" i="8"/>
  <c r="AN164" i="8"/>
  <c r="AN160" i="8"/>
  <c r="AN156" i="8"/>
  <c r="AN152" i="8"/>
  <c r="CE20" i="12"/>
  <c r="CE23" i="12"/>
  <c r="CE22" i="12"/>
  <c r="CE19" i="12"/>
  <c r="CE25" i="12"/>
  <c r="CE31" i="12"/>
  <c r="CE32" i="12"/>
  <c r="CE38" i="12"/>
  <c r="CE33" i="12"/>
  <c r="CE35" i="12"/>
  <c r="CE40" i="12"/>
  <c r="CE30" i="12"/>
  <c r="CE27" i="12"/>
  <c r="CE18" i="12"/>
  <c r="CE24" i="12"/>
  <c r="CE29" i="12"/>
  <c r="CE26" i="12"/>
  <c r="CE41" i="12"/>
  <c r="CE37" i="12"/>
  <c r="CE39" i="12"/>
  <c r="CE28" i="12"/>
  <c r="CE36" i="12"/>
  <c r="CE21" i="12"/>
  <c r="CE34" i="12"/>
  <c r="CY41" i="125"/>
  <c r="CY40" i="125"/>
  <c r="CY39" i="125"/>
  <c r="CY35" i="125"/>
  <c r="CY31" i="125"/>
  <c r="CY27" i="125"/>
  <c r="CY23" i="125"/>
  <c r="CY38" i="125"/>
  <c r="CY34" i="125"/>
  <c r="CY30" i="125"/>
  <c r="CY26" i="125"/>
  <c r="CY22" i="125"/>
  <c r="CY37" i="125"/>
  <c r="CY33" i="125"/>
  <c r="CY29" i="125"/>
  <c r="CY25" i="125"/>
  <c r="CY21" i="125"/>
  <c r="CY36" i="125"/>
  <c r="CY32" i="125"/>
  <c r="CY28" i="125"/>
  <c r="CY24" i="125"/>
  <c r="CY20" i="125"/>
  <c r="CY17" i="125"/>
  <c r="CY13" i="125"/>
  <c r="CY9" i="125"/>
  <c r="CY5" i="125"/>
  <c r="CY16" i="125"/>
  <c r="CY12" i="125"/>
  <c r="CY8" i="125"/>
  <c r="CY19" i="125"/>
  <c r="CY15" i="125"/>
  <c r="CY11" i="125"/>
  <c r="CY7" i="125"/>
  <c r="CY18" i="125"/>
  <c r="CY14" i="125"/>
  <c r="CY10" i="125"/>
  <c r="CY6" i="125"/>
  <c r="AU167" i="8"/>
  <c r="AU163" i="8"/>
  <c r="AU159" i="8"/>
  <c r="AU155" i="8"/>
  <c r="AQ168" i="8"/>
  <c r="AQ164" i="8"/>
  <c r="AQ160" i="8"/>
  <c r="AQ156" i="8"/>
  <c r="C168" i="8"/>
  <c r="C164" i="8"/>
  <c r="C160" i="8"/>
  <c r="C156" i="8"/>
  <c r="DA33" i="127"/>
  <c r="DA6" i="127"/>
  <c r="CA40" i="125"/>
  <c r="CA41" i="125"/>
  <c r="CA36" i="125"/>
  <c r="CA32" i="125"/>
  <c r="CA28" i="125"/>
  <c r="CA24" i="125"/>
  <c r="CA39" i="125"/>
  <c r="CA35" i="125"/>
  <c r="CA31" i="125"/>
  <c r="CA27" i="125"/>
  <c r="CA23" i="125"/>
  <c r="CA38" i="125"/>
  <c r="CA34" i="125"/>
  <c r="CA30" i="125"/>
  <c r="CA26" i="125"/>
  <c r="CA22" i="125"/>
  <c r="CA37" i="125"/>
  <c r="CA33" i="125"/>
  <c r="CA29" i="125"/>
  <c r="CA25" i="125"/>
  <c r="CA21" i="125"/>
  <c r="CA18" i="125"/>
  <c r="CA14" i="125"/>
  <c r="CA10" i="125"/>
  <c r="CA6" i="125"/>
  <c r="CA17" i="125"/>
  <c r="CA13" i="125"/>
  <c r="CA9" i="125"/>
  <c r="CA5" i="125"/>
  <c r="CA20" i="125"/>
  <c r="CA16" i="125"/>
  <c r="CA12" i="125"/>
  <c r="CA8" i="125"/>
  <c r="CA19" i="125"/>
  <c r="CA15" i="125"/>
  <c r="CA11" i="125"/>
  <c r="CA7" i="125"/>
  <c r="AO168" i="8"/>
  <c r="AO164" i="8"/>
  <c r="AO160" i="8"/>
  <c r="AO156" i="8"/>
  <c r="AO152" i="8"/>
  <c r="CY39" i="12"/>
  <c r="CY36" i="12"/>
  <c r="CY27" i="12"/>
  <c r="CY41" i="12"/>
  <c r="CY22" i="12"/>
  <c r="CY34" i="12"/>
  <c r="CY20" i="12"/>
  <c r="CY28" i="12"/>
  <c r="CY30" i="12"/>
  <c r="CY40" i="12"/>
  <c r="CY38" i="12"/>
  <c r="CY37" i="12"/>
  <c r="CY21" i="12"/>
  <c r="CY26" i="12"/>
  <c r="CY29" i="12"/>
  <c r="CY35" i="12"/>
  <c r="CY18" i="12"/>
  <c r="CY19" i="12"/>
  <c r="CY31" i="12"/>
  <c r="CY24" i="12"/>
  <c r="CY25" i="12"/>
  <c r="CY23" i="12"/>
  <c r="CY32" i="12"/>
  <c r="CY33" i="12"/>
  <c r="CY13" i="12"/>
  <c r="CY16" i="12"/>
  <c r="CY15" i="12"/>
  <c r="CY17" i="12"/>
  <c r="CY14" i="12"/>
  <c r="DA32" i="127"/>
  <c r="CB41" i="125"/>
  <c r="CB40" i="125"/>
  <c r="CB39" i="125"/>
  <c r="CB35" i="125"/>
  <c r="CB31" i="125"/>
  <c r="CB27" i="125"/>
  <c r="CB23" i="125"/>
  <c r="CB38" i="125"/>
  <c r="CB34" i="125"/>
  <c r="CB30" i="125"/>
  <c r="CB26" i="125"/>
  <c r="CB22" i="125"/>
  <c r="CB37" i="125"/>
  <c r="CB33" i="125"/>
  <c r="CB29" i="125"/>
  <c r="CB25" i="125"/>
  <c r="CB36" i="125"/>
  <c r="CB32" i="125"/>
  <c r="CB28" i="125"/>
  <c r="CB24" i="125"/>
  <c r="CB17" i="125"/>
  <c r="CB13" i="125"/>
  <c r="CB9" i="125"/>
  <c r="CB5" i="125"/>
  <c r="CB21" i="125"/>
  <c r="CB20" i="125"/>
  <c r="CB16" i="125"/>
  <c r="CB12" i="125"/>
  <c r="CB8" i="125"/>
  <c r="CB19" i="125"/>
  <c r="CB15" i="125"/>
  <c r="CB11" i="125"/>
  <c r="CB7" i="125"/>
  <c r="CB18" i="125"/>
  <c r="CB14" i="125"/>
  <c r="CB10" i="125"/>
  <c r="CB6" i="125"/>
  <c r="AS167" i="8"/>
  <c r="AS163" i="8"/>
  <c r="AS159" i="8"/>
  <c r="AS155" i="8"/>
  <c r="DA23" i="127"/>
  <c r="CP5" i="127"/>
  <c r="CG41" i="125"/>
  <c r="CG40" i="125"/>
  <c r="CO40" i="125" s="1"/>
  <c r="CG39" i="125"/>
  <c r="CG35" i="125"/>
  <c r="CO35" i="125" s="1"/>
  <c r="CG31" i="125"/>
  <c r="CO31" i="125" s="1"/>
  <c r="CG27" i="125"/>
  <c r="CO27" i="125" s="1"/>
  <c r="CG23" i="125"/>
  <c r="CG38" i="125"/>
  <c r="CO38" i="125" s="1"/>
  <c r="CG34" i="125"/>
  <c r="CG30" i="125"/>
  <c r="CG26" i="125"/>
  <c r="CO26" i="125" s="1"/>
  <c r="CG22" i="125"/>
  <c r="CO22" i="125" s="1"/>
  <c r="CG37" i="125"/>
  <c r="CG33" i="125"/>
  <c r="CG29" i="125"/>
  <c r="CG25" i="125"/>
  <c r="CO25" i="125" s="1"/>
  <c r="CG36" i="125"/>
  <c r="CG32" i="125"/>
  <c r="CO32" i="125" s="1"/>
  <c r="CG28" i="125"/>
  <c r="CO28" i="125" s="1"/>
  <c r="CG24" i="125"/>
  <c r="CG17" i="125"/>
  <c r="CO17" i="125" s="1"/>
  <c r="CG13" i="125"/>
  <c r="CO13" i="125" s="1"/>
  <c r="CG9" i="125"/>
  <c r="CG5" i="125"/>
  <c r="CG20" i="125"/>
  <c r="CO20" i="125" s="1"/>
  <c r="CG16" i="125"/>
  <c r="CO16" i="125" s="1"/>
  <c r="CG12" i="125"/>
  <c r="CG8" i="125"/>
  <c r="CG19" i="125"/>
  <c r="CO19" i="125" s="1"/>
  <c r="CG15" i="125"/>
  <c r="CO15" i="125" s="1"/>
  <c r="CG11" i="125"/>
  <c r="CG7" i="125"/>
  <c r="CG21" i="125"/>
  <c r="CG18" i="125"/>
  <c r="CO18" i="125" s="1"/>
  <c r="CG14" i="125"/>
  <c r="CO14" i="125" s="1"/>
  <c r="CG10" i="125"/>
  <c r="CG6" i="125"/>
  <c r="AN167" i="8"/>
  <c r="AN163" i="8"/>
  <c r="AN159" i="8"/>
  <c r="AN155" i="8"/>
  <c r="CC20" i="12"/>
  <c r="CC35" i="12"/>
  <c r="CC37" i="12"/>
  <c r="CC39" i="12"/>
  <c r="CC31" i="12"/>
  <c r="CC40" i="12"/>
  <c r="CC36" i="12"/>
  <c r="CC38" i="12"/>
  <c r="CC27" i="12"/>
  <c r="CC21" i="12"/>
  <c r="CC30" i="12"/>
  <c r="CC33" i="12"/>
  <c r="CC29" i="12"/>
  <c r="CC22" i="12"/>
  <c r="CC41" i="12"/>
  <c r="CC34" i="12"/>
  <c r="CC25" i="12"/>
  <c r="CC19" i="12"/>
  <c r="CC18" i="12"/>
  <c r="CC24" i="12"/>
  <c r="CC32" i="12"/>
  <c r="CC23" i="12"/>
  <c r="CC28" i="12"/>
  <c r="CC26" i="12"/>
  <c r="DA37" i="127"/>
  <c r="AU166" i="8"/>
  <c r="AU162" i="8"/>
  <c r="AU158" i="8"/>
  <c r="AU154" i="8"/>
  <c r="AQ167" i="8"/>
  <c r="AQ163" i="8"/>
  <c r="AQ159" i="8"/>
  <c r="CH24" i="12"/>
  <c r="CH18" i="12"/>
  <c r="CH36" i="12"/>
  <c r="CH35" i="12"/>
  <c r="CH29" i="12"/>
  <c r="CH30" i="12"/>
  <c r="CH38" i="12"/>
  <c r="CH19" i="12"/>
  <c r="CH20" i="12"/>
  <c r="CH34" i="12"/>
  <c r="CH37" i="12"/>
  <c r="CH23" i="12"/>
  <c r="CH39" i="12"/>
  <c r="CH26" i="12"/>
  <c r="CH40" i="12"/>
  <c r="CH28" i="12"/>
  <c r="CH32" i="12"/>
  <c r="CH22" i="12"/>
  <c r="CH41" i="12"/>
  <c r="CH27" i="12"/>
  <c r="CH33" i="12"/>
  <c r="CH25" i="12"/>
  <c r="CH21" i="12"/>
  <c r="CH31" i="12"/>
  <c r="CH15" i="12"/>
  <c r="CH14" i="12"/>
  <c r="CH13" i="12"/>
  <c r="CH16" i="12"/>
  <c r="CH17" i="12"/>
  <c r="CT40" i="125"/>
  <c r="CT41" i="125"/>
  <c r="CT36" i="125"/>
  <c r="CT32" i="125"/>
  <c r="CT28" i="125"/>
  <c r="CT24" i="125"/>
  <c r="CT39" i="125"/>
  <c r="CT35" i="125"/>
  <c r="CT31" i="125"/>
  <c r="CT27" i="125"/>
  <c r="CT23" i="125"/>
  <c r="CT38" i="125"/>
  <c r="CT34" i="125"/>
  <c r="CT30" i="125"/>
  <c r="CT26" i="125"/>
  <c r="CT22" i="125"/>
  <c r="CT37" i="125"/>
  <c r="CT33" i="125"/>
  <c r="CT29" i="125"/>
  <c r="CT25" i="125"/>
  <c r="CT21" i="125"/>
  <c r="CT18" i="125"/>
  <c r="CT14" i="125"/>
  <c r="CT10" i="125"/>
  <c r="CT6" i="125"/>
  <c r="CT17" i="125"/>
  <c r="CT13" i="125"/>
  <c r="CT9" i="125"/>
  <c r="CT5" i="125"/>
  <c r="CT20" i="125"/>
  <c r="CT16" i="125"/>
  <c r="CT12" i="125"/>
  <c r="CT8" i="125"/>
  <c r="CT19" i="125"/>
  <c r="CT15" i="125"/>
  <c r="CT11" i="125"/>
  <c r="CT7" i="125"/>
  <c r="CE40" i="125"/>
  <c r="CE41" i="125"/>
  <c r="CE36" i="125"/>
  <c r="CE32" i="125"/>
  <c r="CE28" i="125"/>
  <c r="CE24" i="125"/>
  <c r="CE39" i="125"/>
  <c r="CE35" i="125"/>
  <c r="CE31" i="125"/>
  <c r="CE27" i="125"/>
  <c r="CE23" i="125"/>
  <c r="CE38" i="125"/>
  <c r="CE34" i="125"/>
  <c r="CE30" i="125"/>
  <c r="CE26" i="125"/>
  <c r="CE22" i="125"/>
  <c r="CE37" i="125"/>
  <c r="CE33" i="125"/>
  <c r="CE29" i="125"/>
  <c r="CE25" i="125"/>
  <c r="CE21" i="125"/>
  <c r="CE18" i="125"/>
  <c r="CE14" i="125"/>
  <c r="CE10" i="125"/>
  <c r="CE6" i="125"/>
  <c r="CE17" i="125"/>
  <c r="CE13" i="125"/>
  <c r="CE9" i="125"/>
  <c r="CE5" i="125"/>
  <c r="CE20" i="125"/>
  <c r="CE16" i="125"/>
  <c r="CE12" i="125"/>
  <c r="CE8" i="125"/>
  <c r="CE19" i="125"/>
  <c r="CE15" i="125"/>
  <c r="CE11" i="125"/>
  <c r="CE7" i="125"/>
  <c r="CX40" i="125"/>
  <c r="CX41" i="125"/>
  <c r="CX36" i="125"/>
  <c r="CX32" i="125"/>
  <c r="CX28" i="125"/>
  <c r="CX24" i="125"/>
  <c r="CX39" i="125"/>
  <c r="CX35" i="125"/>
  <c r="CX31" i="125"/>
  <c r="CX27" i="125"/>
  <c r="CX23" i="125"/>
  <c r="CX38" i="125"/>
  <c r="CX34" i="125"/>
  <c r="CX30" i="125"/>
  <c r="CX26" i="125"/>
  <c r="CX22" i="125"/>
  <c r="CX37" i="125"/>
  <c r="CX33" i="125"/>
  <c r="CX29" i="125"/>
  <c r="CX25" i="125"/>
  <c r="CX21" i="125"/>
  <c r="CX18" i="125"/>
  <c r="CX14" i="125"/>
  <c r="CX10" i="125"/>
  <c r="CX6" i="125"/>
  <c r="CX17" i="125"/>
  <c r="CX13" i="125"/>
  <c r="CX9" i="125"/>
  <c r="CX5" i="125"/>
  <c r="CX16" i="125"/>
  <c r="CX12" i="125"/>
  <c r="CX8" i="125"/>
  <c r="CX20" i="125"/>
  <c r="CX19" i="125"/>
  <c r="CX15" i="125"/>
  <c r="CX11" i="125"/>
  <c r="CX7" i="125"/>
  <c r="C167" i="8"/>
  <c r="C163" i="8"/>
  <c r="C159" i="8"/>
  <c r="C155" i="8"/>
  <c r="DA17" i="127"/>
  <c r="BO13" i="12"/>
  <c r="DG13" i="12"/>
  <c r="DG15" i="12"/>
  <c r="DG14" i="12"/>
  <c r="DG16" i="12"/>
  <c r="DG17" i="12"/>
  <c r="BO16" i="12"/>
  <c r="CF16" i="12"/>
  <c r="CF17" i="12"/>
  <c r="CQ15" i="12"/>
  <c r="CQ16" i="12"/>
  <c r="CQ13" i="12"/>
  <c r="CQ17" i="12"/>
  <c r="CQ14" i="12"/>
  <c r="DH13" i="12"/>
  <c r="DH14" i="12"/>
  <c r="DH16" i="12"/>
  <c r="DH15" i="12"/>
  <c r="DH17" i="12"/>
  <c r="BO15" i="12"/>
  <c r="CF13" i="12"/>
  <c r="CV15" i="12"/>
  <c r="CV14" i="12"/>
  <c r="CV17" i="12"/>
  <c r="CV16" i="12"/>
  <c r="CV13" i="12"/>
  <c r="CX16" i="12"/>
  <c r="CX14" i="12"/>
  <c r="CX15" i="12"/>
  <c r="CX13" i="12"/>
  <c r="CX17" i="12"/>
  <c r="CR13" i="12"/>
  <c r="CR14" i="12"/>
  <c r="CR15" i="12"/>
  <c r="CR17" i="12"/>
  <c r="CR16" i="12"/>
  <c r="BO17" i="12"/>
  <c r="CF15" i="12"/>
  <c r="CT14" i="12"/>
  <c r="CT16" i="12"/>
  <c r="CT13" i="12"/>
  <c r="CT15" i="12"/>
  <c r="CT17" i="12"/>
  <c r="DF13" i="12"/>
  <c r="DF16" i="12"/>
  <c r="DF14" i="12"/>
  <c r="DF17" i="12"/>
  <c r="DF15" i="12"/>
  <c r="DI13" i="12"/>
  <c r="DI15" i="12"/>
  <c r="DI14" i="12"/>
  <c r="DI17" i="12"/>
  <c r="DI16" i="12"/>
  <c r="BO14" i="12"/>
  <c r="CF14" i="12"/>
  <c r="AU29" i="3"/>
  <c r="AU30" i="3"/>
  <c r="BQ7" i="25"/>
  <c r="CE7" i="25"/>
  <c r="CH7" i="25"/>
  <c r="BY7" i="25"/>
  <c r="CC7" i="25"/>
  <c r="CA7" i="25"/>
  <c r="CD7" i="25"/>
  <c r="BZ7" i="25"/>
  <c r="CB7" i="25"/>
  <c r="CA8" i="25"/>
  <c r="CB8" i="25"/>
  <c r="BZ6" i="25"/>
  <c r="CB6" i="25"/>
  <c r="CC8" i="25"/>
  <c r="CE6" i="25"/>
  <c r="BY2" i="25"/>
  <c r="BZ8" i="25"/>
  <c r="BQ8" i="25"/>
  <c r="CA6" i="25"/>
  <c r="CD6" i="25"/>
  <c r="CE8" i="25"/>
  <c r="CD8" i="25"/>
  <c r="BY4" i="25"/>
  <c r="BQ6" i="25"/>
  <c r="DJ37" i="125" l="1"/>
  <c r="CF4" i="25"/>
  <c r="CQ4" i="25"/>
  <c r="CQ2" i="25"/>
  <c r="CF2" i="25"/>
  <c r="CO29" i="125"/>
  <c r="DJ41" i="125"/>
  <c r="DJ20" i="125"/>
  <c r="DJ27" i="125"/>
  <c r="DJ35" i="125"/>
  <c r="DJ17" i="125"/>
  <c r="DJ23" i="125"/>
  <c r="DJ34" i="125"/>
  <c r="DJ11" i="125"/>
  <c r="DJ25" i="125"/>
  <c r="DJ14" i="125"/>
  <c r="DJ32" i="125"/>
  <c r="DJ39" i="125"/>
  <c r="DJ18" i="125"/>
  <c r="DJ36" i="125"/>
  <c r="DJ9" i="125"/>
  <c r="DJ6" i="125"/>
  <c r="DJ24" i="125"/>
  <c r="DJ12" i="125"/>
  <c r="DJ22" i="125"/>
  <c r="DJ15" i="125"/>
  <c r="DJ29" i="125"/>
  <c r="DJ7" i="125"/>
  <c r="DJ21" i="125"/>
  <c r="DJ13" i="125"/>
  <c r="DJ38" i="125"/>
  <c r="CO21" i="125"/>
  <c r="CO37" i="125"/>
  <c r="CO34" i="125"/>
  <c r="DJ19" i="125"/>
  <c r="DJ33" i="125"/>
  <c r="DJ31" i="125"/>
  <c r="DJ5" i="125"/>
  <c r="DJ16" i="125"/>
  <c r="DJ26" i="125"/>
  <c r="M66" i="8"/>
  <c r="M65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BQ38" i="127"/>
  <c r="BQ34" i="127"/>
  <c r="BQ30" i="127"/>
  <c r="BQ26" i="127"/>
  <c r="BQ22" i="127"/>
  <c r="BQ18" i="127"/>
  <c r="BQ14" i="127"/>
  <c r="BQ10" i="127"/>
  <c r="BQ6" i="127"/>
  <c r="BQ41" i="127"/>
  <c r="BQ37" i="127"/>
  <c r="BQ33" i="127"/>
  <c r="BQ29" i="127"/>
  <c r="BQ25" i="127"/>
  <c r="BQ21" i="127"/>
  <c r="BQ17" i="127"/>
  <c r="BQ13" i="127"/>
  <c r="BQ9" i="127"/>
  <c r="BQ5" i="127"/>
  <c r="BQ40" i="127"/>
  <c r="BQ36" i="127"/>
  <c r="BQ32" i="127"/>
  <c r="BQ28" i="127"/>
  <c r="BQ24" i="127"/>
  <c r="BQ20" i="127"/>
  <c r="BQ16" i="127"/>
  <c r="BQ12" i="127"/>
  <c r="BQ8" i="127"/>
  <c r="BQ39" i="127"/>
  <c r="BQ35" i="127"/>
  <c r="BQ31" i="127"/>
  <c r="BQ27" i="127"/>
  <c r="BQ23" i="127"/>
  <c r="BQ19" i="127"/>
  <c r="BQ15" i="127"/>
  <c r="BQ11" i="127"/>
  <c r="BQ7" i="127"/>
  <c r="T174" i="8"/>
  <c r="BA4" i="8"/>
  <c r="BA5" i="8" s="1"/>
  <c r="BA6" i="8" s="1"/>
  <c r="N6" i="8"/>
  <c r="N40" i="8"/>
  <c r="N44" i="8"/>
  <c r="N48" i="8"/>
  <c r="N52" i="8"/>
  <c r="N56" i="8"/>
  <c r="N60" i="8"/>
  <c r="N41" i="8"/>
  <c r="N45" i="8"/>
  <c r="N49" i="8"/>
  <c r="N53" i="8"/>
  <c r="N57" i="8"/>
  <c r="N61" i="8"/>
  <c r="N42" i="8"/>
  <c r="N46" i="8"/>
  <c r="N50" i="8"/>
  <c r="N54" i="8"/>
  <c r="N58" i="8"/>
  <c r="N62" i="8"/>
  <c r="N39" i="8"/>
  <c r="N43" i="8"/>
  <c r="N47" i="8"/>
  <c r="N51" i="8"/>
  <c r="N55" i="8"/>
  <c r="N59" i="8"/>
  <c r="N63" i="8"/>
  <c r="L151" i="8"/>
  <c r="L159" i="8"/>
  <c r="L167" i="8"/>
  <c r="L150" i="8"/>
  <c r="L158" i="8"/>
  <c r="L166" i="8"/>
  <c r="L157" i="8"/>
  <c r="L156" i="8"/>
  <c r="L145" i="8"/>
  <c r="L153" i="8"/>
  <c r="L161" i="8"/>
  <c r="L169" i="8"/>
  <c r="L152" i="8"/>
  <c r="L160" i="8"/>
  <c r="L168" i="8"/>
  <c r="L147" i="8"/>
  <c r="L155" i="8"/>
  <c r="L163" i="8"/>
  <c r="L146" i="8"/>
  <c r="L154" i="8"/>
  <c r="L162" i="8"/>
  <c r="L149" i="8"/>
  <c r="L165" i="8"/>
  <c r="L148" i="8"/>
  <c r="L164" i="8"/>
  <c r="M120" i="8"/>
  <c r="M119" i="8"/>
  <c r="M127" i="8"/>
  <c r="M135" i="8"/>
  <c r="M143" i="8"/>
  <c r="M121" i="8"/>
  <c r="M129" i="8"/>
  <c r="M137" i="8"/>
  <c r="M131" i="8"/>
  <c r="M133" i="8"/>
  <c r="M123" i="8"/>
  <c r="M139" i="8"/>
  <c r="M125" i="8"/>
  <c r="M141" i="8"/>
  <c r="M140" i="8"/>
  <c r="M132" i="8"/>
  <c r="M124" i="8"/>
  <c r="M138" i="8"/>
  <c r="M130" i="8"/>
  <c r="M122" i="8"/>
  <c r="M136" i="8"/>
  <c r="M128" i="8"/>
  <c r="M142" i="8"/>
  <c r="M134" i="8"/>
  <c r="M126" i="8"/>
  <c r="CO6" i="125"/>
  <c r="CO36" i="125"/>
  <c r="CO41" i="125"/>
  <c r="CO33" i="125"/>
  <c r="CO30" i="125"/>
  <c r="CO10" i="125"/>
  <c r="CO7" i="125"/>
  <c r="CO8" i="125"/>
  <c r="CO5" i="125"/>
  <c r="CO24" i="125"/>
  <c r="CO11" i="125"/>
  <c r="CO12" i="125"/>
  <c r="CO9" i="125"/>
  <c r="CO23" i="125"/>
  <c r="CO39" i="125"/>
  <c r="DG37" i="12"/>
  <c r="DG21" i="12"/>
  <c r="DG23" i="12"/>
  <c r="DG41" i="12"/>
  <c r="DG30" i="12"/>
  <c r="DG29" i="12"/>
  <c r="DG39" i="12"/>
  <c r="DG32" i="12"/>
  <c r="DG36" i="12"/>
  <c r="DG35" i="12"/>
  <c r="DG24" i="12"/>
  <c r="DG38" i="12"/>
  <c r="DG18" i="12"/>
  <c r="DG19" i="12"/>
  <c r="DG40" i="12"/>
  <c r="DG27" i="12"/>
  <c r="DG22" i="12"/>
  <c r="DG26" i="12"/>
  <c r="DG34" i="12"/>
  <c r="DG31" i="12"/>
  <c r="DG28" i="12"/>
  <c r="DG25" i="12"/>
  <c r="DG20" i="12"/>
  <c r="DG33" i="12"/>
  <c r="CW38" i="12"/>
  <c r="CW28" i="12"/>
  <c r="CW23" i="12"/>
  <c r="CW35" i="12"/>
  <c r="CW31" i="12"/>
  <c r="CW22" i="12"/>
  <c r="DF34" i="12"/>
  <c r="DJ34" i="12" s="1"/>
  <c r="DF32" i="12"/>
  <c r="DJ32" i="12" s="1"/>
  <c r="DF30" i="12"/>
  <c r="DF35" i="12"/>
  <c r="DJ35" i="12" s="1"/>
  <c r="DF40" i="12"/>
  <c r="DJ40" i="12" s="1"/>
  <c r="DF18" i="12"/>
  <c r="DF26" i="12"/>
  <c r="DF24" i="12"/>
  <c r="DJ24" i="12" s="1"/>
  <c r="DF20" i="12"/>
  <c r="DJ20" i="12" s="1"/>
  <c r="DF38" i="12"/>
  <c r="DJ38" i="12" s="1"/>
  <c r="DF23" i="12"/>
  <c r="DJ23" i="12" s="1"/>
  <c r="DF27" i="12"/>
  <c r="DJ27" i="12" s="1"/>
  <c r="DF39" i="12"/>
  <c r="DJ39" i="12" s="1"/>
  <c r="DF41" i="12"/>
  <c r="DJ41" i="12" s="1"/>
  <c r="DF28" i="12"/>
  <c r="DF36" i="12"/>
  <c r="DF19" i="12"/>
  <c r="DF21" i="12"/>
  <c r="DF37" i="12"/>
  <c r="DF22" i="12"/>
  <c r="DJ22" i="12" s="1"/>
  <c r="DF31" i="12"/>
  <c r="DF25" i="12"/>
  <c r="DF29" i="12"/>
  <c r="DF33" i="12"/>
  <c r="DJ33" i="12" s="1"/>
  <c r="CW41" i="12"/>
  <c r="CW37" i="12"/>
  <c r="CW20" i="12"/>
  <c r="CW36" i="12"/>
  <c r="CW40" i="12"/>
  <c r="CW33" i="12"/>
  <c r="CW26" i="12"/>
  <c r="CW32" i="12"/>
  <c r="CW21" i="12"/>
  <c r="CW19" i="12"/>
  <c r="CW18" i="12"/>
  <c r="CW15" i="12"/>
  <c r="CW14" i="12"/>
  <c r="CW16" i="12"/>
  <c r="CW17" i="12"/>
  <c r="CW13" i="12"/>
  <c r="CW30" i="12"/>
  <c r="CW39" i="12"/>
  <c r="CW29" i="12"/>
  <c r="CW25" i="12"/>
  <c r="CW24" i="12"/>
  <c r="CW34" i="12"/>
  <c r="DD15" i="12"/>
  <c r="DD14" i="12"/>
  <c r="DD13" i="12"/>
  <c r="DD16" i="12"/>
  <c r="DD17" i="12"/>
  <c r="DD38" i="12"/>
  <c r="DD18" i="12"/>
  <c r="DD36" i="12"/>
  <c r="DD35" i="12"/>
  <c r="DD27" i="12"/>
  <c r="DD40" i="12"/>
  <c r="DD23" i="12"/>
  <c r="DD25" i="12"/>
  <c r="DD26" i="12"/>
  <c r="DD33" i="12"/>
  <c r="DD31" i="12"/>
  <c r="DD34" i="12"/>
  <c r="DD32" i="12"/>
  <c r="DD19" i="12"/>
  <c r="DD22" i="12"/>
  <c r="DD20" i="12"/>
  <c r="DD21" i="12"/>
  <c r="DD37" i="12"/>
  <c r="DD24" i="12"/>
  <c r="DD29" i="12"/>
  <c r="DD39" i="12"/>
  <c r="DD28" i="12"/>
  <c r="DD30" i="12"/>
  <c r="DD41" i="12"/>
  <c r="CU40" i="12"/>
  <c r="CU34" i="12"/>
  <c r="CU28" i="12"/>
  <c r="CU27" i="12"/>
  <c r="CU37" i="12"/>
  <c r="CU30" i="12"/>
  <c r="CU36" i="12"/>
  <c r="CU33" i="12"/>
  <c r="CU24" i="12"/>
  <c r="CU25" i="12"/>
  <c r="CU20" i="12"/>
  <c r="CU21" i="12"/>
  <c r="CU38" i="12"/>
  <c r="CU23" i="12"/>
  <c r="CU39" i="12"/>
  <c r="CU19" i="12"/>
  <c r="CU35" i="12"/>
  <c r="CU26" i="12"/>
  <c r="CU32" i="12"/>
  <c r="CU31" i="12"/>
  <c r="CU41" i="12"/>
  <c r="CU22" i="12"/>
  <c r="CU29" i="12"/>
  <c r="CU18" i="12"/>
  <c r="CU13" i="12"/>
  <c r="CU16" i="12"/>
  <c r="CU15" i="12"/>
  <c r="CU14" i="12"/>
  <c r="CU17" i="12"/>
  <c r="CR24" i="12"/>
  <c r="CR37" i="12"/>
  <c r="CR29" i="12"/>
  <c r="CR41" i="12"/>
  <c r="CR25" i="12"/>
  <c r="CR36" i="12"/>
  <c r="CR35" i="12"/>
  <c r="CR18" i="12"/>
  <c r="CR39" i="12"/>
  <c r="CR34" i="12"/>
  <c r="CR23" i="12"/>
  <c r="CR19" i="12"/>
  <c r="CR21" i="12"/>
  <c r="CR26" i="12"/>
  <c r="CR28" i="12"/>
  <c r="CR31" i="12"/>
  <c r="CR20" i="12"/>
  <c r="CR38" i="12"/>
  <c r="CR33" i="12"/>
  <c r="CR30" i="12"/>
  <c r="CR40" i="12"/>
  <c r="CR22" i="12"/>
  <c r="CR32" i="12"/>
  <c r="CR27" i="12"/>
  <c r="CQ32" i="12"/>
  <c r="CQ34" i="12"/>
  <c r="CQ37" i="12"/>
  <c r="CQ22" i="12"/>
  <c r="CQ25" i="12"/>
  <c r="CQ39" i="12"/>
  <c r="CQ41" i="12"/>
  <c r="CQ30" i="12"/>
  <c r="CQ20" i="12"/>
  <c r="CQ26" i="12"/>
  <c r="CQ28" i="12"/>
  <c r="CQ18" i="12"/>
  <c r="CQ36" i="12"/>
  <c r="CQ40" i="12"/>
  <c r="CQ33" i="12"/>
  <c r="CQ21" i="12"/>
  <c r="CQ29" i="12"/>
  <c r="CQ24" i="12"/>
  <c r="CQ38" i="12"/>
  <c r="CQ31" i="12"/>
  <c r="CQ27" i="12"/>
  <c r="CQ19" i="12"/>
  <c r="CQ35" i="12"/>
  <c r="CQ23" i="12"/>
  <c r="CF7" i="25"/>
  <c r="CQ7" i="25"/>
  <c r="CF7" i="125"/>
  <c r="CP7" i="125" s="1"/>
  <c r="CF8" i="125"/>
  <c r="CP8" i="125" s="1"/>
  <c r="CF5" i="125"/>
  <c r="CF6" i="125"/>
  <c r="CP6" i="125" s="1"/>
  <c r="CF21" i="125"/>
  <c r="CP21" i="125" s="1"/>
  <c r="DA21" i="125" s="1"/>
  <c r="CF37" i="125"/>
  <c r="CP37" i="125" s="1"/>
  <c r="CF34" i="125"/>
  <c r="CP34" i="125" s="1"/>
  <c r="CF31" i="125"/>
  <c r="CP31" i="125" s="1"/>
  <c r="CF28" i="125"/>
  <c r="CP28" i="125" s="1"/>
  <c r="CF40" i="125"/>
  <c r="CP40" i="125" s="1"/>
  <c r="CF20" i="12"/>
  <c r="CF35" i="12"/>
  <c r="CF33" i="12"/>
  <c r="CF19" i="12"/>
  <c r="CF25" i="12"/>
  <c r="CF40" i="12"/>
  <c r="DA29" i="127"/>
  <c r="CZ34" i="12"/>
  <c r="CZ26" i="12"/>
  <c r="CZ36" i="12"/>
  <c r="CZ32" i="12"/>
  <c r="CZ29" i="12"/>
  <c r="CZ39" i="12"/>
  <c r="CZ21" i="12"/>
  <c r="CZ33" i="12"/>
  <c r="CZ22" i="12"/>
  <c r="CZ20" i="12"/>
  <c r="CZ37" i="12"/>
  <c r="CZ25" i="12"/>
  <c r="CZ24" i="12"/>
  <c r="CZ40" i="12"/>
  <c r="CZ41" i="12"/>
  <c r="CZ28" i="12"/>
  <c r="CZ35" i="12"/>
  <c r="CZ19" i="12"/>
  <c r="CZ23" i="12"/>
  <c r="CZ27" i="12"/>
  <c r="CZ31" i="12"/>
  <c r="CZ30" i="12"/>
  <c r="CZ18" i="12"/>
  <c r="CZ38" i="12"/>
  <c r="CZ13" i="12"/>
  <c r="CZ14" i="12"/>
  <c r="CZ17" i="12"/>
  <c r="CZ15" i="12"/>
  <c r="CZ16" i="12"/>
  <c r="CO16" i="12"/>
  <c r="CP16" i="12" s="1"/>
  <c r="CO41" i="12"/>
  <c r="CO36" i="12"/>
  <c r="CO25" i="12"/>
  <c r="CO24" i="12"/>
  <c r="CO19" i="12"/>
  <c r="CO27" i="12"/>
  <c r="DA5" i="127"/>
  <c r="CF11" i="125"/>
  <c r="CF12" i="125"/>
  <c r="CF9" i="125"/>
  <c r="CP9" i="125" s="1"/>
  <c r="CF10" i="125"/>
  <c r="CP10" i="125" s="1"/>
  <c r="CF25" i="125"/>
  <c r="CP25" i="125" s="1"/>
  <c r="CF22" i="125"/>
  <c r="CP22" i="125" s="1"/>
  <c r="CF38" i="125"/>
  <c r="CP38" i="125" s="1"/>
  <c r="CF35" i="125"/>
  <c r="CP35" i="125" s="1"/>
  <c r="DA35" i="125" s="1"/>
  <c r="CF32" i="125"/>
  <c r="CP32" i="125" s="1"/>
  <c r="CF22" i="12"/>
  <c r="CF21" i="12"/>
  <c r="CF18" i="12"/>
  <c r="CF41" i="12"/>
  <c r="CF23" i="12"/>
  <c r="CF29" i="12"/>
  <c r="CO14" i="12"/>
  <c r="CP14" i="12" s="1"/>
  <c r="CO13" i="12"/>
  <c r="CO35" i="12"/>
  <c r="CO20" i="12"/>
  <c r="CO26" i="12"/>
  <c r="CO22" i="12"/>
  <c r="CO28" i="12"/>
  <c r="CO21" i="12"/>
  <c r="CF15" i="125"/>
  <c r="CP15" i="125" s="1"/>
  <c r="CF16" i="125"/>
  <c r="CP16" i="125" s="1"/>
  <c r="CF13" i="125"/>
  <c r="CP13" i="125" s="1"/>
  <c r="CF14" i="125"/>
  <c r="CP14" i="125" s="1"/>
  <c r="CF29" i="125"/>
  <c r="CF26" i="125"/>
  <c r="CP26" i="125" s="1"/>
  <c r="CF23" i="125"/>
  <c r="CP23" i="125" s="1"/>
  <c r="CF39" i="125"/>
  <c r="CP39" i="125" s="1"/>
  <c r="CF36" i="125"/>
  <c r="CP36" i="125" s="1"/>
  <c r="CF26" i="12"/>
  <c r="CF38" i="12"/>
  <c r="CF37" i="12"/>
  <c r="CF36" i="12"/>
  <c r="CF24" i="12"/>
  <c r="CF28" i="12"/>
  <c r="CT32" i="12"/>
  <c r="CT22" i="12"/>
  <c r="CT31" i="12"/>
  <c r="CT21" i="12"/>
  <c r="CT28" i="12"/>
  <c r="CT33" i="12"/>
  <c r="CT18" i="12"/>
  <c r="CT19" i="12"/>
  <c r="CT37" i="12"/>
  <c r="CT36" i="12"/>
  <c r="CT29" i="12"/>
  <c r="CT34" i="12"/>
  <c r="CT24" i="12"/>
  <c r="CT27" i="12"/>
  <c r="CT25" i="12"/>
  <c r="CT26" i="12"/>
  <c r="CT23" i="12"/>
  <c r="CT41" i="12"/>
  <c r="CT35" i="12"/>
  <c r="CT40" i="12"/>
  <c r="CT39" i="12"/>
  <c r="CT20" i="12"/>
  <c r="CT38" i="12"/>
  <c r="CT30" i="12"/>
  <c r="CS20" i="12"/>
  <c r="CS24" i="12"/>
  <c r="CS33" i="12"/>
  <c r="CS21" i="12"/>
  <c r="CS36" i="12"/>
  <c r="CS28" i="12"/>
  <c r="CS18" i="12"/>
  <c r="CS30" i="12"/>
  <c r="CS35" i="12"/>
  <c r="CS22" i="12"/>
  <c r="CS38" i="12"/>
  <c r="CS27" i="12"/>
  <c r="CS29" i="12"/>
  <c r="CS19" i="12"/>
  <c r="CS40" i="12"/>
  <c r="CS39" i="12"/>
  <c r="CS41" i="12"/>
  <c r="CS31" i="12"/>
  <c r="CS37" i="12"/>
  <c r="CS26" i="12"/>
  <c r="CS25" i="12"/>
  <c r="CS34" i="12"/>
  <c r="CS32" i="12"/>
  <c r="CS23" i="12"/>
  <c r="CS16" i="12"/>
  <c r="CS14" i="12"/>
  <c r="CS17" i="12"/>
  <c r="CS15" i="12"/>
  <c r="CS13" i="12"/>
  <c r="CO15" i="12"/>
  <c r="CP15" i="12" s="1"/>
  <c r="CO23" i="12"/>
  <c r="CO37" i="12"/>
  <c r="CO33" i="12"/>
  <c r="CO32" i="12"/>
  <c r="CO34" i="12"/>
  <c r="CO30" i="12"/>
  <c r="CP13" i="12"/>
  <c r="CF19" i="125"/>
  <c r="CP19" i="125" s="1"/>
  <c r="CF20" i="125"/>
  <c r="CP20" i="125" s="1"/>
  <c r="CF17" i="125"/>
  <c r="CP17" i="125" s="1"/>
  <c r="CF18" i="125"/>
  <c r="CP18" i="125" s="1"/>
  <c r="CF33" i="125"/>
  <c r="CP33" i="125" s="1"/>
  <c r="CF30" i="125"/>
  <c r="CP30" i="125" s="1"/>
  <c r="CF27" i="125"/>
  <c r="CP27" i="125" s="1"/>
  <c r="CF24" i="125"/>
  <c r="CP24" i="125" s="1"/>
  <c r="DA24" i="125" s="1"/>
  <c r="CF41" i="125"/>
  <c r="CP41" i="125" s="1"/>
  <c r="CF27" i="12"/>
  <c r="CF30" i="12"/>
  <c r="CF39" i="12"/>
  <c r="CF32" i="12"/>
  <c r="CF31" i="12"/>
  <c r="CF34" i="12"/>
  <c r="CV28" i="12"/>
  <c r="CV25" i="12"/>
  <c r="CV21" i="12"/>
  <c r="CV32" i="12"/>
  <c r="CV40" i="12"/>
  <c r="CV37" i="12"/>
  <c r="CV19" i="12"/>
  <c r="CV35" i="12"/>
  <c r="CV26" i="12"/>
  <c r="CV31" i="12"/>
  <c r="CV18" i="12"/>
  <c r="CV27" i="12"/>
  <c r="CV36" i="12"/>
  <c r="CV34" i="12"/>
  <c r="CV33" i="12"/>
  <c r="CV38" i="12"/>
  <c r="CV29" i="12"/>
  <c r="CV39" i="12"/>
  <c r="CV41" i="12"/>
  <c r="CV23" i="12"/>
  <c r="CV20" i="12"/>
  <c r="CV30" i="12"/>
  <c r="CV24" i="12"/>
  <c r="CV22" i="12"/>
  <c r="CX28" i="12"/>
  <c r="CX21" i="12"/>
  <c r="CX24" i="12"/>
  <c r="CX33" i="12"/>
  <c r="CX20" i="12"/>
  <c r="CX25" i="12"/>
  <c r="CX39" i="12"/>
  <c r="CX38" i="12"/>
  <c r="CX31" i="12"/>
  <c r="CX30" i="12"/>
  <c r="CX27" i="12"/>
  <c r="CX23" i="12"/>
  <c r="CX40" i="12"/>
  <c r="CX22" i="12"/>
  <c r="CX41" i="12"/>
  <c r="CX35" i="12"/>
  <c r="CX37" i="12"/>
  <c r="CX19" i="12"/>
  <c r="CX32" i="12"/>
  <c r="CX34" i="12"/>
  <c r="CX36" i="12"/>
  <c r="CX26" i="12"/>
  <c r="CX29" i="12"/>
  <c r="CX18" i="12"/>
  <c r="CO17" i="12"/>
  <c r="CP17" i="12" s="1"/>
  <c r="CO40" i="12"/>
  <c r="CO38" i="12"/>
  <c r="CO39" i="12"/>
  <c r="CO31" i="12"/>
  <c r="CO29" i="12"/>
  <c r="CO18" i="12"/>
  <c r="DJ15" i="12"/>
  <c r="DJ14" i="12"/>
  <c r="DJ17" i="12"/>
  <c r="DJ16" i="12"/>
  <c r="DJ13" i="12"/>
  <c r="BO3" i="25"/>
  <c r="BV7" i="25"/>
  <c r="BW7" i="25"/>
  <c r="BV8" i="25"/>
  <c r="BV6" i="25"/>
  <c r="BP4" i="25"/>
  <c r="BP2" i="25"/>
  <c r="BW8" i="25"/>
  <c r="BO2" i="25"/>
  <c r="CJ6" i="25"/>
  <c r="CC6" i="25"/>
  <c r="BW6" i="25"/>
  <c r="CJ8" i="25"/>
  <c r="BO4" i="25"/>
  <c r="DJ36" i="12" l="1"/>
  <c r="BO19" i="25"/>
  <c r="BP19" i="25"/>
  <c r="CP12" i="125"/>
  <c r="CP11" i="125"/>
  <c r="CO2" i="25"/>
  <c r="CO4" i="25"/>
  <c r="DJ31" i="12"/>
  <c r="DJ21" i="12"/>
  <c r="CP41" i="12"/>
  <c r="DJ19" i="12"/>
  <c r="DJ29" i="12"/>
  <c r="DJ25" i="12"/>
  <c r="DJ26" i="12"/>
  <c r="BQ35" i="125"/>
  <c r="BQ27" i="125"/>
  <c r="BQ19" i="125"/>
  <c r="BQ11" i="125"/>
  <c r="BQ40" i="125"/>
  <c r="BQ32" i="125"/>
  <c r="BQ24" i="125"/>
  <c r="BQ16" i="125"/>
  <c r="BQ8" i="125"/>
  <c r="BQ41" i="125"/>
  <c r="BQ33" i="125"/>
  <c r="BQ25" i="125"/>
  <c r="BQ17" i="125"/>
  <c r="BQ9" i="125"/>
  <c r="BQ38" i="125"/>
  <c r="BQ30" i="125"/>
  <c r="BQ22" i="125"/>
  <c r="BQ14" i="125"/>
  <c r="BQ6" i="125"/>
  <c r="BQ39" i="125"/>
  <c r="BQ31" i="125"/>
  <c r="BQ23" i="125"/>
  <c r="BQ15" i="125"/>
  <c r="BQ7" i="125"/>
  <c r="BQ36" i="125"/>
  <c r="BQ28" i="125"/>
  <c r="BQ20" i="125"/>
  <c r="BQ12" i="125"/>
  <c r="BQ37" i="125"/>
  <c r="BQ29" i="125"/>
  <c r="BQ21" i="125"/>
  <c r="BQ13" i="125"/>
  <c r="BQ5" i="125"/>
  <c r="BQ34" i="125"/>
  <c r="BQ26" i="125"/>
  <c r="BQ18" i="125"/>
  <c r="BQ10" i="125"/>
  <c r="N66" i="8"/>
  <c r="N70" i="8"/>
  <c r="N74" i="8"/>
  <c r="N78" i="8"/>
  <c r="N82" i="8"/>
  <c r="N86" i="8"/>
  <c r="N67" i="8"/>
  <c r="N71" i="8"/>
  <c r="N75" i="8"/>
  <c r="N79" i="8"/>
  <c r="N83" i="8"/>
  <c r="N87" i="8"/>
  <c r="N68" i="8"/>
  <c r="N72" i="8"/>
  <c r="N76" i="8"/>
  <c r="N80" i="8"/>
  <c r="N84" i="8"/>
  <c r="N88" i="8"/>
  <c r="N65" i="8"/>
  <c r="N69" i="8"/>
  <c r="N73" i="8"/>
  <c r="N77" i="8"/>
  <c r="N81" i="8"/>
  <c r="N85" i="8"/>
  <c r="N89" i="8"/>
  <c r="M148" i="8"/>
  <c r="M168" i="8"/>
  <c r="M151" i="8"/>
  <c r="M159" i="8"/>
  <c r="M167" i="8"/>
  <c r="M166" i="8"/>
  <c r="M164" i="8"/>
  <c r="M157" i="8"/>
  <c r="M152" i="8"/>
  <c r="M145" i="8"/>
  <c r="M153" i="8"/>
  <c r="M161" i="8"/>
  <c r="M169" i="8"/>
  <c r="M146" i="8"/>
  <c r="M158" i="8"/>
  <c r="M147" i="8"/>
  <c r="M155" i="8"/>
  <c r="M163" i="8"/>
  <c r="M154" i="8"/>
  <c r="M150" i="8"/>
  <c r="M162" i="8"/>
  <c r="M149" i="8"/>
  <c r="M165" i="8"/>
  <c r="M160" i="8"/>
  <c r="M156" i="8"/>
  <c r="N141" i="8"/>
  <c r="N130" i="8"/>
  <c r="N140" i="8"/>
  <c r="N121" i="8"/>
  <c r="N137" i="8"/>
  <c r="N142" i="8"/>
  <c r="N126" i="8"/>
  <c r="N136" i="8"/>
  <c r="N131" i="8"/>
  <c r="N122" i="8"/>
  <c r="N143" i="8"/>
  <c r="N127" i="8"/>
  <c r="N133" i="8"/>
  <c r="N138" i="8"/>
  <c r="N132" i="8"/>
  <c r="N123" i="8"/>
  <c r="N129" i="8"/>
  <c r="N134" i="8"/>
  <c r="N128" i="8"/>
  <c r="N139" i="8"/>
  <c r="N119" i="8"/>
  <c r="N124" i="8"/>
  <c r="N120" i="8"/>
  <c r="N135" i="8"/>
  <c r="N125" i="8"/>
  <c r="U174" i="8"/>
  <c r="BB4" i="8"/>
  <c r="BB5" i="8" s="1"/>
  <c r="BB6" i="8" s="1"/>
  <c r="DJ37" i="12"/>
  <c r="DJ28" i="12"/>
  <c r="DJ30" i="12"/>
  <c r="DJ18" i="12"/>
  <c r="DA17" i="12"/>
  <c r="CP30" i="12"/>
  <c r="CP32" i="12"/>
  <c r="DA32" i="12" s="1"/>
  <c r="CP6" i="25"/>
  <c r="CP7" i="25"/>
  <c r="CP8" i="25"/>
  <c r="CP36" i="12"/>
  <c r="DA36" i="12" s="1"/>
  <c r="DA15" i="12"/>
  <c r="CP24" i="12"/>
  <c r="DA24" i="12" s="1"/>
  <c r="DA14" i="12"/>
  <c r="CP37" i="12"/>
  <c r="DA37" i="12" s="1"/>
  <c r="DA16" i="12"/>
  <c r="CP29" i="12"/>
  <c r="DA29" i="12" s="1"/>
  <c r="CP21" i="12"/>
  <c r="DA21" i="12" s="1"/>
  <c r="CP40" i="12"/>
  <c r="DA13" i="12"/>
  <c r="BX6" i="25"/>
  <c r="BX7" i="25"/>
  <c r="BX8" i="25"/>
  <c r="DA17" i="125"/>
  <c r="DA20" i="125"/>
  <c r="CP23" i="12"/>
  <c r="CP22" i="12"/>
  <c r="DA12" i="125"/>
  <c r="CP34" i="12"/>
  <c r="DA30" i="12"/>
  <c r="DA41" i="125"/>
  <c r="DA33" i="125"/>
  <c r="DA19" i="125"/>
  <c r="CP28" i="12"/>
  <c r="CP38" i="12"/>
  <c r="DA23" i="125"/>
  <c r="DA13" i="125"/>
  <c r="DA41" i="12"/>
  <c r="DA32" i="125"/>
  <c r="DA25" i="125"/>
  <c r="DA11" i="125"/>
  <c r="CP25" i="12"/>
  <c r="CP20" i="12"/>
  <c r="DA34" i="125"/>
  <c r="CP5" i="125"/>
  <c r="DA27" i="125"/>
  <c r="CP39" i="12"/>
  <c r="DA30" i="125"/>
  <c r="DA39" i="125"/>
  <c r="DA14" i="125"/>
  <c r="DA22" i="125"/>
  <c r="DA40" i="12"/>
  <c r="CP35" i="12"/>
  <c r="DA31" i="125"/>
  <c r="DA6" i="125"/>
  <c r="CP31" i="12"/>
  <c r="CP27" i="12"/>
  <c r="DA18" i="125"/>
  <c r="CP26" i="12"/>
  <c r="DA26" i="125"/>
  <c r="DA16" i="125"/>
  <c r="CP18" i="12"/>
  <c r="DA10" i="125"/>
  <c r="CP19" i="12"/>
  <c r="DA40" i="125"/>
  <c r="DA37" i="125"/>
  <c r="DA8" i="125"/>
  <c r="DA36" i="125"/>
  <c r="CP29" i="125"/>
  <c r="DA15" i="125"/>
  <c r="DA38" i="125"/>
  <c r="DA9" i="125"/>
  <c r="CP33" i="12"/>
  <c r="DA28" i="125"/>
  <c r="DA7" i="125"/>
  <c r="W16" i="12"/>
  <c r="Y16" i="12"/>
  <c r="X16" i="12"/>
  <c r="BQ16" i="12" s="1"/>
  <c r="Z16" i="12"/>
  <c r="V16" i="12"/>
  <c r="W17" i="12"/>
  <c r="Y17" i="12"/>
  <c r="X17" i="12"/>
  <c r="BQ17" i="12" s="1"/>
  <c r="V17" i="12"/>
  <c r="Z17" i="12"/>
  <c r="W15" i="12"/>
  <c r="Z15" i="12"/>
  <c r="X15" i="12"/>
  <c r="BQ15" i="12" s="1"/>
  <c r="Y15" i="12"/>
  <c r="V15" i="12"/>
  <c r="V14" i="12"/>
  <c r="W14" i="12"/>
  <c r="X14" i="12"/>
  <c r="BQ14" i="12" s="1"/>
  <c r="Z14" i="12"/>
  <c r="Y14" i="12"/>
  <c r="AU31" i="3"/>
  <c r="AU11" i="3"/>
  <c r="AU7" i="3"/>
  <c r="AU23" i="3"/>
  <c r="AU10" i="3"/>
  <c r="AU6" i="3"/>
  <c r="AU5" i="3"/>
  <c r="AU22" i="3"/>
  <c r="AU9" i="3"/>
  <c r="AU12" i="3"/>
  <c r="AU8" i="3"/>
  <c r="BO7" i="25"/>
  <c r="BY8" i="25"/>
  <c r="BY6" i="25"/>
  <c r="BP6" i="25"/>
  <c r="BP8" i="25"/>
  <c r="CF6" i="25" l="1"/>
  <c r="CQ6" i="25"/>
  <c r="CO8" i="25"/>
  <c r="CF8" i="25"/>
  <c r="CQ8" i="25"/>
  <c r="CO6" i="25"/>
  <c r="DA5" i="125"/>
  <c r="V174" i="8"/>
  <c r="W174" i="8" s="1"/>
  <c r="X174" i="8" s="1"/>
  <c r="Y174" i="8" s="1"/>
  <c r="Z174" i="8" s="1"/>
  <c r="AA174" i="8" s="1"/>
  <c r="AB174" i="8" s="1"/>
  <c r="AC174" i="8" s="1"/>
  <c r="AD174" i="8" s="1"/>
  <c r="BC4" i="8"/>
  <c r="BC5" i="8" s="1"/>
  <c r="BC6" i="8" s="1"/>
  <c r="N163" i="8"/>
  <c r="N168" i="8"/>
  <c r="N152" i="8"/>
  <c r="N166" i="8"/>
  <c r="N159" i="8"/>
  <c r="N164" i="8"/>
  <c r="N162" i="8"/>
  <c r="N165" i="8"/>
  <c r="N145" i="8"/>
  <c r="N149" i="8"/>
  <c r="N150" i="8"/>
  <c r="N155" i="8"/>
  <c r="N160" i="8"/>
  <c r="N158" i="8"/>
  <c r="N161" i="8"/>
  <c r="N146" i="8"/>
  <c r="N167" i="8"/>
  <c r="N156" i="8"/>
  <c r="N154" i="8"/>
  <c r="N157" i="8"/>
  <c r="N147" i="8"/>
  <c r="N151" i="8"/>
  <c r="N169" i="8"/>
  <c r="N153" i="8"/>
  <c r="N148" i="8"/>
  <c r="BQ22" i="12"/>
  <c r="BQ23" i="12"/>
  <c r="BQ24" i="12"/>
  <c r="BQ21" i="12"/>
  <c r="BQ29" i="12"/>
  <c r="BQ32" i="12"/>
  <c r="BQ20" i="12"/>
  <c r="BQ28" i="12"/>
  <c r="BQ40" i="12"/>
  <c r="BQ39" i="12"/>
  <c r="BQ41" i="12"/>
  <c r="BQ25" i="12"/>
  <c r="BQ19" i="12"/>
  <c r="BQ34" i="12"/>
  <c r="BQ27" i="12"/>
  <c r="BQ33" i="12"/>
  <c r="BQ31" i="12"/>
  <c r="BQ26" i="12"/>
  <c r="BQ37" i="12"/>
  <c r="BQ35" i="12"/>
  <c r="BQ38" i="12"/>
  <c r="BQ30" i="12"/>
  <c r="BQ18" i="12"/>
  <c r="BQ36" i="12"/>
  <c r="BQ13" i="12"/>
  <c r="DA29" i="125"/>
  <c r="DA31" i="12"/>
  <c r="DA28" i="12"/>
  <c r="DA19" i="12"/>
  <c r="DA18" i="12"/>
  <c r="DA22" i="12"/>
  <c r="DA33" i="12"/>
  <c r="DA35" i="12"/>
  <c r="DA39" i="12"/>
  <c r="DA20" i="12"/>
  <c r="DA34" i="12"/>
  <c r="DA23" i="12"/>
  <c r="DA26" i="12"/>
  <c r="DA27" i="12"/>
  <c r="DA25" i="12"/>
  <c r="DA38" i="12"/>
  <c r="AI9" i="12"/>
  <c r="AE9" i="12"/>
  <c r="AM9" i="12"/>
  <c r="AU9" i="12"/>
  <c r="AQ9" i="12"/>
  <c r="AA9" i="12"/>
  <c r="M9" i="12"/>
  <c r="Y9" i="12"/>
  <c r="W9" i="12"/>
  <c r="AE8" i="12"/>
  <c r="AI8" i="12"/>
  <c r="AQ8" i="12"/>
  <c r="AA8" i="12"/>
  <c r="AM8" i="12"/>
  <c r="AU8" i="12"/>
  <c r="M8" i="12"/>
  <c r="W8" i="12"/>
  <c r="Y8" i="12"/>
  <c r="BO6" i="25"/>
  <c r="BO8" i="25"/>
  <c r="AE174" i="8" l="1"/>
  <c r="BA8" i="12"/>
  <c r="AC8" i="12"/>
  <c r="AK8" i="12"/>
  <c r="AS8" i="12"/>
  <c r="BB8" i="12"/>
  <c r="I8" i="12"/>
  <c r="AG8" i="12"/>
  <c r="AO8" i="12"/>
  <c r="AW8" i="12"/>
  <c r="P8" i="12"/>
  <c r="V8" i="12"/>
  <c r="X8" i="12"/>
  <c r="Z8" i="12"/>
  <c r="AG9" i="12"/>
  <c r="I9" i="12"/>
  <c r="P9" i="12"/>
  <c r="AK9" i="12"/>
  <c r="BB9" i="12"/>
  <c r="BA9" i="12"/>
  <c r="AW9" i="12"/>
  <c r="AS9" i="12"/>
  <c r="AO9" i="12"/>
  <c r="AC9" i="12"/>
  <c r="Z9" i="12"/>
  <c r="X9" i="12"/>
  <c r="V9" i="12"/>
  <c r="AF174" i="8" l="1"/>
  <c r="K9" i="12"/>
  <c r="CZ9" i="12"/>
  <c r="AP9" i="12"/>
  <c r="AL9" i="12"/>
  <c r="K8" i="12"/>
  <c r="AU37" i="3"/>
  <c r="AU36" i="3"/>
  <c r="AU32" i="3"/>
  <c r="AU35" i="3"/>
  <c r="AU38" i="3"/>
  <c r="Q9" i="12"/>
  <c r="DH9" i="12"/>
  <c r="DG9" i="12"/>
  <c r="DI9" i="12"/>
  <c r="DF9" i="12"/>
  <c r="AY9" i="12"/>
  <c r="AD9" i="12"/>
  <c r="CG9" i="12"/>
  <c r="DD9" i="12"/>
  <c r="BC9" i="12"/>
  <c r="CY9" i="12"/>
  <c r="AH8" i="12"/>
  <c r="CT8" i="12"/>
  <c r="AH9" i="12"/>
  <c r="CT9" i="12"/>
  <c r="Q8" i="12"/>
  <c r="DG8" i="12"/>
  <c r="DH8" i="12"/>
  <c r="DF8" i="12"/>
  <c r="DI8" i="12"/>
  <c r="AY8" i="12"/>
  <c r="AD8" i="12"/>
  <c r="CG8" i="12"/>
  <c r="DD8" i="12"/>
  <c r="BC8" i="12"/>
  <c r="CY8" i="12"/>
  <c r="AG174" i="8" l="1"/>
  <c r="BT40" i="127"/>
  <c r="BT33" i="127"/>
  <c r="BT27" i="127"/>
  <c r="BT24" i="127"/>
  <c r="BT26" i="127"/>
  <c r="BT19" i="127"/>
  <c r="BT21" i="127"/>
  <c r="BT6" i="127"/>
  <c r="BT8" i="127"/>
  <c r="BT36" i="127"/>
  <c r="BT38" i="127"/>
  <c r="BT23" i="127"/>
  <c r="BT29" i="127"/>
  <c r="BT22" i="127"/>
  <c r="BT15" i="127"/>
  <c r="BT17" i="127"/>
  <c r="BT11" i="127"/>
  <c r="BT9" i="127"/>
  <c r="BT39" i="127"/>
  <c r="BT41" i="127"/>
  <c r="BT34" i="127"/>
  <c r="BT32" i="127"/>
  <c r="BT25" i="127"/>
  <c r="BT18" i="127"/>
  <c r="BT20" i="127"/>
  <c r="BT13" i="127"/>
  <c r="BT7" i="127"/>
  <c r="BT5" i="127"/>
  <c r="BT35" i="127"/>
  <c r="BT37" i="127"/>
  <c r="BT31" i="127"/>
  <c r="BT28" i="127"/>
  <c r="BT30" i="127"/>
  <c r="BT14" i="127"/>
  <c r="BT16" i="127"/>
  <c r="BT10" i="127"/>
  <c r="BT12" i="127"/>
  <c r="N8" i="12"/>
  <c r="AV8" i="12"/>
  <c r="AF8" i="12"/>
  <c r="CL8" i="12"/>
  <c r="CJ8" i="12"/>
  <c r="CW8" i="12"/>
  <c r="CB8" i="12"/>
  <c r="CR8" i="12"/>
  <c r="O8" i="12"/>
  <c r="AJ8" i="12"/>
  <c r="CK8" i="12"/>
  <c r="CS8" i="12"/>
  <c r="CU8" i="12"/>
  <c r="CA8" i="12"/>
  <c r="CD8" i="12"/>
  <c r="CV8" i="12"/>
  <c r="AR8" i="12"/>
  <c r="AN8" i="12"/>
  <c r="CI8" i="12"/>
  <c r="CH8" i="12"/>
  <c r="BZ8" i="12"/>
  <c r="CE8" i="12"/>
  <c r="CX8" i="12"/>
  <c r="AB8" i="12"/>
  <c r="CN8" i="12"/>
  <c r="CM8" i="12"/>
  <c r="CC8" i="12"/>
  <c r="BY8" i="12"/>
  <c r="CQ8" i="12"/>
  <c r="AL8" i="12"/>
  <c r="AT8" i="12"/>
  <c r="CZ8" i="12"/>
  <c r="AP8" i="12"/>
  <c r="AX8" i="12"/>
  <c r="N9" i="12"/>
  <c r="AB9" i="12"/>
  <c r="AR9" i="12"/>
  <c r="CH9" i="12"/>
  <c r="CN9" i="12"/>
  <c r="CC9" i="12"/>
  <c r="CE9" i="12"/>
  <c r="CQ9" i="12"/>
  <c r="BZ9" i="12"/>
  <c r="CX9" i="12"/>
  <c r="AF9" i="12"/>
  <c r="AJ9" i="12"/>
  <c r="CI9" i="12"/>
  <c r="CL9" i="12"/>
  <c r="BY9" i="12"/>
  <c r="CB9" i="12"/>
  <c r="O9" i="12"/>
  <c r="CM9" i="12"/>
  <c r="CJ9" i="12"/>
  <c r="CA9" i="12"/>
  <c r="CW9" i="12"/>
  <c r="CR9" i="12"/>
  <c r="CK9" i="12"/>
  <c r="CV9" i="12"/>
  <c r="AV9" i="12"/>
  <c r="AN9" i="12"/>
  <c r="CU9" i="12"/>
  <c r="CS9" i="12"/>
  <c r="CD9" i="12"/>
  <c r="BQ8" i="12"/>
  <c r="AT9" i="12"/>
  <c r="BQ9" i="12"/>
  <c r="AX9" i="12"/>
  <c r="DJ9" i="12"/>
  <c r="DJ8" i="12"/>
  <c r="R8" i="12"/>
  <c r="S8" i="12"/>
  <c r="T8" i="12"/>
  <c r="U8" i="12"/>
  <c r="U9" i="12"/>
  <c r="T9" i="12"/>
  <c r="S9" i="12"/>
  <c r="R9" i="12"/>
  <c r="BR3" i="25"/>
  <c r="BR4" i="25"/>
  <c r="BR2" i="25"/>
  <c r="BR19" i="25" l="1"/>
  <c r="AZ9" i="12"/>
  <c r="AZ8" i="12"/>
  <c r="AH174" i="8"/>
  <c r="AI174" i="8" s="1"/>
  <c r="AJ174" i="8" s="1"/>
  <c r="AK174" i="8" s="1"/>
  <c r="AL174" i="8" s="1"/>
  <c r="AM174" i="8" s="1"/>
  <c r="AN174" i="8" s="1"/>
  <c r="BU37" i="127"/>
  <c r="BU39" i="127"/>
  <c r="BU24" i="127"/>
  <c r="BU26" i="127"/>
  <c r="BU19" i="127"/>
  <c r="BU21" i="127"/>
  <c r="BU14" i="127"/>
  <c r="BU8" i="127"/>
  <c r="BU10" i="127"/>
  <c r="BU40" i="127"/>
  <c r="BU33" i="127"/>
  <c r="BU35" i="127"/>
  <c r="BU29" i="127"/>
  <c r="BU31" i="127"/>
  <c r="BU15" i="127"/>
  <c r="BU17" i="127"/>
  <c r="BU11" i="127"/>
  <c r="BU9" i="127"/>
  <c r="BU6" i="127"/>
  <c r="BU36" i="127"/>
  <c r="BU38" i="127"/>
  <c r="BU32" i="127"/>
  <c r="BU25" i="127"/>
  <c r="BU27" i="127"/>
  <c r="BU20" i="127"/>
  <c r="BU22" i="127"/>
  <c r="BU7" i="127"/>
  <c r="BU5" i="127"/>
  <c r="BU41" i="127"/>
  <c r="BU34" i="127"/>
  <c r="BU28" i="127"/>
  <c r="BU30" i="127"/>
  <c r="BU23" i="127"/>
  <c r="BU16" i="127"/>
  <c r="BU18" i="127"/>
  <c r="BU12" i="127"/>
  <c r="BU13" i="127"/>
  <c r="CO8" i="12"/>
  <c r="CO9" i="12"/>
  <c r="CF8" i="12"/>
  <c r="CF9" i="12"/>
  <c r="BO8" i="12"/>
  <c r="BO9" i="12"/>
  <c r="BS3" i="25"/>
  <c r="BS2" i="25"/>
  <c r="BS4" i="25"/>
  <c r="BS19" i="25" l="1"/>
  <c r="BV5" i="127"/>
  <c r="BW5" i="127" s="1"/>
  <c r="BX5" i="127" s="1"/>
  <c r="BV23" i="127"/>
  <c r="BW23" i="127" s="1"/>
  <c r="BX23" i="127" s="1"/>
  <c r="BV28" i="127"/>
  <c r="BW28" i="127" s="1"/>
  <c r="BX28" i="127" s="1"/>
  <c r="BV19" i="127"/>
  <c r="BW19" i="127" s="1"/>
  <c r="BX19" i="127" s="1"/>
  <c r="BV12" i="127"/>
  <c r="BW12" i="127" s="1"/>
  <c r="BX12" i="127" s="1"/>
  <c r="BV13" i="127"/>
  <c r="BW13" i="127" s="1"/>
  <c r="BX13" i="127" s="1"/>
  <c r="BV33" i="127"/>
  <c r="BW33" i="127" s="1"/>
  <c r="BX33" i="127" s="1"/>
  <c r="BV16" i="127"/>
  <c r="BW16" i="127" s="1"/>
  <c r="BX16" i="127" s="1"/>
  <c r="BV38" i="127"/>
  <c r="BW38" i="127" s="1"/>
  <c r="BX38" i="127" s="1"/>
  <c r="BV39" i="127"/>
  <c r="BW39" i="127" s="1"/>
  <c r="BX39" i="127" s="1"/>
  <c r="BV32" i="127"/>
  <c r="BW32" i="127" s="1"/>
  <c r="BX32" i="127" s="1"/>
  <c r="BV14" i="127"/>
  <c r="BW14" i="127" s="1"/>
  <c r="BX14" i="127" s="1"/>
  <c r="BV37" i="127"/>
  <c r="BW37" i="127" s="1"/>
  <c r="BX37" i="127" s="1"/>
  <c r="BV30" i="127"/>
  <c r="BW30" i="127" s="1"/>
  <c r="BX30" i="127" s="1"/>
  <c r="BV31" i="127"/>
  <c r="BW31" i="127" s="1"/>
  <c r="BX31" i="127" s="1"/>
  <c r="BV40" i="127"/>
  <c r="BW40" i="127" s="1"/>
  <c r="BX40" i="127" s="1"/>
  <c r="BV18" i="127"/>
  <c r="BW18" i="127" s="1"/>
  <c r="BX18" i="127" s="1"/>
  <c r="BV34" i="127"/>
  <c r="BW34" i="127" s="1"/>
  <c r="BX34" i="127" s="1"/>
  <c r="BV8" i="127"/>
  <c r="BW8" i="127" s="1"/>
  <c r="BX8" i="127" s="1"/>
  <c r="BV41" i="127"/>
  <c r="BW41" i="127" s="1"/>
  <c r="BX41" i="127" s="1"/>
  <c r="BV25" i="127"/>
  <c r="BW25" i="127" s="1"/>
  <c r="BX25" i="127" s="1"/>
  <c r="BV15" i="127"/>
  <c r="BW15" i="127" s="1"/>
  <c r="BX15" i="127" s="1"/>
  <c r="BV17" i="127"/>
  <c r="BW17" i="127" s="1"/>
  <c r="BX17" i="127" s="1"/>
  <c r="BV22" i="127"/>
  <c r="BW22" i="127" s="1"/>
  <c r="BX22" i="127" s="1"/>
  <c r="BV6" i="127"/>
  <c r="BW6" i="127" s="1"/>
  <c r="BX6" i="127" s="1"/>
  <c r="BV29" i="127"/>
  <c r="BV11" i="127"/>
  <c r="BW11" i="127" s="1"/>
  <c r="BX11" i="127" s="1"/>
  <c r="BV27" i="127"/>
  <c r="BW27" i="127" s="1"/>
  <c r="BX27" i="127" s="1"/>
  <c r="BV9" i="127"/>
  <c r="BW9" i="127" s="1"/>
  <c r="BX9" i="127" s="1"/>
  <c r="BV10" i="127"/>
  <c r="BW10" i="127" s="1"/>
  <c r="BX10" i="127" s="1"/>
  <c r="BV26" i="127"/>
  <c r="BW26" i="127" s="1"/>
  <c r="BX26" i="127" s="1"/>
  <c r="BV35" i="127"/>
  <c r="BW35" i="127" s="1"/>
  <c r="BX35" i="127" s="1"/>
  <c r="BV36" i="127"/>
  <c r="BW36" i="127" s="1"/>
  <c r="BX36" i="127" s="1"/>
  <c r="BV24" i="127"/>
  <c r="BW24" i="127" s="1"/>
  <c r="BX24" i="127" s="1"/>
  <c r="BV7" i="127"/>
  <c r="BW7" i="127" s="1"/>
  <c r="BX7" i="127" s="1"/>
  <c r="BV20" i="127"/>
  <c r="BW20" i="127" s="1"/>
  <c r="BX20" i="127" s="1"/>
  <c r="BV21" i="127"/>
  <c r="BW21" i="127" s="1"/>
  <c r="BX21" i="127" s="1"/>
  <c r="AO174" i="8"/>
  <c r="P5" i="8"/>
  <c r="CP8" i="12"/>
  <c r="DA8" i="12" s="1"/>
  <c r="CP9" i="12"/>
  <c r="DA9" i="12" s="1"/>
  <c r="BT3" i="25"/>
  <c r="BT2" i="25"/>
  <c r="BT4" i="25"/>
  <c r="DM35" i="127" l="1"/>
  <c r="DL35" i="127"/>
  <c r="DM36" i="127"/>
  <c r="DL36" i="127"/>
  <c r="BT19" i="25"/>
  <c r="DM37" i="127"/>
  <c r="DL37" i="127"/>
  <c r="DM12" i="127"/>
  <c r="DL12" i="127"/>
  <c r="DM5" i="127"/>
  <c r="DL5" i="127"/>
  <c r="DM11" i="127"/>
  <c r="DL11" i="127"/>
  <c r="DB36" i="127"/>
  <c r="DE36" i="127" s="1"/>
  <c r="DB25" i="127"/>
  <c r="DE25" i="127" s="1"/>
  <c r="DB38" i="127"/>
  <c r="DE38" i="127" s="1"/>
  <c r="DB5" i="127"/>
  <c r="DB20" i="127"/>
  <c r="DE20" i="127" s="1"/>
  <c r="DB35" i="127"/>
  <c r="DE35" i="127" s="1"/>
  <c r="DB27" i="127"/>
  <c r="DE27" i="127" s="1"/>
  <c r="DB22" i="127"/>
  <c r="DE22" i="127" s="1"/>
  <c r="DB41" i="127"/>
  <c r="DE41" i="127" s="1"/>
  <c r="DB40" i="127"/>
  <c r="DE40" i="127" s="1"/>
  <c r="DB14" i="127"/>
  <c r="DE14" i="127" s="1"/>
  <c r="DB16" i="127"/>
  <c r="DE16" i="127" s="1"/>
  <c r="DB19" i="127"/>
  <c r="DE19" i="127" s="1"/>
  <c r="DB21" i="127"/>
  <c r="DE21" i="127" s="1"/>
  <c r="DB6" i="127"/>
  <c r="DE6" i="127" s="1"/>
  <c r="DB37" i="127"/>
  <c r="DE37" i="127" s="1"/>
  <c r="DB7" i="127"/>
  <c r="DE7" i="127" s="1"/>
  <c r="DB11" i="127"/>
  <c r="DE11" i="127" s="1"/>
  <c r="DB17" i="127"/>
  <c r="DE17" i="127" s="1"/>
  <c r="DB8" i="127"/>
  <c r="DE8" i="127" s="1"/>
  <c r="DB31" i="127"/>
  <c r="DE31" i="127" s="1"/>
  <c r="DB32" i="127"/>
  <c r="DE32" i="127" s="1"/>
  <c r="DB33" i="127"/>
  <c r="DE33" i="127" s="1"/>
  <c r="DB28" i="127"/>
  <c r="DE28" i="127" s="1"/>
  <c r="DB9" i="127"/>
  <c r="DE9" i="127" s="1"/>
  <c r="DB18" i="127"/>
  <c r="DE18" i="127" s="1"/>
  <c r="DB12" i="127"/>
  <c r="DE12" i="127" s="1"/>
  <c r="DB26" i="127"/>
  <c r="DE26" i="127" s="1"/>
  <c r="DB24" i="127"/>
  <c r="DE24" i="127" s="1"/>
  <c r="DB10" i="127"/>
  <c r="DE10" i="127" s="1"/>
  <c r="DB15" i="127"/>
  <c r="DE15" i="127" s="1"/>
  <c r="DB34" i="127"/>
  <c r="DE34" i="127" s="1"/>
  <c r="DB30" i="127"/>
  <c r="DE30" i="127" s="1"/>
  <c r="DB39" i="127"/>
  <c r="DE39" i="127" s="1"/>
  <c r="DB13" i="127"/>
  <c r="DE13" i="127" s="1"/>
  <c r="DB23" i="127"/>
  <c r="DE23" i="127" s="1"/>
  <c r="BU4" i="25"/>
  <c r="BU2" i="25"/>
  <c r="BU19" i="25" s="1"/>
  <c r="BU3" i="25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AP174" i="8"/>
  <c r="Q5" i="8"/>
  <c r="BW29" i="127"/>
  <c r="BX29" i="127" s="1"/>
  <c r="AA11" i="12"/>
  <c r="AE11" i="12"/>
  <c r="AU11" i="12"/>
  <c r="AM11" i="12"/>
  <c r="AQ11" i="12"/>
  <c r="AI11" i="12"/>
  <c r="M11" i="12"/>
  <c r="W11" i="12"/>
  <c r="Y11" i="12"/>
  <c r="AE7" i="12"/>
  <c r="AM7" i="12"/>
  <c r="AU7" i="12"/>
  <c r="AQ7" i="12"/>
  <c r="AA7" i="12"/>
  <c r="AI7" i="12"/>
  <c r="M7" i="12"/>
  <c r="W7" i="12"/>
  <c r="Y7" i="12"/>
  <c r="AM12" i="12"/>
  <c r="AE12" i="12"/>
  <c r="AA12" i="12"/>
  <c r="AI12" i="12"/>
  <c r="AQ12" i="12"/>
  <c r="AU12" i="12"/>
  <c r="M12" i="12"/>
  <c r="Y12" i="12"/>
  <c r="W12" i="12"/>
  <c r="AQ5" i="12"/>
  <c r="AE5" i="12"/>
  <c r="AM5" i="12"/>
  <c r="AA5" i="12"/>
  <c r="AU5" i="12"/>
  <c r="AI5" i="12"/>
  <c r="M5" i="12"/>
  <c r="W5" i="12"/>
  <c r="Y5" i="12"/>
  <c r="AM6" i="12"/>
  <c r="AI6" i="12"/>
  <c r="AU6" i="12"/>
  <c r="AE6" i="12"/>
  <c r="AQ6" i="12"/>
  <c r="AA6" i="12"/>
  <c r="M6" i="12"/>
  <c r="W6" i="12"/>
  <c r="Y6" i="12"/>
  <c r="AA10" i="12"/>
  <c r="AM10" i="12"/>
  <c r="AU10" i="12"/>
  <c r="AE10" i="12"/>
  <c r="AI10" i="12"/>
  <c r="AQ10" i="12"/>
  <c r="M10" i="12"/>
  <c r="W10" i="12"/>
  <c r="Y10" i="12"/>
  <c r="CI3" i="25"/>
  <c r="CH2" i="25"/>
  <c r="DK35" i="127" l="1"/>
  <c r="DN35" i="127"/>
  <c r="DN36" i="127"/>
  <c r="DK36" i="127"/>
  <c r="CG2" i="25"/>
  <c r="DK37" i="127"/>
  <c r="DN37" i="127"/>
  <c r="DM29" i="127"/>
  <c r="DL29" i="127"/>
  <c r="DN12" i="127"/>
  <c r="DK12" i="127"/>
  <c r="DN11" i="127"/>
  <c r="DK11" i="127"/>
  <c r="CG3" i="25"/>
  <c r="CM3" i="25"/>
  <c r="CG4" i="25"/>
  <c r="CM4" i="25"/>
  <c r="CM2" i="25"/>
  <c r="DE5" i="127"/>
  <c r="P145" i="8"/>
  <c r="P93" i="8"/>
  <c r="DB29" i="127"/>
  <c r="R5" i="8"/>
  <c r="AQ174" i="8"/>
  <c r="AR174" i="8" s="1"/>
  <c r="AS174" i="8" s="1"/>
  <c r="AT174" i="8" s="1"/>
  <c r="AU174" i="8" s="1"/>
  <c r="AV174" i="8" s="1"/>
  <c r="AW174" i="8" s="1"/>
  <c r="AX174" i="8" s="1"/>
  <c r="AY174" i="8" s="1"/>
  <c r="AZ174" i="8" s="1"/>
  <c r="BA174" i="8" s="1"/>
  <c r="BB174" i="8" s="1"/>
  <c r="BC174" i="8" s="1"/>
  <c r="BD174" i="8" s="1"/>
  <c r="BE174" i="8" s="1"/>
  <c r="BF174" i="8" s="1"/>
  <c r="BG174" i="8" s="1"/>
  <c r="BH174" i="8" s="1"/>
  <c r="BI174" i="8" s="1"/>
  <c r="BJ174" i="8" s="1"/>
  <c r="BK174" i="8" s="1"/>
  <c r="BL174" i="8" s="1"/>
  <c r="BM174" i="8" s="1"/>
  <c r="BN174" i="8" s="1"/>
  <c r="BO174" i="8" s="1"/>
  <c r="BP174" i="8" s="1"/>
  <c r="BQ174" i="8" s="1"/>
  <c r="BR174" i="8" s="1"/>
  <c r="BS174" i="8" s="1"/>
  <c r="BT174" i="8" s="1"/>
  <c r="BU174" i="8" s="1"/>
  <c r="BV174" i="8" s="1"/>
  <c r="BW174" i="8" s="1"/>
  <c r="BT33" i="125"/>
  <c r="BT32" i="125"/>
  <c r="BT35" i="125"/>
  <c r="BT38" i="125"/>
  <c r="BT22" i="125"/>
  <c r="BT11" i="125"/>
  <c r="BT10" i="125"/>
  <c r="BT9" i="125"/>
  <c r="BT12" i="125"/>
  <c r="BT41" i="125"/>
  <c r="BT29" i="125"/>
  <c r="BT28" i="125"/>
  <c r="BT31" i="125"/>
  <c r="BT34" i="125"/>
  <c r="BT21" i="125"/>
  <c r="BT7" i="125"/>
  <c r="BT6" i="125"/>
  <c r="BT5" i="125"/>
  <c r="BT8" i="125"/>
  <c r="BT40" i="125"/>
  <c r="BT25" i="125"/>
  <c r="BT24" i="125"/>
  <c r="BT27" i="125"/>
  <c r="BT30" i="125"/>
  <c r="BT19" i="125"/>
  <c r="BT18" i="125"/>
  <c r="BT17" i="125"/>
  <c r="BT20" i="125"/>
  <c r="BT37" i="125"/>
  <c r="BT36" i="125"/>
  <c r="BT39" i="125"/>
  <c r="BT23" i="125"/>
  <c r="BT26" i="125"/>
  <c r="BT15" i="125"/>
  <c r="BT14" i="125"/>
  <c r="BT13" i="125"/>
  <c r="BT16" i="125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Q6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B12" i="25"/>
  <c r="A12" i="25"/>
  <c r="B11" i="25"/>
  <c r="A11" i="25"/>
  <c r="B10" i="25"/>
  <c r="A10" i="25"/>
  <c r="C12" i="25"/>
  <c r="C11" i="25"/>
  <c r="U14" i="73" s="1"/>
  <c r="C10" i="25"/>
  <c r="BR7" i="25"/>
  <c r="CI2" i="25"/>
  <c r="CH4" i="25"/>
  <c r="DK5" i="127" l="1"/>
  <c r="DN5" i="127"/>
  <c r="R19" i="73"/>
  <c r="CL3" i="25"/>
  <c r="B14" i="73" s="1"/>
  <c r="CN3" i="25"/>
  <c r="CL2" i="25"/>
  <c r="CN2" i="25"/>
  <c r="CK3" i="25"/>
  <c r="C11" i="119" s="1"/>
  <c r="CL4" i="25"/>
  <c r="CK2" i="25"/>
  <c r="DE29" i="127"/>
  <c r="Q93" i="8"/>
  <c r="CS10" i="25"/>
  <c r="G15" i="73"/>
  <c r="H26" i="73"/>
  <c r="I15" i="73"/>
  <c r="H15" i="73"/>
  <c r="I26" i="73"/>
  <c r="J26" i="73"/>
  <c r="J15" i="73"/>
  <c r="G26" i="73"/>
  <c r="I31" i="119"/>
  <c r="H31" i="119"/>
  <c r="H12" i="119"/>
  <c r="I12" i="119"/>
  <c r="F31" i="119"/>
  <c r="F12" i="119"/>
  <c r="G31" i="119"/>
  <c r="K31" i="119"/>
  <c r="K12" i="119"/>
  <c r="L12" i="119"/>
  <c r="G12" i="119"/>
  <c r="L31" i="119"/>
  <c r="K26" i="73"/>
  <c r="K15" i="73"/>
  <c r="Q15" i="73"/>
  <c r="S15" i="73"/>
  <c r="T15" i="73" s="1"/>
  <c r="C15" i="73"/>
  <c r="N15" i="73"/>
  <c r="M15" i="73"/>
  <c r="Q26" i="73"/>
  <c r="C26" i="73"/>
  <c r="D15" i="73"/>
  <c r="N26" i="73"/>
  <c r="M26" i="73"/>
  <c r="D26" i="73"/>
  <c r="E15" i="73"/>
  <c r="F15" i="73"/>
  <c r="BZ174" i="8"/>
  <c r="CA174" i="8" s="1"/>
  <c r="CB174" i="8" s="1"/>
  <c r="CC174" i="8" s="1"/>
  <c r="CD174" i="8" s="1"/>
  <c r="CE174" i="8" s="1"/>
  <c r="CF174" i="8" s="1"/>
  <c r="CG174" i="8" s="1"/>
  <c r="CH174" i="8" s="1"/>
  <c r="CI174" i="8" s="1"/>
  <c r="CJ174" i="8" s="1"/>
  <c r="CK174" i="8" s="1"/>
  <c r="CL174" i="8" s="1"/>
  <c r="BX174" i="8"/>
  <c r="BY174" i="8" s="1"/>
  <c r="CS12" i="25"/>
  <c r="I30" i="73"/>
  <c r="I31" i="73" s="1"/>
  <c r="H30" i="73"/>
  <c r="H31" i="73" s="1"/>
  <c r="H35" i="119"/>
  <c r="H36" i="119" s="1"/>
  <c r="J30" i="73"/>
  <c r="J31" i="73" s="1"/>
  <c r="I19" i="73"/>
  <c r="J19" i="73"/>
  <c r="H16" i="119"/>
  <c r="G30" i="73"/>
  <c r="G31" i="73" s="1"/>
  <c r="G19" i="73"/>
  <c r="I16" i="119"/>
  <c r="H19" i="73"/>
  <c r="I35" i="119"/>
  <c r="I36" i="119" s="1"/>
  <c r="E36" i="119"/>
  <c r="K35" i="119"/>
  <c r="K36" i="119" s="1"/>
  <c r="F35" i="119"/>
  <c r="F36" i="119" s="1"/>
  <c r="F16" i="119"/>
  <c r="K16" i="119"/>
  <c r="G16" i="119"/>
  <c r="L35" i="119"/>
  <c r="L36" i="119" s="1"/>
  <c r="G35" i="119"/>
  <c r="G36" i="119" s="1"/>
  <c r="L16" i="119"/>
  <c r="K30" i="73"/>
  <c r="K31" i="73" s="1"/>
  <c r="K19" i="73"/>
  <c r="Q19" i="73"/>
  <c r="C19" i="73"/>
  <c r="S19" i="73"/>
  <c r="M19" i="73"/>
  <c r="N19" i="73"/>
  <c r="Q30" i="73"/>
  <c r="Q31" i="73" s="1"/>
  <c r="C30" i="73"/>
  <c r="C31" i="73" s="1"/>
  <c r="N30" i="73"/>
  <c r="N31" i="73" s="1"/>
  <c r="M30" i="73"/>
  <c r="D19" i="73"/>
  <c r="D30" i="73"/>
  <c r="D31" i="73" s="1"/>
  <c r="E19" i="73"/>
  <c r="F19" i="73"/>
  <c r="R14" i="73"/>
  <c r="R15" i="73"/>
  <c r="U15" i="73"/>
  <c r="CS11" i="25"/>
  <c r="I25" i="73"/>
  <c r="J25" i="73"/>
  <c r="H25" i="73"/>
  <c r="H14" i="73"/>
  <c r="I14" i="73"/>
  <c r="J14" i="73"/>
  <c r="I30" i="119"/>
  <c r="I11" i="119"/>
  <c r="H11" i="119"/>
  <c r="G25" i="73"/>
  <c r="H30" i="119"/>
  <c r="G14" i="73"/>
  <c r="F30" i="119"/>
  <c r="G30" i="119"/>
  <c r="K30" i="119"/>
  <c r="F11" i="119"/>
  <c r="K11" i="119"/>
  <c r="L11" i="119"/>
  <c r="G11" i="119"/>
  <c r="L30" i="119"/>
  <c r="K25" i="73"/>
  <c r="K14" i="73"/>
  <c r="S14" i="73"/>
  <c r="T14" i="73" s="1"/>
  <c r="Q14" i="73"/>
  <c r="C14" i="73"/>
  <c r="M14" i="73"/>
  <c r="N14" i="73"/>
  <c r="S25" i="73"/>
  <c r="C25" i="73"/>
  <c r="Q25" i="73"/>
  <c r="D14" i="73"/>
  <c r="N25" i="73"/>
  <c r="M25" i="73"/>
  <c r="D25" i="73"/>
  <c r="E14" i="73"/>
  <c r="F14" i="73"/>
  <c r="BU36" i="125"/>
  <c r="BU39" i="125"/>
  <c r="BU23" i="125"/>
  <c r="BU30" i="125"/>
  <c r="BU33" i="125"/>
  <c r="BU18" i="125"/>
  <c r="BU17" i="125"/>
  <c r="BU20" i="125"/>
  <c r="BU19" i="125"/>
  <c r="BU32" i="125"/>
  <c r="BU35" i="125"/>
  <c r="BU40" i="125"/>
  <c r="BU26" i="125"/>
  <c r="BU29" i="125"/>
  <c r="BU14" i="125"/>
  <c r="BU13" i="125"/>
  <c r="BU16" i="125"/>
  <c r="BU15" i="125"/>
  <c r="BU28" i="125"/>
  <c r="BU31" i="125"/>
  <c r="BU38" i="125"/>
  <c r="BU22" i="125"/>
  <c r="BU25" i="125"/>
  <c r="BU10" i="125"/>
  <c r="BU9" i="125"/>
  <c r="BU12" i="125"/>
  <c r="BU11" i="125"/>
  <c r="BU41" i="125"/>
  <c r="BU24" i="125"/>
  <c r="BU27" i="125"/>
  <c r="BU34" i="125"/>
  <c r="BU37" i="125"/>
  <c r="BU21" i="125"/>
  <c r="BU6" i="125"/>
  <c r="BU5" i="125"/>
  <c r="BU8" i="125"/>
  <c r="BU7" i="125"/>
  <c r="Q146" i="8"/>
  <c r="Q145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BT35" i="12"/>
  <c r="BT34" i="12"/>
  <c r="BT20" i="12"/>
  <c r="BT40" i="12"/>
  <c r="BT30" i="12"/>
  <c r="BT22" i="12"/>
  <c r="BT27" i="12"/>
  <c r="BT24" i="12"/>
  <c r="BT25" i="12"/>
  <c r="BT23" i="12"/>
  <c r="BT38" i="12"/>
  <c r="BT39" i="12"/>
  <c r="BT21" i="12"/>
  <c r="BT33" i="12"/>
  <c r="BT31" i="12"/>
  <c r="BT37" i="12"/>
  <c r="BT41" i="12"/>
  <c r="BT28" i="12"/>
  <c r="BT32" i="12"/>
  <c r="BT36" i="12"/>
  <c r="BT26" i="12"/>
  <c r="BT19" i="12"/>
  <c r="BT29" i="12"/>
  <c r="BT18" i="12"/>
  <c r="BT13" i="12"/>
  <c r="BT14" i="12"/>
  <c r="BT15" i="12"/>
  <c r="BT16" i="12"/>
  <c r="BT17" i="12"/>
  <c r="BT9" i="12"/>
  <c r="BT8" i="12"/>
  <c r="R6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H10" i="25"/>
  <c r="P10" i="25"/>
  <c r="K10" i="25"/>
  <c r="J10" i="25"/>
  <c r="I10" i="25"/>
  <c r="P11" i="25"/>
  <c r="Q11" i="25" s="1"/>
  <c r="M11" i="25"/>
  <c r="I11" i="25"/>
  <c r="K11" i="25"/>
  <c r="H11" i="25"/>
  <c r="L11" i="25"/>
  <c r="J11" i="25"/>
  <c r="P12" i="25"/>
  <c r="Q12" i="25" s="1"/>
  <c r="K12" i="25"/>
  <c r="J12" i="25"/>
  <c r="I12" i="25"/>
  <c r="H12" i="25"/>
  <c r="Q10" i="25"/>
  <c r="BS7" i="25"/>
  <c r="CI4" i="25"/>
  <c r="BR8" i="25"/>
  <c r="CJ12" i="25"/>
  <c r="BR6" i="25"/>
  <c r="C16" i="119" l="1"/>
  <c r="B19" i="73"/>
  <c r="C12" i="119"/>
  <c r="B15" i="73"/>
  <c r="H27" i="73"/>
  <c r="H33" i="73" s="1"/>
  <c r="CK4" i="25"/>
  <c r="CN4" i="25"/>
  <c r="D32" i="119"/>
  <c r="DN29" i="127"/>
  <c r="DK29" i="127"/>
  <c r="U19" i="73"/>
  <c r="T19" i="73"/>
  <c r="F32" i="119"/>
  <c r="F38" i="119" s="1"/>
  <c r="C32" i="101" s="1"/>
  <c r="D32" i="101" s="1"/>
  <c r="I32" i="119"/>
  <c r="I38" i="119" s="1"/>
  <c r="C33" i="101" s="1"/>
  <c r="D33" i="101" s="1"/>
  <c r="R93" i="8"/>
  <c r="R145" i="8"/>
  <c r="J27" i="73"/>
  <c r="J33" i="73" s="1"/>
  <c r="K27" i="73"/>
  <c r="K33" i="73" s="1"/>
  <c r="I27" i="73"/>
  <c r="I33" i="73" s="1"/>
  <c r="K32" i="119"/>
  <c r="K38" i="119" s="1"/>
  <c r="C42" i="119" s="1"/>
  <c r="D27" i="73"/>
  <c r="D33" i="73" s="1"/>
  <c r="C27" i="73"/>
  <c r="C33" i="73" s="1"/>
  <c r="N27" i="73"/>
  <c r="N33" i="73" s="1"/>
  <c r="L32" i="119"/>
  <c r="L38" i="119" s="1"/>
  <c r="I42" i="119" s="1"/>
  <c r="Q27" i="73"/>
  <c r="Q33" i="73" s="1"/>
  <c r="O19" i="73"/>
  <c r="P19" i="73" s="1"/>
  <c r="L19" i="73"/>
  <c r="O26" i="73"/>
  <c r="P26" i="73" s="1"/>
  <c r="H32" i="119"/>
  <c r="H38" i="119" s="1"/>
  <c r="C34" i="101" s="1"/>
  <c r="D34" i="101" s="1"/>
  <c r="G32" i="119"/>
  <c r="G38" i="119" s="1"/>
  <c r="C31" i="101" s="1"/>
  <c r="D31" i="101" s="1"/>
  <c r="E32" i="119"/>
  <c r="E38" i="119" s="1"/>
  <c r="C44" i="101" s="1"/>
  <c r="L15" i="73"/>
  <c r="M31" i="73"/>
  <c r="O30" i="73"/>
  <c r="O15" i="73"/>
  <c r="P15" i="73" s="1"/>
  <c r="CM174" i="8"/>
  <c r="S4" i="8"/>
  <c r="G27" i="73"/>
  <c r="G33" i="73" s="1"/>
  <c r="M27" i="73"/>
  <c r="O25" i="73"/>
  <c r="E25" i="73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BV31" i="125"/>
  <c r="BW31" i="125" s="1"/>
  <c r="BX31" i="125" s="1"/>
  <c r="BV17" i="125"/>
  <c r="BW17" i="125" s="1"/>
  <c r="BX17" i="125" s="1"/>
  <c r="BV6" i="125"/>
  <c r="BW6" i="125" s="1"/>
  <c r="BX6" i="125" s="1"/>
  <c r="BV30" i="125"/>
  <c r="BW30" i="125" s="1"/>
  <c r="BX30" i="125" s="1"/>
  <c r="BV16" i="125"/>
  <c r="BW16" i="125" s="1"/>
  <c r="BX16" i="125" s="1"/>
  <c r="BV26" i="125"/>
  <c r="BW26" i="125" s="1"/>
  <c r="BX26" i="125" s="1"/>
  <c r="BV12" i="125"/>
  <c r="BW12" i="125" s="1"/>
  <c r="BX12" i="125" s="1"/>
  <c r="BV35" i="125"/>
  <c r="BW35" i="125" s="1"/>
  <c r="BX35" i="125" s="1"/>
  <c r="BV24" i="125"/>
  <c r="BW24" i="125" s="1"/>
  <c r="BX24" i="125" s="1"/>
  <c r="BV34" i="125"/>
  <c r="BW34" i="125" s="1"/>
  <c r="BX34" i="125" s="1"/>
  <c r="BV20" i="125"/>
  <c r="BW20" i="125" s="1"/>
  <c r="BX20" i="125" s="1"/>
  <c r="BV18" i="125"/>
  <c r="BW18" i="125" s="1"/>
  <c r="BX18" i="125" s="1"/>
  <c r="BV33" i="125"/>
  <c r="BW33" i="125" s="1"/>
  <c r="BX33" i="125" s="1"/>
  <c r="BV15" i="125"/>
  <c r="BW15" i="125" s="1"/>
  <c r="BX15" i="125" s="1"/>
  <c r="BV29" i="125"/>
  <c r="BV11" i="125"/>
  <c r="BW11" i="125" s="1"/>
  <c r="BX11" i="125" s="1"/>
  <c r="BV38" i="125"/>
  <c r="BW38" i="125" s="1"/>
  <c r="BX38" i="125" s="1"/>
  <c r="BV5" i="125"/>
  <c r="BW5" i="125" s="1"/>
  <c r="BX5" i="125" s="1"/>
  <c r="BV37" i="125"/>
  <c r="BW37" i="125" s="1"/>
  <c r="BX37" i="125" s="1"/>
  <c r="BV19" i="125"/>
  <c r="BW19" i="125" s="1"/>
  <c r="BX19" i="125" s="1"/>
  <c r="BV40" i="125"/>
  <c r="BW40" i="125" s="1"/>
  <c r="BX40" i="125" s="1"/>
  <c r="BV32" i="125"/>
  <c r="BW32" i="125" s="1"/>
  <c r="BX32" i="125" s="1"/>
  <c r="BV39" i="125"/>
  <c r="BW39" i="125" s="1"/>
  <c r="BX39" i="125" s="1"/>
  <c r="BV28" i="125"/>
  <c r="BW28" i="125" s="1"/>
  <c r="BX28" i="125" s="1"/>
  <c r="BV14" i="125"/>
  <c r="BW14" i="125" s="1"/>
  <c r="BX14" i="125" s="1"/>
  <c r="BV22" i="125"/>
  <c r="BW22" i="125" s="1"/>
  <c r="BX22" i="125" s="1"/>
  <c r="BV8" i="125"/>
  <c r="BW8" i="125" s="1"/>
  <c r="BX8" i="125" s="1"/>
  <c r="BV41" i="125"/>
  <c r="BW41" i="125" s="1"/>
  <c r="BX41" i="125" s="1"/>
  <c r="BV36" i="125"/>
  <c r="BW36" i="125" s="1"/>
  <c r="BX36" i="125" s="1"/>
  <c r="BV21" i="125"/>
  <c r="BW21" i="125" s="1"/>
  <c r="BX21" i="125" s="1"/>
  <c r="BV27" i="125"/>
  <c r="BW27" i="125" s="1"/>
  <c r="BX27" i="125" s="1"/>
  <c r="BV13" i="125"/>
  <c r="BW13" i="125" s="1"/>
  <c r="BX13" i="125" s="1"/>
  <c r="BV23" i="125"/>
  <c r="BW23" i="125" s="1"/>
  <c r="BX23" i="125" s="1"/>
  <c r="BV9" i="125"/>
  <c r="BW9" i="125" s="1"/>
  <c r="BX9" i="125" s="1"/>
  <c r="BV7" i="125"/>
  <c r="BW7" i="125" s="1"/>
  <c r="BX7" i="125" s="1"/>
  <c r="BV25" i="125"/>
  <c r="BW25" i="125" s="1"/>
  <c r="BX25" i="125" s="1"/>
  <c r="BV10" i="125"/>
  <c r="BW10" i="125" s="1"/>
  <c r="BX10" i="125" s="1"/>
  <c r="BU36" i="12"/>
  <c r="BU30" i="12"/>
  <c r="BU31" i="12"/>
  <c r="BU24" i="12"/>
  <c r="BU19" i="12"/>
  <c r="BU29" i="12"/>
  <c r="BU35" i="12"/>
  <c r="BU33" i="12"/>
  <c r="BU23" i="12"/>
  <c r="BU41" i="12"/>
  <c r="BU22" i="12"/>
  <c r="BU21" i="12"/>
  <c r="BU18" i="12"/>
  <c r="BU37" i="12"/>
  <c r="BU40" i="12"/>
  <c r="BU25" i="12"/>
  <c r="BU27" i="12"/>
  <c r="BU26" i="12"/>
  <c r="BU20" i="12"/>
  <c r="BU28" i="12"/>
  <c r="BU34" i="12"/>
  <c r="BU38" i="12"/>
  <c r="BU32" i="12"/>
  <c r="BU39" i="12"/>
  <c r="BU13" i="12"/>
  <c r="BU15" i="12"/>
  <c r="BU14" i="12"/>
  <c r="BU16" i="12"/>
  <c r="BU17" i="12"/>
  <c r="BU9" i="12"/>
  <c r="BU8" i="12"/>
  <c r="I11" i="12"/>
  <c r="BB5" i="12"/>
  <c r="BA5" i="12"/>
  <c r="I5" i="12"/>
  <c r="AC5" i="12"/>
  <c r="AO5" i="12"/>
  <c r="AS5" i="12"/>
  <c r="AW5" i="12"/>
  <c r="AG5" i="12"/>
  <c r="AK5" i="12"/>
  <c r="P5" i="12"/>
  <c r="V5" i="12"/>
  <c r="Z5" i="12"/>
  <c r="X5" i="12"/>
  <c r="BA6" i="12"/>
  <c r="I6" i="12"/>
  <c r="BB6" i="12"/>
  <c r="AS6" i="12"/>
  <c r="AO6" i="12"/>
  <c r="AG6" i="12"/>
  <c r="AC6" i="12"/>
  <c r="AW6" i="12"/>
  <c r="AK6" i="12"/>
  <c r="P6" i="12"/>
  <c r="V6" i="12"/>
  <c r="Z6" i="12"/>
  <c r="X6" i="12"/>
  <c r="I12" i="12"/>
  <c r="BB12" i="12"/>
  <c r="AO12" i="12"/>
  <c r="BA12" i="12"/>
  <c r="AK12" i="12"/>
  <c r="AW12" i="12"/>
  <c r="AG12" i="12"/>
  <c r="AS12" i="12"/>
  <c r="AC12" i="12"/>
  <c r="P12" i="12"/>
  <c r="Z12" i="12"/>
  <c r="X12" i="12"/>
  <c r="V12" i="12"/>
  <c r="BA7" i="12"/>
  <c r="BB7" i="12"/>
  <c r="I7" i="12"/>
  <c r="AK7" i="12"/>
  <c r="AW7" i="12"/>
  <c r="AS7" i="12"/>
  <c r="P7" i="12"/>
  <c r="AG7" i="12"/>
  <c r="AC7" i="12"/>
  <c r="AO7" i="12"/>
  <c r="X7" i="12"/>
  <c r="V7" i="12"/>
  <c r="Z7" i="12"/>
  <c r="I10" i="12"/>
  <c r="BB10" i="12"/>
  <c r="AS10" i="12"/>
  <c r="AC10" i="12"/>
  <c r="AO10" i="12"/>
  <c r="BA10" i="12"/>
  <c r="AK10" i="12"/>
  <c r="AW10" i="12"/>
  <c r="AG10" i="12"/>
  <c r="P10" i="12"/>
  <c r="X10" i="12"/>
  <c r="V10" i="12"/>
  <c r="Z10" i="12"/>
  <c r="AC11" i="12"/>
  <c r="BA11" i="12"/>
  <c r="BB11" i="12"/>
  <c r="AW11" i="12"/>
  <c r="AO11" i="12"/>
  <c r="P11" i="12"/>
  <c r="AS11" i="12"/>
  <c r="AK11" i="12"/>
  <c r="AG11" i="12"/>
  <c r="V11" i="12"/>
  <c r="Z11" i="12"/>
  <c r="X11" i="12"/>
  <c r="N11" i="25"/>
  <c r="BT7" i="25"/>
  <c r="BS8" i="25"/>
  <c r="BT8" i="25"/>
  <c r="BT6" i="25"/>
  <c r="BS6" i="25"/>
  <c r="DM35" i="125" l="1"/>
  <c r="DL35" i="125"/>
  <c r="DM36" i="125"/>
  <c r="DL36" i="125"/>
  <c r="DM37" i="125"/>
  <c r="DL37" i="125"/>
  <c r="BS5" i="12"/>
  <c r="BP5" i="12"/>
  <c r="BR5" i="12"/>
  <c r="BS12" i="12"/>
  <c r="BP12" i="12"/>
  <c r="BR12" i="12"/>
  <c r="DM5" i="125"/>
  <c r="DL5" i="125"/>
  <c r="DM12" i="125"/>
  <c r="DL12" i="125"/>
  <c r="E30" i="73"/>
  <c r="E31" i="73" s="1"/>
  <c r="E26" i="73"/>
  <c r="E27" i="73" s="1"/>
  <c r="BS11" i="12"/>
  <c r="BP11" i="12"/>
  <c r="BR11" i="12"/>
  <c r="DM11" i="125"/>
  <c r="DL11" i="125"/>
  <c r="C41" i="119"/>
  <c r="C43" i="119" s="1"/>
  <c r="D41" i="119" s="1"/>
  <c r="E41" i="119" s="1"/>
  <c r="M33" i="73"/>
  <c r="I41" i="119"/>
  <c r="I43" i="119" s="1"/>
  <c r="J41" i="119" s="1"/>
  <c r="K41" i="119" s="1"/>
  <c r="O27" i="73"/>
  <c r="P25" i="73"/>
  <c r="P27" i="73" s="1"/>
  <c r="CN174" i="8"/>
  <c r="T4" i="8"/>
  <c r="O31" i="73"/>
  <c r="P30" i="73"/>
  <c r="P31" i="73" s="1"/>
  <c r="BH12" i="12"/>
  <c r="BM12" i="12"/>
  <c r="BN12" i="12" s="1"/>
  <c r="BH11" i="12"/>
  <c r="BM11" i="12"/>
  <c r="BN11" i="12" s="1"/>
  <c r="O11" i="25"/>
  <c r="D49" i="119" s="1"/>
  <c r="BH5" i="12"/>
  <c r="BM5" i="12"/>
  <c r="BN5" i="12" s="1"/>
  <c r="DB25" i="125"/>
  <c r="DE25" i="125" s="1"/>
  <c r="DB13" i="125"/>
  <c r="DE13" i="125" s="1"/>
  <c r="DB41" i="125"/>
  <c r="DE41" i="125" s="1"/>
  <c r="DB28" i="125"/>
  <c r="DE28" i="125" s="1"/>
  <c r="DB19" i="125"/>
  <c r="DE19" i="125" s="1"/>
  <c r="DB11" i="125"/>
  <c r="DE11" i="125" s="1"/>
  <c r="DB18" i="125"/>
  <c r="DE18" i="125" s="1"/>
  <c r="DB35" i="125"/>
  <c r="DE35" i="125" s="1"/>
  <c r="DB30" i="125"/>
  <c r="DE30" i="125" s="1"/>
  <c r="DB7" i="125"/>
  <c r="DE7" i="125" s="1"/>
  <c r="DB27" i="125"/>
  <c r="DE27" i="125" s="1"/>
  <c r="DB8" i="125"/>
  <c r="DE8" i="125" s="1"/>
  <c r="DB39" i="125"/>
  <c r="DE39" i="125" s="1"/>
  <c r="DB37" i="125"/>
  <c r="DE37" i="125" s="1"/>
  <c r="DB20" i="125"/>
  <c r="DE20" i="125" s="1"/>
  <c r="DB12" i="125"/>
  <c r="DE12" i="125" s="1"/>
  <c r="DB6" i="125"/>
  <c r="DE6" i="125" s="1"/>
  <c r="DB9" i="125"/>
  <c r="DE9" i="125" s="1"/>
  <c r="DB21" i="125"/>
  <c r="DE21" i="125" s="1"/>
  <c r="DB22" i="125"/>
  <c r="DE22" i="125" s="1"/>
  <c r="DB32" i="125"/>
  <c r="DE32" i="125" s="1"/>
  <c r="DB15" i="125"/>
  <c r="DE15" i="125" s="1"/>
  <c r="DB34" i="125"/>
  <c r="DE34" i="125" s="1"/>
  <c r="DB26" i="125"/>
  <c r="DE26" i="125" s="1"/>
  <c r="DB17" i="125"/>
  <c r="DE17" i="125" s="1"/>
  <c r="DB5" i="125"/>
  <c r="DB10" i="125"/>
  <c r="DE10" i="125" s="1"/>
  <c r="DB23" i="125"/>
  <c r="DE23" i="125" s="1"/>
  <c r="DB36" i="125"/>
  <c r="DE36" i="125" s="1"/>
  <c r="DB14" i="125"/>
  <c r="DE14" i="125" s="1"/>
  <c r="DB40" i="125"/>
  <c r="DE40" i="125" s="1"/>
  <c r="DB38" i="125"/>
  <c r="DE38" i="125" s="1"/>
  <c r="DB33" i="125"/>
  <c r="DE33" i="125" s="1"/>
  <c r="DB24" i="125"/>
  <c r="DE24" i="125" s="1"/>
  <c r="DB16" i="125"/>
  <c r="DE16" i="125" s="1"/>
  <c r="DB31" i="125"/>
  <c r="DE31" i="125" s="1"/>
  <c r="F25" i="73"/>
  <c r="BU7" i="25"/>
  <c r="F26" i="73"/>
  <c r="BU6" i="25"/>
  <c r="F30" i="73"/>
  <c r="F31" i="73" s="1"/>
  <c r="BU8" i="25"/>
  <c r="BV31" i="12"/>
  <c r="BW31" i="12" s="1"/>
  <c r="BX31" i="12" s="1"/>
  <c r="DB31" i="12" s="1"/>
  <c r="DE31" i="12" s="1"/>
  <c r="BV30" i="12"/>
  <c r="BW30" i="12" s="1"/>
  <c r="BX30" i="12" s="1"/>
  <c r="DB30" i="12" s="1"/>
  <c r="DE30" i="12" s="1"/>
  <c r="BV32" i="12"/>
  <c r="BW32" i="12" s="1"/>
  <c r="BX32" i="12" s="1"/>
  <c r="DB32" i="12" s="1"/>
  <c r="DE32" i="12" s="1"/>
  <c r="BV18" i="12"/>
  <c r="BW18" i="12" s="1"/>
  <c r="BX18" i="12" s="1"/>
  <c r="DB18" i="12" s="1"/>
  <c r="DE18" i="12" s="1"/>
  <c r="BV35" i="12"/>
  <c r="BW35" i="12" s="1"/>
  <c r="BX35" i="12" s="1"/>
  <c r="BV23" i="12"/>
  <c r="BW23" i="12" s="1"/>
  <c r="BX23" i="12" s="1"/>
  <c r="DB23" i="12" s="1"/>
  <c r="DE23" i="12" s="1"/>
  <c r="BV41" i="12"/>
  <c r="BW41" i="12" s="1"/>
  <c r="BX41" i="12" s="1"/>
  <c r="DB41" i="12" s="1"/>
  <c r="DE41" i="12" s="1"/>
  <c r="BV19" i="12"/>
  <c r="BW19" i="12" s="1"/>
  <c r="BX19" i="12" s="1"/>
  <c r="DB19" i="12" s="1"/>
  <c r="DE19" i="12" s="1"/>
  <c r="BV27" i="12"/>
  <c r="BW27" i="12" s="1"/>
  <c r="BX27" i="12" s="1"/>
  <c r="DB27" i="12" s="1"/>
  <c r="DE27" i="12" s="1"/>
  <c r="BV40" i="12"/>
  <c r="BW40" i="12" s="1"/>
  <c r="BX40" i="12" s="1"/>
  <c r="DB40" i="12" s="1"/>
  <c r="DE40" i="12" s="1"/>
  <c r="BV26" i="12"/>
  <c r="BW26" i="12" s="1"/>
  <c r="BX26" i="12" s="1"/>
  <c r="DB26" i="12" s="1"/>
  <c r="DE26" i="12" s="1"/>
  <c r="BV24" i="12"/>
  <c r="BW24" i="12" s="1"/>
  <c r="BX24" i="12" s="1"/>
  <c r="DB24" i="12" s="1"/>
  <c r="DE24" i="12" s="1"/>
  <c r="BV28" i="12"/>
  <c r="BW28" i="12" s="1"/>
  <c r="BX28" i="12" s="1"/>
  <c r="DB28" i="12" s="1"/>
  <c r="DE28" i="12" s="1"/>
  <c r="BV21" i="12"/>
  <c r="BW21" i="12" s="1"/>
  <c r="BX21" i="12" s="1"/>
  <c r="DB21" i="12" s="1"/>
  <c r="DE21" i="12" s="1"/>
  <c r="BV37" i="12"/>
  <c r="BW37" i="12" s="1"/>
  <c r="BX37" i="12" s="1"/>
  <c r="BV34" i="12"/>
  <c r="BW34" i="12" s="1"/>
  <c r="BX34" i="12" s="1"/>
  <c r="DB34" i="12" s="1"/>
  <c r="DE34" i="12" s="1"/>
  <c r="BV36" i="12"/>
  <c r="BW36" i="12" s="1"/>
  <c r="BX36" i="12" s="1"/>
  <c r="BV39" i="12"/>
  <c r="BW39" i="12" s="1"/>
  <c r="BX39" i="12" s="1"/>
  <c r="DB39" i="12" s="1"/>
  <c r="DE39" i="12" s="1"/>
  <c r="BV20" i="12"/>
  <c r="BW20" i="12" s="1"/>
  <c r="BX20" i="12" s="1"/>
  <c r="DB20" i="12" s="1"/>
  <c r="DE20" i="12" s="1"/>
  <c r="BV22" i="12"/>
  <c r="BW22" i="12" s="1"/>
  <c r="BX22" i="12" s="1"/>
  <c r="DB22" i="12" s="1"/>
  <c r="DE22" i="12" s="1"/>
  <c r="BV29" i="12"/>
  <c r="BW29" i="12" s="1"/>
  <c r="BX29" i="12" s="1"/>
  <c r="BV25" i="12"/>
  <c r="BW25" i="12" s="1"/>
  <c r="BX25" i="12" s="1"/>
  <c r="DB25" i="12" s="1"/>
  <c r="DE25" i="12" s="1"/>
  <c r="BV38" i="12"/>
  <c r="BW38" i="12" s="1"/>
  <c r="BX38" i="12" s="1"/>
  <c r="DB38" i="12" s="1"/>
  <c r="DE38" i="12" s="1"/>
  <c r="BV33" i="12"/>
  <c r="BW33" i="12" s="1"/>
  <c r="BX33" i="12" s="1"/>
  <c r="DB33" i="12" s="1"/>
  <c r="DE33" i="12" s="1"/>
  <c r="BV13" i="12"/>
  <c r="BW13" i="12" s="1"/>
  <c r="BX13" i="12" s="1"/>
  <c r="DB13" i="12" s="1"/>
  <c r="DE13" i="12" s="1"/>
  <c r="BV17" i="12"/>
  <c r="BW17" i="12" s="1"/>
  <c r="BX17" i="12" s="1"/>
  <c r="DB17" i="12" s="1"/>
  <c r="DE17" i="12" s="1"/>
  <c r="BV14" i="12"/>
  <c r="BW14" i="12" s="1"/>
  <c r="BX14" i="12" s="1"/>
  <c r="DB14" i="12" s="1"/>
  <c r="DE14" i="12" s="1"/>
  <c r="BV16" i="12"/>
  <c r="BW16" i="12" s="1"/>
  <c r="BX16" i="12" s="1"/>
  <c r="DB16" i="12" s="1"/>
  <c r="DE16" i="12" s="1"/>
  <c r="BV15" i="12"/>
  <c r="BW15" i="12" s="1"/>
  <c r="BX15" i="12" s="1"/>
  <c r="DB15" i="12" s="1"/>
  <c r="DE15" i="12" s="1"/>
  <c r="BV8" i="12"/>
  <c r="BW8" i="12" s="1"/>
  <c r="BX8" i="12" s="1"/>
  <c r="DB8" i="12" s="1"/>
  <c r="DE8" i="12" s="1"/>
  <c r="BV9" i="12"/>
  <c r="BW9" i="12" s="1"/>
  <c r="BX9" i="12" s="1"/>
  <c r="DB9" i="12" s="1"/>
  <c r="DE9" i="12" s="1"/>
  <c r="BW29" i="125"/>
  <c r="BX29" i="125" s="1"/>
  <c r="K10" i="12"/>
  <c r="AP10" i="12"/>
  <c r="K7" i="12"/>
  <c r="K12" i="12"/>
  <c r="CZ12" i="12"/>
  <c r="BQ10" i="12"/>
  <c r="AX10" i="12"/>
  <c r="AT7" i="12"/>
  <c r="CZ7" i="12"/>
  <c r="AT12" i="12"/>
  <c r="K6" i="12"/>
  <c r="K11" i="12"/>
  <c r="AX11" i="12"/>
  <c r="AP11" i="12"/>
  <c r="AL10" i="12"/>
  <c r="AT10" i="12"/>
  <c r="AX7" i="12"/>
  <c r="AP12" i="12"/>
  <c r="AL6" i="12"/>
  <c r="K5" i="12"/>
  <c r="AH7" i="12"/>
  <c r="CT7" i="12"/>
  <c r="BU12" i="12"/>
  <c r="BV12" i="12"/>
  <c r="BT12" i="12"/>
  <c r="BC12" i="12"/>
  <c r="CY12" i="12"/>
  <c r="Q6" i="12"/>
  <c r="DH6" i="12"/>
  <c r="DF6" i="12"/>
  <c r="DG6" i="12"/>
  <c r="DI6" i="12"/>
  <c r="AH6" i="12"/>
  <c r="CT6" i="12"/>
  <c r="AH5" i="12"/>
  <c r="CT5" i="12"/>
  <c r="AD5" i="12"/>
  <c r="AY5" i="12"/>
  <c r="CG5" i="12"/>
  <c r="DD5" i="12"/>
  <c r="AH11" i="12"/>
  <c r="CT11" i="12"/>
  <c r="BC11" i="12"/>
  <c r="CY11" i="12"/>
  <c r="AD10" i="12"/>
  <c r="AY10" i="12"/>
  <c r="CG10" i="12"/>
  <c r="DD10" i="12"/>
  <c r="BU11" i="12"/>
  <c r="BV11" i="12"/>
  <c r="BT11" i="12"/>
  <c r="AD11" i="12"/>
  <c r="AY11" i="12"/>
  <c r="CG11" i="12"/>
  <c r="DD11" i="12"/>
  <c r="Q7" i="12"/>
  <c r="DF7" i="12"/>
  <c r="DG7" i="12"/>
  <c r="DI7" i="12"/>
  <c r="DH7" i="12"/>
  <c r="AH12" i="12"/>
  <c r="CT12" i="12"/>
  <c r="BT6" i="12"/>
  <c r="BU6" i="12"/>
  <c r="BV6" i="12"/>
  <c r="BC6" i="12"/>
  <c r="CY6" i="12"/>
  <c r="BV10" i="12"/>
  <c r="BU10" i="12"/>
  <c r="BT10" i="12"/>
  <c r="Q10" i="12"/>
  <c r="DG10" i="12"/>
  <c r="DH10" i="12"/>
  <c r="DF10" i="12"/>
  <c r="DI10" i="12"/>
  <c r="BC10" i="12"/>
  <c r="CY10" i="12"/>
  <c r="BU7" i="12"/>
  <c r="BV7" i="12"/>
  <c r="BT7" i="12"/>
  <c r="Q12" i="12"/>
  <c r="DH12" i="12"/>
  <c r="DF12" i="12"/>
  <c r="DG12" i="12"/>
  <c r="DI12" i="12"/>
  <c r="Q5" i="12"/>
  <c r="DF5" i="12"/>
  <c r="DH5" i="12"/>
  <c r="DG5" i="12"/>
  <c r="DI5" i="12"/>
  <c r="BC5" i="12"/>
  <c r="CY5" i="12"/>
  <c r="Q11" i="12"/>
  <c r="DH11" i="12"/>
  <c r="DF11" i="12"/>
  <c r="DG11" i="12"/>
  <c r="DI11" i="12"/>
  <c r="AH10" i="12"/>
  <c r="CT10" i="12"/>
  <c r="AY7" i="12"/>
  <c r="AD7" i="12"/>
  <c r="CG7" i="12"/>
  <c r="DD7" i="12"/>
  <c r="BC7" i="12"/>
  <c r="CY7" i="12"/>
  <c r="AD12" i="12"/>
  <c r="AY12" i="12"/>
  <c r="CG12" i="12"/>
  <c r="DD12" i="12"/>
  <c r="AD6" i="12"/>
  <c r="AY6" i="12"/>
  <c r="CG6" i="12"/>
  <c r="DD6" i="12"/>
  <c r="BU5" i="12"/>
  <c r="BV5" i="12"/>
  <c r="BT5" i="12"/>
  <c r="CI7" i="25"/>
  <c r="CH6" i="25"/>
  <c r="R10" i="25"/>
  <c r="DB36" i="12" l="1"/>
  <c r="DE36" i="12" s="1"/>
  <c r="DM36" i="12"/>
  <c r="DL36" i="12"/>
  <c r="DB35" i="12"/>
  <c r="DE35" i="12" s="1"/>
  <c r="DM35" i="12"/>
  <c r="DL35" i="12"/>
  <c r="DK35" i="125"/>
  <c r="DN35" i="125"/>
  <c r="DK36" i="125"/>
  <c r="DN36" i="125"/>
  <c r="DB37" i="12"/>
  <c r="DE37" i="12" s="1"/>
  <c r="DM37" i="12"/>
  <c r="DL37" i="12"/>
  <c r="DN37" i="125"/>
  <c r="DK37" i="125"/>
  <c r="DN12" i="125"/>
  <c r="DK12" i="125"/>
  <c r="L26" i="73"/>
  <c r="DB29" i="12"/>
  <c r="DE29" i="12" s="1"/>
  <c r="DM29" i="12"/>
  <c r="DL29" i="12"/>
  <c r="DN11" i="125"/>
  <c r="DK11" i="125"/>
  <c r="DM29" i="125"/>
  <c r="DL29" i="125"/>
  <c r="CG7" i="25"/>
  <c r="R25" i="73" s="1"/>
  <c r="CM7" i="25"/>
  <c r="CG6" i="25"/>
  <c r="R26" i="73" s="1"/>
  <c r="CM6" i="25"/>
  <c r="CG8" i="25"/>
  <c r="R30" i="73" s="1"/>
  <c r="R31" i="73" s="1"/>
  <c r="CM8" i="25"/>
  <c r="S26" i="73"/>
  <c r="S27" i="73" s="1"/>
  <c r="DE5" i="125"/>
  <c r="J42" i="119"/>
  <c r="J43" i="119" s="1"/>
  <c r="D42" i="119"/>
  <c r="D43" i="119" s="1"/>
  <c r="CO174" i="8"/>
  <c r="U4" i="8"/>
  <c r="P33" i="73"/>
  <c r="O33" i="73"/>
  <c r="U25" i="73"/>
  <c r="T25" i="73"/>
  <c r="DB29" i="125"/>
  <c r="F27" i="73"/>
  <c r="F33" i="73" s="1"/>
  <c r="L25" i="73"/>
  <c r="L30" i="73"/>
  <c r="L31" i="73" s="1"/>
  <c r="E33" i="73"/>
  <c r="N5" i="12"/>
  <c r="AR5" i="12"/>
  <c r="AN5" i="12"/>
  <c r="AF5" i="12"/>
  <c r="O5" i="12"/>
  <c r="AB5" i="12"/>
  <c r="AJ5" i="12"/>
  <c r="AV5" i="12"/>
  <c r="CJ5" i="12"/>
  <c r="CL5" i="12"/>
  <c r="CK5" i="12"/>
  <c r="CW5" i="12"/>
  <c r="CD5" i="12"/>
  <c r="CQ5" i="12"/>
  <c r="CM5" i="12"/>
  <c r="CU5" i="12"/>
  <c r="CA5" i="12"/>
  <c r="CE5" i="12"/>
  <c r="CX5" i="12"/>
  <c r="CH5" i="12"/>
  <c r="CS5" i="12"/>
  <c r="BZ5" i="12"/>
  <c r="CB5" i="12"/>
  <c r="CV5" i="12"/>
  <c r="CN5" i="12"/>
  <c r="CI5" i="12"/>
  <c r="CC5" i="12"/>
  <c r="BY5" i="12"/>
  <c r="CR5" i="12"/>
  <c r="N6" i="12"/>
  <c r="O6" i="12"/>
  <c r="AJ6" i="12"/>
  <c r="AR6" i="12"/>
  <c r="AV6" i="12"/>
  <c r="AN6" i="12"/>
  <c r="AF6" i="12"/>
  <c r="AB6" i="12"/>
  <c r="CU6" i="12"/>
  <c r="CK6" i="12"/>
  <c r="CA6" i="12"/>
  <c r="BY6" i="12"/>
  <c r="CV6" i="12"/>
  <c r="CN6" i="12"/>
  <c r="CI6" i="12"/>
  <c r="CW6" i="12"/>
  <c r="CB6" i="12"/>
  <c r="CX6" i="12"/>
  <c r="CJ6" i="12"/>
  <c r="CS6" i="12"/>
  <c r="CL6" i="12"/>
  <c r="BZ6" i="12"/>
  <c r="CD6" i="12"/>
  <c r="CR6" i="12"/>
  <c r="CH6" i="12"/>
  <c r="CM6" i="12"/>
  <c r="CC6" i="12"/>
  <c r="CE6" i="12"/>
  <c r="CQ6" i="12"/>
  <c r="CZ6" i="12"/>
  <c r="BQ12" i="12"/>
  <c r="BW12" i="12" s="1"/>
  <c r="AT5" i="12"/>
  <c r="CZ10" i="12"/>
  <c r="CZ5" i="12"/>
  <c r="N12" i="12"/>
  <c r="AN12" i="12"/>
  <c r="O12" i="12"/>
  <c r="AB12" i="12"/>
  <c r="AV12" i="12"/>
  <c r="AF12" i="12"/>
  <c r="AJ12" i="12"/>
  <c r="AR12" i="12"/>
  <c r="CN12" i="12"/>
  <c r="CK12" i="12"/>
  <c r="CH12" i="12"/>
  <c r="CW12" i="12"/>
  <c r="CE12" i="12"/>
  <c r="CR12" i="12"/>
  <c r="CJ12" i="12"/>
  <c r="CI12" i="12"/>
  <c r="BZ12" i="12"/>
  <c r="BY12" i="12"/>
  <c r="CX12" i="12"/>
  <c r="CS12" i="12"/>
  <c r="CU12" i="12"/>
  <c r="CC12" i="12"/>
  <c r="CB12" i="12"/>
  <c r="CQ12" i="12"/>
  <c r="CL12" i="12"/>
  <c r="CM12" i="12"/>
  <c r="CA12" i="12"/>
  <c r="CD12" i="12"/>
  <c r="CV12" i="12"/>
  <c r="N7" i="12"/>
  <c r="AV7" i="12"/>
  <c r="AF7" i="12"/>
  <c r="AJ7" i="12"/>
  <c r="AN7" i="12"/>
  <c r="AR7" i="12"/>
  <c r="O7" i="12"/>
  <c r="AB7" i="12"/>
  <c r="CH7" i="12"/>
  <c r="CJ7" i="12"/>
  <c r="CD7" i="12"/>
  <c r="CA7" i="12"/>
  <c r="CV7" i="12"/>
  <c r="CM7" i="12"/>
  <c r="CK7" i="12"/>
  <c r="CC7" i="12"/>
  <c r="CE7" i="12"/>
  <c r="CQ7" i="12"/>
  <c r="CI7" i="12"/>
  <c r="CN7" i="12"/>
  <c r="CS7" i="12"/>
  <c r="CW7" i="12"/>
  <c r="BY7" i="12"/>
  <c r="CX7" i="12"/>
  <c r="CU7" i="12"/>
  <c r="CL7" i="12"/>
  <c r="BZ7" i="12"/>
  <c r="CB7" i="12"/>
  <c r="CR7" i="12"/>
  <c r="BQ5" i="12"/>
  <c r="BW5" i="12" s="1"/>
  <c r="AX12" i="12"/>
  <c r="AX5" i="12"/>
  <c r="N11" i="12"/>
  <c r="AV11" i="12"/>
  <c r="AB11" i="12"/>
  <c r="AN11" i="12"/>
  <c r="AJ11" i="12"/>
  <c r="AF11" i="12"/>
  <c r="O11" i="12"/>
  <c r="AR11" i="12"/>
  <c r="CK11" i="12"/>
  <c r="CU11" i="12"/>
  <c r="CA11" i="12"/>
  <c r="CD11" i="12"/>
  <c r="CQ11" i="12"/>
  <c r="CM11" i="12"/>
  <c r="CJ11" i="12"/>
  <c r="CN11" i="12"/>
  <c r="BZ11" i="12"/>
  <c r="CB11" i="12"/>
  <c r="CR11" i="12"/>
  <c r="CL11" i="12"/>
  <c r="CS11" i="12"/>
  <c r="CW11" i="12"/>
  <c r="CE11" i="12"/>
  <c r="CV11" i="12"/>
  <c r="CI11" i="12"/>
  <c r="CH11" i="12"/>
  <c r="CC11" i="12"/>
  <c r="BY11" i="12"/>
  <c r="CX11" i="12"/>
  <c r="BQ6" i="12"/>
  <c r="BW6" i="12" s="1"/>
  <c r="AP7" i="12"/>
  <c r="AP5" i="12"/>
  <c r="CZ11" i="12"/>
  <c r="AT6" i="12"/>
  <c r="AL7" i="12"/>
  <c r="AZ7" i="12" s="1"/>
  <c r="AL11" i="12"/>
  <c r="AP6" i="12"/>
  <c r="AL5" i="12"/>
  <c r="AL12" i="12"/>
  <c r="AZ12" i="12" s="1"/>
  <c r="N10" i="12"/>
  <c r="O10" i="12"/>
  <c r="AV10" i="12"/>
  <c r="AJ10" i="12"/>
  <c r="AR10" i="12"/>
  <c r="AB10" i="12"/>
  <c r="AF10" i="12"/>
  <c r="AN10" i="12"/>
  <c r="CI10" i="12"/>
  <c r="CM10" i="12"/>
  <c r="CJ10" i="12"/>
  <c r="CA10" i="12"/>
  <c r="CD10" i="12"/>
  <c r="CX10" i="12"/>
  <c r="CS10" i="12"/>
  <c r="CU10" i="12"/>
  <c r="CW10" i="12"/>
  <c r="CE10" i="12"/>
  <c r="CQ10" i="12"/>
  <c r="CH10" i="12"/>
  <c r="CL10" i="12"/>
  <c r="CC10" i="12"/>
  <c r="BY10" i="12"/>
  <c r="CV10" i="12"/>
  <c r="CN10" i="12"/>
  <c r="CK10" i="12"/>
  <c r="BZ10" i="12"/>
  <c r="CB10" i="12"/>
  <c r="CR10" i="12"/>
  <c r="AT11" i="12"/>
  <c r="AX6" i="12"/>
  <c r="BQ7" i="12"/>
  <c r="BW7" i="12" s="1"/>
  <c r="BQ11" i="12"/>
  <c r="BW11" i="12" s="1"/>
  <c r="BW10" i="12"/>
  <c r="S7" i="12"/>
  <c r="U7" i="12"/>
  <c r="R7" i="12"/>
  <c r="T7" i="12"/>
  <c r="U6" i="12"/>
  <c r="T6" i="12"/>
  <c r="S6" i="12"/>
  <c r="R6" i="12"/>
  <c r="U11" i="12"/>
  <c r="R11" i="12"/>
  <c r="T11" i="12"/>
  <c r="S11" i="12"/>
  <c r="DJ5" i="12"/>
  <c r="T12" i="12"/>
  <c r="R12" i="12"/>
  <c r="U12" i="12"/>
  <c r="S12" i="12"/>
  <c r="DJ6" i="12"/>
  <c r="T5" i="12"/>
  <c r="R5" i="12"/>
  <c r="U5" i="12"/>
  <c r="S5" i="12"/>
  <c r="DJ11" i="12"/>
  <c r="DJ12" i="12"/>
  <c r="DJ10" i="12"/>
  <c r="U10" i="12"/>
  <c r="S10" i="12"/>
  <c r="R10" i="12"/>
  <c r="T10" i="12"/>
  <c r="DJ7" i="12"/>
  <c r="AZ10" i="12"/>
  <c r="CI6" i="25"/>
  <c r="CJ10" i="25"/>
  <c r="CH8" i="25"/>
  <c r="DK36" i="12" l="1"/>
  <c r="DN36" i="12"/>
  <c r="DK35" i="12"/>
  <c r="DN35" i="12"/>
  <c r="DK37" i="12"/>
  <c r="DN37" i="12"/>
  <c r="L27" i="73"/>
  <c r="L33" i="73" s="1"/>
  <c r="CL6" i="25"/>
  <c r="C31" i="119" s="1"/>
  <c r="B31" i="119" s="1"/>
  <c r="DN5" i="125"/>
  <c r="DK5" i="125"/>
  <c r="U26" i="73"/>
  <c r="U27" i="73" s="1"/>
  <c r="DN29" i="12"/>
  <c r="DK29" i="12"/>
  <c r="CK7" i="25"/>
  <c r="B25" i="73" s="1"/>
  <c r="CK6" i="25"/>
  <c r="CN6" i="25"/>
  <c r="CL7" i="25"/>
  <c r="CN7" i="25"/>
  <c r="CL8" i="25"/>
  <c r="T26" i="73"/>
  <c r="T27" i="73" s="1"/>
  <c r="S30" i="73"/>
  <c r="S31" i="73" s="1"/>
  <c r="S33" i="73" s="1"/>
  <c r="DE29" i="125"/>
  <c r="AZ6" i="12"/>
  <c r="CP174" i="8"/>
  <c r="S5" i="8"/>
  <c r="S6" i="8" s="1"/>
  <c r="AZ5" i="12"/>
  <c r="AZ11" i="12"/>
  <c r="R27" i="73"/>
  <c r="R33" i="73" s="1"/>
  <c r="C35" i="101" s="1"/>
  <c r="CO11" i="12"/>
  <c r="CO7" i="12"/>
  <c r="CO5" i="12"/>
  <c r="CF5" i="12"/>
  <c r="CO10" i="12"/>
  <c r="CF11" i="12"/>
  <c r="CO12" i="12"/>
  <c r="CO6" i="12"/>
  <c r="CF12" i="12"/>
  <c r="CF6" i="12"/>
  <c r="CF7" i="12"/>
  <c r="CF10" i="12"/>
  <c r="BO10" i="12"/>
  <c r="BX10" i="12" s="1"/>
  <c r="BO12" i="12"/>
  <c r="BX12" i="12" s="1"/>
  <c r="DM12" i="12" s="1"/>
  <c r="BO6" i="12"/>
  <c r="BX6" i="12" s="1"/>
  <c r="BO11" i="12"/>
  <c r="BX11" i="12" s="1"/>
  <c r="DM11" i="12" s="1"/>
  <c r="BO5" i="12"/>
  <c r="BX5" i="12" s="1"/>
  <c r="DM5" i="12" s="1"/>
  <c r="BO7" i="12"/>
  <c r="BX7" i="12" s="1"/>
  <c r="CI8" i="25"/>
  <c r="B26" i="73" l="1"/>
  <c r="B27" i="73" s="1"/>
  <c r="C35" i="119"/>
  <c r="B30" i="73"/>
  <c r="B31" i="73" s="1"/>
  <c r="U30" i="73"/>
  <c r="U31" i="73" s="1"/>
  <c r="U33" i="73" s="1"/>
  <c r="DN29" i="125"/>
  <c r="DK29" i="125"/>
  <c r="C30" i="119"/>
  <c r="C32" i="119" s="1"/>
  <c r="B32" i="119" s="1"/>
  <c r="CN8" i="25"/>
  <c r="CK8" i="25"/>
  <c r="T30" i="73"/>
  <c r="T31" i="73" s="1"/>
  <c r="T33" i="73" s="1"/>
  <c r="CQ174" i="8"/>
  <c r="U5" i="8" s="1"/>
  <c r="U6" i="8" s="1"/>
  <c r="T5" i="8"/>
  <c r="T6" i="8" s="1"/>
  <c r="CP7" i="12"/>
  <c r="DA7" i="12" s="1"/>
  <c r="CP10" i="12"/>
  <c r="DA10" i="12" s="1"/>
  <c r="CP11" i="12"/>
  <c r="DA11" i="12" s="1"/>
  <c r="DL11" i="12" s="1"/>
  <c r="CP6" i="12"/>
  <c r="DA6" i="12" s="1"/>
  <c r="CP5" i="12"/>
  <c r="DA5" i="12" s="1"/>
  <c r="DL5" i="12" s="1"/>
  <c r="CP12" i="12"/>
  <c r="DA12" i="12" s="1"/>
  <c r="DL12" i="12" s="1"/>
  <c r="DB7" i="12"/>
  <c r="DE7" i="12" s="1"/>
  <c r="A96" i="8"/>
  <c r="A97" i="8" s="1"/>
  <c r="A98" i="8" s="1"/>
  <c r="A99" i="8" s="1"/>
  <c r="A100" i="8" s="1"/>
  <c r="A101" i="8" s="1"/>
  <c r="A102" i="8" s="1"/>
  <c r="A103" i="8" s="1"/>
  <c r="A104" i="8" s="1"/>
  <c r="A105" i="8" s="1"/>
  <c r="C36" i="119" l="1"/>
  <c r="B30" i="119"/>
  <c r="B33" i="73"/>
  <c r="DB11" i="12"/>
  <c r="DE11" i="12" s="1"/>
  <c r="DB10" i="12"/>
  <c r="DE10" i="12" s="1"/>
  <c r="DB5" i="12"/>
  <c r="DE5" i="12" s="1"/>
  <c r="DB12" i="12"/>
  <c r="DE12" i="12" s="1"/>
  <c r="DB6" i="12"/>
  <c r="DE6" i="12" s="1"/>
  <c r="B14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CI11" i="25"/>
  <c r="CI10" i="25"/>
  <c r="P14" i="8" l="1"/>
  <c r="Q14" i="8"/>
  <c r="AK14" i="8"/>
  <c r="AG14" i="8"/>
  <c r="K14" i="8"/>
  <c r="R14" i="8"/>
  <c r="R94" i="8" s="1"/>
  <c r="AM14" i="8"/>
  <c r="AH14" i="8"/>
  <c r="AL14" i="8"/>
  <c r="AF14" i="8"/>
  <c r="H14" i="8"/>
  <c r="AJ14" i="8"/>
  <c r="G14" i="8"/>
  <c r="AI14" i="8"/>
  <c r="I14" i="8"/>
  <c r="J14" i="8"/>
  <c r="BC14" i="8"/>
  <c r="BA14" i="8"/>
  <c r="BB14" i="8"/>
  <c r="AZ14" i="8"/>
  <c r="DN12" i="12"/>
  <c r="DK12" i="12"/>
  <c r="DN5" i="12"/>
  <c r="DK5" i="12"/>
  <c r="C38" i="119"/>
  <c r="DN11" i="12"/>
  <c r="DK11" i="12"/>
  <c r="T14" i="8"/>
  <c r="P94" i="8"/>
  <c r="Q94" i="8"/>
  <c r="S14" i="8"/>
  <c r="M14" i="8"/>
  <c r="L14" i="8"/>
  <c r="U36" i="73"/>
  <c r="U37" i="73"/>
  <c r="AT14" i="8"/>
  <c r="AP14" i="8"/>
  <c r="AD14" i="8"/>
  <c r="Z14" i="8"/>
  <c r="N14" i="8"/>
  <c r="D14" i="8"/>
  <c r="AS14" i="8"/>
  <c r="AO14" i="8"/>
  <c r="AC14" i="8"/>
  <c r="Y14" i="8"/>
  <c r="U14" i="8"/>
  <c r="C14" i="8"/>
  <c r="AR14" i="8"/>
  <c r="AB14" i="8"/>
  <c r="AQ14" i="8"/>
  <c r="AA14" i="8"/>
  <c r="F14" i="8"/>
  <c r="AN14" i="8"/>
  <c r="E14" i="8"/>
  <c r="AY14" i="8"/>
  <c r="AU14" i="8"/>
  <c r="AE14" i="8"/>
  <c r="B15" i="8"/>
  <c r="AZ94" i="8" l="1"/>
  <c r="P15" i="8"/>
  <c r="Q15" i="8"/>
  <c r="R15" i="8"/>
  <c r="AK15" i="8"/>
  <c r="AG15" i="8"/>
  <c r="AJ15" i="8"/>
  <c r="AJ95" i="8" s="1"/>
  <c r="G15" i="8"/>
  <c r="AL15" i="8"/>
  <c r="H15" i="8"/>
  <c r="AI15" i="8"/>
  <c r="AM15" i="8"/>
  <c r="AH15" i="8"/>
  <c r="K15" i="8"/>
  <c r="AF15" i="8"/>
  <c r="I15" i="8"/>
  <c r="J15" i="8"/>
  <c r="AZ15" i="8"/>
  <c r="BB15" i="8"/>
  <c r="BC15" i="8"/>
  <c r="BC95" i="8" s="1"/>
  <c r="BA15" i="8"/>
  <c r="BA95" i="8" s="1"/>
  <c r="BB94" i="8"/>
  <c r="BB95" i="8"/>
  <c r="BA94" i="8"/>
  <c r="BC94" i="8"/>
  <c r="C42" i="101"/>
  <c r="T94" i="8"/>
  <c r="S94" i="8"/>
  <c r="S15" i="8"/>
  <c r="S95" i="8" s="1"/>
  <c r="P95" i="8"/>
  <c r="T15" i="8"/>
  <c r="Q95" i="8"/>
  <c r="M15" i="8"/>
  <c r="L15" i="8"/>
  <c r="L94" i="8"/>
  <c r="U38" i="73"/>
  <c r="M94" i="8"/>
  <c r="M95" i="8"/>
  <c r="J94" i="8"/>
  <c r="AY94" i="8"/>
  <c r="F94" i="8"/>
  <c r="AQ94" i="8"/>
  <c r="AR94" i="8"/>
  <c r="U94" i="8"/>
  <c r="AK94" i="8"/>
  <c r="H94" i="8"/>
  <c r="AH94" i="8"/>
  <c r="AE94" i="8"/>
  <c r="E94" i="8"/>
  <c r="I94" i="8"/>
  <c r="C94" i="8"/>
  <c r="Y94" i="8"/>
  <c r="AO94" i="8"/>
  <c r="N94" i="8"/>
  <c r="AL94" i="8"/>
  <c r="AY15" i="8"/>
  <c r="AU15" i="8"/>
  <c r="AQ15" i="8"/>
  <c r="AE15" i="8"/>
  <c r="AA15" i="8"/>
  <c r="AA95" i="8" s="1"/>
  <c r="E15" i="8"/>
  <c r="AT15" i="8"/>
  <c r="AP15" i="8"/>
  <c r="AP95" i="8" s="1"/>
  <c r="AD15" i="8"/>
  <c r="Z15" i="8"/>
  <c r="Z95" i="8" s="1"/>
  <c r="N15" i="8"/>
  <c r="D15" i="8"/>
  <c r="AN15" i="8"/>
  <c r="AN95" i="8" s="1"/>
  <c r="R95" i="8"/>
  <c r="G95" i="8"/>
  <c r="AS15" i="8"/>
  <c r="AS95" i="8" s="1"/>
  <c r="AC15" i="8"/>
  <c r="AC95" i="8" s="1"/>
  <c r="F15" i="8"/>
  <c r="AR15" i="8"/>
  <c r="AB15" i="8"/>
  <c r="AB95" i="8" s="1"/>
  <c r="K95" i="8"/>
  <c r="C15" i="8"/>
  <c r="AO15" i="8"/>
  <c r="AG95" i="8"/>
  <c r="Y15" i="8"/>
  <c r="U15" i="8"/>
  <c r="AM95" i="8"/>
  <c r="AM94" i="8"/>
  <c r="AF94" i="8"/>
  <c r="AF95" i="8"/>
  <c r="AA94" i="8"/>
  <c r="AB94" i="8"/>
  <c r="G94" i="8"/>
  <c r="AC94" i="8"/>
  <c r="AS94" i="8"/>
  <c r="Z94" i="8"/>
  <c r="AP94" i="8"/>
  <c r="AU95" i="8"/>
  <c r="AU94" i="8"/>
  <c r="AN94" i="8"/>
  <c r="AI94" i="8"/>
  <c r="AI95" i="8"/>
  <c r="AJ94" i="8"/>
  <c r="K94" i="8"/>
  <c r="AG94" i="8"/>
  <c r="D94" i="8"/>
  <c r="D95" i="8"/>
  <c r="AD94" i="8"/>
  <c r="AD95" i="8"/>
  <c r="AT94" i="8"/>
  <c r="AT95" i="8"/>
  <c r="B16" i="8"/>
  <c r="Q16" i="8" l="1"/>
  <c r="R16" i="8"/>
  <c r="P16" i="8"/>
  <c r="AK16" i="8"/>
  <c r="AG16" i="8"/>
  <c r="G16" i="8"/>
  <c r="AM16" i="8"/>
  <c r="AH16" i="8"/>
  <c r="AH96" i="8" s="1"/>
  <c r="K16" i="8"/>
  <c r="AL16" i="8"/>
  <c r="AF16" i="8"/>
  <c r="H16" i="8"/>
  <c r="AI16" i="8"/>
  <c r="AJ16" i="8"/>
  <c r="I16" i="8"/>
  <c r="I96" i="8" s="1"/>
  <c r="J16" i="8"/>
  <c r="BA16" i="8"/>
  <c r="BB16" i="8"/>
  <c r="AZ16" i="8"/>
  <c r="BC16" i="8"/>
  <c r="AZ96" i="8"/>
  <c r="AZ95" i="8"/>
  <c r="T95" i="8"/>
  <c r="L95" i="8"/>
  <c r="T16" i="8"/>
  <c r="P96" i="8"/>
  <c r="S16" i="8"/>
  <c r="Q96" i="8"/>
  <c r="L16" i="8"/>
  <c r="M16" i="8"/>
  <c r="Y95" i="8"/>
  <c r="AH95" i="8"/>
  <c r="H95" i="8"/>
  <c r="AK95" i="8"/>
  <c r="J95" i="8"/>
  <c r="N95" i="8"/>
  <c r="I95" i="8"/>
  <c r="E95" i="8"/>
  <c r="AR16" i="8"/>
  <c r="AR96" i="8" s="1"/>
  <c r="AN16" i="8"/>
  <c r="AB16" i="8"/>
  <c r="R96" i="8"/>
  <c r="F16" i="8"/>
  <c r="F96" i="8" s="1"/>
  <c r="AY16" i="8"/>
  <c r="AU16" i="8"/>
  <c r="AQ16" i="8"/>
  <c r="AE16" i="8"/>
  <c r="AA16" i="8"/>
  <c r="E16" i="8"/>
  <c r="E96" i="8" s="1"/>
  <c r="AS16" i="8"/>
  <c r="AC16" i="8"/>
  <c r="N16" i="8"/>
  <c r="N96" i="8" s="1"/>
  <c r="D16" i="8"/>
  <c r="AP16" i="8"/>
  <c r="Z16" i="8"/>
  <c r="C16" i="8"/>
  <c r="AO16" i="8"/>
  <c r="Y16" i="8"/>
  <c r="Y96" i="8" s="1"/>
  <c r="U16" i="8"/>
  <c r="H96" i="8"/>
  <c r="AT16" i="8"/>
  <c r="AD16" i="8"/>
  <c r="AO95" i="8"/>
  <c r="C95" i="8"/>
  <c r="AK96" i="8"/>
  <c r="U95" i="8"/>
  <c r="AR95" i="8"/>
  <c r="AL95" i="8"/>
  <c r="AE95" i="8"/>
  <c r="AQ95" i="8"/>
  <c r="F95" i="8"/>
  <c r="AY95" i="8"/>
  <c r="B17" i="8"/>
  <c r="R17" i="8" l="1"/>
  <c r="P17" i="8"/>
  <c r="Q17" i="8"/>
  <c r="AK17" i="8"/>
  <c r="AG17" i="8"/>
  <c r="AG97" i="8" s="1"/>
  <c r="H17" i="8"/>
  <c r="H97" i="8" s="1"/>
  <c r="AJ17" i="8"/>
  <c r="AJ97" i="8" s="1"/>
  <c r="K17" i="8"/>
  <c r="AL17" i="8"/>
  <c r="AI17" i="8"/>
  <c r="AH17" i="8"/>
  <c r="AM17" i="8"/>
  <c r="AF17" i="8"/>
  <c r="AF97" i="8" s="1"/>
  <c r="G17" i="8"/>
  <c r="G97" i="8" s="1"/>
  <c r="I17" i="8"/>
  <c r="J17" i="8"/>
  <c r="BB17" i="8"/>
  <c r="BC17" i="8"/>
  <c r="BA17" i="8"/>
  <c r="AZ17" i="8"/>
  <c r="BA97" i="8"/>
  <c r="BA96" i="8"/>
  <c r="BC97" i="8"/>
  <c r="BC96" i="8"/>
  <c r="BB96" i="8"/>
  <c r="T96" i="8"/>
  <c r="S96" i="8"/>
  <c r="M96" i="8"/>
  <c r="L96" i="8"/>
  <c r="S17" i="8"/>
  <c r="S97" i="8" s="1"/>
  <c r="T17" i="8"/>
  <c r="P97" i="8"/>
  <c r="Q97" i="8"/>
  <c r="L17" i="8"/>
  <c r="M17" i="8"/>
  <c r="AS17" i="8"/>
  <c r="AO17" i="8"/>
  <c r="AK97" i="8"/>
  <c r="AC17" i="8"/>
  <c r="AC97" i="8" s="1"/>
  <c r="Y17" i="8"/>
  <c r="Y97" i="8" s="1"/>
  <c r="U17" i="8"/>
  <c r="C17" i="8"/>
  <c r="AR17" i="8"/>
  <c r="AN17" i="8"/>
  <c r="AN97" i="8" s="1"/>
  <c r="AB17" i="8"/>
  <c r="AB97" i="8" s="1"/>
  <c r="R97" i="8"/>
  <c r="F17" i="8"/>
  <c r="AT17" i="8"/>
  <c r="AT97" i="8" s="1"/>
  <c r="AD17" i="8"/>
  <c r="AD97" i="8" s="1"/>
  <c r="AQ17" i="8"/>
  <c r="AA17" i="8"/>
  <c r="AA97" i="8" s="1"/>
  <c r="AP17" i="8"/>
  <c r="AP97" i="8" s="1"/>
  <c r="Z17" i="8"/>
  <c r="Z97" i="8" s="1"/>
  <c r="E17" i="8"/>
  <c r="AY17" i="8"/>
  <c r="AY97" i="8" s="1"/>
  <c r="AU17" i="8"/>
  <c r="AM97" i="8"/>
  <c r="AE17" i="8"/>
  <c r="AE97" i="8" s="1"/>
  <c r="N17" i="8"/>
  <c r="N97" i="8" s="1"/>
  <c r="D17" i="8"/>
  <c r="D97" i="8" s="1"/>
  <c r="AT96" i="8"/>
  <c r="AG96" i="8"/>
  <c r="Z96" i="8"/>
  <c r="AI97" i="8"/>
  <c r="AI96" i="8"/>
  <c r="AB96" i="8"/>
  <c r="AY96" i="8"/>
  <c r="AQ96" i="8"/>
  <c r="G96" i="8"/>
  <c r="AC96" i="8"/>
  <c r="AM96" i="8"/>
  <c r="AF96" i="8"/>
  <c r="AE96" i="8"/>
  <c r="AL96" i="8"/>
  <c r="AD96" i="8"/>
  <c r="AP96" i="8"/>
  <c r="AA96" i="8"/>
  <c r="AJ96" i="8"/>
  <c r="J97" i="8"/>
  <c r="U96" i="8"/>
  <c r="C96" i="8"/>
  <c r="K97" i="8"/>
  <c r="K96" i="8"/>
  <c r="D96" i="8"/>
  <c r="AS97" i="8"/>
  <c r="AS96" i="8"/>
  <c r="AU96" i="8"/>
  <c r="AU97" i="8"/>
  <c r="AN96" i="8"/>
  <c r="J96" i="8"/>
  <c r="AO96" i="8"/>
  <c r="B18" i="8"/>
  <c r="AZ97" i="8" l="1"/>
  <c r="BB97" i="8"/>
  <c r="P18" i="8"/>
  <c r="Q18" i="8"/>
  <c r="AL18" i="8"/>
  <c r="AH18" i="8"/>
  <c r="AK18" i="8"/>
  <c r="AG18" i="8"/>
  <c r="K18" i="8"/>
  <c r="R18" i="8"/>
  <c r="AI18" i="8"/>
  <c r="H18" i="8"/>
  <c r="AF18" i="8"/>
  <c r="G18" i="8"/>
  <c r="AM18" i="8"/>
  <c r="AJ18" i="8"/>
  <c r="I18" i="8"/>
  <c r="J18" i="8"/>
  <c r="BC18" i="8"/>
  <c r="BA18" i="8"/>
  <c r="BB18" i="8"/>
  <c r="AZ18" i="8"/>
  <c r="AZ98" i="8" s="1"/>
  <c r="T97" i="8"/>
  <c r="L97" i="8"/>
  <c r="M97" i="8"/>
  <c r="T18" i="8"/>
  <c r="T98" i="8" s="1"/>
  <c r="P98" i="8"/>
  <c r="S18" i="8"/>
  <c r="Q98" i="8"/>
  <c r="L18" i="8"/>
  <c r="M18" i="8"/>
  <c r="M98" i="8" s="1"/>
  <c r="AR97" i="8"/>
  <c r="U97" i="8"/>
  <c r="AT18" i="8"/>
  <c r="AP18" i="8"/>
  <c r="AD18" i="8"/>
  <c r="Z18" i="8"/>
  <c r="N18" i="8"/>
  <c r="D18" i="8"/>
  <c r="AS18" i="8"/>
  <c r="AO18" i="8"/>
  <c r="AC18" i="8"/>
  <c r="Y18" i="8"/>
  <c r="U18" i="8"/>
  <c r="C18" i="8"/>
  <c r="AR18" i="8"/>
  <c r="AB18" i="8"/>
  <c r="AQ18" i="8"/>
  <c r="AA18" i="8"/>
  <c r="R98" i="8"/>
  <c r="F18" i="8"/>
  <c r="AN18" i="8"/>
  <c r="E18" i="8"/>
  <c r="AY18" i="8"/>
  <c r="AY98" i="8" s="1"/>
  <c r="AU18" i="8"/>
  <c r="AE18" i="8"/>
  <c r="AE98" i="8" s="1"/>
  <c r="E97" i="8"/>
  <c r="I97" i="8"/>
  <c r="C97" i="8"/>
  <c r="Y98" i="8"/>
  <c r="AO97" i="8"/>
  <c r="AQ97" i="8"/>
  <c r="F97" i="8"/>
  <c r="AL97" i="8"/>
  <c r="AL98" i="8"/>
  <c r="AH97" i="8"/>
  <c r="B19" i="8"/>
  <c r="P19" i="8" l="1"/>
  <c r="Q19" i="8"/>
  <c r="R19" i="8"/>
  <c r="AL19" i="8"/>
  <c r="AH19" i="8"/>
  <c r="AK19" i="8"/>
  <c r="AG19" i="8"/>
  <c r="AG99" i="8" s="1"/>
  <c r="AI19" i="8"/>
  <c r="AI99" i="8" s="1"/>
  <c r="AF19" i="8"/>
  <c r="K19" i="8"/>
  <c r="AJ19" i="8"/>
  <c r="G19" i="8"/>
  <c r="AM19" i="8"/>
  <c r="H19" i="8"/>
  <c r="I19" i="8"/>
  <c r="J19" i="8"/>
  <c r="AZ19" i="8"/>
  <c r="AZ99" i="8" s="1"/>
  <c r="BB19" i="8"/>
  <c r="BC19" i="8"/>
  <c r="BA19" i="8"/>
  <c r="BA99" i="8" s="1"/>
  <c r="BA98" i="8"/>
  <c r="BB99" i="8"/>
  <c r="BB98" i="8"/>
  <c r="BC99" i="8"/>
  <c r="BC98" i="8"/>
  <c r="S98" i="8"/>
  <c r="L98" i="8"/>
  <c r="S19" i="8"/>
  <c r="S99" i="8" s="1"/>
  <c r="Q99" i="8"/>
  <c r="T19" i="8"/>
  <c r="T99" i="8" s="1"/>
  <c r="P99" i="8"/>
  <c r="L19" i="8"/>
  <c r="M19" i="8"/>
  <c r="E98" i="8"/>
  <c r="I98" i="8"/>
  <c r="C98" i="8"/>
  <c r="AO98" i="8"/>
  <c r="N98" i="8"/>
  <c r="AQ98" i="8"/>
  <c r="AY19" i="8"/>
  <c r="AY99" i="8" s="1"/>
  <c r="AU19" i="8"/>
  <c r="AU99" i="8" s="1"/>
  <c r="AQ19" i="8"/>
  <c r="AM99" i="8"/>
  <c r="AE19" i="8"/>
  <c r="AA19" i="8"/>
  <c r="AA99" i="8" s="1"/>
  <c r="E19" i="8"/>
  <c r="AT19" i="8"/>
  <c r="AT99" i="8" s="1"/>
  <c r="AP19" i="8"/>
  <c r="AP99" i="8" s="1"/>
  <c r="AD19" i="8"/>
  <c r="AD99" i="8" s="1"/>
  <c r="Z19" i="8"/>
  <c r="Z99" i="8" s="1"/>
  <c r="N19" i="8"/>
  <c r="N99" i="8" s="1"/>
  <c r="D19" i="8"/>
  <c r="AN19" i="8"/>
  <c r="AN99" i="8" s="1"/>
  <c r="R99" i="8"/>
  <c r="G99" i="8"/>
  <c r="AS19" i="8"/>
  <c r="AS99" i="8" s="1"/>
  <c r="AK99" i="8"/>
  <c r="AC19" i="8"/>
  <c r="F19" i="8"/>
  <c r="AR19" i="8"/>
  <c r="AR99" i="8" s="1"/>
  <c r="AB19" i="8"/>
  <c r="K99" i="8"/>
  <c r="C19" i="8"/>
  <c r="C99" i="8" s="1"/>
  <c r="AO19" i="8"/>
  <c r="AO99" i="8" s="1"/>
  <c r="Y19" i="8"/>
  <c r="U19" i="8"/>
  <c r="U99" i="8" s="1"/>
  <c r="B20" i="8"/>
  <c r="AM98" i="8"/>
  <c r="AF99" i="8"/>
  <c r="AF98" i="8"/>
  <c r="AA98" i="8"/>
  <c r="AB99" i="8"/>
  <c r="AB98" i="8"/>
  <c r="G98" i="8"/>
  <c r="AC99" i="8"/>
  <c r="AC98" i="8"/>
  <c r="AS98" i="8"/>
  <c r="Z98" i="8"/>
  <c r="AP98" i="8"/>
  <c r="AK98" i="8"/>
  <c r="AU98" i="8"/>
  <c r="AN98" i="8"/>
  <c r="AI98" i="8"/>
  <c r="AJ98" i="8"/>
  <c r="AJ99" i="8"/>
  <c r="K98" i="8"/>
  <c r="AG98" i="8"/>
  <c r="D98" i="8"/>
  <c r="D99" i="8"/>
  <c r="AD98" i="8"/>
  <c r="AT98" i="8"/>
  <c r="AR98" i="8"/>
  <c r="J98" i="8"/>
  <c r="F98" i="8"/>
  <c r="AQ99" i="8"/>
  <c r="U98" i="8"/>
  <c r="H98" i="8"/>
  <c r="H99" i="8"/>
  <c r="AH99" i="8"/>
  <c r="AH98" i="8"/>
  <c r="B21" i="8"/>
  <c r="R21" i="8" l="1"/>
  <c r="P21" i="8"/>
  <c r="Q21" i="8"/>
  <c r="Q101" i="8" s="1"/>
  <c r="AL21" i="8"/>
  <c r="AH21" i="8"/>
  <c r="AK21" i="8"/>
  <c r="AG21" i="8"/>
  <c r="H21" i="8"/>
  <c r="AI21" i="8"/>
  <c r="AJ21" i="8"/>
  <c r="AF21" i="8"/>
  <c r="K21" i="8"/>
  <c r="AM21" i="8"/>
  <c r="G21" i="8"/>
  <c r="I21" i="8"/>
  <c r="J21" i="8"/>
  <c r="BB21" i="8"/>
  <c r="AZ21" i="8"/>
  <c r="BA21" i="8"/>
  <c r="BC21" i="8"/>
  <c r="Q20" i="8"/>
  <c r="Q100" i="8" s="1"/>
  <c r="R20" i="8"/>
  <c r="R100" i="8" s="1"/>
  <c r="AL20" i="8"/>
  <c r="AH20" i="8"/>
  <c r="AK20" i="8"/>
  <c r="AG20" i="8"/>
  <c r="G20" i="8"/>
  <c r="AI20" i="8"/>
  <c r="H20" i="8"/>
  <c r="H100" i="8" s="1"/>
  <c r="AJ20" i="8"/>
  <c r="K20" i="8"/>
  <c r="P20" i="8"/>
  <c r="AF20" i="8"/>
  <c r="AM20" i="8"/>
  <c r="I20" i="8"/>
  <c r="J20" i="8"/>
  <c r="BA20" i="8"/>
  <c r="BC20" i="8"/>
  <c r="BB20" i="8"/>
  <c r="BB100" i="8" s="1"/>
  <c r="AZ20" i="8"/>
  <c r="AZ100" i="8" s="1"/>
  <c r="L99" i="8"/>
  <c r="S21" i="8"/>
  <c r="T21" i="8"/>
  <c r="P101" i="8"/>
  <c r="L21" i="8"/>
  <c r="M21" i="8"/>
  <c r="T20" i="8"/>
  <c r="T100" i="8" s="1"/>
  <c r="P100" i="8"/>
  <c r="S20" i="8"/>
  <c r="S100" i="8" s="1"/>
  <c r="M20" i="8"/>
  <c r="M100" i="8" s="1"/>
  <c r="L20" i="8"/>
  <c r="L100" i="8" s="1"/>
  <c r="M99" i="8"/>
  <c r="Y99" i="8"/>
  <c r="F99" i="8"/>
  <c r="AE99" i="8"/>
  <c r="AS21" i="8"/>
  <c r="AO21" i="8"/>
  <c r="AC21" i="8"/>
  <c r="Y21" i="8"/>
  <c r="U21" i="8"/>
  <c r="C21" i="8"/>
  <c r="AR21" i="8"/>
  <c r="AN21" i="8"/>
  <c r="AB21" i="8"/>
  <c r="R101" i="8"/>
  <c r="F21" i="8"/>
  <c r="AT21" i="8"/>
  <c r="AD21" i="8"/>
  <c r="AQ21" i="8"/>
  <c r="AA21" i="8"/>
  <c r="AP21" i="8"/>
  <c r="Z21" i="8"/>
  <c r="E21" i="8"/>
  <c r="AY21" i="8"/>
  <c r="AU21" i="8"/>
  <c r="AE21" i="8"/>
  <c r="N21" i="8"/>
  <c r="D21" i="8"/>
  <c r="AR20" i="8"/>
  <c r="AR100" i="8" s="1"/>
  <c r="AN20" i="8"/>
  <c r="AB20" i="8"/>
  <c r="J100" i="8"/>
  <c r="F20" i="8"/>
  <c r="F100" i="8" s="1"/>
  <c r="AY20" i="8"/>
  <c r="AY100" i="8" s="1"/>
  <c r="AU20" i="8"/>
  <c r="AQ20" i="8"/>
  <c r="AQ100" i="8" s="1"/>
  <c r="AE20" i="8"/>
  <c r="AE100" i="8" s="1"/>
  <c r="AA20" i="8"/>
  <c r="I100" i="8"/>
  <c r="E20" i="8"/>
  <c r="E100" i="8" s="1"/>
  <c r="AS20" i="8"/>
  <c r="AK100" i="8"/>
  <c r="AC20" i="8"/>
  <c r="N20" i="8"/>
  <c r="N100" i="8" s="1"/>
  <c r="D20" i="8"/>
  <c r="AP20" i="8"/>
  <c r="AH100" i="8"/>
  <c r="Z20" i="8"/>
  <c r="C20" i="8"/>
  <c r="C100" i="8" s="1"/>
  <c r="AO20" i="8"/>
  <c r="AO100" i="8" s="1"/>
  <c r="Y20" i="8"/>
  <c r="Y100" i="8" s="1"/>
  <c r="U20" i="8"/>
  <c r="U100" i="8" s="1"/>
  <c r="AT20" i="8"/>
  <c r="AL100" i="8"/>
  <c r="AD20" i="8"/>
  <c r="E99" i="8"/>
  <c r="J99" i="8"/>
  <c r="AL99" i="8"/>
  <c r="I99" i="8"/>
  <c r="B22" i="8"/>
  <c r="P22" i="8" l="1"/>
  <c r="Q22" i="8"/>
  <c r="AL22" i="8"/>
  <c r="AH22" i="8"/>
  <c r="R22" i="8"/>
  <c r="AK22" i="8"/>
  <c r="AG22" i="8"/>
  <c r="AG102" i="8" s="1"/>
  <c r="K22" i="8"/>
  <c r="AI22" i="8"/>
  <c r="G22" i="8"/>
  <c r="AF22" i="8"/>
  <c r="AM22" i="8"/>
  <c r="AJ22" i="8"/>
  <c r="H22" i="8"/>
  <c r="I22" i="8"/>
  <c r="I102" i="8" s="1"/>
  <c r="J22" i="8"/>
  <c r="BC22" i="8"/>
  <c r="BC102" i="8" s="1"/>
  <c r="AZ22" i="8"/>
  <c r="AZ102" i="8" s="1"/>
  <c r="BB22" i="8"/>
  <c r="BB102" i="8" s="1"/>
  <c r="BA22" i="8"/>
  <c r="BA100" i="8"/>
  <c r="BA102" i="8"/>
  <c r="BA101" i="8"/>
  <c r="AZ101" i="8"/>
  <c r="BB101" i="8"/>
  <c r="BC100" i="8"/>
  <c r="BC101" i="8"/>
  <c r="AH101" i="8"/>
  <c r="T101" i="8"/>
  <c r="S101" i="8"/>
  <c r="M101" i="8"/>
  <c r="L101" i="8"/>
  <c r="T22" i="8"/>
  <c r="T102" i="8" s="1"/>
  <c r="P102" i="8"/>
  <c r="Q102" i="8"/>
  <c r="S22" i="8"/>
  <c r="S102" i="8" s="1"/>
  <c r="M22" i="8"/>
  <c r="M102" i="8" s="1"/>
  <c r="L22" i="8"/>
  <c r="L102" i="8" s="1"/>
  <c r="H101" i="8"/>
  <c r="AL101" i="8"/>
  <c r="F101" i="8"/>
  <c r="Y101" i="8"/>
  <c r="K101" i="8"/>
  <c r="K100" i="8"/>
  <c r="D100" i="8"/>
  <c r="D101" i="8"/>
  <c r="AS101" i="8"/>
  <c r="AS100" i="8"/>
  <c r="AU100" i="8"/>
  <c r="AU101" i="8"/>
  <c r="AN101" i="8"/>
  <c r="AN100" i="8"/>
  <c r="AE101" i="8"/>
  <c r="E101" i="8"/>
  <c r="I101" i="8"/>
  <c r="C101" i="8"/>
  <c r="AO101" i="8"/>
  <c r="AT101" i="8"/>
  <c r="AT100" i="8"/>
  <c r="AG101" i="8"/>
  <c r="AG100" i="8"/>
  <c r="Z100" i="8"/>
  <c r="Z101" i="8"/>
  <c r="AI101" i="8"/>
  <c r="AI100" i="8"/>
  <c r="AB100" i="8"/>
  <c r="AB101" i="8"/>
  <c r="J101" i="8"/>
  <c r="G101" i="8"/>
  <c r="G100" i="8"/>
  <c r="AC101" i="8"/>
  <c r="AC100" i="8"/>
  <c r="AM101" i="8"/>
  <c r="AM100" i="8"/>
  <c r="AF101" i="8"/>
  <c r="AF100" i="8"/>
  <c r="AT22" i="8"/>
  <c r="AT102" i="8" s="1"/>
  <c r="AP22" i="8"/>
  <c r="AP102" i="8" s="1"/>
  <c r="AL102" i="8"/>
  <c r="AH102" i="8"/>
  <c r="AD22" i="8"/>
  <c r="AD102" i="8" s="1"/>
  <c r="Z22" i="8"/>
  <c r="Z102" i="8" s="1"/>
  <c r="N22" i="8"/>
  <c r="N102" i="8" s="1"/>
  <c r="H102" i="8"/>
  <c r="D22" i="8"/>
  <c r="D102" i="8" s="1"/>
  <c r="AS22" i="8"/>
  <c r="AS102" i="8" s="1"/>
  <c r="AO22" i="8"/>
  <c r="AO102" i="8" s="1"/>
  <c r="AK102" i="8"/>
  <c r="AC22" i="8"/>
  <c r="AC102" i="8" s="1"/>
  <c r="Y22" i="8"/>
  <c r="Y102" i="8" s="1"/>
  <c r="U22" i="8"/>
  <c r="U102" i="8" s="1"/>
  <c r="K102" i="8"/>
  <c r="G102" i="8"/>
  <c r="C22" i="8"/>
  <c r="C102" i="8" s="1"/>
  <c r="AR22" i="8"/>
  <c r="AR102" i="8" s="1"/>
  <c r="AB22" i="8"/>
  <c r="AB102" i="8" s="1"/>
  <c r="AQ22" i="8"/>
  <c r="AQ102" i="8" s="1"/>
  <c r="AI102" i="8"/>
  <c r="AA22" i="8"/>
  <c r="AA102" i="8" s="1"/>
  <c r="R102" i="8"/>
  <c r="F22" i="8"/>
  <c r="F102" i="8" s="1"/>
  <c r="AN22" i="8"/>
  <c r="AN102" i="8" s="1"/>
  <c r="AF102" i="8"/>
  <c r="E22" i="8"/>
  <c r="E102" i="8" s="1"/>
  <c r="AY22" i="8"/>
  <c r="AY102" i="8" s="1"/>
  <c r="AU22" i="8"/>
  <c r="AU102" i="8" s="1"/>
  <c r="AM102" i="8"/>
  <c r="AE22" i="8"/>
  <c r="AE102" i="8" s="1"/>
  <c r="J102" i="8"/>
  <c r="AD100" i="8"/>
  <c r="AD101" i="8"/>
  <c r="AP101" i="8"/>
  <c r="AP100" i="8"/>
  <c r="AA100" i="8"/>
  <c r="AA101" i="8"/>
  <c r="AJ101" i="8"/>
  <c r="AJ100" i="8"/>
  <c r="AJ102" i="8"/>
  <c r="N101" i="8"/>
  <c r="AY101" i="8"/>
  <c r="AQ101" i="8"/>
  <c r="AR101" i="8"/>
  <c r="U101" i="8"/>
  <c r="AK101" i="8"/>
  <c r="B23" i="8"/>
  <c r="P23" i="8" l="1"/>
  <c r="Q23" i="8"/>
  <c r="R23" i="8"/>
  <c r="AL23" i="8"/>
  <c r="AH23" i="8"/>
  <c r="AK23" i="8"/>
  <c r="AG23" i="8"/>
  <c r="AG103" i="8" s="1"/>
  <c r="AI23" i="8"/>
  <c r="K23" i="8"/>
  <c r="G23" i="8"/>
  <c r="AF23" i="8"/>
  <c r="H23" i="8"/>
  <c r="AJ23" i="8"/>
  <c r="AM23" i="8"/>
  <c r="I23" i="8"/>
  <c r="I103" i="8" s="1"/>
  <c r="J23" i="8"/>
  <c r="AZ23" i="8"/>
  <c r="AZ103" i="8" s="1"/>
  <c r="BA23" i="8"/>
  <c r="BA103" i="8" s="1"/>
  <c r="BC23" i="8"/>
  <c r="BC103" i="8" s="1"/>
  <c r="BB23" i="8"/>
  <c r="BB103" i="8" s="1"/>
  <c r="S23" i="8"/>
  <c r="S103" i="8" s="1"/>
  <c r="P103" i="8"/>
  <c r="T23" i="8"/>
  <c r="T103" i="8" s="1"/>
  <c r="Q103" i="8"/>
  <c r="L23" i="8"/>
  <c r="L103" i="8" s="1"/>
  <c r="M23" i="8"/>
  <c r="M103" i="8" s="1"/>
  <c r="AY23" i="8"/>
  <c r="AY103" i="8" s="1"/>
  <c r="AU23" i="8"/>
  <c r="AU103" i="8" s="1"/>
  <c r="AQ23" i="8"/>
  <c r="AQ103" i="8" s="1"/>
  <c r="AM103" i="8"/>
  <c r="AI103" i="8"/>
  <c r="AE23" i="8"/>
  <c r="AE103" i="8" s="1"/>
  <c r="AA23" i="8"/>
  <c r="AA103" i="8" s="1"/>
  <c r="E23" i="8"/>
  <c r="E103" i="8" s="1"/>
  <c r="AT23" i="8"/>
  <c r="AT103" i="8" s="1"/>
  <c r="AP23" i="8"/>
  <c r="AP103" i="8" s="1"/>
  <c r="AL103" i="8"/>
  <c r="AH103" i="8"/>
  <c r="AD23" i="8"/>
  <c r="AD103" i="8" s="1"/>
  <c r="Z23" i="8"/>
  <c r="Z103" i="8" s="1"/>
  <c r="N23" i="8"/>
  <c r="N103" i="8" s="1"/>
  <c r="H103" i="8"/>
  <c r="D23" i="8"/>
  <c r="D103" i="8" s="1"/>
  <c r="AN23" i="8"/>
  <c r="AN103" i="8" s="1"/>
  <c r="AF103" i="8"/>
  <c r="R103" i="8"/>
  <c r="G103" i="8"/>
  <c r="AS23" i="8"/>
  <c r="AS103" i="8" s="1"/>
  <c r="AK103" i="8"/>
  <c r="AC23" i="8"/>
  <c r="AC103" i="8" s="1"/>
  <c r="F23" i="8"/>
  <c r="F103" i="8" s="1"/>
  <c r="AR23" i="8"/>
  <c r="AR103" i="8" s="1"/>
  <c r="AJ103" i="8"/>
  <c r="AB23" i="8"/>
  <c r="AB103" i="8" s="1"/>
  <c r="K103" i="8"/>
  <c r="C23" i="8"/>
  <c r="C103" i="8" s="1"/>
  <c r="AO23" i="8"/>
  <c r="AO103" i="8" s="1"/>
  <c r="Y23" i="8"/>
  <c r="Y103" i="8" s="1"/>
  <c r="U23" i="8"/>
  <c r="U103" i="8" s="1"/>
  <c r="J103" i="8"/>
  <c r="B24" i="8"/>
  <c r="Q24" i="8" l="1"/>
  <c r="R24" i="8"/>
  <c r="AL24" i="8"/>
  <c r="AH24" i="8"/>
  <c r="AH104" i="8" s="1"/>
  <c r="AK24" i="8"/>
  <c r="AG24" i="8"/>
  <c r="G24" i="8"/>
  <c r="P24" i="8"/>
  <c r="P104" i="8" s="1"/>
  <c r="AI24" i="8"/>
  <c r="AJ24" i="8"/>
  <c r="AF24" i="8"/>
  <c r="H24" i="8"/>
  <c r="H104" i="8" s="1"/>
  <c r="AM24" i="8"/>
  <c r="K24" i="8"/>
  <c r="I24" i="8"/>
  <c r="J24" i="8"/>
  <c r="J104" i="8" s="1"/>
  <c r="BA24" i="8"/>
  <c r="BA104" i="8" s="1"/>
  <c r="AZ24" i="8"/>
  <c r="AZ104" i="8" s="1"/>
  <c r="BC24" i="8"/>
  <c r="BC104" i="8" s="1"/>
  <c r="BB24" i="8"/>
  <c r="BB104" i="8" s="1"/>
  <c r="T24" i="8"/>
  <c r="T104" i="8" s="1"/>
  <c r="Q104" i="8"/>
  <c r="S24" i="8"/>
  <c r="S104" i="8" s="1"/>
  <c r="L24" i="8"/>
  <c r="L104" i="8" s="1"/>
  <c r="M24" i="8"/>
  <c r="M104" i="8" s="1"/>
  <c r="AR24" i="8"/>
  <c r="AR104" i="8" s="1"/>
  <c r="AN24" i="8"/>
  <c r="AN104" i="8" s="1"/>
  <c r="AJ104" i="8"/>
  <c r="AF104" i="8"/>
  <c r="AB24" i="8"/>
  <c r="AB104" i="8" s="1"/>
  <c r="R104" i="8"/>
  <c r="F24" i="8"/>
  <c r="F104" i="8" s="1"/>
  <c r="AY24" i="8"/>
  <c r="AY104" i="8" s="1"/>
  <c r="AU24" i="8"/>
  <c r="AU104" i="8" s="1"/>
  <c r="AQ24" i="8"/>
  <c r="AQ104" i="8" s="1"/>
  <c r="AM104" i="8"/>
  <c r="AI104" i="8"/>
  <c r="AE24" i="8"/>
  <c r="AE104" i="8" s="1"/>
  <c r="AA24" i="8"/>
  <c r="AA104" i="8" s="1"/>
  <c r="I104" i="8"/>
  <c r="E24" i="8"/>
  <c r="E104" i="8" s="1"/>
  <c r="AS24" i="8"/>
  <c r="AS104" i="8" s="1"/>
  <c r="AK104" i="8"/>
  <c r="AC24" i="8"/>
  <c r="AC104" i="8" s="1"/>
  <c r="N24" i="8"/>
  <c r="N104" i="8" s="1"/>
  <c r="D24" i="8"/>
  <c r="D104" i="8" s="1"/>
  <c r="AP24" i="8"/>
  <c r="AP104" i="8" s="1"/>
  <c r="Z24" i="8"/>
  <c r="Z104" i="8" s="1"/>
  <c r="K104" i="8"/>
  <c r="C24" i="8"/>
  <c r="C104" i="8" s="1"/>
  <c r="AO24" i="8"/>
  <c r="AO104" i="8" s="1"/>
  <c r="AG104" i="8"/>
  <c r="Y24" i="8"/>
  <c r="Y104" i="8" s="1"/>
  <c r="U24" i="8"/>
  <c r="U104" i="8" s="1"/>
  <c r="AT24" i="8"/>
  <c r="AT104" i="8" s="1"/>
  <c r="AL104" i="8"/>
  <c r="AD24" i="8"/>
  <c r="AD104" i="8" s="1"/>
  <c r="G104" i="8"/>
  <c r="B25" i="8"/>
  <c r="R25" i="8" l="1"/>
  <c r="P25" i="8"/>
  <c r="P105" i="8" s="1"/>
  <c r="AL25" i="8"/>
  <c r="AH25" i="8"/>
  <c r="AH105" i="8" s="1"/>
  <c r="AK25" i="8"/>
  <c r="AG25" i="8"/>
  <c r="H25" i="8"/>
  <c r="H105" i="8" s="1"/>
  <c r="AI25" i="8"/>
  <c r="AI105" i="8" s="1"/>
  <c r="K25" i="8"/>
  <c r="AF25" i="8"/>
  <c r="AF105" i="8" s="1"/>
  <c r="G25" i="8"/>
  <c r="Q25" i="8"/>
  <c r="AM25" i="8"/>
  <c r="AJ25" i="8"/>
  <c r="AJ105" i="8" s="1"/>
  <c r="I25" i="8"/>
  <c r="J25" i="8"/>
  <c r="J105" i="8" s="1"/>
  <c r="BB25" i="8"/>
  <c r="BB105" i="8" s="1"/>
  <c r="BC25" i="8"/>
  <c r="BC105" i="8" s="1"/>
  <c r="BA25" i="8"/>
  <c r="BA105" i="8" s="1"/>
  <c r="AZ25" i="8"/>
  <c r="AZ105" i="8" s="1"/>
  <c r="S25" i="8"/>
  <c r="S105" i="8" s="1"/>
  <c r="T25" i="8"/>
  <c r="T105" i="8" s="1"/>
  <c r="Q105" i="8"/>
  <c r="M25" i="8"/>
  <c r="M105" i="8" s="1"/>
  <c r="L25" i="8"/>
  <c r="L105" i="8" s="1"/>
  <c r="AS25" i="8"/>
  <c r="AS105" i="8" s="1"/>
  <c r="AO25" i="8"/>
  <c r="AO105" i="8" s="1"/>
  <c r="AK105" i="8"/>
  <c r="AG105" i="8"/>
  <c r="AC25" i="8"/>
  <c r="AC105" i="8" s="1"/>
  <c r="Y25" i="8"/>
  <c r="Y105" i="8" s="1"/>
  <c r="U25" i="8"/>
  <c r="U105" i="8" s="1"/>
  <c r="K105" i="8"/>
  <c r="G105" i="8"/>
  <c r="C25" i="8"/>
  <c r="C105" i="8" s="1"/>
  <c r="AR25" i="8"/>
  <c r="AR105" i="8" s="1"/>
  <c r="AN25" i="8"/>
  <c r="AN105" i="8" s="1"/>
  <c r="AB25" i="8"/>
  <c r="AB105" i="8" s="1"/>
  <c r="R105" i="8"/>
  <c r="F25" i="8"/>
  <c r="F105" i="8" s="1"/>
  <c r="AT25" i="8"/>
  <c r="AT105" i="8" s="1"/>
  <c r="AL105" i="8"/>
  <c r="AD25" i="8"/>
  <c r="AD105" i="8" s="1"/>
  <c r="I105" i="8"/>
  <c r="AQ25" i="8"/>
  <c r="AQ105" i="8" s="1"/>
  <c r="AA25" i="8"/>
  <c r="AA105" i="8" s="1"/>
  <c r="AP25" i="8"/>
  <c r="AP105" i="8" s="1"/>
  <c r="Z25" i="8"/>
  <c r="Z105" i="8" s="1"/>
  <c r="E25" i="8"/>
  <c r="E105" i="8" s="1"/>
  <c r="AY25" i="8"/>
  <c r="AY105" i="8" s="1"/>
  <c r="AU25" i="8"/>
  <c r="AU105" i="8" s="1"/>
  <c r="AM105" i="8"/>
  <c r="AE25" i="8"/>
  <c r="AE105" i="8" s="1"/>
  <c r="N25" i="8"/>
  <c r="N105" i="8" s="1"/>
  <c r="D25" i="8"/>
  <c r="D105" i="8" s="1"/>
  <c r="B26" i="8"/>
  <c r="P26" i="8" l="1"/>
  <c r="P106" i="8" s="1"/>
  <c r="Q26" i="8"/>
  <c r="R26" i="8"/>
  <c r="AL26" i="8"/>
  <c r="AH26" i="8"/>
  <c r="AK26" i="8"/>
  <c r="AG26" i="8"/>
  <c r="K26" i="8"/>
  <c r="K106" i="8" s="1"/>
  <c r="AI26" i="8"/>
  <c r="G26" i="8"/>
  <c r="AF26" i="8"/>
  <c r="H26" i="8"/>
  <c r="AJ26" i="8"/>
  <c r="AM26" i="8"/>
  <c r="I26" i="8"/>
  <c r="J26" i="8"/>
  <c r="J106" i="8" s="1"/>
  <c r="BC26" i="8"/>
  <c r="BC106" i="8" s="1"/>
  <c r="BB26" i="8"/>
  <c r="BB106" i="8" s="1"/>
  <c r="BA26" i="8"/>
  <c r="BA106" i="8" s="1"/>
  <c r="AZ26" i="8"/>
  <c r="AZ106" i="8" s="1"/>
  <c r="T26" i="8"/>
  <c r="T106" i="8" s="1"/>
  <c r="S26" i="8"/>
  <c r="S106" i="8" s="1"/>
  <c r="Q106" i="8"/>
  <c r="M26" i="8"/>
  <c r="M106" i="8" s="1"/>
  <c r="L26" i="8"/>
  <c r="L106" i="8" s="1"/>
  <c r="AT26" i="8"/>
  <c r="AT106" i="8" s="1"/>
  <c r="AP26" i="8"/>
  <c r="AP106" i="8" s="1"/>
  <c r="AL106" i="8"/>
  <c r="AH106" i="8"/>
  <c r="AD26" i="8"/>
  <c r="AD106" i="8" s="1"/>
  <c r="Z26" i="8"/>
  <c r="Z106" i="8" s="1"/>
  <c r="N26" i="8"/>
  <c r="N106" i="8" s="1"/>
  <c r="H106" i="8"/>
  <c r="D26" i="8"/>
  <c r="D106" i="8" s="1"/>
  <c r="AS26" i="8"/>
  <c r="AS106" i="8" s="1"/>
  <c r="AO26" i="8"/>
  <c r="AO106" i="8" s="1"/>
  <c r="AK106" i="8"/>
  <c r="AG106" i="8"/>
  <c r="AC26" i="8"/>
  <c r="AC106" i="8" s="1"/>
  <c r="Y26" i="8"/>
  <c r="Y106" i="8" s="1"/>
  <c r="U26" i="8"/>
  <c r="U106" i="8" s="1"/>
  <c r="G106" i="8"/>
  <c r="C26" i="8"/>
  <c r="C106" i="8" s="1"/>
  <c r="AR26" i="8"/>
  <c r="AR106" i="8" s="1"/>
  <c r="AJ106" i="8"/>
  <c r="AB26" i="8"/>
  <c r="AB106" i="8" s="1"/>
  <c r="I106" i="8"/>
  <c r="AQ26" i="8"/>
  <c r="AQ106" i="8" s="1"/>
  <c r="AI106" i="8"/>
  <c r="AA26" i="8"/>
  <c r="AA106" i="8" s="1"/>
  <c r="R106" i="8"/>
  <c r="F26" i="8"/>
  <c r="F106" i="8" s="1"/>
  <c r="AN26" i="8"/>
  <c r="AN106" i="8" s="1"/>
  <c r="AF106" i="8"/>
  <c r="E26" i="8"/>
  <c r="E106" i="8" s="1"/>
  <c r="AY26" i="8"/>
  <c r="AY106" i="8" s="1"/>
  <c r="AU26" i="8"/>
  <c r="AU106" i="8" s="1"/>
  <c r="AM106" i="8"/>
  <c r="AE26" i="8"/>
  <c r="AE106" i="8" s="1"/>
  <c r="B27" i="8"/>
  <c r="P27" i="8" l="1"/>
  <c r="Q27" i="8"/>
  <c r="R27" i="8"/>
  <c r="AL27" i="8"/>
  <c r="AH27" i="8"/>
  <c r="AK27" i="8"/>
  <c r="AG27" i="8"/>
  <c r="AG107" i="8" s="1"/>
  <c r="AI27" i="8"/>
  <c r="H27" i="8"/>
  <c r="AF27" i="8"/>
  <c r="G27" i="8"/>
  <c r="AM27" i="8"/>
  <c r="AJ27" i="8"/>
  <c r="K27" i="8"/>
  <c r="I27" i="8"/>
  <c r="I107" i="8" s="1"/>
  <c r="J27" i="8"/>
  <c r="AZ27" i="8"/>
  <c r="AZ107" i="8" s="1"/>
  <c r="BA27" i="8"/>
  <c r="BA107" i="8" s="1"/>
  <c r="BC27" i="8"/>
  <c r="BC107" i="8" s="1"/>
  <c r="BB27" i="8"/>
  <c r="BB107" i="8" s="1"/>
  <c r="S27" i="8"/>
  <c r="S107" i="8" s="1"/>
  <c r="Q107" i="8"/>
  <c r="T27" i="8"/>
  <c r="T107" i="8" s="1"/>
  <c r="P107" i="8"/>
  <c r="L27" i="8"/>
  <c r="L107" i="8" s="1"/>
  <c r="M27" i="8"/>
  <c r="M107" i="8" s="1"/>
  <c r="AY27" i="8"/>
  <c r="AY107" i="8" s="1"/>
  <c r="AU27" i="8"/>
  <c r="AU107" i="8" s="1"/>
  <c r="AQ27" i="8"/>
  <c r="AQ107" i="8" s="1"/>
  <c r="AM107" i="8"/>
  <c r="AI107" i="8"/>
  <c r="AE27" i="8"/>
  <c r="AE107" i="8" s="1"/>
  <c r="AA27" i="8"/>
  <c r="AA107" i="8" s="1"/>
  <c r="E27" i="8"/>
  <c r="E107" i="8" s="1"/>
  <c r="AT27" i="8"/>
  <c r="AT107" i="8" s="1"/>
  <c r="AP27" i="8"/>
  <c r="AP107" i="8" s="1"/>
  <c r="AL107" i="8"/>
  <c r="AH107" i="8"/>
  <c r="AD27" i="8"/>
  <c r="AD107" i="8" s="1"/>
  <c r="Z27" i="8"/>
  <c r="Z107" i="8" s="1"/>
  <c r="N27" i="8"/>
  <c r="N107" i="8" s="1"/>
  <c r="H107" i="8"/>
  <c r="D27" i="8"/>
  <c r="D107" i="8" s="1"/>
  <c r="AN27" i="8"/>
  <c r="AN107" i="8" s="1"/>
  <c r="AF107" i="8"/>
  <c r="R107" i="8"/>
  <c r="G107" i="8"/>
  <c r="AS27" i="8"/>
  <c r="AS107" i="8" s="1"/>
  <c r="AK107" i="8"/>
  <c r="AC27" i="8"/>
  <c r="AC107" i="8" s="1"/>
  <c r="F27" i="8"/>
  <c r="F107" i="8" s="1"/>
  <c r="AR27" i="8"/>
  <c r="AR107" i="8" s="1"/>
  <c r="AJ107" i="8"/>
  <c r="AB27" i="8"/>
  <c r="AB107" i="8" s="1"/>
  <c r="K107" i="8"/>
  <c r="C27" i="8"/>
  <c r="C107" i="8" s="1"/>
  <c r="AO27" i="8"/>
  <c r="AO107" i="8" s="1"/>
  <c r="Y27" i="8"/>
  <c r="Y107" i="8" s="1"/>
  <c r="U27" i="8"/>
  <c r="U107" i="8" s="1"/>
  <c r="J107" i="8"/>
  <c r="B28" i="8"/>
  <c r="Q28" i="8" l="1"/>
  <c r="Q108" i="8" s="1"/>
  <c r="R28" i="8"/>
  <c r="R108" i="8" s="1"/>
  <c r="AL28" i="8"/>
  <c r="AH28" i="8"/>
  <c r="P28" i="8"/>
  <c r="P108" i="8" s="1"/>
  <c r="AK28" i="8"/>
  <c r="AG28" i="8"/>
  <c r="G28" i="8"/>
  <c r="AI28" i="8"/>
  <c r="AI108" i="8" s="1"/>
  <c r="H28" i="8"/>
  <c r="AJ28" i="8"/>
  <c r="AF28" i="8"/>
  <c r="K28" i="8"/>
  <c r="K108" i="8" s="1"/>
  <c r="AM28" i="8"/>
  <c r="AM108" i="8" s="1"/>
  <c r="I28" i="8"/>
  <c r="J28" i="8"/>
  <c r="BA28" i="8"/>
  <c r="BA108" i="8" s="1"/>
  <c r="AZ28" i="8"/>
  <c r="AZ108" i="8" s="1"/>
  <c r="BC28" i="8"/>
  <c r="BC108" i="8" s="1"/>
  <c r="BB28" i="8"/>
  <c r="BB108" i="8" s="1"/>
  <c r="T28" i="8"/>
  <c r="T108" i="8" s="1"/>
  <c r="S28" i="8"/>
  <c r="S108" i="8" s="1"/>
  <c r="M28" i="8"/>
  <c r="M108" i="8" s="1"/>
  <c r="L28" i="8"/>
  <c r="L108" i="8" s="1"/>
  <c r="AR28" i="8"/>
  <c r="AR108" i="8" s="1"/>
  <c r="AN28" i="8"/>
  <c r="AN108" i="8" s="1"/>
  <c r="AJ108" i="8"/>
  <c r="AF108" i="8"/>
  <c r="AB28" i="8"/>
  <c r="AB108" i="8" s="1"/>
  <c r="J108" i="8"/>
  <c r="F28" i="8"/>
  <c r="F108" i="8" s="1"/>
  <c r="AY28" i="8"/>
  <c r="AY108" i="8" s="1"/>
  <c r="AU28" i="8"/>
  <c r="AU108" i="8" s="1"/>
  <c r="AQ28" i="8"/>
  <c r="AQ108" i="8" s="1"/>
  <c r="AE28" i="8"/>
  <c r="AE108" i="8" s="1"/>
  <c r="AA28" i="8"/>
  <c r="AA108" i="8" s="1"/>
  <c r="I108" i="8"/>
  <c r="E28" i="8"/>
  <c r="E108" i="8" s="1"/>
  <c r="AS28" i="8"/>
  <c r="AS108" i="8" s="1"/>
  <c r="AK108" i="8"/>
  <c r="AC28" i="8"/>
  <c r="AC108" i="8" s="1"/>
  <c r="N28" i="8"/>
  <c r="N108" i="8" s="1"/>
  <c r="D28" i="8"/>
  <c r="D108" i="8" s="1"/>
  <c r="AP28" i="8"/>
  <c r="AP108" i="8" s="1"/>
  <c r="AH108" i="8"/>
  <c r="Z28" i="8"/>
  <c r="Z108" i="8" s="1"/>
  <c r="C28" i="8"/>
  <c r="C108" i="8" s="1"/>
  <c r="AO28" i="8"/>
  <c r="AO108" i="8" s="1"/>
  <c r="AG108" i="8"/>
  <c r="Y28" i="8"/>
  <c r="Y108" i="8" s="1"/>
  <c r="U28" i="8"/>
  <c r="U108" i="8" s="1"/>
  <c r="H108" i="8"/>
  <c r="AT28" i="8"/>
  <c r="AT108" i="8" s="1"/>
  <c r="AL108" i="8"/>
  <c r="AD28" i="8"/>
  <c r="AD108" i="8" s="1"/>
  <c r="G108" i="8"/>
  <c r="B29" i="8"/>
  <c r="R29" i="8" l="1"/>
  <c r="P29" i="8"/>
  <c r="AL29" i="8"/>
  <c r="AL109" i="8" s="1"/>
  <c r="AH29" i="8"/>
  <c r="AH109" i="8" s="1"/>
  <c r="AK29" i="8"/>
  <c r="AG29" i="8"/>
  <c r="H29" i="8"/>
  <c r="Q29" i="8"/>
  <c r="AI29" i="8"/>
  <c r="AI109" i="8" s="1"/>
  <c r="G29" i="8"/>
  <c r="AF29" i="8"/>
  <c r="AF109" i="8" s="1"/>
  <c r="AJ29" i="8"/>
  <c r="AJ109" i="8" s="1"/>
  <c r="K29" i="8"/>
  <c r="AM29" i="8"/>
  <c r="AM109" i="8" s="1"/>
  <c r="I29" i="8"/>
  <c r="J29" i="8"/>
  <c r="J109" i="8" s="1"/>
  <c r="BB29" i="8"/>
  <c r="BB109" i="8" s="1"/>
  <c r="BC29" i="8"/>
  <c r="BC109" i="8" s="1"/>
  <c r="BA29" i="8"/>
  <c r="BA109" i="8" s="1"/>
  <c r="AZ29" i="8"/>
  <c r="AZ109" i="8" s="1"/>
  <c r="S29" i="8"/>
  <c r="S109" i="8" s="1"/>
  <c r="T29" i="8"/>
  <c r="T109" i="8" s="1"/>
  <c r="P109" i="8"/>
  <c r="Q109" i="8"/>
  <c r="M29" i="8"/>
  <c r="M109" i="8" s="1"/>
  <c r="L29" i="8"/>
  <c r="L109" i="8" s="1"/>
  <c r="AS29" i="8"/>
  <c r="AS109" i="8" s="1"/>
  <c r="AO29" i="8"/>
  <c r="AO109" i="8" s="1"/>
  <c r="AK109" i="8"/>
  <c r="AG109" i="8"/>
  <c r="AC29" i="8"/>
  <c r="AC109" i="8" s="1"/>
  <c r="Y29" i="8"/>
  <c r="Y109" i="8" s="1"/>
  <c r="U29" i="8"/>
  <c r="U109" i="8" s="1"/>
  <c r="K109" i="8"/>
  <c r="G109" i="8"/>
  <c r="C29" i="8"/>
  <c r="C109" i="8" s="1"/>
  <c r="AR29" i="8"/>
  <c r="AR109" i="8" s="1"/>
  <c r="AN29" i="8"/>
  <c r="AN109" i="8" s="1"/>
  <c r="AB29" i="8"/>
  <c r="AB109" i="8" s="1"/>
  <c r="R109" i="8"/>
  <c r="F29" i="8"/>
  <c r="F109" i="8" s="1"/>
  <c r="AT29" i="8"/>
  <c r="AT109" i="8" s="1"/>
  <c r="AD29" i="8"/>
  <c r="AD109" i="8" s="1"/>
  <c r="I109" i="8"/>
  <c r="AQ29" i="8"/>
  <c r="AQ109" i="8" s="1"/>
  <c r="AA29" i="8"/>
  <c r="AA109" i="8" s="1"/>
  <c r="H109" i="8"/>
  <c r="AP29" i="8"/>
  <c r="AP109" i="8" s="1"/>
  <c r="Z29" i="8"/>
  <c r="Z109" i="8" s="1"/>
  <c r="E29" i="8"/>
  <c r="E109" i="8" s="1"/>
  <c r="AY29" i="8"/>
  <c r="AY109" i="8" s="1"/>
  <c r="AU29" i="8"/>
  <c r="AU109" i="8" s="1"/>
  <c r="AE29" i="8"/>
  <c r="AE109" i="8" s="1"/>
  <c r="N29" i="8"/>
  <c r="N109" i="8" s="1"/>
  <c r="D29" i="8"/>
  <c r="D109" i="8" s="1"/>
  <c r="B30" i="8"/>
  <c r="P30" i="8" l="1"/>
  <c r="P110" i="8" s="1"/>
  <c r="Q30" i="8"/>
  <c r="AL30" i="8"/>
  <c r="AH30" i="8"/>
  <c r="AK30" i="8"/>
  <c r="AK110" i="8" s="1"/>
  <c r="AG30" i="8"/>
  <c r="K30" i="8"/>
  <c r="AI30" i="8"/>
  <c r="AI110" i="8" s="1"/>
  <c r="R30" i="8"/>
  <c r="AF30" i="8"/>
  <c r="H30" i="8"/>
  <c r="AM30" i="8"/>
  <c r="G30" i="8"/>
  <c r="AJ30" i="8"/>
  <c r="I30" i="8"/>
  <c r="J30" i="8"/>
  <c r="J110" i="8" s="1"/>
  <c r="BC30" i="8"/>
  <c r="BC110" i="8" s="1"/>
  <c r="BB30" i="8"/>
  <c r="BB110" i="8" s="1"/>
  <c r="BA30" i="8"/>
  <c r="BA110" i="8" s="1"/>
  <c r="AZ30" i="8"/>
  <c r="AZ110" i="8" s="1"/>
  <c r="T30" i="8"/>
  <c r="T110" i="8" s="1"/>
  <c r="Q110" i="8"/>
  <c r="S30" i="8"/>
  <c r="S110" i="8" s="1"/>
  <c r="M30" i="8"/>
  <c r="M110" i="8" s="1"/>
  <c r="L30" i="8"/>
  <c r="L110" i="8" s="1"/>
  <c r="AT30" i="8"/>
  <c r="AT110" i="8" s="1"/>
  <c r="AP30" i="8"/>
  <c r="AP110" i="8" s="1"/>
  <c r="AL110" i="8"/>
  <c r="AH110" i="8"/>
  <c r="AD30" i="8"/>
  <c r="AD110" i="8" s="1"/>
  <c r="Z30" i="8"/>
  <c r="Z110" i="8" s="1"/>
  <c r="N30" i="8"/>
  <c r="N110" i="8" s="1"/>
  <c r="H110" i="8"/>
  <c r="D30" i="8"/>
  <c r="D110" i="8" s="1"/>
  <c r="AS30" i="8"/>
  <c r="AS110" i="8" s="1"/>
  <c r="AO30" i="8"/>
  <c r="AO110" i="8" s="1"/>
  <c r="AG110" i="8"/>
  <c r="AC30" i="8"/>
  <c r="AC110" i="8" s="1"/>
  <c r="Y30" i="8"/>
  <c r="Y110" i="8" s="1"/>
  <c r="U30" i="8"/>
  <c r="U110" i="8" s="1"/>
  <c r="K110" i="8"/>
  <c r="G110" i="8"/>
  <c r="C30" i="8"/>
  <c r="C110" i="8" s="1"/>
  <c r="AR30" i="8"/>
  <c r="AR110" i="8" s="1"/>
  <c r="AJ110" i="8"/>
  <c r="AB30" i="8"/>
  <c r="AB110" i="8" s="1"/>
  <c r="I110" i="8"/>
  <c r="AQ30" i="8"/>
  <c r="AQ110" i="8" s="1"/>
  <c r="AA30" i="8"/>
  <c r="AA110" i="8" s="1"/>
  <c r="R110" i="8"/>
  <c r="F30" i="8"/>
  <c r="F110" i="8" s="1"/>
  <c r="AN30" i="8"/>
  <c r="AN110" i="8" s="1"/>
  <c r="AF110" i="8"/>
  <c r="E30" i="8"/>
  <c r="E110" i="8" s="1"/>
  <c r="AY30" i="8"/>
  <c r="AY110" i="8" s="1"/>
  <c r="AU30" i="8"/>
  <c r="AU110" i="8" s="1"/>
  <c r="AM110" i="8"/>
  <c r="AE30" i="8"/>
  <c r="AE110" i="8" s="1"/>
  <c r="B31" i="8"/>
  <c r="P31" i="8" l="1"/>
  <c r="Q31" i="8"/>
  <c r="R31" i="8"/>
  <c r="AL31" i="8"/>
  <c r="AH31" i="8"/>
  <c r="AK31" i="8"/>
  <c r="AG31" i="8"/>
  <c r="AI31" i="8"/>
  <c r="G31" i="8"/>
  <c r="AJ31" i="8"/>
  <c r="H31" i="8"/>
  <c r="AF31" i="8"/>
  <c r="K31" i="8"/>
  <c r="AM31" i="8"/>
  <c r="I31" i="8"/>
  <c r="I111" i="8" s="1"/>
  <c r="J31" i="8"/>
  <c r="AZ31" i="8"/>
  <c r="AZ111" i="8" s="1"/>
  <c r="BB31" i="8"/>
  <c r="BB111" i="8" s="1"/>
  <c r="BC31" i="8"/>
  <c r="BC111" i="8" s="1"/>
  <c r="BA31" i="8"/>
  <c r="BA111" i="8" s="1"/>
  <c r="S31" i="8"/>
  <c r="S111" i="8" s="1"/>
  <c r="P111" i="8"/>
  <c r="T31" i="8"/>
  <c r="T111" i="8" s="1"/>
  <c r="Q111" i="8"/>
  <c r="L31" i="8"/>
  <c r="L111" i="8" s="1"/>
  <c r="M31" i="8"/>
  <c r="M111" i="8" s="1"/>
  <c r="AY31" i="8"/>
  <c r="AY111" i="8" s="1"/>
  <c r="AU31" i="8"/>
  <c r="AU111" i="8" s="1"/>
  <c r="AQ31" i="8"/>
  <c r="AQ111" i="8" s="1"/>
  <c r="AM111" i="8"/>
  <c r="AI111" i="8"/>
  <c r="AE31" i="8"/>
  <c r="AE111" i="8" s="1"/>
  <c r="AA31" i="8"/>
  <c r="AA111" i="8" s="1"/>
  <c r="E31" i="8"/>
  <c r="E111" i="8" s="1"/>
  <c r="AT31" i="8"/>
  <c r="AT111" i="8" s="1"/>
  <c r="AP31" i="8"/>
  <c r="AP111" i="8" s="1"/>
  <c r="AL111" i="8"/>
  <c r="AH111" i="8"/>
  <c r="AD31" i="8"/>
  <c r="AD111" i="8" s="1"/>
  <c r="Z31" i="8"/>
  <c r="Z111" i="8" s="1"/>
  <c r="N31" i="8"/>
  <c r="N111" i="8" s="1"/>
  <c r="H111" i="8"/>
  <c r="D31" i="8"/>
  <c r="D111" i="8" s="1"/>
  <c r="AN31" i="8"/>
  <c r="AN111" i="8" s="1"/>
  <c r="AF111" i="8"/>
  <c r="R111" i="8"/>
  <c r="G111" i="8"/>
  <c r="AS31" i="8"/>
  <c r="AS111" i="8" s="1"/>
  <c r="AK111" i="8"/>
  <c r="AC31" i="8"/>
  <c r="AC111" i="8" s="1"/>
  <c r="F31" i="8"/>
  <c r="F111" i="8" s="1"/>
  <c r="AR31" i="8"/>
  <c r="AR111" i="8" s="1"/>
  <c r="AJ111" i="8"/>
  <c r="AB31" i="8"/>
  <c r="AB111" i="8" s="1"/>
  <c r="K111" i="8"/>
  <c r="C31" i="8"/>
  <c r="C111" i="8" s="1"/>
  <c r="AO31" i="8"/>
  <c r="AO111" i="8" s="1"/>
  <c r="AG111" i="8"/>
  <c r="Y31" i="8"/>
  <c r="Y111" i="8" s="1"/>
  <c r="U31" i="8"/>
  <c r="U111" i="8" s="1"/>
  <c r="J111" i="8"/>
  <c r="B32" i="8"/>
  <c r="Q32" i="8" l="1"/>
  <c r="R32" i="8"/>
  <c r="P32" i="8"/>
  <c r="AL32" i="8"/>
  <c r="AH32" i="8"/>
  <c r="AK32" i="8"/>
  <c r="AG32" i="8"/>
  <c r="G32" i="8"/>
  <c r="AI32" i="8"/>
  <c r="K32" i="8"/>
  <c r="AF32" i="8"/>
  <c r="H32" i="8"/>
  <c r="AJ32" i="8"/>
  <c r="AM32" i="8"/>
  <c r="I32" i="8"/>
  <c r="I112" i="8" s="1"/>
  <c r="J32" i="8"/>
  <c r="BA32" i="8"/>
  <c r="BA112" i="8" s="1"/>
  <c r="BB32" i="8"/>
  <c r="BB112" i="8" s="1"/>
  <c r="AZ32" i="8"/>
  <c r="AZ112" i="8" s="1"/>
  <c r="BC32" i="8"/>
  <c r="BC112" i="8" s="1"/>
  <c r="T32" i="8"/>
  <c r="T112" i="8" s="1"/>
  <c r="P112" i="8"/>
  <c r="S32" i="8"/>
  <c r="S112" i="8" s="1"/>
  <c r="Q112" i="8"/>
  <c r="L32" i="8"/>
  <c r="L112" i="8" s="1"/>
  <c r="M32" i="8"/>
  <c r="M112" i="8" s="1"/>
  <c r="AR32" i="8"/>
  <c r="AR112" i="8" s="1"/>
  <c r="AN32" i="8"/>
  <c r="AN112" i="8" s="1"/>
  <c r="AJ112" i="8"/>
  <c r="AF112" i="8"/>
  <c r="AB32" i="8"/>
  <c r="AB112" i="8" s="1"/>
  <c r="R112" i="8"/>
  <c r="J112" i="8"/>
  <c r="F32" i="8"/>
  <c r="F112" i="8" s="1"/>
  <c r="AY32" i="8"/>
  <c r="AY112" i="8" s="1"/>
  <c r="AU32" i="8"/>
  <c r="AU112" i="8" s="1"/>
  <c r="AQ32" i="8"/>
  <c r="AQ112" i="8" s="1"/>
  <c r="AM112" i="8"/>
  <c r="AI112" i="8"/>
  <c r="AE32" i="8"/>
  <c r="AE112" i="8" s="1"/>
  <c r="AA32" i="8"/>
  <c r="AA112" i="8" s="1"/>
  <c r="E32" i="8"/>
  <c r="E112" i="8" s="1"/>
  <c r="AS32" i="8"/>
  <c r="AS112" i="8" s="1"/>
  <c r="AK112" i="8"/>
  <c r="AC32" i="8"/>
  <c r="AC112" i="8" s="1"/>
  <c r="N32" i="8"/>
  <c r="N112" i="8" s="1"/>
  <c r="D32" i="8"/>
  <c r="D112" i="8" s="1"/>
  <c r="AP32" i="8"/>
  <c r="AP112" i="8" s="1"/>
  <c r="AH112" i="8"/>
  <c r="Z32" i="8"/>
  <c r="Z112" i="8" s="1"/>
  <c r="K112" i="8"/>
  <c r="C32" i="8"/>
  <c r="C112" i="8" s="1"/>
  <c r="AO32" i="8"/>
  <c r="AO112" i="8" s="1"/>
  <c r="AG112" i="8"/>
  <c r="Y32" i="8"/>
  <c r="Y112" i="8" s="1"/>
  <c r="U32" i="8"/>
  <c r="U112" i="8" s="1"/>
  <c r="H112" i="8"/>
  <c r="AT32" i="8"/>
  <c r="AT112" i="8" s="1"/>
  <c r="AL112" i="8"/>
  <c r="AD32" i="8"/>
  <c r="AD112" i="8" s="1"/>
  <c r="G112" i="8"/>
  <c r="B33" i="8"/>
  <c r="R33" i="8" l="1"/>
  <c r="P33" i="8"/>
  <c r="P113" i="8" s="1"/>
  <c r="AL33" i="8"/>
  <c r="AH33" i="8"/>
  <c r="Q33" i="8"/>
  <c r="Q113" i="8" s="1"/>
  <c r="AK33" i="8"/>
  <c r="AK113" i="8" s="1"/>
  <c r="AG33" i="8"/>
  <c r="H33" i="8"/>
  <c r="AI33" i="8"/>
  <c r="K33" i="8"/>
  <c r="K113" i="8" s="1"/>
  <c r="AF33" i="8"/>
  <c r="AM33" i="8"/>
  <c r="AJ33" i="8"/>
  <c r="AJ113" i="8" s="1"/>
  <c r="G33" i="8"/>
  <c r="G113" i="8" s="1"/>
  <c r="I33" i="8"/>
  <c r="J33" i="8"/>
  <c r="BB33" i="8"/>
  <c r="BB113" i="8" s="1"/>
  <c r="BA33" i="8"/>
  <c r="BA113" i="8" s="1"/>
  <c r="AZ33" i="8"/>
  <c r="AZ113" i="8" s="1"/>
  <c r="BC33" i="8"/>
  <c r="BC113" i="8" s="1"/>
  <c r="S33" i="8"/>
  <c r="S113" i="8" s="1"/>
  <c r="T33" i="8"/>
  <c r="T113" i="8" s="1"/>
  <c r="M33" i="8"/>
  <c r="M113" i="8" s="1"/>
  <c r="L33" i="8"/>
  <c r="L113" i="8" s="1"/>
  <c r="AS33" i="8"/>
  <c r="AS113" i="8" s="1"/>
  <c r="AO33" i="8"/>
  <c r="AO113" i="8" s="1"/>
  <c r="AG113" i="8"/>
  <c r="AC33" i="8"/>
  <c r="AC113" i="8" s="1"/>
  <c r="Y33" i="8"/>
  <c r="Y113" i="8" s="1"/>
  <c r="U33" i="8"/>
  <c r="U113" i="8" s="1"/>
  <c r="C33" i="8"/>
  <c r="C113" i="8" s="1"/>
  <c r="AR33" i="8"/>
  <c r="AR113" i="8" s="1"/>
  <c r="AN33" i="8"/>
  <c r="AN113" i="8" s="1"/>
  <c r="AF113" i="8"/>
  <c r="AB33" i="8"/>
  <c r="AB113" i="8" s="1"/>
  <c r="R113" i="8"/>
  <c r="J113" i="8"/>
  <c r="F33" i="8"/>
  <c r="F113" i="8" s="1"/>
  <c r="AT33" i="8"/>
  <c r="AT113" i="8" s="1"/>
  <c r="AL113" i="8"/>
  <c r="AD33" i="8"/>
  <c r="AD113" i="8" s="1"/>
  <c r="I113" i="8"/>
  <c r="AQ33" i="8"/>
  <c r="AQ113" i="8" s="1"/>
  <c r="AI113" i="8"/>
  <c r="AA33" i="8"/>
  <c r="AA113" i="8" s="1"/>
  <c r="H113" i="8"/>
  <c r="AP33" i="8"/>
  <c r="AP113" i="8" s="1"/>
  <c r="AH113" i="8"/>
  <c r="Z33" i="8"/>
  <c r="Z113" i="8" s="1"/>
  <c r="E33" i="8"/>
  <c r="E113" i="8" s="1"/>
  <c r="AY33" i="8"/>
  <c r="AY113" i="8" s="1"/>
  <c r="AU33" i="8"/>
  <c r="AU113" i="8" s="1"/>
  <c r="AM113" i="8"/>
  <c r="AE33" i="8"/>
  <c r="AE113" i="8" s="1"/>
  <c r="N33" i="8"/>
  <c r="N113" i="8" s="1"/>
  <c r="D33" i="8"/>
  <c r="D113" i="8" s="1"/>
  <c r="B34" i="8"/>
  <c r="P34" i="8" l="1"/>
  <c r="Q34" i="8"/>
  <c r="Q114" i="8" s="1"/>
  <c r="AL34" i="8"/>
  <c r="AH34" i="8"/>
  <c r="AK34" i="8"/>
  <c r="AG34" i="8"/>
  <c r="K34" i="8"/>
  <c r="K114" i="8" s="1"/>
  <c r="R34" i="8"/>
  <c r="AI34" i="8"/>
  <c r="H34" i="8"/>
  <c r="AJ34" i="8"/>
  <c r="AF34" i="8"/>
  <c r="G34" i="8"/>
  <c r="AM34" i="8"/>
  <c r="I34" i="8"/>
  <c r="I114" i="8" s="1"/>
  <c r="J34" i="8"/>
  <c r="BC34" i="8"/>
  <c r="BC114" i="8" s="1"/>
  <c r="BA34" i="8"/>
  <c r="BA114" i="8" s="1"/>
  <c r="AZ34" i="8"/>
  <c r="AZ114" i="8" s="1"/>
  <c r="BB34" i="8"/>
  <c r="BB114" i="8" s="1"/>
  <c r="T34" i="8"/>
  <c r="T114" i="8" s="1"/>
  <c r="P114" i="8"/>
  <c r="S34" i="8"/>
  <c r="S114" i="8" s="1"/>
  <c r="M34" i="8"/>
  <c r="M114" i="8" s="1"/>
  <c r="L34" i="8"/>
  <c r="L114" i="8" s="1"/>
  <c r="AT34" i="8"/>
  <c r="AT114" i="8" s="1"/>
  <c r="AP34" i="8"/>
  <c r="AP114" i="8" s="1"/>
  <c r="AL114" i="8"/>
  <c r="AH114" i="8"/>
  <c r="AD34" i="8"/>
  <c r="AD114" i="8" s="1"/>
  <c r="Z34" i="8"/>
  <c r="Z114" i="8" s="1"/>
  <c r="N34" i="8"/>
  <c r="N114" i="8" s="1"/>
  <c r="H114" i="8"/>
  <c r="D34" i="8"/>
  <c r="D114" i="8" s="1"/>
  <c r="AS34" i="8"/>
  <c r="AS114" i="8" s="1"/>
  <c r="AO34" i="8"/>
  <c r="AO114" i="8" s="1"/>
  <c r="AK114" i="8"/>
  <c r="AG114" i="8"/>
  <c r="AC34" i="8"/>
  <c r="AC114" i="8" s="1"/>
  <c r="Y34" i="8"/>
  <c r="Y114" i="8" s="1"/>
  <c r="U34" i="8"/>
  <c r="U114" i="8" s="1"/>
  <c r="G114" i="8"/>
  <c r="C34" i="8"/>
  <c r="C114" i="8" s="1"/>
  <c r="AR34" i="8"/>
  <c r="AR114" i="8" s="1"/>
  <c r="AJ114" i="8"/>
  <c r="AB34" i="8"/>
  <c r="AB114" i="8" s="1"/>
  <c r="AQ34" i="8"/>
  <c r="AQ114" i="8" s="1"/>
  <c r="AI114" i="8"/>
  <c r="AA34" i="8"/>
  <c r="AA114" i="8" s="1"/>
  <c r="R114" i="8"/>
  <c r="F34" i="8"/>
  <c r="F114" i="8" s="1"/>
  <c r="AN34" i="8"/>
  <c r="AN114" i="8" s="1"/>
  <c r="AF114" i="8"/>
  <c r="E34" i="8"/>
  <c r="E114" i="8" s="1"/>
  <c r="AY34" i="8"/>
  <c r="AY114" i="8" s="1"/>
  <c r="AU34" i="8"/>
  <c r="AU114" i="8" s="1"/>
  <c r="AM114" i="8"/>
  <c r="AE34" i="8"/>
  <c r="AE114" i="8" s="1"/>
  <c r="J114" i="8"/>
  <c r="B35" i="8"/>
  <c r="P35" i="8" l="1"/>
  <c r="Q35" i="8"/>
  <c r="R35" i="8"/>
  <c r="AL35" i="8"/>
  <c r="AH35" i="8"/>
  <c r="AK35" i="8"/>
  <c r="AG35" i="8"/>
  <c r="AG115" i="8" s="1"/>
  <c r="AI35" i="8"/>
  <c r="AI115" i="8" s="1"/>
  <c r="AF35" i="8"/>
  <c r="K35" i="8"/>
  <c r="K115" i="8" s="1"/>
  <c r="AJ35" i="8"/>
  <c r="G35" i="8"/>
  <c r="AM35" i="8"/>
  <c r="H35" i="8"/>
  <c r="H115" i="8" s="1"/>
  <c r="I35" i="8"/>
  <c r="J35" i="8"/>
  <c r="J115" i="8" s="1"/>
  <c r="AZ35" i="8"/>
  <c r="AZ115" i="8" s="1"/>
  <c r="BA35" i="8"/>
  <c r="BA115" i="8" s="1"/>
  <c r="BC35" i="8"/>
  <c r="BC115" i="8" s="1"/>
  <c r="BB35" i="8"/>
  <c r="BB115" i="8" s="1"/>
  <c r="S35" i="8"/>
  <c r="S115" i="8" s="1"/>
  <c r="Q115" i="8"/>
  <c r="T35" i="8"/>
  <c r="T115" i="8" s="1"/>
  <c r="P115" i="8"/>
  <c r="M35" i="8"/>
  <c r="M115" i="8" s="1"/>
  <c r="L35" i="8"/>
  <c r="L115" i="8" s="1"/>
  <c r="AY35" i="8"/>
  <c r="AY115" i="8" s="1"/>
  <c r="AU35" i="8"/>
  <c r="AU115" i="8" s="1"/>
  <c r="AQ35" i="8"/>
  <c r="AQ115" i="8" s="1"/>
  <c r="AM115" i="8"/>
  <c r="AE35" i="8"/>
  <c r="AE115" i="8" s="1"/>
  <c r="AA35" i="8"/>
  <c r="AA115" i="8" s="1"/>
  <c r="I115" i="8"/>
  <c r="E35" i="8"/>
  <c r="E115" i="8" s="1"/>
  <c r="AT35" i="8"/>
  <c r="AT115" i="8" s="1"/>
  <c r="AP35" i="8"/>
  <c r="AP115" i="8" s="1"/>
  <c r="AL115" i="8"/>
  <c r="AH115" i="8"/>
  <c r="AD35" i="8"/>
  <c r="AD115" i="8" s="1"/>
  <c r="Z35" i="8"/>
  <c r="Z115" i="8" s="1"/>
  <c r="N35" i="8"/>
  <c r="N115" i="8" s="1"/>
  <c r="D35" i="8"/>
  <c r="D115" i="8" s="1"/>
  <c r="AN35" i="8"/>
  <c r="AN115" i="8" s="1"/>
  <c r="AF115" i="8"/>
  <c r="R115" i="8"/>
  <c r="G115" i="8"/>
  <c r="AS35" i="8"/>
  <c r="AS115" i="8" s="1"/>
  <c r="AK115" i="8"/>
  <c r="AC35" i="8"/>
  <c r="AC115" i="8" s="1"/>
  <c r="F35" i="8"/>
  <c r="F115" i="8" s="1"/>
  <c r="AR35" i="8"/>
  <c r="AR115" i="8" s="1"/>
  <c r="AJ115" i="8"/>
  <c r="AB35" i="8"/>
  <c r="AB115" i="8" s="1"/>
  <c r="C35" i="8"/>
  <c r="C115" i="8" s="1"/>
  <c r="AO35" i="8"/>
  <c r="AO115" i="8" s="1"/>
  <c r="Y35" i="8"/>
  <c r="Y115" i="8" s="1"/>
  <c r="U35" i="8"/>
  <c r="U115" i="8" s="1"/>
  <c r="B36" i="8"/>
  <c r="Q36" i="8" l="1"/>
  <c r="R36" i="8"/>
  <c r="AL36" i="8"/>
  <c r="AH36" i="8"/>
  <c r="AK36" i="8"/>
  <c r="AG36" i="8"/>
  <c r="AG116" i="8" s="1"/>
  <c r="G36" i="8"/>
  <c r="G116" i="8" s="1"/>
  <c r="P36" i="8"/>
  <c r="AI36" i="8"/>
  <c r="H36" i="8"/>
  <c r="K36" i="8"/>
  <c r="AF36" i="8"/>
  <c r="AM36" i="8"/>
  <c r="AJ36" i="8"/>
  <c r="I36" i="8"/>
  <c r="I116" i="8" s="1"/>
  <c r="J36" i="8"/>
  <c r="BA36" i="8"/>
  <c r="BA116" i="8" s="1"/>
  <c r="BC36" i="8"/>
  <c r="BC116" i="8" s="1"/>
  <c r="AZ36" i="8"/>
  <c r="AZ116" i="8" s="1"/>
  <c r="BB36" i="8"/>
  <c r="BB116" i="8" s="1"/>
  <c r="T36" i="8"/>
  <c r="T116" i="8" s="1"/>
  <c r="P116" i="8"/>
  <c r="Q116" i="8"/>
  <c r="S36" i="8"/>
  <c r="S116" i="8" s="1"/>
  <c r="M36" i="8"/>
  <c r="M116" i="8" s="1"/>
  <c r="L36" i="8"/>
  <c r="L116" i="8" s="1"/>
  <c r="AT36" i="8"/>
  <c r="AT116" i="8" s="1"/>
  <c r="AP36" i="8"/>
  <c r="AP116" i="8" s="1"/>
  <c r="AL116" i="8"/>
  <c r="AH116" i="8"/>
  <c r="AD36" i="8"/>
  <c r="AD116" i="8" s="1"/>
  <c r="Z36" i="8"/>
  <c r="Z116" i="8" s="1"/>
  <c r="AS36" i="8"/>
  <c r="AS116" i="8" s="1"/>
  <c r="AO36" i="8"/>
  <c r="AO116" i="8" s="1"/>
  <c r="AK116" i="8"/>
  <c r="AC36" i="8"/>
  <c r="AC116" i="8" s="1"/>
  <c r="AY36" i="8"/>
  <c r="AY116" i="8" s="1"/>
  <c r="AU36" i="8"/>
  <c r="AU116" i="8" s="1"/>
  <c r="AM116" i="8"/>
  <c r="AE36" i="8"/>
  <c r="AE116" i="8" s="1"/>
  <c r="R116" i="8"/>
  <c r="J116" i="8"/>
  <c r="F36" i="8"/>
  <c r="F116" i="8" s="1"/>
  <c r="AR36" i="8"/>
  <c r="AR116" i="8" s="1"/>
  <c r="AJ116" i="8"/>
  <c r="AB36" i="8"/>
  <c r="AB116" i="8" s="1"/>
  <c r="E36" i="8"/>
  <c r="E116" i="8" s="1"/>
  <c r="AF116" i="8"/>
  <c r="N36" i="8"/>
  <c r="N116" i="8" s="1"/>
  <c r="D36" i="8"/>
  <c r="D116" i="8" s="1"/>
  <c r="AQ36" i="8"/>
  <c r="AQ116" i="8" s="1"/>
  <c r="AA36" i="8"/>
  <c r="AA116" i="8" s="1"/>
  <c r="K116" i="8"/>
  <c r="C36" i="8"/>
  <c r="C116" i="8" s="1"/>
  <c r="AN36" i="8"/>
  <c r="AN116" i="8" s="1"/>
  <c r="Y36" i="8"/>
  <c r="Y116" i="8" s="1"/>
  <c r="U36" i="8"/>
  <c r="U116" i="8" s="1"/>
  <c r="H116" i="8"/>
  <c r="AI116" i="8"/>
  <c r="B37" i="8"/>
  <c r="R37" i="8" l="1"/>
  <c r="P37" i="8"/>
  <c r="Q37" i="8"/>
  <c r="AL37" i="8"/>
  <c r="AL117" i="8" s="1"/>
  <c r="AH37" i="8"/>
  <c r="AK37" i="8"/>
  <c r="AG37" i="8"/>
  <c r="AG117" i="8" s="1"/>
  <c r="H37" i="8"/>
  <c r="H117" i="8" s="1"/>
  <c r="AI37" i="8"/>
  <c r="AJ37" i="8"/>
  <c r="AF37" i="8"/>
  <c r="K37" i="8"/>
  <c r="K117" i="8" s="1"/>
  <c r="G37" i="8"/>
  <c r="AM37" i="8"/>
  <c r="I37" i="8"/>
  <c r="I117" i="8" s="1"/>
  <c r="J37" i="8"/>
  <c r="BB37" i="8"/>
  <c r="BB117" i="8" s="1"/>
  <c r="AZ37" i="8"/>
  <c r="AZ117" i="8" s="1"/>
  <c r="BA37" i="8"/>
  <c r="BA117" i="8" s="1"/>
  <c r="BC37" i="8"/>
  <c r="BC117" i="8" s="1"/>
  <c r="S37" i="8"/>
  <c r="S117" i="8" s="1"/>
  <c r="T37" i="8"/>
  <c r="T117" i="8" s="1"/>
  <c r="P117" i="8"/>
  <c r="Q117" i="8"/>
  <c r="M37" i="8"/>
  <c r="M117" i="8" s="1"/>
  <c r="L37" i="8"/>
  <c r="L117" i="8" s="1"/>
  <c r="AY37" i="8"/>
  <c r="AY117" i="8" s="1"/>
  <c r="AU37" i="8"/>
  <c r="AU117" i="8" s="1"/>
  <c r="AQ37" i="8"/>
  <c r="AQ117" i="8" s="1"/>
  <c r="AM117" i="8"/>
  <c r="AI117" i="8"/>
  <c r="AE37" i="8"/>
  <c r="AE117" i="8" s="1"/>
  <c r="AA37" i="8"/>
  <c r="AA117" i="8" s="1"/>
  <c r="E37" i="8"/>
  <c r="E117" i="8" s="1"/>
  <c r="AT37" i="8"/>
  <c r="AT117" i="8" s="1"/>
  <c r="AP37" i="8"/>
  <c r="AP117" i="8" s="1"/>
  <c r="AH117" i="8"/>
  <c r="AD37" i="8"/>
  <c r="AD117" i="8" s="1"/>
  <c r="Z37" i="8"/>
  <c r="Z117" i="8" s="1"/>
  <c r="N37" i="8"/>
  <c r="N117" i="8" s="1"/>
  <c r="D37" i="8"/>
  <c r="D117" i="8" s="1"/>
  <c r="AO37" i="8"/>
  <c r="AO117" i="8" s="1"/>
  <c r="Y37" i="8"/>
  <c r="Y117" i="8" s="1"/>
  <c r="U37" i="8"/>
  <c r="U117" i="8" s="1"/>
  <c r="J117" i="8"/>
  <c r="AN37" i="8"/>
  <c r="AN117" i="8" s="1"/>
  <c r="AF117" i="8"/>
  <c r="R117" i="8"/>
  <c r="G117" i="8"/>
  <c r="AJ117" i="8"/>
  <c r="F37" i="8"/>
  <c r="F117" i="8" s="1"/>
  <c r="AS37" i="8"/>
  <c r="AS117" i="8" s="1"/>
  <c r="AC37" i="8"/>
  <c r="AC117" i="8" s="1"/>
  <c r="C37" i="8"/>
  <c r="C117" i="8" s="1"/>
  <c r="AR37" i="8"/>
  <c r="AR117" i="8" s="1"/>
  <c r="AB37" i="8"/>
  <c r="AB117" i="8" s="1"/>
  <c r="AK117" i="8"/>
  <c r="F54" i="101" l="1"/>
  <c r="H54" i="101" s="1"/>
  <c r="E58" i="101"/>
  <c r="K54" i="101" l="1"/>
  <c r="F56" i="101"/>
  <c r="F57" i="101"/>
  <c r="F58" i="101"/>
  <c r="H58" i="101"/>
  <c r="K58" i="101" l="1"/>
  <c r="F55" i="101" l="1"/>
  <c r="H55" i="101" s="1"/>
  <c r="K55" i="101" s="1"/>
  <c r="F52" i="101"/>
  <c r="H52" i="101" s="1"/>
  <c r="F53" i="101"/>
  <c r="H53" i="101" s="1"/>
  <c r="K53" i="101" s="1"/>
  <c r="K52" i="101" l="1"/>
  <c r="K59" i="101" s="1"/>
  <c r="D64" i="101" s="1"/>
  <c r="D67" i="101" s="1"/>
  <c r="H59" i="101"/>
  <c r="BE11" i="25"/>
  <c r="BH11" i="25"/>
  <c r="AI11" i="25"/>
  <c r="AP11" i="25"/>
  <c r="BB11" i="25"/>
  <c r="BV11" i="25"/>
  <c r="AV11" i="25"/>
  <c r="BC11" i="25"/>
  <c r="AT11" i="25"/>
  <c r="AC11" i="25"/>
  <c r="BZ11" i="25"/>
  <c r="W11" i="25"/>
  <c r="BW11" i="25"/>
  <c r="BO11" i="25"/>
  <c r="AW11" i="25"/>
  <c r="AM11" i="25"/>
  <c r="BQ11" i="25"/>
  <c r="BT11" i="25"/>
  <c r="BN11" i="25"/>
  <c r="BF11" i="25"/>
  <c r="AL11" i="25"/>
  <c r="AH11" i="25"/>
  <c r="BS11" i="25"/>
  <c r="BJ11" i="25"/>
  <c r="AB11" i="25"/>
  <c r="BY11" i="25"/>
  <c r="BG11" i="25"/>
  <c r="AQ11" i="25"/>
  <c r="AJ11" i="25"/>
  <c r="BK11" i="25"/>
  <c r="CA11" i="25"/>
  <c r="AZ11" i="25"/>
  <c r="Z11" i="25"/>
  <c r="BP11" i="25"/>
  <c r="BR11" i="25"/>
  <c r="BS12" i="25"/>
  <c r="BC10" i="25"/>
  <c r="CC12" i="25"/>
  <c r="BK10" i="25"/>
  <c r="AN12" i="25"/>
  <c r="BK12" i="25"/>
  <c r="BA10" i="25"/>
  <c r="CA10" i="25"/>
  <c r="AA10" i="25"/>
  <c r="BV12" i="25"/>
  <c r="AN10" i="25"/>
  <c r="BR10" i="25"/>
  <c r="BI10" i="25"/>
  <c r="AU10" i="25"/>
  <c r="AD10" i="25"/>
  <c r="BY12" i="25"/>
  <c r="CH10" i="25"/>
  <c r="AZ12" i="25"/>
  <c r="BE10" i="25"/>
  <c r="BW10" i="25"/>
  <c r="BH10" i="25"/>
  <c r="AX12" i="25"/>
  <c r="AS12" i="25"/>
  <c r="AZ10" i="25"/>
  <c r="AY10" i="25"/>
  <c r="BP12" i="25"/>
  <c r="AG10" i="25"/>
  <c r="BF12" i="25"/>
  <c r="AA12" i="25"/>
  <c r="AW12" i="25"/>
  <c r="BW12" i="25"/>
  <c r="BT10" i="25"/>
  <c r="BA12" i="25"/>
  <c r="BZ12" i="25"/>
  <c r="W12" i="25"/>
  <c r="BY10" i="25"/>
  <c r="BO10" i="25"/>
  <c r="BC12" i="25"/>
  <c r="BZ10" i="25"/>
  <c r="AK10" i="25"/>
  <c r="CH12" i="25"/>
  <c r="AH12" i="25"/>
  <c r="AQ10" i="25"/>
  <c r="AT12" i="25"/>
  <c r="AY12" i="25"/>
  <c r="Y10" i="25"/>
  <c r="AT10" i="25"/>
  <c r="AB10" i="25"/>
  <c r="AC10" i="25"/>
  <c r="BF10" i="25"/>
  <c r="E36" i="73" l="1"/>
  <c r="M41" i="73"/>
  <c r="G36" i="73"/>
  <c r="S41" i="73"/>
  <c r="M36" i="73"/>
  <c r="H36" i="73"/>
  <c r="N36" i="73"/>
  <c r="F37" i="73"/>
  <c r="D37" i="73"/>
  <c r="S37" i="73"/>
  <c r="T37" i="73" s="1"/>
  <c r="N41" i="73"/>
  <c r="N42" i="73" s="1"/>
  <c r="C36" i="73"/>
  <c r="H37" i="73"/>
  <c r="F36" i="73"/>
  <c r="I37" i="73"/>
  <c r="N37" i="73"/>
  <c r="D36" i="73"/>
  <c r="J36" i="73"/>
  <c r="F50" i="119"/>
  <c r="K54" i="119"/>
  <c r="K55" i="119" s="1"/>
  <c r="H49" i="119"/>
  <c r="K50" i="119"/>
  <c r="G54" i="119"/>
  <c r="G55" i="119" s="1"/>
  <c r="G50" i="119"/>
  <c r="K49" i="119"/>
  <c r="H54" i="119"/>
  <c r="H55" i="119" s="1"/>
  <c r="U16" i="73"/>
  <c r="BX11" i="25"/>
  <c r="N16" i="73"/>
  <c r="AE11" i="25"/>
  <c r="BX12" i="25"/>
  <c r="CP11" i="25"/>
  <c r="F16" i="73"/>
  <c r="AF10" i="25"/>
  <c r="D16" i="73"/>
  <c r="CP12" i="25"/>
  <c r="BU11" i="25"/>
  <c r="CP10" i="25"/>
  <c r="AE10" i="25"/>
  <c r="H16" i="73"/>
  <c r="CE11" i="25"/>
  <c r="AN11" i="25"/>
  <c r="Y11" i="25"/>
  <c r="AD11" i="25"/>
  <c r="CD11" i="25"/>
  <c r="AK11" i="25"/>
  <c r="AY11" i="25"/>
  <c r="AU11" i="25"/>
  <c r="BA11" i="25"/>
  <c r="CB11" i="25"/>
  <c r="X11" i="25"/>
  <c r="AO11" i="25"/>
  <c r="CC11" i="25"/>
  <c r="CH11" i="25"/>
  <c r="BL11" i="25"/>
  <c r="AX11" i="25"/>
  <c r="AR11" i="25"/>
  <c r="BD11" i="25"/>
  <c r="AS11" i="25"/>
  <c r="AA11" i="25"/>
  <c r="BI11" i="25"/>
  <c r="AG11" i="25"/>
  <c r="R11" i="25"/>
  <c r="X12" i="25"/>
  <c r="CC10" i="25"/>
  <c r="AP12" i="25"/>
  <c r="CE12" i="25"/>
  <c r="AP10" i="25"/>
  <c r="AQ12" i="25"/>
  <c r="AC12" i="25"/>
  <c r="AL10" i="25"/>
  <c r="BT12" i="25"/>
  <c r="Z10" i="25"/>
  <c r="BL10" i="25"/>
  <c r="Y12" i="25"/>
  <c r="BS10" i="25"/>
  <c r="AR12" i="25"/>
  <c r="E37" i="73" l="1"/>
  <c r="I54" i="119"/>
  <c r="I55" i="119" s="1"/>
  <c r="F54" i="119"/>
  <c r="F55" i="119" s="1"/>
  <c r="AE12" i="25"/>
  <c r="AL12" i="25"/>
  <c r="CB10" i="25"/>
  <c r="AO12" i="25"/>
  <c r="BG10" i="25"/>
  <c r="Z12" i="25"/>
  <c r="AI10" i="25"/>
  <c r="AI12" i="25"/>
  <c r="BB10" i="25"/>
  <c r="BO12" i="25"/>
  <c r="BR12" i="25"/>
  <c r="BD10" i="25"/>
  <c r="AG12" i="25"/>
  <c r="AM12" i="25"/>
  <c r="AD12" i="25"/>
  <c r="BE12" i="25"/>
  <c r="AV12" i="25"/>
  <c r="BJ12" i="25"/>
  <c r="BI12" i="25"/>
  <c r="BB12" i="25"/>
  <c r="X10" i="25"/>
  <c r="BN12" i="25"/>
  <c r="AO10" i="25"/>
  <c r="CD12" i="25"/>
  <c r="AJ12" i="25"/>
  <c r="AV10" i="25"/>
  <c r="BL12" i="25"/>
  <c r="R12" i="25"/>
  <c r="CB12" i="25"/>
  <c r="AJ10" i="25"/>
  <c r="CD10" i="25"/>
  <c r="CE10" i="25"/>
  <c r="AR10" i="25"/>
  <c r="BN10" i="25"/>
  <c r="BV10" i="25"/>
  <c r="BH12" i="25"/>
  <c r="CA12" i="25"/>
  <c r="W10" i="25"/>
  <c r="AU12" i="25"/>
  <c r="BJ10" i="25"/>
  <c r="CI12" i="25"/>
  <c r="BQ12" i="25"/>
  <c r="AX10" i="25"/>
  <c r="BP10" i="25"/>
  <c r="D38" i="73" l="1"/>
  <c r="K51" i="119"/>
  <c r="K57" i="119" s="1"/>
  <c r="C61" i="119" s="1"/>
  <c r="G37" i="73"/>
  <c r="G38" i="73" s="1"/>
  <c r="C41" i="73"/>
  <c r="J37" i="73"/>
  <c r="J38" i="73" s="1"/>
  <c r="H41" i="73"/>
  <c r="H42" i="73" s="1"/>
  <c r="Q41" i="73"/>
  <c r="Q42" i="73" s="1"/>
  <c r="I36" i="73"/>
  <c r="I38" i="73" s="1"/>
  <c r="Q36" i="73"/>
  <c r="S36" i="73"/>
  <c r="D41" i="73"/>
  <c r="D42" i="73" s="1"/>
  <c r="J41" i="73"/>
  <c r="J42" i="73" s="1"/>
  <c r="F41" i="73"/>
  <c r="F42" i="73" s="1"/>
  <c r="K41" i="73"/>
  <c r="K42" i="73" s="1"/>
  <c r="Q37" i="73"/>
  <c r="I41" i="73"/>
  <c r="I42" i="73" s="1"/>
  <c r="K36" i="73"/>
  <c r="U41" i="73"/>
  <c r="U42" i="73" s="1"/>
  <c r="U44" i="73" s="1"/>
  <c r="K37" i="73"/>
  <c r="E41" i="73"/>
  <c r="E42" i="73" s="1"/>
  <c r="M37" i="73"/>
  <c r="O37" i="73" s="1"/>
  <c r="F38" i="73"/>
  <c r="N38" i="73"/>
  <c r="N44" i="73" s="1"/>
  <c r="S42" i="73"/>
  <c r="T41" i="73"/>
  <c r="T42" i="73" s="1"/>
  <c r="H38" i="73"/>
  <c r="M42" i="73"/>
  <c r="O41" i="73"/>
  <c r="O36" i="73"/>
  <c r="E38" i="73"/>
  <c r="H50" i="119"/>
  <c r="H51" i="119" s="1"/>
  <c r="H57" i="119" s="1"/>
  <c r="C55" i="101" s="1"/>
  <c r="L50" i="119"/>
  <c r="L49" i="119"/>
  <c r="I49" i="119"/>
  <c r="F49" i="119"/>
  <c r="F51" i="119" s="1"/>
  <c r="F57" i="119" s="1"/>
  <c r="I50" i="119"/>
  <c r="G49" i="119"/>
  <c r="G51" i="119" s="1"/>
  <c r="G57" i="119" s="1"/>
  <c r="E16" i="73"/>
  <c r="CQ11" i="25"/>
  <c r="CF11" i="25"/>
  <c r="CQ12" i="25"/>
  <c r="CF12" i="25"/>
  <c r="BM12" i="25"/>
  <c r="BM11" i="25"/>
  <c r="CM11" i="25" s="1"/>
  <c r="BM10" i="25"/>
  <c r="CQ10" i="25"/>
  <c r="CF10" i="25"/>
  <c r="G16" i="73"/>
  <c r="BU12" i="25"/>
  <c r="C20" i="73"/>
  <c r="J16" i="73"/>
  <c r="S12" i="25"/>
  <c r="E54" i="119" s="1"/>
  <c r="E55" i="119" s="1"/>
  <c r="H20" i="73"/>
  <c r="H22" i="73" s="1"/>
  <c r="Q20" i="73"/>
  <c r="I16" i="73"/>
  <c r="S16" i="73"/>
  <c r="AF12" i="25"/>
  <c r="D20" i="73"/>
  <c r="D22" i="73" s="1"/>
  <c r="AF11" i="25"/>
  <c r="J20" i="73"/>
  <c r="F20" i="73"/>
  <c r="F22" i="73" s="1"/>
  <c r="CO12" i="25"/>
  <c r="F13" i="119"/>
  <c r="I20" i="73"/>
  <c r="CO11" i="25"/>
  <c r="C16" i="73"/>
  <c r="S11" i="25"/>
  <c r="E49" i="119" s="1"/>
  <c r="T11" i="25"/>
  <c r="U11" i="25" s="1"/>
  <c r="U20" i="73"/>
  <c r="U22" i="73" s="1"/>
  <c r="CO10" i="25"/>
  <c r="E20" i="73"/>
  <c r="BX10" i="25"/>
  <c r="G20" i="73"/>
  <c r="N20" i="73"/>
  <c r="N22" i="73" s="1"/>
  <c r="K20" i="73"/>
  <c r="H17" i="119"/>
  <c r="K13" i="119"/>
  <c r="F17" i="119"/>
  <c r="M20" i="73"/>
  <c r="T16" i="73"/>
  <c r="I17" i="119"/>
  <c r="O14" i="73"/>
  <c r="P14" i="73" s="1"/>
  <c r="L17" i="119"/>
  <c r="G13" i="119"/>
  <c r="G17" i="119"/>
  <c r="K17" i="119"/>
  <c r="S20" i="73"/>
  <c r="H13" i="119"/>
  <c r="S10" i="25"/>
  <c r="E50" i="119" s="1"/>
  <c r="AS10" i="25"/>
  <c r="AW10" i="25"/>
  <c r="AH10" i="25"/>
  <c r="BG12" i="25"/>
  <c r="AM10" i="25"/>
  <c r="AB12" i="25"/>
  <c r="BD12" i="25"/>
  <c r="BQ10" i="25"/>
  <c r="AK12" i="25"/>
  <c r="E51" i="119" l="1"/>
  <c r="E57" i="119" s="1"/>
  <c r="C65" i="101" s="1"/>
  <c r="G41" i="73"/>
  <c r="G42" i="73" s="1"/>
  <c r="G44" i="73" s="1"/>
  <c r="C37" i="73"/>
  <c r="C38" i="73" s="1"/>
  <c r="L54" i="119"/>
  <c r="L55" i="119" s="1"/>
  <c r="CM12" i="25"/>
  <c r="BU10" i="25"/>
  <c r="CG10" i="25" s="1"/>
  <c r="CN10" i="25" s="1"/>
  <c r="D44" i="73"/>
  <c r="J44" i="73"/>
  <c r="F44" i="73"/>
  <c r="CG11" i="25"/>
  <c r="CN11" i="25" s="1"/>
  <c r="H44" i="73"/>
  <c r="M38" i="73"/>
  <c r="M44" i="73" s="1"/>
  <c r="K38" i="73"/>
  <c r="K44" i="73" s="1"/>
  <c r="E22" i="73"/>
  <c r="L51" i="119"/>
  <c r="I51" i="119"/>
  <c r="I57" i="119" s="1"/>
  <c r="C54" i="101" s="1"/>
  <c r="E44" i="73"/>
  <c r="P37" i="73"/>
  <c r="S38" i="73"/>
  <c r="S44" i="73" s="1"/>
  <c r="T36" i="73"/>
  <c r="T38" i="73" s="1"/>
  <c r="T44" i="73" s="1"/>
  <c r="C60" i="119"/>
  <c r="C62" i="119" s="1"/>
  <c r="C53" i="101"/>
  <c r="Q38" i="73"/>
  <c r="Q44" i="73" s="1"/>
  <c r="O38" i="73"/>
  <c r="P36" i="73"/>
  <c r="L36" i="73"/>
  <c r="I44" i="73"/>
  <c r="C42" i="73"/>
  <c r="I60" i="119"/>
  <c r="C52" i="101"/>
  <c r="O42" i="73"/>
  <c r="P41" i="73"/>
  <c r="P42" i="73" s="1"/>
  <c r="M16" i="73"/>
  <c r="M22" i="73" s="1"/>
  <c r="I13" i="119"/>
  <c r="L13" i="119"/>
  <c r="L19" i="119" s="1"/>
  <c r="L14" i="73"/>
  <c r="F19" i="119"/>
  <c r="C22" i="73"/>
  <c r="S22" i="73"/>
  <c r="G22" i="73"/>
  <c r="I22" i="73"/>
  <c r="J22" i="73"/>
  <c r="G19" i="119"/>
  <c r="C10" i="101" s="1"/>
  <c r="D10" i="101" s="1"/>
  <c r="H19" i="119"/>
  <c r="C13" i="101" s="1"/>
  <c r="D13" i="101" s="1"/>
  <c r="K19" i="119"/>
  <c r="K16" i="73"/>
  <c r="K22" i="73" s="1"/>
  <c r="T20" i="73"/>
  <c r="T22" i="73" s="1"/>
  <c r="L20" i="73"/>
  <c r="Q16" i="73"/>
  <c r="Q22" i="73" s="1"/>
  <c r="CG12" i="25"/>
  <c r="CN12" i="25" s="1"/>
  <c r="O16" i="73"/>
  <c r="P16" i="73"/>
  <c r="P20" i="73"/>
  <c r="O20" i="73"/>
  <c r="B11" i="119"/>
  <c r="C44" i="73" l="1"/>
  <c r="L41" i="73"/>
  <c r="L42" i="73" s="1"/>
  <c r="L37" i="73"/>
  <c r="L38" i="73" s="1"/>
  <c r="L57" i="119"/>
  <c r="I61" i="119" s="1"/>
  <c r="I62" i="119" s="1"/>
  <c r="J60" i="119" s="1"/>
  <c r="K60" i="119" s="1"/>
  <c r="CM10" i="25"/>
  <c r="R41" i="73"/>
  <c r="R42" i="73" s="1"/>
  <c r="CL12" i="25"/>
  <c r="R37" i="73"/>
  <c r="CL10" i="25"/>
  <c r="R36" i="73"/>
  <c r="CL11" i="25"/>
  <c r="CK11" i="25"/>
  <c r="C49" i="119" s="1"/>
  <c r="B49" i="119" s="1"/>
  <c r="P38" i="73"/>
  <c r="P44" i="73" s="1"/>
  <c r="D61" i="119"/>
  <c r="D60" i="119"/>
  <c r="E60" i="119" s="1"/>
  <c r="C22" i="119"/>
  <c r="C11" i="101"/>
  <c r="D11" i="101" s="1"/>
  <c r="O44" i="73"/>
  <c r="I19" i="119"/>
  <c r="L16" i="73"/>
  <c r="L22" i="73" s="1"/>
  <c r="P22" i="73"/>
  <c r="O22" i="73"/>
  <c r="CK12" i="25"/>
  <c r="R20" i="73"/>
  <c r="R16" i="73"/>
  <c r="CK10" i="25"/>
  <c r="C23" i="119"/>
  <c r="D53" i="101"/>
  <c r="I23" i="119"/>
  <c r="I22" i="119"/>
  <c r="D52" i="101"/>
  <c r="D55" i="101"/>
  <c r="L44" i="73" l="1"/>
  <c r="C54" i="119"/>
  <c r="B41" i="73"/>
  <c r="B42" i="73" s="1"/>
  <c r="C50" i="119"/>
  <c r="B37" i="73"/>
  <c r="R38" i="73"/>
  <c r="R44" i="73" s="1"/>
  <c r="C56" i="101" s="1"/>
  <c r="B36" i="73"/>
  <c r="J61" i="119"/>
  <c r="J62" i="119" s="1"/>
  <c r="D62" i="119"/>
  <c r="D54" i="101"/>
  <c r="C12" i="101"/>
  <c r="D12" i="101" s="1"/>
  <c r="R22" i="73"/>
  <c r="C14" i="101" s="1"/>
  <c r="B16" i="73"/>
  <c r="B20" i="73"/>
  <c r="C24" i="119"/>
  <c r="D23" i="119" s="1"/>
  <c r="I24" i="119"/>
  <c r="J22" i="119" s="1"/>
  <c r="C51" i="119" l="1"/>
  <c r="B38" i="73"/>
  <c r="B44" i="73" s="1"/>
  <c r="C55" i="119"/>
  <c r="B22" i="73"/>
  <c r="C17" i="119"/>
  <c r="C13" i="119"/>
  <c r="J23" i="119"/>
  <c r="J24" i="119" s="1"/>
  <c r="K22" i="119"/>
  <c r="D22" i="119"/>
  <c r="C57" i="119" l="1"/>
  <c r="C19" i="119"/>
  <c r="D24" i="119"/>
  <c r="E22" i="119"/>
  <c r="E13" i="119"/>
  <c r="C21" i="101" l="1"/>
  <c r="C63" i="101"/>
  <c r="E17" i="119" l="1"/>
  <c r="E19" i="119" l="1"/>
  <c r="C23" i="101" l="1"/>
  <c r="L7" i="120" l="1"/>
  <c r="L4" i="25"/>
  <c r="M4" i="25"/>
  <c r="N4" i="25" l="1"/>
  <c r="O4" i="25" l="1"/>
  <c r="D16" i="119" s="1"/>
  <c r="T4" i="25"/>
  <c r="U4" i="25" s="1"/>
  <c r="D17" i="119" l="1"/>
  <c r="B16" i="119"/>
  <c r="B17" i="119" l="1"/>
  <c r="L5" i="120" l="1"/>
  <c r="L2" i="25"/>
  <c r="M2" i="25"/>
  <c r="N2" i="25" l="1"/>
  <c r="T2" i="25" s="1"/>
  <c r="U2" i="25" s="1"/>
  <c r="O2" i="25" l="1"/>
  <c r="D12" i="119" s="1"/>
  <c r="D13" i="119" s="1"/>
  <c r="B12" i="119" l="1"/>
  <c r="B13" i="119"/>
  <c r="D19" i="119"/>
  <c r="C15" i="101" l="1"/>
  <c r="C16" i="101" s="1"/>
  <c r="D16" i="101" s="1"/>
  <c r="B19" i="119"/>
  <c r="C24" i="101"/>
  <c r="L10" i="120" l="1"/>
  <c r="L8" i="25"/>
  <c r="M8" i="25"/>
  <c r="N8" i="25" l="1"/>
  <c r="T8" i="25" s="1"/>
  <c r="U8" i="25" s="1"/>
  <c r="O8" i="25" l="1"/>
  <c r="D35" i="119" s="1"/>
  <c r="D36" i="119" s="1"/>
  <c r="B35" i="119" l="1"/>
  <c r="D38" i="119"/>
  <c r="B36" i="119"/>
  <c r="B38" i="119" l="1"/>
  <c r="C45" i="101"/>
  <c r="C36" i="101"/>
  <c r="C37" i="101" s="1"/>
  <c r="D37" i="101" s="1"/>
  <c r="L11" i="120"/>
  <c r="L10" i="25"/>
  <c r="M10" i="25"/>
  <c r="N10" i="25" l="1"/>
  <c r="T10" i="25" s="1"/>
  <c r="U10" i="25" s="1"/>
  <c r="O10" i="25" l="1"/>
  <c r="D50" i="119" s="1"/>
  <c r="D51" i="119" l="1"/>
  <c r="B51" i="119" s="1"/>
  <c r="B50" i="119"/>
  <c r="L13" i="120"/>
  <c r="L12" i="25"/>
  <c r="M12" i="25"/>
  <c r="N12" i="25" l="1"/>
  <c r="T12" i="25" s="1"/>
  <c r="U12" i="25" s="1"/>
  <c r="O12" i="25" l="1"/>
  <c r="D54" i="119" s="1"/>
  <c r="B54" i="119" s="1"/>
  <c r="D55" i="119" l="1"/>
  <c r="D57" i="119" s="1"/>
  <c r="B55" i="119" l="1"/>
  <c r="B57" i="119"/>
  <c r="C57" i="101"/>
  <c r="C66" i="101"/>
  <c r="J10" i="101" l="1"/>
  <c r="J12" i="101"/>
  <c r="J16" i="101"/>
  <c r="J32" i="101"/>
  <c r="J34" i="101"/>
  <c r="J52" i="101"/>
  <c r="J54" i="101"/>
  <c r="C58" i="101"/>
  <c r="D58" i="101" s="1"/>
  <c r="I11" i="101"/>
  <c r="I13" i="101"/>
  <c r="I31" i="101"/>
  <c r="I33" i="101"/>
  <c r="I37" i="101"/>
  <c r="I53" i="101"/>
  <c r="I55" i="101"/>
  <c r="J11" i="101"/>
  <c r="J13" i="101"/>
  <c r="J31" i="101"/>
  <c r="J33" i="101"/>
  <c r="J37" i="101"/>
  <c r="J53" i="101"/>
  <c r="J55" i="101"/>
  <c r="I58" i="101"/>
  <c r="I10" i="101"/>
  <c r="I12" i="101"/>
  <c r="I16" i="101"/>
  <c r="I32" i="101"/>
  <c r="I34" i="101"/>
  <c r="I52" i="101"/>
  <c r="I54" i="101"/>
  <c r="J58" i="101"/>
  <c r="J38" i="101" l="1"/>
  <c r="I59" i="101"/>
  <c r="C64" i="101" s="1"/>
  <c r="C67" i="101" s="1"/>
  <c r="I17" i="101"/>
  <c r="C22" i="101" s="1"/>
  <c r="C25" i="101" s="1"/>
  <c r="I38" i="101"/>
  <c r="C43" i="101" s="1"/>
  <c r="C46" i="101" s="1"/>
  <c r="J59" i="101"/>
  <c r="J17" i="101"/>
</calcChain>
</file>

<file path=xl/comments1.xml><?xml version="1.0" encoding="utf-8"?>
<comments xmlns="http://schemas.openxmlformats.org/spreadsheetml/2006/main">
  <authors>
    <author>Erin Malone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comments2.xml><?xml version="1.0" encoding="utf-8"?>
<comments xmlns="http://schemas.openxmlformats.org/spreadsheetml/2006/main">
  <authors>
    <author>Erin Malone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comments3.xml><?xml version="1.0" encoding="utf-8"?>
<comments xmlns="http://schemas.openxmlformats.org/spreadsheetml/2006/main">
  <authors>
    <author>Erin Malone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sharedStrings.xml><?xml version="1.0" encoding="utf-8"?>
<sst xmlns="http://schemas.openxmlformats.org/spreadsheetml/2006/main" count="4228" uniqueCount="990">
  <si>
    <t>a</t>
  </si>
  <si>
    <t>b</t>
  </si>
  <si>
    <t>x</t>
  </si>
  <si>
    <t>Impact Factors</t>
  </si>
  <si>
    <t>Energy Savings</t>
  </si>
  <si>
    <t>Capacity Savings</t>
  </si>
  <si>
    <t>Non-Electric Benefits</t>
  </si>
  <si>
    <t>Sector</t>
  </si>
  <si>
    <t>Program</t>
  </si>
  <si>
    <t>Measure</t>
  </si>
  <si>
    <t>End Use</t>
  </si>
  <si>
    <t>Total Resource Cost</t>
  </si>
  <si>
    <t>Incentive</t>
  </si>
  <si>
    <t>Customer Cost</t>
  </si>
  <si>
    <t>Free-Ridership Rate</t>
  </si>
  <si>
    <t>In-Service Rate</t>
  </si>
  <si>
    <t>Gross Annual kWh Saved</t>
  </si>
  <si>
    <t>Winter Peak Energy 
%</t>
  </si>
  <si>
    <t>Winter Off-Peak Energy 
%</t>
  </si>
  <si>
    <t>Summer Peak Energy 
%</t>
  </si>
  <si>
    <t>Summer Off-Peak Energy 
%</t>
  </si>
  <si>
    <t xml:space="preserve">Maximum Load Reduction (kW) </t>
  </si>
  <si>
    <t>Summer Coincident (%)</t>
  </si>
  <si>
    <t>Winter Coincident (%)</t>
  </si>
  <si>
    <t>Trans. Coincident (%)</t>
  </si>
  <si>
    <t>Dist. Coincident (%)</t>
  </si>
  <si>
    <t>Res Water Savings (Gallons per Year)</t>
  </si>
  <si>
    <t>C&amp;I Water Savings (Gallons per Year)</t>
  </si>
  <si>
    <t>LS_ID</t>
  </si>
  <si>
    <t>Fuel Oil - Residential Distillate</t>
  </si>
  <si>
    <t>Propane</t>
  </si>
  <si>
    <t/>
  </si>
  <si>
    <t>NG - Res Hot Water</t>
  </si>
  <si>
    <t>Process</t>
  </si>
  <si>
    <t>NG - C&amp;I Gas Heat</t>
  </si>
  <si>
    <t>Refrigeration</t>
  </si>
  <si>
    <t>Hot Water</t>
  </si>
  <si>
    <t>Total Energy %</t>
  </si>
  <si>
    <t>Demand Factor</t>
  </si>
  <si>
    <t>Summer</t>
  </si>
  <si>
    <t>Winter</t>
  </si>
  <si>
    <t xml:space="preserve">Max </t>
  </si>
  <si>
    <t>Summer CF</t>
  </si>
  <si>
    <t>Winter CF</t>
  </si>
  <si>
    <t>OnPeak</t>
  </si>
  <si>
    <t>OffPeak</t>
  </si>
  <si>
    <t>Transmission</t>
  </si>
  <si>
    <t>Distribution</t>
  </si>
  <si>
    <t>NG - C&amp;I Gas All</t>
  </si>
  <si>
    <t>Res Water</t>
  </si>
  <si>
    <t>C&amp;I Water</t>
  </si>
  <si>
    <t>Non-Resource</t>
  </si>
  <si>
    <t>Notes</t>
  </si>
  <si>
    <t>Nominal Discount Rate</t>
  </si>
  <si>
    <t>Sectors</t>
  </si>
  <si>
    <t>Winter Peak</t>
  </si>
  <si>
    <t>Winter Off-Peak</t>
  </si>
  <si>
    <t>Summer Peak</t>
  </si>
  <si>
    <t>Summer Off-Peak</t>
  </si>
  <si>
    <t>Inflation</t>
  </si>
  <si>
    <t>Residential</t>
  </si>
  <si>
    <t>Real Discount Rate</t>
  </si>
  <si>
    <t>Capacity DRIPE</t>
  </si>
  <si>
    <t>Energy DRIPE</t>
  </si>
  <si>
    <t>Environmental Externalities</t>
  </si>
  <si>
    <t>Kerosene</t>
  </si>
  <si>
    <t>RESIDENTIAL</t>
  </si>
  <si>
    <t>COMMERCIAL &amp; INDUSTRIAL</t>
  </si>
  <si>
    <t>Commercial</t>
  </si>
  <si>
    <t>Industrial</t>
  </si>
  <si>
    <t>Units:</t>
  </si>
  <si>
    <t>$/kWh</t>
  </si>
  <si>
    <t>$/kW-yr</t>
  </si>
  <si>
    <t>Heating</t>
  </si>
  <si>
    <t>All</t>
  </si>
  <si>
    <t>Period:</t>
  </si>
  <si>
    <t>Year</t>
  </si>
  <si>
    <t>$/MMBtu</t>
  </si>
  <si>
    <t>Inputs</t>
  </si>
  <si>
    <t>Measure Life</t>
  </si>
  <si>
    <t>Quantity</t>
  </si>
  <si>
    <t>Max Net kW</t>
  </si>
  <si>
    <t>Total</t>
  </si>
  <si>
    <t>PA</t>
  </si>
  <si>
    <t>Costs</t>
  </si>
  <si>
    <t>Spillover [Participant] Rate</t>
  </si>
  <si>
    <t>Spillover [Non-Participant] Rate</t>
  </si>
  <si>
    <t xml:space="preserve"> </t>
  </si>
  <si>
    <t>Gas Supply DRIPE</t>
  </si>
  <si>
    <t>Zone:</t>
  </si>
  <si>
    <t>Distribution Losses</t>
  </si>
  <si>
    <t>Pcnt of Capacity Bid into FCM (%Bid)</t>
  </si>
  <si>
    <t>Intrastate</t>
  </si>
  <si>
    <t xml:space="preserve">Summer Peak </t>
  </si>
  <si>
    <t>c</t>
  </si>
  <si>
    <t>d</t>
  </si>
  <si>
    <t>j</t>
  </si>
  <si>
    <t>k</t>
  </si>
  <si>
    <t>o</t>
  </si>
  <si>
    <t>p</t>
  </si>
  <si>
    <t>q</t>
  </si>
  <si>
    <t>r</t>
  </si>
  <si>
    <t>s</t>
  </si>
  <si>
    <t>t</t>
  </si>
  <si>
    <t>u</t>
  </si>
  <si>
    <t>v</t>
  </si>
  <si>
    <t>w</t>
  </si>
  <si>
    <t>ALL RETAIL END USES</t>
  </si>
  <si>
    <t>Non Heating</t>
  </si>
  <si>
    <t>Fuel Oils</t>
  </si>
  <si>
    <t>Other Fuels</t>
  </si>
  <si>
    <t>Distillate Fuel Oil</t>
  </si>
  <si>
    <t>Residual Fuel Oil</t>
  </si>
  <si>
    <t>Weighted Average</t>
  </si>
  <si>
    <t>Cord Wood</t>
  </si>
  <si>
    <t>Gas Electric Cross DRIPE</t>
  </si>
  <si>
    <t>NG - Res All</t>
  </si>
  <si>
    <t>C&amp;I Non-Heating GECD</t>
  </si>
  <si>
    <t>Res Non-Heating GECD</t>
  </si>
  <si>
    <t>Electric Cross DRIPE</t>
  </si>
  <si>
    <t>TOTAL</t>
  </si>
  <si>
    <t>Participants</t>
  </si>
  <si>
    <t>Total Gas Benefits</t>
  </si>
  <si>
    <t>Total Other Resource Benefits</t>
  </si>
  <si>
    <t>Total Program Costs</t>
  </si>
  <si>
    <t>Performance Incentive</t>
  </si>
  <si>
    <t>Participant Costs</t>
  </si>
  <si>
    <t>Total Resource Costs</t>
  </si>
  <si>
    <t>Winter Capacity (kW)</t>
  </si>
  <si>
    <t>Total Energy Benefits</t>
  </si>
  <si>
    <t>Summer Capacity Benefits</t>
  </si>
  <si>
    <t>Transmission Capacity Benefits</t>
  </si>
  <si>
    <t>Distribution Capacity Benefits</t>
  </si>
  <si>
    <t>DRIPE Capacity Benefits</t>
  </si>
  <si>
    <t>Total Capacity Benefits</t>
  </si>
  <si>
    <t>Natural Gas Benefits</t>
  </si>
  <si>
    <t>Natural Gas DRIPE Benefits</t>
  </si>
  <si>
    <t>Oil Benefits</t>
  </si>
  <si>
    <t>Water Benefits</t>
  </si>
  <si>
    <t>Total Resource Benefits</t>
  </si>
  <si>
    <t>Lighting</t>
  </si>
  <si>
    <t xml:space="preserve">HVAC </t>
  </si>
  <si>
    <t>Envelope</t>
  </si>
  <si>
    <t>Compressed Air</t>
  </si>
  <si>
    <t xml:space="preserve">Savings from Fuel Type #1 (MMBtu/Year)
</t>
  </si>
  <si>
    <t xml:space="preserve">Savings from Fuel Type #2 (MMBtu/Year)
</t>
  </si>
  <si>
    <t xml:space="preserve">Savings from Fuel Type #3 (MMBtu/Year)
</t>
  </si>
  <si>
    <t>Administrator:</t>
  </si>
  <si>
    <t>Electric Savings: Energy</t>
  </si>
  <si>
    <t>Net to Gross</t>
  </si>
  <si>
    <t>Electric Savings: Capacity</t>
  </si>
  <si>
    <t>Net Lifetime MWh Savings</t>
  </si>
  <si>
    <t>Winter Peak Energy MWh Net Lifetime</t>
  </si>
  <si>
    <t>Winter Off-Peak Energy MWh Net Lifetime</t>
  </si>
  <si>
    <t>Summer Peak Energy MWh Net Lifetime</t>
  </si>
  <si>
    <t>Summer Off-Peak Energy MWh Net Lifetime</t>
  </si>
  <si>
    <t>Electric Benefits: Energy</t>
  </si>
  <si>
    <t>Electric Benefits: Capacity</t>
  </si>
  <si>
    <t>Electric Benefits: Energy DRIPE</t>
  </si>
  <si>
    <t>Total Gas DRIPE</t>
  </si>
  <si>
    <t xml:space="preserve">Non-Electric Resource Benefits: Natural Gas </t>
  </si>
  <si>
    <t xml:space="preserve">Non-Electric Resource Benefits: Natural Gas DRIPE </t>
  </si>
  <si>
    <t>Total Non-Electric Resource Benefits</t>
  </si>
  <si>
    <t>Other Fuel Savings</t>
  </si>
  <si>
    <t>Fuel Type in AESC</t>
  </si>
  <si>
    <t xml:space="preserve">Adjusted Gross Annual MWh Savings </t>
  </si>
  <si>
    <t xml:space="preserve">Adjusted Gross Lifetime MWh Savings </t>
  </si>
  <si>
    <t xml:space="preserve">Net Annual MWh Savings </t>
  </si>
  <si>
    <t>Program Year:</t>
  </si>
  <si>
    <t>Food Service</t>
  </si>
  <si>
    <t>kWh Realization Rate</t>
  </si>
  <si>
    <t>kW Winter Realization Rate</t>
  </si>
  <si>
    <t>kW Summer Realization Rate</t>
  </si>
  <si>
    <t>Non Electric Realization Rate</t>
  </si>
  <si>
    <t>Winter Peak Energy Benefits ($)</t>
  </si>
  <si>
    <t>Winter Off-Peak Energy Benefits ($)</t>
  </si>
  <si>
    <t>Summer Peak Energy Benefits ($)</t>
  </si>
  <si>
    <t>Summer Off-Peak Energy Benefits ($)</t>
  </si>
  <si>
    <t>Winter Peak Energy DRIPE Benefits ($)</t>
  </si>
  <si>
    <t>Winter Off-Peak Energy DRIPE Benefits ($)</t>
  </si>
  <si>
    <t>Summer Peak Energy DRIPE Benefits ($)</t>
  </si>
  <si>
    <t>Summer Off-Peak Energy DRIPE Benefits ($)</t>
  </si>
  <si>
    <t>Total Energy DRIPE Benefits ($)</t>
  </si>
  <si>
    <t>Total Electric Energy Benefits ($)</t>
  </si>
  <si>
    <t>Total Electric Capacity Benefits ($)</t>
  </si>
  <si>
    <t>Sub-Total</t>
  </si>
  <si>
    <t>Summer Generation Benefits ($)</t>
  </si>
  <si>
    <t>Electric Capacity DRIPE ($)</t>
  </si>
  <si>
    <t>Winter Generation ($)</t>
  </si>
  <si>
    <t>Total Electric Benefits ($)</t>
  </si>
  <si>
    <t>Transmission Benefits ($)</t>
  </si>
  <si>
    <t>Distribution Benefits ($)</t>
  </si>
  <si>
    <t>Total Avoided Gas Benefits ($)</t>
  </si>
  <si>
    <t>Annual Net Winter kW</t>
  </si>
  <si>
    <t>Annual Net Summer kw</t>
  </si>
  <si>
    <t>Annual Adjusted Gross Winter kW</t>
  </si>
  <si>
    <t>Total Gas Resource Benefits</t>
  </si>
  <si>
    <t>Net Annual Gas Savings (MMBTU)</t>
  </si>
  <si>
    <t>Net Lifetime Gas Savings (MMBTU)</t>
  </si>
  <si>
    <t>Net Annual Oil Savings (MMBTU)</t>
  </si>
  <si>
    <t>Net Lifetime Oil Savings (MMBTU)</t>
  </si>
  <si>
    <t>Net Annual Propane Savings (MMBTU)</t>
  </si>
  <si>
    <t>Net Lifetime Propane Savings (MMBTU)</t>
  </si>
  <si>
    <t>Net Annual C&amp;I Water Savings Gallons</t>
  </si>
  <si>
    <t>Net Lifetime Water Savings Gallons</t>
  </si>
  <si>
    <t>Adj. Gross Annual Gas Savings (MMBTU)</t>
  </si>
  <si>
    <t>Adj. Gross Lifetime Gas Savings (MMBTU)</t>
  </si>
  <si>
    <t>Adj Gross Annual Oil Savings (MMBTU)</t>
  </si>
  <si>
    <t>Adj Gross Lifetime Oil Savings (MMBTU)</t>
  </si>
  <si>
    <t>Adj Gross Annual Propane Savings (MMBTU)</t>
  </si>
  <si>
    <t>Adj Gross Lifetime Propane Savings (MMBTU)</t>
  </si>
  <si>
    <t>Sub Total</t>
  </si>
  <si>
    <t>Annual Adjusted Gross  Summer kw</t>
  </si>
  <si>
    <t>Electric</t>
  </si>
  <si>
    <t>Fuel</t>
  </si>
  <si>
    <t>Program Administrator</t>
  </si>
  <si>
    <t>Reporting Period</t>
  </si>
  <si>
    <t>Planned</t>
  </si>
  <si>
    <t>Annual Water (Gallons)</t>
  </si>
  <si>
    <t>Period</t>
  </si>
  <si>
    <t>TRC (Total)</t>
  </si>
  <si>
    <t>Incentive (Total)</t>
  </si>
  <si>
    <t>Customer Cost (Total)</t>
  </si>
  <si>
    <t>Res Hot Water  GECD</t>
  </si>
  <si>
    <t>Res Heating  GECD</t>
  </si>
  <si>
    <t>Res All  GECD</t>
  </si>
  <si>
    <t>C&amp;I All  GECD</t>
  </si>
  <si>
    <t>C&amp;I Heating  GECD</t>
  </si>
  <si>
    <t xml:space="preserve">Gross Annual MWh Savings </t>
  </si>
  <si>
    <t>Total Non Energy Impacts</t>
  </si>
  <si>
    <t>Behavior</t>
  </si>
  <si>
    <t>Motors/Drives</t>
  </si>
  <si>
    <t>Home Energy Services</t>
  </si>
  <si>
    <t>Custom Measures</t>
  </si>
  <si>
    <t>Energy Star Homes</t>
  </si>
  <si>
    <t>Lifetime Water (Gallons)</t>
  </si>
  <si>
    <t>Natural Gas Savings</t>
  </si>
  <si>
    <t>Summer Capacity (kW)</t>
  </si>
  <si>
    <t>Lifetime Propane (MMBTU)</t>
  </si>
  <si>
    <t>Energy Benefits</t>
  </si>
  <si>
    <t>DRIPE Energy Benefits</t>
  </si>
  <si>
    <t>Distribution Company</t>
  </si>
  <si>
    <t>Res Water &amp; Sewer</t>
  </si>
  <si>
    <t>CI Water</t>
  </si>
  <si>
    <t>Net Annual Energy (MWh)</t>
  </si>
  <si>
    <t>Adj Gross Annual Energy (MWh)</t>
  </si>
  <si>
    <t>Net Annual Natural Gas (MMBTU)</t>
  </si>
  <si>
    <t>Net Annual Natural Gas (Therms)</t>
  </si>
  <si>
    <t>Adj Gross Annual Natural Gas (Therms)</t>
  </si>
  <si>
    <t>Net Annual Oil (MMBTU)</t>
  </si>
  <si>
    <t>Adj Gross Annual Oil (MMBTU)</t>
  </si>
  <si>
    <t>Net Annual Propane (MMBTU)</t>
  </si>
  <si>
    <t>Adj Gross Annual Natural Gas (MMBTU)</t>
  </si>
  <si>
    <t>Wholesale Risk Premium</t>
  </si>
  <si>
    <t>Adj Gross Lifetime Energy (MWh)</t>
  </si>
  <si>
    <t>Adj Gross Lifetime Oil (MMBTU)</t>
  </si>
  <si>
    <t>Adj Gross Lifetime Natural Gas (Therms)</t>
  </si>
  <si>
    <t>Adj Gross Annual Kerosene Savings (MMBTU)</t>
  </si>
  <si>
    <t>Adj Gross Lifetime Kerosene Savings (MMBTU)</t>
  </si>
  <si>
    <t>Net Annual Kerosene Savings (MMBTU)</t>
  </si>
  <si>
    <t>Net Lifetime Kerosene Savings (MMBTU)</t>
  </si>
  <si>
    <t>NH</t>
  </si>
  <si>
    <t>Net Annual Res Water  Savings Gallons</t>
  </si>
  <si>
    <t>Adj Gross Annual Cord Wood Savings (MMBTU)</t>
  </si>
  <si>
    <t>Adj Gross Lifetime Cord Wood Savings (MMBTU)</t>
  </si>
  <si>
    <t>Net Annual Cord Wood Savings (MMBTU)</t>
  </si>
  <si>
    <t>Net Lifetime Cord Wood Savings (MMBTU)</t>
  </si>
  <si>
    <t>Adj Gross Annual Wood Pellet Savings (MMBTU)</t>
  </si>
  <si>
    <t>Adj Gross Lifetime Wood Pellet Savings (MMBTU)</t>
  </si>
  <si>
    <t>Net Annual Wood Pellet Savings (MMBTU)</t>
  </si>
  <si>
    <t>Net Lifetime Wood Pellet Savings (MMBTU)</t>
  </si>
  <si>
    <t>Home Energy Assistance</t>
  </si>
  <si>
    <t>C&amp;I</t>
  </si>
  <si>
    <t>Large Business Energy Solutions</t>
  </si>
  <si>
    <t>Small Business Energy Solutions</t>
  </si>
  <si>
    <t>Subprogram</t>
  </si>
  <si>
    <t>No</t>
  </si>
  <si>
    <t xml:space="preserve">Gross Lifetime MWh Savings </t>
  </si>
  <si>
    <t>Total Net Annual MMBTU</t>
  </si>
  <si>
    <t>Total Net Lifetime MMBTU</t>
  </si>
  <si>
    <t>Processing Costs</t>
  </si>
  <si>
    <t>LOW INCOME</t>
  </si>
  <si>
    <t>ELECTRIC Programs</t>
  </si>
  <si>
    <t>GAS Programs</t>
  </si>
  <si>
    <t>TOTAL PA COSTS</t>
  </si>
  <si>
    <t>Internal Admin</t>
  </si>
  <si>
    <t>External Admin</t>
  </si>
  <si>
    <t>Implementation Services</t>
  </si>
  <si>
    <t>Marketing</t>
  </si>
  <si>
    <t>EM&amp;V</t>
  </si>
  <si>
    <t>Rebate / Services</t>
  </si>
  <si>
    <t>Net Lifetime Oil (MMBTU)</t>
  </si>
  <si>
    <t>Net Lifetime Natural Gas (Therms)</t>
  </si>
  <si>
    <t>Net Lifetime Energy (MWh)</t>
  </si>
  <si>
    <t>Annual MWh Savings</t>
  </si>
  <si>
    <t>Lifetime MWh Savings</t>
  </si>
  <si>
    <t>Winter kW Savings</t>
  </si>
  <si>
    <t>Summer kW Savings</t>
  </si>
  <si>
    <t>Number of Customers Served</t>
  </si>
  <si>
    <t>Annual
MMBTU
Savings</t>
  </si>
  <si>
    <t>Lifetime
MMBTU
Savings</t>
  </si>
  <si>
    <t>Residential Programs</t>
  </si>
  <si>
    <t>Commercial/Industrial Programs</t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</si>
  <si>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</si>
  <si>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</si>
  <si>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MMBTU Savings (in kWh)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</si>
  <si>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MMBTU Savings (in kWh)</t>
    </r>
  </si>
  <si>
    <t>CAPACITY</t>
  </si>
  <si>
    <t>ENERGY</t>
  </si>
  <si>
    <t>Total Benefits ($000)</t>
  </si>
  <si>
    <t>Summer
Generation</t>
  </si>
  <si>
    <t>Winter
Generation</t>
  </si>
  <si>
    <t>Winter
Peak</t>
  </si>
  <si>
    <t>Winter
Off Peak</t>
  </si>
  <si>
    <t>Summer
Peak</t>
  </si>
  <si>
    <t xml:space="preserve">Summer
Off Peak </t>
  </si>
  <si>
    <t>Actual</t>
  </si>
  <si>
    <t>Lifetime kWh Savings</t>
  </si>
  <si>
    <t>Adj Gross Annual Propane  (MMBTU)</t>
  </si>
  <si>
    <t>Adj Gross Lifetime Propane  (MMBTU)</t>
  </si>
  <si>
    <t>Net Annual Kerosene  (MMBTU)</t>
  </si>
  <si>
    <t>Adj Gross Annual Kerosene  (MMBTU)</t>
  </si>
  <si>
    <t>Net Lifetime Kerosene  (MMBTU)</t>
  </si>
  <si>
    <t>Adj Gross Lifetime Kerosene  (MMBTU)</t>
  </si>
  <si>
    <t>Net Annual Cord Wood  (MMBTU)</t>
  </si>
  <si>
    <t>Adj Gross Annual Cord Wood  (MMBTU)</t>
  </si>
  <si>
    <t>Net Lifetime Cord Wood  (MMBTU)</t>
  </si>
  <si>
    <t>Adj Gross Lifetime Cord Wood  (MMBTU)</t>
  </si>
  <si>
    <t>Net Annual Wood Pellet  (MMBTU)</t>
  </si>
  <si>
    <t>Adj Gross Annual Wood Pellet  (MMBTU)</t>
  </si>
  <si>
    <t>Net Lifetime Wood Pellet  (MMBTU)</t>
  </si>
  <si>
    <t>Adj Gross Lifetime Wood Pellet  (MMBTU)</t>
  </si>
  <si>
    <t>Kerosene Benefits</t>
  </si>
  <si>
    <t>Cord Wood Benefits</t>
  </si>
  <si>
    <t>Wood Pellet Benefits</t>
  </si>
  <si>
    <t>Winter Capacity Benefits</t>
  </si>
  <si>
    <t>HEA (HVAC Systems)</t>
  </si>
  <si>
    <t>HPwES (Weatherization)</t>
  </si>
  <si>
    <t>HPwES (HVAC Systems)</t>
  </si>
  <si>
    <t>non-HPwES (Multi-Family WXn)</t>
  </si>
  <si>
    <t>ES Lighting</t>
  </si>
  <si>
    <t>ES Appliances (White Goods)</t>
  </si>
  <si>
    <t>US: Home Energy Reports</t>
  </si>
  <si>
    <t>Res FCM Expenses</t>
  </si>
  <si>
    <t>Building Practices and Demo</t>
  </si>
  <si>
    <t>US: Res Other 2</t>
  </si>
  <si>
    <t>US: Res Other 3</t>
  </si>
  <si>
    <t>US: Res Other 4</t>
  </si>
  <si>
    <t>LCI (All)</t>
  </si>
  <si>
    <t>LCI (Retrofit)</t>
  </si>
  <si>
    <t>SCI (New Equipment and Construction)</t>
  </si>
  <si>
    <t xml:space="preserve">SCI (All) </t>
  </si>
  <si>
    <t>SCI (Retrofit)</t>
  </si>
  <si>
    <t>Muni (All)</t>
  </si>
  <si>
    <t>Muni (Direct Install)</t>
  </si>
  <si>
    <t>Muni (Retrofit)</t>
  </si>
  <si>
    <t>Muni (New Equipment and Construction)</t>
  </si>
  <si>
    <t>Muni (Weatherization)</t>
  </si>
  <si>
    <t>Muni (HVAC Systems)</t>
  </si>
  <si>
    <t>US: Smart Start</t>
  </si>
  <si>
    <t>US: Partnerships</t>
  </si>
  <si>
    <t>US: RFP</t>
  </si>
  <si>
    <t>Education</t>
  </si>
  <si>
    <t>US: CIM Other 2</t>
  </si>
  <si>
    <t>US: CIM Other 3</t>
  </si>
  <si>
    <t>US: CIM Other 4</t>
  </si>
  <si>
    <t>CI FCM Expenses</t>
  </si>
  <si>
    <t>2014 Kwh Sales</t>
  </si>
  <si>
    <t>Eversource Energy</t>
  </si>
  <si>
    <t>BHVAC</t>
  </si>
  <si>
    <t>ES Homes</t>
  </si>
  <si>
    <t>Unitil Energy Systems Inc</t>
  </si>
  <si>
    <t>Liberty</t>
  </si>
  <si>
    <t>New Hampshire Electric Cooperative Inc</t>
  </si>
  <si>
    <t>NG - Res Heating</t>
  </si>
  <si>
    <t>NG - Res Non Heating</t>
  </si>
  <si>
    <t>NG - C&amp; I Gas Non Heating</t>
  </si>
  <si>
    <t>Fuel Oil - Com Fuel</t>
  </si>
  <si>
    <t>Pellet Wood</t>
  </si>
  <si>
    <t>HEA (Weatherization)</t>
  </si>
  <si>
    <t>HPwES 3rd Party Financing (Loan buy-down)</t>
  </si>
  <si>
    <t>ES Appliances (HVAC Systems)</t>
  </si>
  <si>
    <t>ES Products 3rd Party Financing (Loan buy-down)</t>
  </si>
  <si>
    <t>SCI (Direct Install)</t>
  </si>
  <si>
    <t>Non-Electric Resource Benefits: Other</t>
  </si>
  <si>
    <t>LCI (New Equipment and Construction)</t>
  </si>
  <si>
    <t>New Hampshire</t>
  </si>
  <si>
    <t>LCI (New Equipment)</t>
  </si>
  <si>
    <t>US: RES CEP</t>
  </si>
  <si>
    <t>US: C&amp;I CEP</t>
  </si>
  <si>
    <t>Home Energy Reports</t>
  </si>
  <si>
    <t>Yes</t>
  </si>
  <si>
    <t>Total Electric DRIPE</t>
  </si>
  <si>
    <t>Electric DRIPE</t>
  </si>
  <si>
    <t>Total Electric Benefit</t>
  </si>
  <si>
    <t>Gas Benefit</t>
  </si>
  <si>
    <t>Gas DRIPE</t>
  </si>
  <si>
    <t>Total Gas Benefit</t>
  </si>
  <si>
    <t>Other fuels benefit (all except gas)</t>
  </si>
  <si>
    <t>Smart Start</t>
  </si>
  <si>
    <t>C&amp;I Customer Partnerships</t>
  </si>
  <si>
    <t>Commercial, Industrial &amp; Municipal</t>
  </si>
  <si>
    <t>Municipal Energy Solutions</t>
  </si>
  <si>
    <t>Energy Rewards RFP Program</t>
  </si>
  <si>
    <t>Sub-Total Residential</t>
  </si>
  <si>
    <t xml:space="preserve"> Sub-Total Commercial &amp; Industrial</t>
  </si>
  <si>
    <t>Sub-Total Commercial &amp; Industrial</t>
  </si>
  <si>
    <t>Total Resource Costs (2018$)</t>
  </si>
  <si>
    <t>Wood Pellets</t>
  </si>
  <si>
    <t xml:space="preserve">Home Performance with Energy Star </t>
  </si>
  <si>
    <t xml:space="preserve">Energy Star Products </t>
  </si>
  <si>
    <t>ISO-NE Forward Capacity Market Expenses</t>
  </si>
  <si>
    <t>Res Other 2</t>
  </si>
  <si>
    <t>Res Other 3</t>
  </si>
  <si>
    <t>Res Other 4</t>
  </si>
  <si>
    <t>Educations</t>
  </si>
  <si>
    <t>ISO Forward Capacity Market Expenses</t>
  </si>
  <si>
    <t>CIM Other 2</t>
  </si>
  <si>
    <t>CIM Other 3</t>
  </si>
  <si>
    <t>CIM Other 4</t>
  </si>
  <si>
    <t>Res Education</t>
  </si>
  <si>
    <t>Res Gas Financing</t>
  </si>
  <si>
    <t>C&amp;I On Bill Financing</t>
  </si>
  <si>
    <r>
      <t xml:space="preserve">Sector
</t>
    </r>
    <r>
      <rPr>
        <sz val="8"/>
        <rFont val="Arial"/>
        <family val="2"/>
      </rPr>
      <t>(Dropdown)</t>
    </r>
  </si>
  <si>
    <r>
      <t xml:space="preserve">End Use
</t>
    </r>
    <r>
      <rPr>
        <sz val="8"/>
        <rFont val="Arial"/>
        <family val="2"/>
      </rPr>
      <t>(Dropdown)</t>
    </r>
  </si>
  <si>
    <r>
      <t xml:space="preserve">Subprogram
</t>
    </r>
    <r>
      <rPr>
        <sz val="8"/>
        <rFont val="Arial"/>
        <family val="2"/>
      </rPr>
      <t>(Dropdown)</t>
    </r>
  </si>
  <si>
    <r>
      <t xml:space="preserve">Program
</t>
    </r>
    <r>
      <rPr>
        <sz val="8"/>
        <rFont val="Arial"/>
        <family val="2"/>
      </rPr>
      <t>(Dropdown)</t>
    </r>
  </si>
  <si>
    <r>
      <t xml:space="preserve">LS_ID
</t>
    </r>
    <r>
      <rPr>
        <sz val="8"/>
        <rFont val="Arial"/>
        <family val="2"/>
      </rPr>
      <t>(Dropdown)</t>
    </r>
  </si>
  <si>
    <r>
      <t xml:space="preserve">Fossil Fuel Type #1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</si>
  <si>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#2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</si>
  <si>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#3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</si>
  <si>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t>NEI Adder</t>
  </si>
  <si>
    <t xml:space="preserve">Total Non-Resource  Benefits </t>
  </si>
  <si>
    <t>Total Avoided Energy Benefits ($)</t>
  </si>
  <si>
    <r>
      <t xml:space="preserve">Subprogram
</t>
    </r>
    <r>
      <rPr>
        <sz val="11"/>
        <color indexed="8"/>
        <rFont val="Arial"/>
        <family val="2"/>
      </rPr>
      <t>(Dropdown)</t>
    </r>
  </si>
  <si>
    <r>
      <t xml:space="preserve">Program
</t>
    </r>
    <r>
      <rPr>
        <sz val="11"/>
        <color indexed="8"/>
        <rFont val="Arial"/>
        <family val="2"/>
      </rPr>
      <t>(Dropdown)</t>
    </r>
  </si>
  <si>
    <r>
      <t xml:space="preserve">Sector
</t>
    </r>
    <r>
      <rPr>
        <sz val="11"/>
        <color indexed="8"/>
        <rFont val="Arial"/>
        <family val="2"/>
      </rPr>
      <t>(Dropdown)</t>
    </r>
  </si>
  <si>
    <t>Water Benefit</t>
  </si>
  <si>
    <t>C&amp;I Customer Engagement Platform</t>
  </si>
  <si>
    <t>Res Customer Engagement Platform</t>
  </si>
  <si>
    <t>Custom</t>
  </si>
  <si>
    <t>Page One of Four</t>
  </si>
  <si>
    <t>Page Two of Four</t>
  </si>
  <si>
    <t>Page Three of Four</t>
  </si>
  <si>
    <t xml:space="preserve"> Wholesale Cost of Electric Energy</t>
  </si>
  <si>
    <t>Wholesale REC Costs</t>
  </si>
  <si>
    <r>
      <t xml:space="preserve"> Retail Cost of Electric Energy</t>
    </r>
    <r>
      <rPr>
        <b/>
        <vertAlign val="superscript"/>
        <sz val="10"/>
        <rFont val="Arial"/>
        <family val="2"/>
      </rPr>
      <t>1</t>
    </r>
  </si>
  <si>
    <t>Wholesale Capacity Values</t>
  </si>
  <si>
    <r>
      <t>Retail Cost of Electric Capacity</t>
    </r>
    <r>
      <rPr>
        <b/>
        <vertAlign val="superscript"/>
        <sz val="10"/>
        <rFont val="Arial"/>
        <family val="2"/>
      </rPr>
      <t>3</t>
    </r>
  </si>
  <si>
    <t>Wholesale Non-Embedded Costs</t>
  </si>
  <si>
    <r>
      <t>Wholesale Cross-DRIPE</t>
    </r>
    <r>
      <rPr>
        <b/>
        <vertAlign val="superscript"/>
        <sz val="10"/>
        <rFont val="Arial"/>
        <family val="2"/>
      </rPr>
      <t>7</t>
    </r>
  </si>
  <si>
    <r>
      <t>Wholesale Reliability Value</t>
    </r>
    <r>
      <rPr>
        <b/>
        <vertAlign val="superscript"/>
        <sz val="10"/>
        <rFont val="Arial"/>
        <family val="2"/>
      </rPr>
      <t>8</t>
    </r>
  </si>
  <si>
    <t>DRIPE: 2018 vintage measures</t>
  </si>
  <si>
    <t>DRIPE: 2019 vintage measures</t>
  </si>
  <si>
    <t>Reliability: 2018 vintage measures</t>
  </si>
  <si>
    <t>Reliability: 2019 vintage measures</t>
  </si>
  <si>
    <t>Wholesale Energy DRIPE</t>
  </si>
  <si>
    <t>Wholesale Capacity DRIPE</t>
  </si>
  <si>
    <r>
      <t>Retail Capacity DRIPE</t>
    </r>
    <r>
      <rPr>
        <b/>
        <vertAlign val="superscript"/>
        <sz val="10"/>
        <rFont val="Arial"/>
        <family val="2"/>
      </rPr>
      <t>3</t>
    </r>
  </si>
  <si>
    <r>
      <t>Wholesale Capacity DRIPE</t>
    </r>
    <r>
      <rPr>
        <b/>
        <vertAlign val="superscript"/>
        <sz val="10"/>
        <rFont val="Arial"/>
        <family val="2"/>
      </rPr>
      <t>2</t>
    </r>
  </si>
  <si>
    <t>Cleared (FCA Price)</t>
  </si>
  <si>
    <r>
      <t>Uncleared</t>
    </r>
    <r>
      <rPr>
        <b/>
        <vertAlign val="superscript"/>
        <sz val="10"/>
        <rFont val="Arial"/>
        <family val="2"/>
      </rPr>
      <t>2</t>
    </r>
  </si>
  <si>
    <r>
      <t>Cleared</t>
    </r>
    <r>
      <rPr>
        <b/>
        <vertAlign val="superscript"/>
        <sz val="10"/>
        <rFont val="Arial"/>
        <family val="2"/>
      </rPr>
      <t>4</t>
    </r>
  </si>
  <si>
    <r>
      <t>Uncleared</t>
    </r>
    <r>
      <rPr>
        <b/>
        <vertAlign val="superscript"/>
        <sz val="10"/>
        <rFont val="Arial"/>
        <family val="2"/>
      </rPr>
      <t>5</t>
    </r>
  </si>
  <si>
    <r>
      <t>Weighted Avg</t>
    </r>
    <r>
      <rPr>
        <b/>
        <vertAlign val="superscript"/>
        <sz val="10"/>
        <rFont val="Arial"/>
        <family val="2"/>
      </rPr>
      <t>6</t>
    </r>
  </si>
  <si>
    <t>Cleared</t>
  </si>
  <si>
    <t>2018 Installation Year</t>
  </si>
  <si>
    <t>2019 Installation Year</t>
  </si>
  <si>
    <t>Uncleared</t>
  </si>
  <si>
    <r>
      <t>Weighted Avg</t>
    </r>
    <r>
      <rPr>
        <b/>
        <vertAlign val="superscript"/>
        <sz val="10"/>
        <rFont val="Arial"/>
        <family val="2"/>
      </rPr>
      <t>5</t>
    </r>
  </si>
  <si>
    <t>e</t>
  </si>
  <si>
    <t>f =(a+e)*(1+WRP)</t>
  </si>
  <si>
    <t>g =(b+e)*(1+WRP)</t>
  </si>
  <si>
    <t>h =(c+e)*(1+WRP)</t>
  </si>
  <si>
    <t>i =(d+e)*(1+WRP)</t>
  </si>
  <si>
    <t>l=j*DL</t>
  </si>
  <si>
    <t>m=k*(1+PTF Loss)*(1+WRP)*(1+DL)</t>
  </si>
  <si>
    <t>n = (l*%Bid)+m*(1-%Bid)</t>
  </si>
  <si>
    <t>y=w*DL</t>
  </si>
  <si>
    <t>z=x*(1+PTF Loss)*(1+WRP)*(1+DL)</t>
  </si>
  <si>
    <t>aa = (y*%Bid)+z*(1-%Bid)</t>
  </si>
  <si>
    <t>bb</t>
  </si>
  <si>
    <t>cc</t>
  </si>
  <si>
    <t>dd</t>
  </si>
  <si>
    <t>ee</t>
  </si>
  <si>
    <t>ff</t>
  </si>
  <si>
    <t>gg</t>
  </si>
  <si>
    <t>hh=ff*DL</t>
  </si>
  <si>
    <t>ii=gg*(1+PTF Loss)*(1+WRP)*(1+DL)</t>
  </si>
  <si>
    <t>jj = (hh*%Bid)+ii*(1-%Bid)</t>
  </si>
  <si>
    <t>kk</t>
  </si>
  <si>
    <t>ll</t>
  </si>
  <si>
    <t>mm</t>
  </si>
  <si>
    <t>nn</t>
  </si>
  <si>
    <t>oo</t>
  </si>
  <si>
    <t>pp</t>
  </si>
  <si>
    <t>qq</t>
  </si>
  <si>
    <t>rr</t>
  </si>
  <si>
    <t>ss=qq*DL</t>
  </si>
  <si>
    <t>tt=rr*(1+PTF Loss)*(1+WRP)*(1+DL)</t>
  </si>
  <si>
    <t>uu = (ss*%Bid)+tt*(1-%Bid)</t>
  </si>
  <si>
    <t>vv</t>
  </si>
  <si>
    <t>ww</t>
  </si>
  <si>
    <t>xx</t>
  </si>
  <si>
    <t>yy</t>
  </si>
  <si>
    <t>zz</t>
  </si>
  <si>
    <t>aaa</t>
  </si>
  <si>
    <t>bbb=zz*DL</t>
  </si>
  <si>
    <t>ccc=aaa*(1+PTF Loss)*(1+WRP)*(1+DL)</t>
  </si>
  <si>
    <t>ddd = (bbb*%Bid)+ccc*(1-%Bid)</t>
  </si>
  <si>
    <t>eee</t>
  </si>
  <si>
    <t>fff</t>
  </si>
  <si>
    <t>ggg</t>
  </si>
  <si>
    <t>hhh = (fff*%Bid)+ggg*(1-%Bid)</t>
  </si>
  <si>
    <t>iii</t>
  </si>
  <si>
    <t>jjj</t>
  </si>
  <si>
    <t>kkk = (iii*%Bid)+jjj*(1-%Bid)</t>
  </si>
  <si>
    <t>-</t>
  </si>
  <si>
    <t>Gas Supply DRIPE (applicable to reductions in every end-use)</t>
  </si>
  <si>
    <t>Gas Cross DRIPE (applicable to reductions by end-use)</t>
  </si>
  <si>
    <t>2018$</t>
  </si>
  <si>
    <t xml:space="preserve">Zone-on-Zone DRIPE </t>
  </si>
  <si>
    <t>NE</t>
  </si>
  <si>
    <t>CT</t>
  </si>
  <si>
    <t>MA</t>
  </si>
  <si>
    <t>ME</t>
  </si>
  <si>
    <t>RI</t>
  </si>
  <si>
    <t>VT</t>
  </si>
  <si>
    <t>Reliability Benefits</t>
  </si>
  <si>
    <t>Pooled Transmission Facilities (PTF) Benefits</t>
  </si>
  <si>
    <t>Oil DRIPE Benefits</t>
  </si>
  <si>
    <t>PTF Benefits ($)</t>
  </si>
  <si>
    <t>Reliability ($)</t>
  </si>
  <si>
    <t>Average Loss</t>
  </si>
  <si>
    <t>CO2 (pounds/MMBtu)</t>
  </si>
  <si>
    <t>Fossil Emissions Factors</t>
  </si>
  <si>
    <t xml:space="preserve">Natural Gas </t>
  </si>
  <si>
    <t xml:space="preserve">Oil </t>
  </si>
  <si>
    <t xml:space="preserve">Propane </t>
  </si>
  <si>
    <t xml:space="preserve">Kerosene </t>
  </si>
  <si>
    <t>Fossil Emissions (oil, gas, propane, kerosene)</t>
  </si>
  <si>
    <t>Fossil emissions</t>
  </si>
  <si>
    <t>Fossil Emissions</t>
  </si>
  <si>
    <t>Transmission &amp; Distribution (T&amp;D) Cost</t>
  </si>
  <si>
    <t>Retail Reliability Value</t>
  </si>
  <si>
    <t>2018 vintage</t>
  </si>
  <si>
    <t>2019 vintage</t>
  </si>
  <si>
    <t>lll = hhh*(1+WRP)*(1+DL)</t>
  </si>
  <si>
    <t>mmm = kkk*(1+WRP)*(1+DL)</t>
  </si>
  <si>
    <t>$/MMBtu (2018)</t>
  </si>
  <si>
    <t>Price/ton</t>
  </si>
  <si>
    <t>Fossil Emissions Based on RGGI</t>
  </si>
  <si>
    <t>Emission based on RGGI CO2</t>
  </si>
  <si>
    <t>Fossil emissions RGGI</t>
  </si>
  <si>
    <t>NHPUC Docket No. DE 17-136</t>
  </si>
  <si>
    <t>AESC 2018 Results: Avoided Cost of Electricity (2018 $)</t>
  </si>
  <si>
    <t>Lookups and Assumptions</t>
  </si>
  <si>
    <t>Year 1</t>
  </si>
  <si>
    <t>Year 2</t>
  </si>
  <si>
    <t>Year 3</t>
  </si>
  <si>
    <t>REFERENCED LISTS</t>
  </si>
  <si>
    <t>GENERAL INPUTS</t>
  </si>
  <si>
    <t>Statewide Total</t>
  </si>
  <si>
    <t>SALES</t>
  </si>
  <si>
    <t>AVOIDED COST ASSUMPTIONS</t>
  </si>
  <si>
    <t>NON-ENERGY IMPACTS</t>
  </si>
  <si>
    <t>NEI Adder by sector</t>
  </si>
  <si>
    <t>Calculated: Real Discount Rate = [(1 + Nominal Discount Rate)/(1 + Inflation Rate)] – 1</t>
  </si>
  <si>
    <t>Checks</t>
  </si>
  <si>
    <t>Savings</t>
  </si>
  <si>
    <r>
      <t xml:space="preserve">Max Demand 
</t>
    </r>
    <r>
      <rPr>
        <sz val="8"/>
        <rFont val="Arial"/>
        <family val="2"/>
      </rPr>
      <t>(Entered)</t>
    </r>
  </si>
  <si>
    <r>
      <t xml:space="preserve">Max Demand Factor 
</t>
    </r>
    <r>
      <rPr>
        <sz val="8"/>
        <rFont val="Arial"/>
        <family val="2"/>
      </rPr>
      <t>(Look-up)</t>
    </r>
  </si>
  <si>
    <t>Line Loss Inputs</t>
  </si>
  <si>
    <t>Input</t>
  </si>
  <si>
    <t>Unit</t>
  </si>
  <si>
    <t>%</t>
  </si>
  <si>
    <t>$ per kW</t>
  </si>
  <si>
    <t>T&amp;D Year</t>
  </si>
  <si>
    <t>Eversource Factors</t>
  </si>
  <si>
    <t>AESC 2018</t>
  </si>
  <si>
    <t>Three-Year Inputs</t>
  </si>
  <si>
    <t>Annual Inputs</t>
  </si>
  <si>
    <t>$ per gallon</t>
  </si>
  <si>
    <t>Year $</t>
  </si>
  <si>
    <t>Half Year Factor</t>
  </si>
  <si>
    <t>Source / Notes</t>
  </si>
  <si>
    <t>Benefit Toggles</t>
  </si>
  <si>
    <t>Toggle</t>
  </si>
  <si>
    <t>Included?</t>
  </si>
  <si>
    <t>Value</t>
  </si>
  <si>
    <t>Percent of fossil emissions</t>
  </si>
  <si>
    <t>Real Year</t>
  </si>
  <si>
    <t>Avoided Costs (2019$)</t>
  </si>
  <si>
    <t>Years</t>
  </si>
  <si>
    <t>Energy ($/kWh)</t>
  </si>
  <si>
    <t>Energy DRIPE ($/kWh)</t>
  </si>
  <si>
    <t>Electric Cross DRIPE ($/kWh)</t>
  </si>
  <si>
    <t xml:space="preserve">Winter Peak </t>
  </si>
  <si>
    <t xml:space="preserve">Winter Off-Peak </t>
  </si>
  <si>
    <t xml:space="preserve">Summer Off-Peak </t>
  </si>
  <si>
    <t>ANNUAL AVOIDED COSTS</t>
  </si>
  <si>
    <t>Capacity ($/kW)</t>
  </si>
  <si>
    <t>T&amp;D ($/kW)</t>
  </si>
  <si>
    <t>Winter Generation</t>
  </si>
  <si>
    <t>Natural Gas ($/MMBtu)</t>
  </si>
  <si>
    <t>Gas DRIPE ($/MMBtu)</t>
  </si>
  <si>
    <t>Res Non Heating</t>
  </si>
  <si>
    <t>Res Hot Water</t>
  </si>
  <si>
    <t>Res Heating</t>
  </si>
  <si>
    <t>Res All</t>
  </si>
  <si>
    <t>C&amp;I Gas Non Heating</t>
  </si>
  <si>
    <t>C&amp;I Gas Heat</t>
  </si>
  <si>
    <t>C&amp;I Gas All</t>
  </si>
  <si>
    <t>Gas Supply</t>
  </si>
  <si>
    <t>Fuel Oil ($/MMBtu)</t>
  </si>
  <si>
    <t>Residential Distillate</t>
  </si>
  <si>
    <t>Com Fuel Oil</t>
  </si>
  <si>
    <t>Industrial Oil</t>
  </si>
  <si>
    <t>Wood ($/MMBtu)</t>
  </si>
  <si>
    <t>Water ($/Gallon)</t>
  </si>
  <si>
    <t>NEBs ($/$)</t>
  </si>
  <si>
    <t>Reliability</t>
  </si>
  <si>
    <t>PTF</t>
  </si>
  <si>
    <t>Gas to Electric Cross DRIPE ($/MMBtu)</t>
  </si>
  <si>
    <t xml:space="preserve">Res Non-Heating </t>
  </si>
  <si>
    <t xml:space="preserve">Res Hot Water  </t>
  </si>
  <si>
    <t xml:space="preserve">Res Heating  </t>
  </si>
  <si>
    <t xml:space="preserve">Res All  </t>
  </si>
  <si>
    <t xml:space="preserve">C&amp;I Non-Heating </t>
  </si>
  <si>
    <t xml:space="preserve">C&amp;I Heating  </t>
  </si>
  <si>
    <t xml:space="preserve">C&amp;I All  </t>
  </si>
  <si>
    <t>Avoided Non-Embedded Costs ($/kWh)</t>
  </si>
  <si>
    <t>Oil DRIPE</t>
  </si>
  <si>
    <t>CUMULATIVE AVOIDED COSTS</t>
  </si>
  <si>
    <t>Avoided Costs</t>
  </si>
  <si>
    <t>Avoided Electricity Costs from AESC</t>
  </si>
  <si>
    <t>Avoided Natural Gas Costs from AESC</t>
  </si>
  <si>
    <t>Table 119. Avoided cost of gas to retail customers by end-use for Northern New England (NNE) assuming some avoidable retail margin (2018$/MMBtu)</t>
  </si>
  <si>
    <t>AESC 2018 Appendix C Workbooks - June 1, 2018 FINAL</t>
  </si>
  <si>
    <t>Table 122. Gas supply DRIPE and gas cross DRIPE – New Hampshire (2018$/MMBtu)</t>
  </si>
  <si>
    <t>Avoided Other Fuel Costs from AESC</t>
  </si>
  <si>
    <t>AESC 2018 Appendix D Workbooks - June 1, 2018 FINAL</t>
  </si>
  <si>
    <t>Table 130. Avoided costs of petroleum fuels and other fuels by sector (2018$/MMBtu)</t>
  </si>
  <si>
    <t>Table 132. Diesel Fuel DRIPE by state ($/MMBtu per MMBtu reduced)</t>
  </si>
  <si>
    <r>
      <t>Wholesale Capacity DRIPE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</si>
  <si>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Retail Capacity DRIPE</t>
    </r>
    <r>
      <rPr>
        <b/>
        <vertAlign val="superscript"/>
        <sz val="10"/>
        <color theme="0" tint="-0.499984740745262"/>
        <rFont val="Arial"/>
        <family val="2"/>
      </rPr>
      <t>3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</si>
  <si>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</si>
  <si>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Cleared</t>
    </r>
    <r>
      <rPr>
        <b/>
        <vertAlign val="superscript"/>
        <sz val="10"/>
        <color theme="0" tint="-0.499984740745262"/>
        <rFont val="Arial"/>
        <family val="2"/>
      </rPr>
      <t>4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</si>
  <si>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5</t>
    </r>
  </si>
  <si>
    <r>
      <t>Weighted Avg</t>
    </r>
    <r>
      <rPr>
        <b/>
        <vertAlign val="superscript"/>
        <sz val="10"/>
        <color theme="0" tint="-0.499984740745262"/>
        <rFont val="Arial"/>
        <family val="2"/>
      </rPr>
      <t>6</t>
    </r>
  </si>
  <si>
    <t>Page Four of Four</t>
  </si>
  <si>
    <t>PTF losses</t>
  </si>
  <si>
    <t>Rest-of-Pool</t>
  </si>
  <si>
    <t>Rest-of-Pool is NOT used in NH</t>
  </si>
  <si>
    <t>n/a</t>
  </si>
  <si>
    <t>Lookups</t>
  </si>
  <si>
    <t>ED</t>
  </si>
  <si>
    <t>ECD</t>
  </si>
  <si>
    <t>CD</t>
  </si>
  <si>
    <t>GD</t>
  </si>
  <si>
    <t>GECD</t>
  </si>
  <si>
    <t>OilDRIPE</t>
  </si>
  <si>
    <t>EE</t>
  </si>
  <si>
    <t>RGGI</t>
  </si>
  <si>
    <t>Avoided Distribution Costs</t>
  </si>
  <si>
    <t>PTF Year</t>
  </si>
  <si>
    <t>PTF Avoided Costs</t>
  </si>
  <si>
    <t>Local Transmission</t>
  </si>
  <si>
    <t>Other Resource Savings: Oil</t>
  </si>
  <si>
    <t>Other Resource Savings: Propane</t>
  </si>
  <si>
    <t>Other Resource Savings: Kerosene</t>
  </si>
  <si>
    <t>Other Resource Savings: Cord Wood</t>
  </si>
  <si>
    <t>Other Resource Savings: Wood Pellet</t>
  </si>
  <si>
    <t>Other Resource Savings: Water</t>
  </si>
  <si>
    <t>SUB-TOTAL</t>
  </si>
  <si>
    <t>Energy Electric Cross DRIPE Benefits ($)</t>
  </si>
  <si>
    <t>Fuel Oil - Industrial</t>
  </si>
  <si>
    <t>Other Fuels ($/MMBtu)</t>
  </si>
  <si>
    <t>FOSSIL EMISSIONS</t>
  </si>
  <si>
    <t>Fossil Emissions Scaling Factor</t>
  </si>
  <si>
    <t>Nox (pounds/MMBtu)</t>
  </si>
  <si>
    <t>CO2 Value ($/ton)</t>
  </si>
  <si>
    <t>Nox Value ($/ton)</t>
  </si>
  <si>
    <t>Non-Energy Impacts</t>
  </si>
  <si>
    <t>CO2 pounds:</t>
  </si>
  <si>
    <t>Nox pounds:</t>
  </si>
  <si>
    <t>CO2 value:</t>
  </si>
  <si>
    <t>Nox value:</t>
  </si>
  <si>
    <t>Updated on May 5, 2018 to reflect 2018 AESC.  Previous value was 2017.</t>
  </si>
  <si>
    <t>Environmental Externalities (Non-Embedded Costs)</t>
  </si>
  <si>
    <t>Winter Peak Environmental Benefits ($)</t>
  </si>
  <si>
    <t>Winter Off-Peak Environmental Benefits ($)</t>
  </si>
  <si>
    <t>Summer Peak Environmental Benefits ($)</t>
  </si>
  <si>
    <t>Summer Off-Peak Environmental Benefits ($)</t>
  </si>
  <si>
    <t>Total Avoided Environmental Benefits ($)</t>
  </si>
  <si>
    <t>Multiplied by 10</t>
  </si>
  <si>
    <t>First Reference (column)</t>
  </si>
  <si>
    <t>First Reference (name)</t>
  </si>
  <si>
    <t>Second Reference (column)</t>
  </si>
  <si>
    <t>Second Reference (name)</t>
  </si>
  <si>
    <t>Res + C&amp;I</t>
  </si>
  <si>
    <t>Third Reference (column)</t>
  </si>
  <si>
    <t>Third Reference (name)</t>
  </si>
  <si>
    <t>Propane Benefits</t>
  </si>
  <si>
    <t>Key</t>
  </si>
  <si>
    <t>Water not included</t>
  </si>
  <si>
    <t>Takes percent of total energy benefit (excludes water) and adds to total benefits.</t>
  </si>
  <si>
    <t>Industry standard assumption.</t>
  </si>
  <si>
    <t>Not Cumulative</t>
  </si>
  <si>
    <t>Not Included in total benefits</t>
  </si>
  <si>
    <t>Gas not included</t>
  </si>
  <si>
    <t>Not part of AESC. Added to apply Wholesale Risk Premium to Energy DRIPE.</t>
  </si>
  <si>
    <t>Used for Electric Cross DRIPE</t>
  </si>
  <si>
    <t xml:space="preserve">$0. At this time the NH Utilities do not have additional benefits related to avoided local transmission in the benefit cost model. </t>
  </si>
  <si>
    <t>2018 AESC, October 2018 release, page 215-216.</t>
  </si>
  <si>
    <t>2018 AESC, October 2018 Release, Appendix B.</t>
  </si>
  <si>
    <t>CO2 Value ($/MMBTU)</t>
  </si>
  <si>
    <t>Nox Value ($/MMBTU)</t>
  </si>
  <si>
    <t>Total Value ($/MMBTU)</t>
  </si>
  <si>
    <t>Pounds per short ton</t>
  </si>
  <si>
    <t>MMBtu in 1 kWh</t>
  </si>
  <si>
    <t>kWh in 1 MMBtu</t>
  </si>
  <si>
    <t>MMBtu</t>
  </si>
  <si>
    <t>kWh</t>
  </si>
  <si>
    <t>Pounds</t>
  </si>
  <si>
    <t xml:space="preserve">Source: </t>
  </si>
  <si>
    <t>AESC 2018 Appendix B Workbooks - June 1, 2018 FINAL</t>
  </si>
  <si>
    <t>Shifted year</t>
  </si>
  <si>
    <t>Retail Energy DRIPE</t>
  </si>
  <si>
    <t>Retail Cross-DRIPE</t>
  </si>
  <si>
    <t>Res Demand Response</t>
  </si>
  <si>
    <t xml:space="preserve">Portfolio </t>
  </si>
  <si>
    <t>Threshold</t>
  </si>
  <si>
    <t>% of Plan</t>
  </si>
  <si>
    <t>Design Coefficient</t>
  </si>
  <si>
    <t>Actual Coefficient</t>
  </si>
  <si>
    <t>Planned PI</t>
  </si>
  <si>
    <t>Actual PI</t>
  </si>
  <si>
    <t>Source</t>
  </si>
  <si>
    <t>Planned and Actual from Cost Eff Tab</t>
  </si>
  <si>
    <t>Annual kWh Savings</t>
  </si>
  <si>
    <t>Summer Peak Demand kW</t>
  </si>
  <si>
    <t>Winter Peak Demand kW</t>
  </si>
  <si>
    <t>Total Utility Costs</t>
  </si>
  <si>
    <t>Net Benefits</t>
  </si>
  <si>
    <t>Line 5 minus line 6</t>
  </si>
  <si>
    <t xml:space="preserve">Total </t>
  </si>
  <si>
    <t>Total Resource Cost Test</t>
  </si>
  <si>
    <t>Total Benefits (incl. NEIs)</t>
  </si>
  <si>
    <t>from row 8 above</t>
  </si>
  <si>
    <t>from row 6 above</t>
  </si>
  <si>
    <t>Portfolio TRC BCR</t>
  </si>
  <si>
    <t>row 9 divided by rows 10+11+12</t>
  </si>
  <si>
    <t>Attachment E1 (2020 Update)</t>
  </si>
  <si>
    <t xml:space="preserve">Updated August 15, 2019. Based on the June 2019 Prime Rate in accordance with the Final Energy Efficiency Group Report, dated July 6, 1999 in DR 96-150. Retrieved from http://www.moneycafe.com/personal-finance/prime-rate/  </t>
  </si>
  <si>
    <t xml:space="preserve">Updated August 15, 2019. Based on the inflation rate from Q1 2018 to Q1 2019, Retrieved from https://fred.stlouisfed.org/data/GDPDEF.txt </t>
  </si>
  <si>
    <t>Avoided Local Transmission Costs</t>
  </si>
  <si>
    <t>ES Products 3rd Party Financing (Mod. Income Loan buy-down)</t>
  </si>
  <si>
    <t>ES Products Visual Audit</t>
  </si>
  <si>
    <t>HPwES 3rd Party Financing (Mod. Income Loan buy-down)</t>
  </si>
  <si>
    <t>HPwES Visual Audit</t>
  </si>
  <si>
    <t>Other Non-Resource Benefits</t>
  </si>
  <si>
    <t>Total Non-Resource Benefits</t>
  </si>
  <si>
    <t>Page 3 of 3</t>
  </si>
  <si>
    <t>125% of Planned PI</t>
  </si>
  <si>
    <t>Non-Electric</t>
  </si>
  <si>
    <t>Resource Benefits ($000)</t>
  </si>
  <si>
    <t>Non-Resource Benefits ($000)</t>
  </si>
  <si>
    <t>Note that in order to avoid a circular reference in the calculation of performance incentive, "Total Utility Costs" does not include the value of PI.</t>
  </si>
  <si>
    <t>Planned and Actual from Benefits Tab</t>
  </si>
  <si>
    <t>O:O</t>
  </si>
  <si>
    <t>P:P</t>
  </si>
  <si>
    <t>AB:AB</t>
  </si>
  <si>
    <t>Z:Z</t>
  </si>
  <si>
    <t>AC:AC</t>
  </si>
  <si>
    <t>AA:AA</t>
  </si>
  <si>
    <t>AF:AF</t>
  </si>
  <si>
    <t>AD:AD</t>
  </si>
  <si>
    <t>AG:AG</t>
  </si>
  <si>
    <t>AE:AE</t>
  </si>
  <si>
    <t>AJ:AJ</t>
  </si>
  <si>
    <t>AH:AH</t>
  </si>
  <si>
    <t>AK:AK</t>
  </si>
  <si>
    <t>AI:AI</t>
  </si>
  <si>
    <t>AN:AN</t>
  </si>
  <si>
    <t>AL:AL</t>
  </si>
  <si>
    <t>AO:AO</t>
  </si>
  <si>
    <t>AM:AM</t>
  </si>
  <si>
    <t>AR:AR</t>
  </si>
  <si>
    <t>AP:AP</t>
  </si>
  <si>
    <t>AS:AS</t>
  </si>
  <si>
    <t>AQ:AQ</t>
  </si>
  <si>
    <t>AV:AV</t>
  </si>
  <si>
    <t>AT:AT</t>
  </si>
  <si>
    <t>AW:AW</t>
  </si>
  <si>
    <t>AU:AU</t>
  </si>
  <si>
    <t>AX:AX</t>
  </si>
  <si>
    <t>AY:AY</t>
  </si>
  <si>
    <t>AZ:AZ</t>
  </si>
  <si>
    <t>BB:BB</t>
  </si>
  <si>
    <t>BC:BC</t>
  </si>
  <si>
    <t>BD:BD</t>
  </si>
  <si>
    <t>BE:BE</t>
  </si>
  <si>
    <t>BF:BF</t>
  </si>
  <si>
    <t>BG:BG</t>
  </si>
  <si>
    <t>BP:BP</t>
  </si>
  <si>
    <t>BQ:BQ</t>
  </si>
  <si>
    <t>BR:BR</t>
  </si>
  <si>
    <t>BS:BS</t>
  </si>
  <si>
    <t>BT:BT</t>
  </si>
  <si>
    <t>BU:BU</t>
  </si>
  <si>
    <t>CS:CS</t>
  </si>
  <si>
    <t>CT:CT</t>
  </si>
  <si>
    <t>CU:CU</t>
  </si>
  <si>
    <t>CV:CV</t>
  </si>
  <si>
    <t>CW:CW</t>
  </si>
  <si>
    <t>CX:CX</t>
  </si>
  <si>
    <t>DD:DD</t>
  </si>
  <si>
    <t>BA:BA</t>
  </si>
  <si>
    <t>CQ:CQ</t>
  </si>
  <si>
    <t>CY:CY</t>
  </si>
  <si>
    <t>DC:DC</t>
  </si>
  <si>
    <t>CR:CR</t>
  </si>
  <si>
    <t>Direct Load Control Targeted Dispatch Upfront/Annual Incentive Summer</t>
  </si>
  <si>
    <t>Behavior DR</t>
  </si>
  <si>
    <t>Storage Daily Dispatch Upfront Incentive (savings) Summer</t>
  </si>
  <si>
    <t>Storage Daily Dispatch Upfront Incentive (consumption) Summer</t>
  </si>
  <si>
    <t>Storage Daily Dispatch Upfront Incentive (savings) Winter</t>
  </si>
  <si>
    <t>Storage Daily Dispatch Upfront Incentive (consumption) Winter</t>
  </si>
  <si>
    <t>Storage Daily Dispatch P4P (savings) Summer</t>
  </si>
  <si>
    <t>Storage Daily Dispatch P4P (consumption) Summer</t>
  </si>
  <si>
    <t>Storage Targeted Dispatch P4P (savings) Winter</t>
  </si>
  <si>
    <t>Storage Targeted Dispatch P4P (consumption) Winter</t>
  </si>
  <si>
    <t>EV Load Management Summer</t>
  </si>
  <si>
    <t>EV Load Management Winter</t>
  </si>
  <si>
    <t>Load Curtailment Targeted Dispatch P4P Summer</t>
  </si>
  <si>
    <t>Load Curtailment Targeted Dispatch P4P Winter</t>
  </si>
  <si>
    <t>Storage Targeted Dispatch P4P (savings) Summer</t>
  </si>
  <si>
    <t>Storage Targeted Dispatch P4P (consumption) Summer</t>
  </si>
  <si>
    <t>Summer Charging</t>
  </si>
  <si>
    <t>Winter Charging</t>
  </si>
  <si>
    <t>Strategy</t>
  </si>
  <si>
    <t>Bid into FCM</t>
  </si>
  <si>
    <t>Total for Three Years</t>
  </si>
  <si>
    <t>Limited Demand Response Scaling Factor</t>
  </si>
  <si>
    <t>Energy Strategy</t>
  </si>
  <si>
    <t>2018 AESC, Final Draft, June 1, 2018, Appendix J</t>
  </si>
  <si>
    <t>WHOLESALE RATES -- 2018$/kW-yr</t>
  </si>
  <si>
    <t>Year Start</t>
  </si>
  <si>
    <t>Program Duration (Measure Life)</t>
  </si>
  <si>
    <t>N</t>
  </si>
  <si>
    <t>N+1</t>
  </si>
  <si>
    <t>N+2</t>
  </si>
  <si>
    <t>N+3</t>
  </si>
  <si>
    <t>N+4</t>
  </si>
  <si>
    <t>N+5</t>
  </si>
  <si>
    <t>N+6</t>
  </si>
  <si>
    <t>N+7</t>
  </si>
  <si>
    <t>N+8</t>
  </si>
  <si>
    <t>N+9</t>
  </si>
  <si>
    <t>N+10</t>
  </si>
  <si>
    <t>N+11</t>
  </si>
  <si>
    <t>N+12</t>
  </si>
  <si>
    <t>N+13</t>
  </si>
  <si>
    <t>N+14</t>
  </si>
  <si>
    <t>N+15</t>
  </si>
  <si>
    <t>N+16</t>
  </si>
  <si>
    <t>N+17</t>
  </si>
  <si>
    <t>N+18</t>
  </si>
  <si>
    <t>N+19</t>
  </si>
  <si>
    <t>N+20</t>
  </si>
  <si>
    <t>N+21</t>
  </si>
  <si>
    <t>N+22</t>
  </si>
  <si>
    <t>N+23</t>
  </si>
  <si>
    <t>N+24</t>
  </si>
  <si>
    <t>N+25</t>
  </si>
  <si>
    <t>N+26</t>
  </si>
  <si>
    <t>N+27</t>
  </si>
  <si>
    <t>N+28</t>
  </si>
  <si>
    <t>N+29</t>
  </si>
  <si>
    <t>Total for Benefits</t>
  </si>
  <si>
    <t>Retail Uncleared Capacity Avoided Costs - NH - Sustained Demand Reductions</t>
  </si>
  <si>
    <t>Retail Net Uncleared Capacity DRIPE Intrastate - NH - Sustained Demand Reductions</t>
  </si>
  <si>
    <t>Wholesale Net Uncleared Capacity DRIPE Intrastate - NH - Sustained Demand Reductions</t>
  </si>
  <si>
    <t>Wholesale Uncleared Capacity Avoided Costs - NH - Sustained Demand Reductions</t>
  </si>
  <si>
    <t>STRATEGY SUMMARY</t>
  </si>
  <si>
    <t>Link</t>
  </si>
  <si>
    <t>AESC Sensitivity</t>
  </si>
  <si>
    <t>AESC Preset</t>
  </si>
  <si>
    <t>Preset Detail</t>
  </si>
  <si>
    <t>Other Notes</t>
  </si>
  <si>
    <t>Top 20 All Hours</t>
  </si>
  <si>
    <t>Strategy 1</t>
  </si>
  <si>
    <t>Main 2018 AESC</t>
  </si>
  <si>
    <t>Peak Load (Top %)</t>
  </si>
  <si>
    <t>20 / 8760 = 0.23%</t>
  </si>
  <si>
    <t>Summer Daily Discharge</t>
  </si>
  <si>
    <t>Strategy 2</t>
  </si>
  <si>
    <t>User Input</t>
  </si>
  <si>
    <t>Discharge daily 4-7 pm June-Sept; 4.05 kW per hour for 3 hours.</t>
  </si>
  <si>
    <t>Summer Daily Charge</t>
  </si>
  <si>
    <t>Strategy 3</t>
  </si>
  <si>
    <t>Charge daily 2-5 am June-Sept; 5.00 kW per hour for 3 hours.</t>
  </si>
  <si>
    <t>Summer Targeted Charge</t>
  </si>
  <si>
    <t>Strategy 4</t>
  </si>
  <si>
    <t>Charge 2-5 am, July and August, only on the days when the top 20 hours occur, 5 kW per hour, for 3 hours.</t>
  </si>
  <si>
    <t>Top 20 Winter Hours</t>
  </si>
  <si>
    <t>Strategy 5</t>
  </si>
  <si>
    <t>0.34%</t>
  </si>
  <si>
    <t>20 / 5832 = 0.34%</t>
  </si>
  <si>
    <t>Update the orange cells with AESC User Interface values consistent with Strategy</t>
  </si>
  <si>
    <t>Winter Targeted Charge</t>
  </si>
  <si>
    <t>Strategy 6</t>
  </si>
  <si>
    <t>Charge 2-5 am, December and January, only on the days when the top 20 winter hours occur, 5 kW per hour, for 3 hours.</t>
  </si>
  <si>
    <t>Retail Energy Costs</t>
  </si>
  <si>
    <t>Wholesale Energy Costs</t>
  </si>
  <si>
    <t>Net ZoZ DRIPE: 2019 vintage</t>
  </si>
  <si>
    <t>Avoided REC Costs to Load
CALCULATED</t>
  </si>
  <si>
    <t>Retail Energy</t>
  </si>
  <si>
    <t>Other Costing Period</t>
  </si>
  <si>
    <t>Active Demand Management</t>
  </si>
  <si>
    <t>No DR has been bid into the FCM</t>
  </si>
  <si>
    <t>AESC, ANNUAL AVOIDED COSTS, 2018$</t>
  </si>
  <si>
    <t>Top 20 Summer Hours</t>
  </si>
  <si>
    <t>Strategy 7</t>
  </si>
  <si>
    <t>20 / 2928 = 0.68%</t>
  </si>
  <si>
    <t>RETAIL RATES ADJUSTED FOR LIMITED HOUR DEMAND REDUCTIONS -- $/kW-yr</t>
  </si>
  <si>
    <t>Program Cost-Effectiveness</t>
  </si>
  <si>
    <t>Present Value Benefits</t>
  </si>
  <si>
    <t>Portfolio Planned Versus Actual Performance</t>
  </si>
  <si>
    <t>All dollar values are expressed in respective year dollars (2018, 2019, 2020).</t>
  </si>
  <si>
    <r>
      <t>Total Utility Costs</t>
    </r>
    <r>
      <rPr>
        <vertAlign val="superscript"/>
        <sz val="10"/>
        <rFont val="Calibri"/>
        <family val="2"/>
      </rPr>
      <t>1</t>
    </r>
  </si>
  <si>
    <t>Capacity DRIPE ($/kW)</t>
  </si>
  <si>
    <t>Reliability ($/kW)</t>
  </si>
  <si>
    <t>Not part of AESC. Added to apply Wholesale Risk Premium to Reliability.</t>
  </si>
  <si>
    <t>Line Losses</t>
  </si>
  <si>
    <t>Line Loss Period</t>
  </si>
  <si>
    <t>NEW</t>
  </si>
  <si>
    <t>CHANGED FORMULA</t>
  </si>
  <si>
    <t>Capacity: AESC tab Column Reference</t>
  </si>
  <si>
    <t>Capacity DRIPE: AESC tab Column Reference</t>
  </si>
  <si>
    <t>Reliability: AESC tab Column Reference</t>
  </si>
  <si>
    <t>Net ZoZ DRIPE: 2018 vintage</t>
  </si>
  <si>
    <t xml:space="preserve">ISO New England default for electrical losses is 8 percent. </t>
  </si>
  <si>
    <t>kWh Sales (2019)</t>
  </si>
  <si>
    <t>Used to calculate percent of sales savings (based on 2019 sales)</t>
  </si>
  <si>
    <t>Measure ID</t>
  </si>
  <si>
    <t>E21A5a001</t>
  </si>
  <si>
    <t>E21A5a002</t>
  </si>
  <si>
    <t>E21A5a003</t>
  </si>
  <si>
    <t>E21C5a001</t>
  </si>
  <si>
    <t>E21C5a002</t>
  </si>
  <si>
    <t>E21C5a003</t>
  </si>
  <si>
    <t>E21C5a004</t>
  </si>
  <si>
    <t>E21C5a005</t>
  </si>
  <si>
    <t>Total Benefits (Legacy NH TRC)</t>
  </si>
  <si>
    <t>Total Benefits (Granite State Test)</t>
  </si>
  <si>
    <t>Total Benefits (Utility Cost Test)</t>
  </si>
  <si>
    <t>Total Benefits (Secondary GST)</t>
  </si>
  <si>
    <t>A - Residential</t>
  </si>
  <si>
    <t>B - Low-Income</t>
  </si>
  <si>
    <t>C - Commercial &amp; Industrial</t>
  </si>
  <si>
    <t>A5 - Residential Active Demand Response</t>
  </si>
  <si>
    <t>C5 - C&amp;I Active Demand Response</t>
  </si>
  <si>
    <t>A5a - Residential Active Demand Response</t>
  </si>
  <si>
    <t>C5a - C&amp;I Active Demand Response</t>
  </si>
  <si>
    <t>K:K</t>
  </si>
  <si>
    <t>X:X</t>
  </si>
  <si>
    <t>M:M</t>
  </si>
  <si>
    <t>Q:Q</t>
  </si>
  <si>
    <t>BH:BH</t>
  </si>
  <si>
    <t>BN:BN</t>
  </si>
  <si>
    <t>BV:BV</t>
  </si>
  <si>
    <t>CF:CF</t>
  </si>
  <si>
    <t>CO:CO</t>
  </si>
  <si>
    <t>CZ:CZ</t>
  </si>
  <si>
    <t>DE:DE</t>
  </si>
  <si>
    <t>Total Avoided Environmental Benefits</t>
  </si>
  <si>
    <t>DJ:DJ</t>
  </si>
  <si>
    <t>Granite State Test</t>
  </si>
  <si>
    <r>
      <t xml:space="preserve">Benefit ($000) </t>
    </r>
    <r>
      <rPr>
        <sz val="9"/>
        <rFont val="Calibri"/>
        <family val="2"/>
      </rPr>
      <t>Granite State Test</t>
    </r>
  </si>
  <si>
    <r>
      <t>Utility Costs ($000 - 2021$)</t>
    </r>
    <r>
      <rPr>
        <b/>
        <vertAlign val="superscript"/>
        <sz val="10"/>
        <rFont val="Calibri"/>
        <family val="2"/>
      </rPr>
      <t>1</t>
    </r>
  </si>
  <si>
    <r>
      <t>Customer Costs ($000 - 2021$)</t>
    </r>
    <r>
      <rPr>
        <b/>
        <vertAlign val="superscript"/>
        <sz val="10"/>
        <rFont val="Calibri"/>
        <family val="2"/>
      </rPr>
      <t>1</t>
    </r>
  </si>
  <si>
    <r>
      <t xml:space="preserve">Benefit/Cost Ratio 
</t>
    </r>
    <r>
      <rPr>
        <sz val="9"/>
        <rFont val="Calibri"/>
        <family val="2"/>
      </rPr>
      <t>Granite State Test</t>
    </r>
  </si>
  <si>
    <t>(1) Utility and Customer Costs in 2021 Dollars</t>
  </si>
  <si>
    <t>(1) Utility and Customer Costs in 2021 Dollars and will not equal the nominal costs presented in the Costs tab.</t>
  </si>
  <si>
    <t>Total Program Costs (2021$)</t>
  </si>
  <si>
    <t>Performance Incentive (2021$)</t>
  </si>
  <si>
    <t>Participant Costs (2021$)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</si>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</sst>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&quot;$&quot;#,##0.00"/>
    <numFmt numFmtId="166" formatCode="0.0%"/>
    <numFmt numFmtId="167" formatCode="&quot;$&quot;#,##0"/>
    <numFmt numFmtId="168" formatCode="0.0"/>
    <numFmt numFmtId="169" formatCode="0.000"/>
    <numFmt numFmtId="170" formatCode="_(&quot;$&quot;* #,##0_);_(&quot;$&quot;* \(#,##0\);_(&quot;$&quot;* &quot;-&quot;??_);_(@_)"/>
    <numFmt numFmtId="171" formatCode="_(* #,##0_);_(* \(#,##0\);_(* &quot;-&quot;??_);_(@_)"/>
    <numFmt numFmtId="172" formatCode="_(* #,##0.0_);_(* \(#,##0.0\);_(* &quot;-&quot;??_);_(@_)"/>
    <numFmt numFmtId="173" formatCode="&quot;$&quot;#,##0.000"/>
    <numFmt numFmtId="174" formatCode="&quot;$&quot;#,##0.0000"/>
    <numFmt numFmtId="175" formatCode="#,##0.0"/>
    <numFmt numFmtId="176" formatCode="0.000000"/>
    <numFmt numFmtId="177" formatCode="[$-409]m/d/yy\ h:mm\ AM/PM;@"/>
    <numFmt numFmtId="178" formatCode="0.0000"/>
    <numFmt numFmtId="179" formatCode="&quot;$&quot;#,##0&quot;/MWh&quot;;\(&quot;$&quot;#,##0\)&quot;/MWh&quot;"/>
    <numFmt numFmtId="180" formatCode="_(* #,##0.000_);_(* \(#,##0.000\);_(* &quot;-&quot;??_);_(@_)"/>
    <numFmt numFmtId="181" formatCode="0.00000"/>
    <numFmt numFmtId="182" formatCode="&quot;$&quot;#,##0&quot;/kW&quot;;\(&quot;$&quot;#,##0\)&quot;/kW&quot;"/>
    <numFmt numFmtId="183" formatCode="&quot;$&quot;#,##0&quot;/kWh&quot;;\(&quot;$&quot;#,##0\)&quot;/kWh&quot;"/>
    <numFmt numFmtId="184" formatCode="&quot;$&quot;#,##0&quot;/kW-yr&quot;;\(&quot;$&quot;#,##0\)&quot;/kW-yr&quot;"/>
    <numFmt numFmtId="185" formatCode="&quot;$&quot;#,##0_)&quot;M&quot;;\(&quot;$&quot;#,##0\)&quot;M&quot;"/>
    <numFmt numFmtId="186" formatCode="0.00&quot;¢/kWh&quot;"/>
    <numFmt numFmtId="187" formatCode="_([$€-2]* #,##0.00_);_([$€-2]* \(#,##0.00\);_([$€-2]* &quot;-&quot;??_)"/>
    <numFmt numFmtId="188" formatCode="_(&quot;$&quot;* #,##0.0_);_(&quot;$&quot;* \(#,##0.0\);_(&quot;$&quot;* &quot;-&quot;??_);_(@_)"/>
    <numFmt numFmtId="189" formatCode="#,##0.000000"/>
    <numFmt numFmtId="190" formatCode="#,##0;[Red]\(#,##0\)"/>
    <numFmt numFmtId="191" formatCode="&quot;$&quot;#,##0;[Red]\(&quot;$&quot;#,##0\)"/>
    <numFmt numFmtId="192" formatCode="_(* #,##0.0_);_(* \(#,##0.0\);_(* &quot;-&quot;?_);_(@_)"/>
    <numFmt numFmtId="193" formatCode="#,##0.00000"/>
    <numFmt numFmtId="194" formatCode="_(* #,##0.000000_);_(* \(#,##0.000000\);_(* &quot;-&quot;??_);_(@_)"/>
    <numFmt numFmtId="195" formatCode="_(* #,##0.0000000_);_(* \(#,##0.0000000\);_(* &quot;-&quot;??_);_(@_)"/>
    <numFmt numFmtId="196" formatCode="0.000%"/>
    <numFmt numFmtId="197" formatCode="_(* #,##0.00_);_(* \(#,##0.00\);_(* &quot;-&quot;?_);_(@_)"/>
    <numFmt numFmtId="198" formatCode="#,##0.0_);[Red]\(#,##0.0\)"/>
    <numFmt numFmtId="199" formatCode="_(&quot;$&quot;* #,##0.0000_);_(&quot;$&quot;* \(#,##0.0000\);_(&quot;$&quot;* &quot;-&quot;??_);_(@_)"/>
    <numFmt numFmtId="200" formatCode="#,##0.000_);[Red]\(#,##0.000\)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i/>
      <sz val="10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u/>
      <sz val="18"/>
      <name val="Arial"/>
      <family val="2"/>
    </font>
    <font>
      <b/>
      <u/>
      <sz val="16"/>
      <name val="Arial"/>
      <family val="2"/>
    </font>
    <font>
      <b/>
      <sz val="16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14"/>
      <name val="Calibri"/>
      <family val="2"/>
    </font>
    <font>
      <b/>
      <sz val="10"/>
      <color indexed="64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64"/>
      <name val="Arial"/>
      <family val="2"/>
    </font>
    <font>
      <b/>
      <sz val="18"/>
      <color indexed="62"/>
      <name val="Cambria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i/>
      <sz val="10"/>
      <color theme="0" tint="-0.499984740745262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color theme="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2"/>
      <name val="Times New Roman"/>
      <family val="1"/>
    </font>
    <font>
      <u/>
      <sz val="10"/>
      <name val="Calibri"/>
      <family val="2"/>
    </font>
    <font>
      <sz val="10"/>
      <color rgb="FFFF0000"/>
      <name val="Calibri"/>
      <family val="2"/>
    </font>
    <font>
      <vertAlign val="superscript"/>
      <sz val="10"/>
      <name val="Calibri"/>
      <family val="2"/>
    </font>
    <font>
      <b/>
      <sz val="11"/>
      <color theme="1"/>
      <name val="Arial"/>
      <family val="2"/>
    </font>
    <font>
      <sz val="12"/>
      <name val="Times New Roman"/>
      <family val="1"/>
    </font>
    <font>
      <sz val="10"/>
      <color theme="0" tint="-0.499984740745262"/>
      <name val="Arial"/>
      <family val="2"/>
    </font>
    <font>
      <b/>
      <sz val="11"/>
      <name val="Calibri"/>
      <family val="2"/>
    </font>
    <font>
      <sz val="8"/>
      <name val="Swis721 BT"/>
      <family val="2"/>
    </font>
    <font>
      <sz val="11"/>
      <color indexed="8"/>
      <name val="Calibri"/>
      <family val="2"/>
    </font>
    <font>
      <b/>
      <u/>
      <sz val="12"/>
      <name val="Dutch801 BT"/>
    </font>
    <font>
      <u/>
      <sz val="10.45"/>
      <color indexed="12"/>
      <name val="SWISS"/>
    </font>
    <font>
      <u/>
      <sz val="10"/>
      <color indexed="12"/>
      <name val="Arial"/>
      <family val="2"/>
    </font>
    <font>
      <sz val="12"/>
      <color theme="1"/>
      <name val="Century Gothic"/>
      <family val="2"/>
    </font>
    <font>
      <b/>
      <sz val="10"/>
      <name val="MS Sans Serif"/>
      <family val="2"/>
    </font>
    <font>
      <sz val="10"/>
      <name val="Helv"/>
      <charset val="204"/>
    </font>
    <font>
      <sz val="12"/>
      <color theme="1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u/>
      <sz val="18"/>
      <color rgb="FFFF0000"/>
      <name val="Arial"/>
      <family val="2"/>
    </font>
    <font>
      <b/>
      <sz val="11"/>
      <color rgb="FF010101"/>
      <name val="Arial"/>
      <family val="2"/>
    </font>
    <font>
      <b/>
      <sz val="9"/>
      <color rgb="FF010101"/>
      <name val="Arial"/>
      <family val="2"/>
    </font>
    <font>
      <b/>
      <sz val="2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FF0000"/>
      <name val="Arial"/>
      <family val="2"/>
    </font>
    <font>
      <b/>
      <sz val="10"/>
      <color rgb="FF010101"/>
      <name val="Arial"/>
      <family val="2"/>
    </font>
    <font>
      <sz val="10"/>
      <color rgb="FF010101"/>
      <name val="Arial"/>
      <family val="2"/>
    </font>
    <font>
      <b/>
      <u/>
      <sz val="18"/>
      <color theme="0" tint="-0.499984740745262"/>
      <name val="Arial"/>
      <family val="2"/>
    </font>
    <font>
      <b/>
      <u/>
      <sz val="16"/>
      <color theme="0" tint="-0.499984740745262"/>
      <name val="Arial"/>
      <family val="2"/>
    </font>
    <font>
      <b/>
      <sz val="16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vertAlign val="superscript"/>
      <sz val="10"/>
      <color theme="0" tint="-0.499984740745262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sz val="16"/>
      <name val="Arial"/>
      <family val="2"/>
    </font>
    <font>
      <b/>
      <sz val="26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1"/>
      <color theme="0" tint="-0.499984740745262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Calibri"/>
      <family val="2"/>
    </font>
    <font>
      <u/>
      <sz val="11"/>
      <name val="Arial"/>
      <family val="2"/>
    </font>
    <font>
      <i/>
      <sz val="10"/>
      <name val="Calibri"/>
      <family val="2"/>
    </font>
    <font>
      <b/>
      <sz val="10"/>
      <color theme="1"/>
      <name val="Calibri"/>
      <family val="2"/>
    </font>
    <font>
      <i/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vertAlign val="superscript"/>
      <sz val="11"/>
      <color theme="1"/>
      <name val="Calibri"/>
      <family val="2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6"/>
      <color theme="3" tint="-0.249977111117893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Verdana"/>
      <family val="2"/>
    </font>
    <font>
      <b/>
      <sz val="14"/>
      <name val="Arial"/>
      <family val="2"/>
    </font>
    <font>
      <b/>
      <i/>
      <sz val="18"/>
      <name val="Arial"/>
      <family val="2"/>
    </font>
    <font>
      <i/>
      <sz val="1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b/>
      <vertAlign val="superscript"/>
      <sz val="10"/>
      <name val="Calibri"/>
      <family val="2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8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B09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0"/>
        <bgColor indexed="64"/>
      </patternFill>
    </fill>
  </fills>
  <borders count="1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5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5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/>
      <bottom style="thick">
        <color theme="5"/>
      </bottom>
      <diagonal/>
    </border>
    <border>
      <left/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/>
      <bottom style="thick">
        <color theme="5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 style="medium">
        <color auto="1"/>
      </left>
      <right/>
      <top/>
      <bottom style="thick">
        <color theme="6" tint="-0.24994659260841701"/>
      </bottom>
      <diagonal/>
    </border>
    <border>
      <left/>
      <right style="thin">
        <color indexed="64"/>
      </right>
      <top/>
      <bottom style="thick">
        <color theme="6" tint="-0.24994659260841701"/>
      </bottom>
      <diagonal/>
    </border>
    <border>
      <left style="thin">
        <color indexed="64"/>
      </left>
      <right/>
      <top/>
      <bottom style="thick">
        <color theme="6" tint="-0.24994659260841701"/>
      </bottom>
      <diagonal/>
    </border>
    <border>
      <left style="thin">
        <color indexed="64"/>
      </left>
      <right style="medium">
        <color indexed="64"/>
      </right>
      <top/>
      <bottom style="thick">
        <color theme="6" tint="-0.24994659260841701"/>
      </bottom>
      <diagonal/>
    </border>
    <border>
      <left style="medium">
        <color indexed="64"/>
      </left>
      <right style="thin">
        <color indexed="64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auto="1"/>
      </top>
      <bottom style="thin">
        <color indexed="64"/>
      </bottom>
      <diagonal/>
    </border>
    <border>
      <left style="thick">
        <color theme="7"/>
      </left>
      <right/>
      <top style="thick">
        <color theme="7"/>
      </top>
      <bottom style="thick">
        <color theme="7"/>
      </bottom>
      <diagonal/>
    </border>
    <border>
      <left/>
      <right/>
      <top style="thick">
        <color theme="7"/>
      </top>
      <bottom style="thick">
        <color theme="7"/>
      </bottom>
      <diagonal/>
    </border>
    <border>
      <left/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ck">
        <color theme="7"/>
      </left>
      <right style="thin">
        <color indexed="64"/>
      </right>
      <top style="thin">
        <color indexed="64"/>
      </top>
      <bottom/>
      <diagonal/>
    </border>
    <border>
      <left style="thick">
        <color theme="7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7"/>
      </right>
      <top style="medium">
        <color indexed="64"/>
      </top>
      <bottom/>
      <diagonal/>
    </border>
    <border>
      <left style="thick">
        <color theme="7"/>
      </left>
      <right/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7"/>
      </right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n">
        <color indexed="64"/>
      </bottom>
      <diagonal/>
    </border>
    <border>
      <left style="thick">
        <color theme="7"/>
      </left>
      <right/>
      <top/>
      <bottom style="thick">
        <color theme="7"/>
      </bottom>
      <diagonal/>
    </border>
    <border>
      <left style="medium">
        <color indexed="64"/>
      </left>
      <right style="thin">
        <color indexed="64"/>
      </right>
      <top/>
      <bottom style="thick">
        <color theme="7"/>
      </bottom>
      <diagonal/>
    </border>
    <border>
      <left/>
      <right/>
      <top/>
      <bottom style="thick">
        <color theme="7"/>
      </bottom>
      <diagonal/>
    </border>
    <border>
      <left/>
      <right style="thin">
        <color indexed="64"/>
      </right>
      <top/>
      <bottom style="thick">
        <color theme="7"/>
      </bottom>
      <diagonal/>
    </border>
    <border>
      <left style="thin">
        <color indexed="64"/>
      </left>
      <right/>
      <top/>
      <bottom style="thick">
        <color theme="7"/>
      </bottom>
      <diagonal/>
    </border>
    <border>
      <left style="thin">
        <color indexed="64"/>
      </left>
      <right style="medium">
        <color indexed="64"/>
      </right>
      <top/>
      <bottom style="thick">
        <color theme="7"/>
      </bottom>
      <diagonal/>
    </border>
    <border>
      <left style="medium">
        <color indexed="64"/>
      </left>
      <right/>
      <top style="thin">
        <color indexed="64"/>
      </top>
      <bottom style="thick">
        <color theme="7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ck">
        <color theme="7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hair">
        <color indexed="64"/>
      </right>
      <top/>
      <bottom style="medium">
        <color auto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4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 style="thick">
        <color theme="4"/>
      </bottom>
      <diagonal/>
    </border>
  </borders>
  <cellStyleXfs count="42646">
    <xf numFmtId="0" fontId="0" fillId="0" borderId="0"/>
    <xf numFmtId="182" fontId="26" fillId="0" borderId="0">
      <alignment horizontal="right" wrapText="1"/>
    </xf>
    <xf numFmtId="183" fontId="26" fillId="0" borderId="0">
      <alignment horizontal="right" wrapText="1"/>
    </xf>
    <xf numFmtId="184" fontId="26" fillId="0" borderId="0">
      <alignment horizontal="right" wrapText="1"/>
    </xf>
    <xf numFmtId="179" fontId="26" fillId="0" borderId="0">
      <alignment horizontal="right" wrapText="1"/>
    </xf>
    <xf numFmtId="185" fontId="26" fillId="0" borderId="0">
      <alignment horizontal="right" wrapText="1"/>
    </xf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3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3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3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9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1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15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186" fontId="26" fillId="0" borderId="0"/>
    <xf numFmtId="0" fontId="34" fillId="30" borderId="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" fillId="0" borderId="0"/>
    <xf numFmtId="44" fontId="2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/>
    <xf numFmtId="0" fontId="39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177" fontId="26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177" fontId="5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27" fillId="0" borderId="0">
      <alignment horizontal="center"/>
    </xf>
    <xf numFmtId="44" fontId="26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44" fontId="26" fillId="0" borderId="0" applyFont="0" applyFill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26" fillId="0" borderId="0"/>
    <xf numFmtId="0" fontId="26" fillId="9" borderId="10" applyNumberFormat="0" applyFont="0" applyAlignment="0" applyProtection="0"/>
    <xf numFmtId="0" fontId="26" fillId="9" borderId="10" applyNumberFormat="0" applyFont="0" applyAlignment="0" applyProtection="0"/>
    <xf numFmtId="43" fontId="25" fillId="0" borderId="0" applyFont="0" applyFill="0" applyBorder="0" applyAlignment="0" applyProtection="0"/>
    <xf numFmtId="3" fontId="59" fillId="0" borderId="0"/>
    <xf numFmtId="187" fontId="5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0" fillId="4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0" borderId="0" applyNumberFormat="0" applyBorder="0" applyAlignment="0" applyProtection="0"/>
    <xf numFmtId="0" fontId="30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49" borderId="0" applyNumberFormat="0" applyBorder="0" applyAlignment="0" applyProtection="0"/>
    <xf numFmtId="0" fontId="31" fillId="25" borderId="0" applyNumberFormat="0" applyBorder="0" applyAlignment="0" applyProtection="0"/>
    <xf numFmtId="0" fontId="31" fillId="49" borderId="0" applyNumberFormat="0" applyBorder="0" applyAlignment="0" applyProtection="0"/>
    <xf numFmtId="0" fontId="31" fillId="27" borderId="0" applyNumberFormat="0" applyBorder="0" applyAlignment="0" applyProtection="0"/>
    <xf numFmtId="0" fontId="31" fillId="2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61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1" applyNumberFormat="0" applyAlignment="0" applyProtection="0"/>
    <xf numFmtId="0" fontId="33" fillId="13" borderId="1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5" fillId="0" borderId="0"/>
    <xf numFmtId="3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63" fillId="0" borderId="55" applyNumberFormat="0" applyFill="0" applyAlignment="0" applyProtection="0"/>
    <xf numFmtId="0" fontId="39" fillId="0" borderId="3" applyNumberFormat="0" applyFill="0" applyAlignment="0" applyProtection="0"/>
    <xf numFmtId="0" fontId="64" fillId="0" borderId="5" applyNumberFormat="0" applyFill="0" applyAlignment="0" applyProtection="0"/>
    <xf numFmtId="0" fontId="40" fillId="0" borderId="5" applyNumberFormat="0" applyFill="0" applyAlignment="0" applyProtection="0"/>
    <xf numFmtId="0" fontId="65" fillId="0" borderId="56" applyNumberFormat="0" applyFill="0" applyAlignment="0" applyProtection="0"/>
    <xf numFmtId="0" fontId="41" fillId="0" borderId="7" applyNumberFormat="0" applyFill="0" applyAlignment="0" applyProtection="0"/>
    <xf numFmtId="0" fontId="6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46" fillId="5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7" applyNumberFormat="0" applyFill="0" applyAlignment="0" applyProtection="0"/>
    <xf numFmtId="0" fontId="48" fillId="0" borderId="57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3" fillId="0" borderId="0"/>
    <xf numFmtId="44" fontId="30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0" fontId="25" fillId="0" borderId="0"/>
    <xf numFmtId="43" fontId="25" fillId="0" borderId="0" applyFont="0" applyFill="0" applyBorder="0" applyAlignment="0" applyProtection="0"/>
    <xf numFmtId="0" fontId="20" fillId="0" borderId="0"/>
    <xf numFmtId="44" fontId="25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182" fontId="25" fillId="0" borderId="0">
      <alignment horizontal="right" wrapText="1"/>
    </xf>
    <xf numFmtId="183" fontId="25" fillId="0" borderId="0">
      <alignment horizontal="right" wrapText="1"/>
    </xf>
    <xf numFmtId="184" fontId="25" fillId="0" borderId="0">
      <alignment horizontal="right" wrapText="1"/>
    </xf>
    <xf numFmtId="179" fontId="25" fillId="0" borderId="0">
      <alignment horizontal="right" wrapText="1"/>
    </xf>
    <xf numFmtId="185" fontId="25" fillId="0" borderId="0">
      <alignment horizontal="right" wrapText="1"/>
    </xf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186" fontId="25" fillId="0" borderId="0"/>
    <xf numFmtId="43" fontId="77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/>
    <xf numFmtId="44" fontId="77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0" borderId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9" fontId="77" fillId="0" borderId="0" applyFont="0" applyFill="0" applyBorder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0" fillId="0" borderId="0"/>
    <xf numFmtId="0" fontId="25" fillId="9" borderId="63" applyNumberFormat="0" applyFont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18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6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5" applyNumberFormat="0" applyFill="0" applyAlignment="0" applyProtection="0"/>
    <xf numFmtId="0" fontId="49" fillId="0" borderId="0" applyNumberForma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8" fillId="0" borderId="66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9" fontId="25" fillId="0" borderId="0" applyFont="0" applyFill="0" applyBorder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8" fillId="0" borderId="66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5" borderId="62" applyNumberFormat="0" applyAlignment="0" applyProtection="0"/>
    <xf numFmtId="43" fontId="25" fillId="0" borderId="0" applyFont="0" applyFill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8" fillId="0" borderId="67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43" fontId="16" fillId="0" borderId="0" applyFont="0" applyFill="0" applyBorder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7" applyNumberFormat="0" applyFill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5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79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43" fontId="14" fillId="0" borderId="0" applyFont="0" applyFill="0" applyBorder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5" borderId="76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8" fillId="0" borderId="79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3" fillId="0" borderId="0"/>
    <xf numFmtId="0" fontId="25" fillId="0" borderId="0"/>
    <xf numFmtId="0" fontId="12" fillId="0" borderId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0" fontId="90" fillId="0" borderId="0"/>
    <xf numFmtId="0" fontId="12" fillId="0" borderId="0"/>
    <xf numFmtId="0" fontId="95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3" fontId="2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30" fillId="7" borderId="0" applyNumberFormat="0" applyBorder="0" applyAlignment="0" applyProtection="0"/>
    <xf numFmtId="0" fontId="11" fillId="78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11" fillId="79" borderId="0" applyNumberFormat="0" applyBorder="0" applyAlignment="0" applyProtection="0"/>
    <xf numFmtId="0" fontId="11" fillId="80" borderId="0" applyNumberFormat="0" applyBorder="0" applyAlignment="0" applyProtection="0"/>
    <xf numFmtId="0" fontId="30" fillId="12" borderId="0" applyNumberFormat="0" applyBorder="0" applyAlignment="0" applyProtection="0"/>
    <xf numFmtId="0" fontId="11" fillId="81" borderId="0" applyNumberFormat="0" applyBorder="0" applyAlignment="0" applyProtection="0"/>
    <xf numFmtId="0" fontId="11" fillId="82" borderId="0" applyNumberFormat="0" applyBorder="0" applyAlignment="0" applyProtection="0"/>
    <xf numFmtId="0" fontId="11" fillId="83" borderId="0" applyNumberFormat="0" applyBorder="0" applyAlignment="0" applyProtection="0"/>
    <xf numFmtId="0" fontId="30" fillId="3" borderId="0" applyNumberFormat="0" applyBorder="0" applyAlignment="0" applyProtection="0"/>
    <xf numFmtId="0" fontId="11" fillId="84" borderId="0" applyNumberFormat="0" applyBorder="0" applyAlignment="0" applyProtection="0"/>
    <xf numFmtId="0" fontId="31" fillId="1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91" fontId="100" fillId="0" borderId="0" applyNumberFormat="0" applyFill="0" applyBorder="0" applyProtection="0">
      <alignment horizontal="center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66" fillId="0" borderId="0"/>
    <xf numFmtId="0" fontId="99" fillId="0" borderId="0"/>
    <xf numFmtId="0" fontId="90" fillId="0" borderId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85" borderId="88" applyNumberFormat="0" applyFont="0" applyAlignment="0" applyProtection="0"/>
    <xf numFmtId="0" fontId="11" fillId="85" borderId="88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7" fillId="0" borderId="0">
      <protection locked="0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104" fillId="0" borderId="81">
      <alignment horizontal="center"/>
    </xf>
    <xf numFmtId="0" fontId="104" fillId="0" borderId="81">
      <alignment horizontal="center"/>
    </xf>
    <xf numFmtId="0" fontId="105" fillId="0" borderId="0"/>
    <xf numFmtId="0" fontId="106" fillId="0" borderId="0"/>
    <xf numFmtId="0" fontId="10" fillId="0" borderId="0"/>
    <xf numFmtId="43" fontId="10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77" borderId="0" applyNumberFormat="0" applyBorder="0" applyAlignment="0" applyProtection="0"/>
    <xf numFmtId="0" fontId="9" fillId="78" borderId="0" applyNumberFormat="0" applyBorder="0" applyAlignment="0" applyProtection="0"/>
    <xf numFmtId="0" fontId="9" fillId="80" borderId="0" applyNumberFormat="0" applyBorder="0" applyAlignment="0" applyProtection="0"/>
    <xf numFmtId="0" fontId="9" fillId="83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0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90" fontId="9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149" fillId="0" borderId="0" applyNumberFormat="0" applyFill="0" applyBorder="0" applyAlignment="0" applyProtection="0"/>
  </cellStyleXfs>
  <cellXfs count="1686">
    <xf numFmtId="0" fontId="0" fillId="0" borderId="0" xfId="0"/>
    <xf numFmtId="165" fontId="27" fillId="0" borderId="0" xfId="0" applyNumberFormat="1" applyFont="1" applyFill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Border="1" applyProtection="1"/>
    <xf numFmtId="0" fontId="0" fillId="0" borderId="0" xfId="0" applyBorder="1" applyAlignment="1" applyProtection="1">
      <alignment horizontal="center"/>
    </xf>
    <xf numFmtId="171" fontId="27" fillId="0" borderId="0" xfId="71" applyNumberFormat="1" applyFont="1" applyFill="1" applyBorder="1" applyAlignment="1" applyProtection="1">
      <alignment horizontal="center" wrapText="1"/>
    </xf>
    <xf numFmtId="171" fontId="27" fillId="0" borderId="0" xfId="71" applyNumberFormat="1" applyFont="1" applyFill="1" applyBorder="1" applyAlignment="1" applyProtection="1">
      <alignment horizontal="center"/>
    </xf>
    <xf numFmtId="171" fontId="25" fillId="0" borderId="0" xfId="71" applyNumberFormat="1" applyFont="1" applyFill="1" applyBorder="1" applyAlignment="1" applyProtection="1">
      <alignment wrapText="1"/>
    </xf>
    <xf numFmtId="171" fontId="25" fillId="0" borderId="0" xfId="71" applyNumberFormat="1" applyFont="1" applyFill="1" applyProtection="1"/>
    <xf numFmtId="0" fontId="0" fillId="0" borderId="18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center"/>
    </xf>
    <xf numFmtId="3" fontId="0" fillId="0" borderId="18" xfId="0" applyNumberFormat="1" applyFill="1" applyBorder="1" applyAlignment="1" applyProtection="1">
      <alignment horizontal="center"/>
    </xf>
    <xf numFmtId="167" fontId="0" fillId="0" borderId="0" xfId="0" applyNumberFormat="1" applyFill="1" applyBorder="1" applyProtection="1"/>
    <xf numFmtId="0" fontId="25" fillId="0" borderId="0" xfId="0" applyFont="1" applyFill="1"/>
    <xf numFmtId="0" fontId="0" fillId="0" borderId="0" xfId="0"/>
    <xf numFmtId="0" fontId="25" fillId="0" borderId="0" xfId="0" applyFont="1" applyFill="1" applyProtection="1">
      <protection locked="0"/>
    </xf>
    <xf numFmtId="0" fontId="25" fillId="0" borderId="0" xfId="0" applyFont="1"/>
    <xf numFmtId="0" fontId="25" fillId="0" borderId="0" xfId="0" applyFont="1" applyFill="1" applyBorder="1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165" fontId="25" fillId="0" borderId="0" xfId="0" applyNumberFormat="1" applyFont="1" applyFill="1" applyProtection="1">
      <protection locked="0"/>
    </xf>
    <xf numFmtId="9" fontId="25" fillId="0" borderId="0" xfId="0" applyNumberFormat="1" applyFont="1" applyFill="1" applyAlignment="1" applyProtection="1">
      <alignment horizontal="center"/>
      <protection locked="0"/>
    </xf>
    <xf numFmtId="0" fontId="25" fillId="0" borderId="0" xfId="0" applyNumberFormat="1" applyFont="1" applyFill="1" applyAlignment="1" applyProtection="1">
      <alignment horizontal="center"/>
      <protection locked="0"/>
    </xf>
    <xf numFmtId="2" fontId="25" fillId="0" borderId="0" xfId="0" applyNumberFormat="1" applyFont="1" applyFill="1" applyAlignment="1" applyProtection="1">
      <alignment horizontal="right"/>
      <protection locked="0"/>
    </xf>
    <xf numFmtId="3" fontId="25" fillId="0" borderId="0" xfId="0" applyNumberFormat="1" applyFont="1" applyFill="1" applyAlignment="1" applyProtection="1">
      <alignment horizontal="right"/>
      <protection locked="0"/>
    </xf>
    <xf numFmtId="0" fontId="27" fillId="0" borderId="0" xfId="0" applyFont="1" applyFill="1" applyAlignment="1" applyProtection="1">
      <alignment horizontal="right"/>
      <protection locked="0"/>
    </xf>
    <xf numFmtId="171" fontId="27" fillId="0" borderId="0" xfId="71" applyNumberFormat="1" applyFont="1" applyFill="1" applyBorder="1" applyAlignment="1" applyProtection="1">
      <alignment wrapText="1"/>
    </xf>
    <xf numFmtId="164" fontId="0" fillId="0" borderId="18" xfId="0" applyNumberFormat="1" applyFill="1" applyBorder="1" applyProtection="1"/>
    <xf numFmtId="165" fontId="0" fillId="0" borderId="18" xfId="0" quotePrefix="1" applyNumberFormat="1" applyFill="1" applyBorder="1" applyProtection="1"/>
    <xf numFmtId="165" fontId="27" fillId="0" borderId="18" xfId="0" applyNumberFormat="1" applyFont="1" applyFill="1" applyBorder="1" applyProtection="1"/>
    <xf numFmtId="165" fontId="0" fillId="0" borderId="18" xfId="0" applyNumberFormat="1" applyFill="1" applyBorder="1" applyProtection="1"/>
    <xf numFmtId="44" fontId="27" fillId="0" borderId="18" xfId="79" applyFont="1" applyFill="1" applyBorder="1" applyProtection="1"/>
    <xf numFmtId="165" fontId="0" fillId="0" borderId="0" xfId="0" quotePrefix="1" applyNumberFormat="1" applyFill="1" applyBorder="1" applyProtection="1"/>
    <xf numFmtId="0" fontId="0" fillId="0" borderId="0" xfId="0" applyFill="1" applyBorder="1" applyAlignment="1" applyProtection="1">
      <alignment horizontal="center"/>
    </xf>
    <xf numFmtId="3" fontId="0" fillId="0" borderId="0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3" fontId="0" fillId="0" borderId="0" xfId="0" applyNumberFormat="1" applyFill="1" applyBorder="1" applyProtection="1"/>
    <xf numFmtId="167" fontId="27" fillId="0" borderId="0" xfId="0" applyNumberFormat="1" applyFont="1" applyFill="1" applyBorder="1" applyProtection="1"/>
    <xf numFmtId="0" fontId="27" fillId="0" borderId="0" xfId="0" applyFont="1" applyFill="1" applyBorder="1" applyProtection="1"/>
    <xf numFmtId="178" fontId="25" fillId="0" borderId="0" xfId="0" applyNumberFormat="1" applyFont="1"/>
    <xf numFmtId="0" fontId="27" fillId="0" borderId="0" xfId="0" applyFont="1" applyFill="1" applyAlignment="1" applyProtection="1">
      <alignment horizontal="right" vertical="center"/>
      <protection locked="0"/>
    </xf>
    <xf numFmtId="44" fontId="27" fillId="0" borderId="20" xfId="79" applyFont="1" applyFill="1" applyBorder="1" applyProtection="1"/>
    <xf numFmtId="44" fontId="27" fillId="0" borderId="0" xfId="79" applyFont="1" applyFill="1" applyBorder="1" applyAlignment="1" applyProtection="1">
      <alignment wrapText="1"/>
    </xf>
    <xf numFmtId="44" fontId="27" fillId="0" borderId="0" xfId="79" applyFont="1" applyFill="1" applyBorder="1" applyProtection="1"/>
    <xf numFmtId="180" fontId="25" fillId="0" borderId="0" xfId="71" applyNumberFormat="1" applyFont="1" applyFill="1" applyBorder="1" applyAlignment="1" applyProtection="1">
      <alignment horizontal="center" vertical="center" wrapText="1"/>
    </xf>
    <xf numFmtId="180" fontId="25" fillId="0" borderId="18" xfId="71" quotePrefix="1" applyNumberFormat="1" applyFont="1" applyFill="1" applyBorder="1" applyAlignment="1" applyProtection="1">
      <alignment horizontal="center" vertical="center"/>
    </xf>
    <xf numFmtId="180" fontId="25" fillId="0" borderId="0" xfId="71" applyNumberFormat="1" applyFont="1" applyFill="1" applyBorder="1" applyAlignment="1" applyProtection="1">
      <alignment horizontal="center" vertical="center"/>
    </xf>
    <xf numFmtId="170" fontId="0" fillId="0" borderId="18" xfId="79" applyNumberFormat="1" applyFont="1" applyFill="1" applyBorder="1" applyAlignment="1" applyProtection="1">
      <alignment horizontal="center"/>
    </xf>
    <xf numFmtId="0" fontId="25" fillId="0" borderId="0" xfId="0" applyFont="1" applyFill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center" vertical="top" wrapText="1"/>
    </xf>
    <xf numFmtId="3" fontId="25" fillId="0" borderId="58" xfId="0" applyNumberFormat="1" applyFont="1" applyBorder="1" applyAlignment="1" applyProtection="1">
      <alignment horizontal="center" vertical="top" wrapText="1"/>
    </xf>
    <xf numFmtId="3" fontId="25" fillId="51" borderId="58" xfId="0" applyNumberFormat="1" applyFont="1" applyFill="1" applyBorder="1" applyAlignment="1" applyProtection="1">
      <alignment horizontal="center" vertical="top" wrapText="1"/>
    </xf>
    <xf numFmtId="164" fontId="25" fillId="31" borderId="58" xfId="0" applyNumberFormat="1" applyFont="1" applyFill="1" applyBorder="1" applyAlignment="1" applyProtection="1">
      <alignment vertical="top" wrapText="1"/>
    </xf>
    <xf numFmtId="171" fontId="25" fillId="0" borderId="0" xfId="71" applyNumberFormat="1" applyFont="1" applyFill="1" applyBorder="1" applyProtection="1"/>
    <xf numFmtId="171" fontId="27" fillId="0" borderId="0" xfId="71" applyNumberFormat="1" applyFont="1" applyFill="1" applyBorder="1" applyProtection="1"/>
    <xf numFmtId="0" fontId="70" fillId="0" borderId="0" xfId="0" applyFont="1" applyBorder="1" applyProtection="1"/>
    <xf numFmtId="0" fontId="0" fillId="0" borderId="0" xfId="0" applyBorder="1" applyAlignment="1" applyProtection="1">
      <alignment horizontal="left"/>
    </xf>
    <xf numFmtId="3" fontId="0" fillId="0" borderId="0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4" fontId="25" fillId="31" borderId="58" xfId="113" applyNumberFormat="1" applyFont="1" applyFill="1" applyBorder="1" applyAlignment="1" applyProtection="1">
      <alignment horizontal="center" vertical="top" wrapText="1"/>
    </xf>
    <xf numFmtId="3" fontId="25" fillId="31" borderId="58" xfId="113" applyNumberFormat="1" applyFont="1" applyFill="1" applyBorder="1" applyAlignment="1" applyProtection="1">
      <alignment horizontal="center" vertical="top" wrapText="1"/>
    </xf>
    <xf numFmtId="164" fontId="25" fillId="33" borderId="58" xfId="0" applyNumberFormat="1" applyFont="1" applyFill="1" applyBorder="1" applyAlignment="1" applyProtection="1">
      <alignment vertical="top" wrapText="1"/>
    </xf>
    <xf numFmtId="175" fontId="25" fillId="33" borderId="58" xfId="0" applyNumberFormat="1" applyFont="1" applyFill="1" applyBorder="1" applyAlignment="1" applyProtection="1">
      <alignment vertical="top" wrapText="1"/>
    </xf>
    <xf numFmtId="180" fontId="25" fillId="55" borderId="58" xfId="71" applyNumberFormat="1" applyFont="1" applyFill="1" applyBorder="1" applyAlignment="1" applyProtection="1">
      <alignment horizontal="center" vertical="top" wrapText="1"/>
    </xf>
    <xf numFmtId="0" fontId="52" fillId="0" borderId="0" xfId="0" applyFont="1" applyBorder="1" applyAlignment="1" applyProtection="1">
      <alignment horizontal="left"/>
    </xf>
    <xf numFmtId="0" fontId="53" fillId="0" borderId="0" xfId="0" applyNumberFormat="1" applyFont="1" applyFill="1" applyBorder="1" applyAlignment="1" applyProtection="1">
      <alignment horizontal="left"/>
    </xf>
    <xf numFmtId="175" fontId="0" fillId="0" borderId="0" xfId="0" applyNumberFormat="1" applyFill="1" applyBorder="1" applyProtection="1"/>
    <xf numFmtId="164" fontId="27" fillId="31" borderId="58" xfId="113" applyNumberFormat="1" applyFont="1" applyFill="1" applyBorder="1" applyAlignment="1" applyProtection="1">
      <alignment horizontal="center" vertical="top" wrapText="1"/>
    </xf>
    <xf numFmtId="164" fontId="27" fillId="57" borderId="58" xfId="113" applyNumberFormat="1" applyFont="1" applyFill="1" applyBorder="1" applyAlignment="1" applyProtection="1">
      <alignment horizontal="center" vertical="top" wrapText="1"/>
    </xf>
    <xf numFmtId="0" fontId="27" fillId="66" borderId="58" xfId="0" applyFont="1" applyFill="1" applyBorder="1" applyAlignment="1">
      <alignment horizontal="center" vertical="top" wrapText="1"/>
    </xf>
    <xf numFmtId="175" fontId="27" fillId="33" borderId="58" xfId="113" applyNumberFormat="1" applyFont="1" applyFill="1" applyBorder="1" applyAlignment="1" applyProtection="1">
      <alignment horizontal="center" vertical="top" wrapText="1"/>
    </xf>
    <xf numFmtId="0" fontId="27" fillId="58" borderId="58" xfId="0" applyFont="1" applyFill="1" applyBorder="1" applyAlignment="1">
      <alignment horizontal="center" vertical="top" wrapText="1"/>
    </xf>
    <xf numFmtId="164" fontId="25" fillId="57" borderId="58" xfId="113" applyNumberFormat="1" applyFont="1" applyFill="1" applyBorder="1" applyAlignment="1" applyProtection="1">
      <alignment horizontal="center" vertical="top" wrapText="1"/>
    </xf>
    <xf numFmtId="0" fontId="27" fillId="59" borderId="58" xfId="0" applyFont="1" applyFill="1" applyBorder="1" applyAlignment="1" applyProtection="1">
      <alignment horizontal="center" vertical="top" wrapText="1"/>
      <protection locked="0"/>
    </xf>
    <xf numFmtId="0" fontId="27" fillId="60" borderId="58" xfId="0" applyFont="1" applyFill="1" applyBorder="1" applyAlignment="1" applyProtection="1">
      <alignment horizontal="center" vertical="top" wrapText="1"/>
      <protection locked="0"/>
    </xf>
    <xf numFmtId="44" fontId="27" fillId="64" borderId="58" xfId="79" applyFont="1" applyFill="1" applyBorder="1" applyAlignment="1">
      <alignment horizontal="center" vertical="top" wrapText="1"/>
    </xf>
    <xf numFmtId="164" fontId="25" fillId="33" borderId="58" xfId="113" applyNumberFormat="1" applyFont="1" applyFill="1" applyBorder="1" applyAlignment="1" applyProtection="1">
      <alignment horizontal="center" vertical="top" wrapText="1"/>
    </xf>
    <xf numFmtId="175" fontId="25" fillId="33" borderId="58" xfId="113" applyNumberFormat="1" applyFont="1" applyFill="1" applyBorder="1" applyAlignment="1" applyProtection="1">
      <alignment horizontal="center" vertical="top" wrapText="1"/>
    </xf>
    <xf numFmtId="0" fontId="25" fillId="59" borderId="58" xfId="0" applyFont="1" applyFill="1" applyBorder="1" applyAlignment="1" applyProtection="1">
      <alignment horizontal="center" vertical="top" wrapText="1"/>
      <protection locked="0"/>
    </xf>
    <xf numFmtId="0" fontId="25" fillId="60" borderId="58" xfId="0" applyFont="1" applyFill="1" applyBorder="1" applyAlignment="1" applyProtection="1">
      <alignment horizontal="center" vertical="top" wrapText="1"/>
      <protection locked="0"/>
    </xf>
    <xf numFmtId="167" fontId="25" fillId="34" borderId="58" xfId="0" applyNumberFormat="1" applyFont="1" applyFill="1" applyBorder="1" applyAlignment="1" applyProtection="1">
      <alignment vertical="top" wrapText="1"/>
    </xf>
    <xf numFmtId="165" fontId="0" fillId="0" borderId="20" xfId="71" applyNumberFormat="1" applyFont="1" applyFill="1" applyBorder="1" applyProtection="1"/>
    <xf numFmtId="165" fontId="27" fillId="0" borderId="20" xfId="79" applyNumberFormat="1" applyFont="1" applyFill="1" applyBorder="1" applyProtection="1"/>
    <xf numFmtId="43" fontId="25" fillId="0" borderId="0" xfId="71" applyFont="1" applyFill="1" applyAlignment="1" applyProtection="1">
      <alignment horizontal="center" vertical="center"/>
      <protection locked="0"/>
    </xf>
    <xf numFmtId="170" fontId="0" fillId="0" borderId="20" xfId="79" applyNumberFormat="1" applyFont="1" applyFill="1" applyBorder="1" applyProtection="1"/>
    <xf numFmtId="0" fontId="25" fillId="0" borderId="0" xfId="0" applyFont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305" applyFont="1" applyFill="1" applyBorder="1"/>
    <xf numFmtId="166" fontId="25" fillId="0" borderId="0" xfId="147" applyNumberFormat="1" applyFont="1" applyFill="1" applyProtection="1">
      <protection locked="0"/>
    </xf>
    <xf numFmtId="166" fontId="25" fillId="0" borderId="0" xfId="147" applyNumberFormat="1" applyFont="1" applyFill="1" applyAlignment="1" applyProtection="1">
      <alignment horizontal="center"/>
      <protection locked="0"/>
    </xf>
    <xf numFmtId="166" fontId="25" fillId="0" borderId="0" xfId="147" applyNumberFormat="1" applyFont="1" applyAlignment="1" applyProtection="1">
      <alignment horizontal="center" vertical="center"/>
      <protection locked="0"/>
    </xf>
    <xf numFmtId="166" fontId="25" fillId="0" borderId="0" xfId="147" applyNumberFormat="1" applyFont="1"/>
    <xf numFmtId="3" fontId="25" fillId="68" borderId="58" xfId="113" applyNumberFormat="1" applyFont="1" applyFill="1" applyBorder="1" applyAlignment="1" applyProtection="1">
      <alignment horizontal="center" vertical="top" wrapText="1"/>
    </xf>
    <xf numFmtId="3" fontId="25" fillId="68" borderId="59" xfId="113" applyNumberFormat="1" applyFont="1" applyFill="1" applyBorder="1" applyAlignment="1" applyProtection="1">
      <alignment horizontal="center" vertical="top" wrapText="1"/>
    </xf>
    <xf numFmtId="172" fontId="27" fillId="0" borderId="0" xfId="71" applyNumberFormat="1" applyFont="1" applyFill="1" applyAlignment="1" applyProtection="1">
      <alignment horizont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Border="1" applyAlignment="1" applyProtection="1">
      <alignment horizontal="left" vertic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 wrapText="1"/>
    </xf>
    <xf numFmtId="171" fontId="25" fillId="55" borderId="58" xfId="71" applyNumberFormat="1" applyFont="1" applyFill="1" applyBorder="1" applyAlignment="1" applyProtection="1">
      <alignment horizontal="center" vertical="top" wrapText="1"/>
    </xf>
    <xf numFmtId="171" fontId="25" fillId="0" borderId="18" xfId="71" quotePrefix="1" applyNumberFormat="1" applyFont="1" applyFill="1" applyBorder="1" applyAlignment="1" applyProtection="1">
      <alignment horizontal="center" vertical="center"/>
    </xf>
    <xf numFmtId="171" fontId="25" fillId="0" borderId="18" xfId="71" applyNumberFormat="1" applyFont="1" applyFill="1" applyBorder="1" applyAlignment="1" applyProtection="1">
      <alignment horizontal="center" vertical="center"/>
    </xf>
    <xf numFmtId="171" fontId="25" fillId="0" borderId="17" xfId="71" applyNumberFormat="1" applyFont="1" applyFill="1" applyBorder="1" applyAlignment="1" applyProtection="1">
      <alignment horizontal="center" vertical="center"/>
    </xf>
    <xf numFmtId="172" fontId="25" fillId="0" borderId="0" xfId="71" applyNumberFormat="1" applyFont="1" applyFill="1" applyAlignment="1" applyProtection="1">
      <alignment horizontal="center" vertical="center"/>
      <protection locked="0"/>
    </xf>
    <xf numFmtId="172" fontId="25" fillId="0" borderId="0" xfId="71" applyNumberFormat="1" applyFont="1" applyFill="1"/>
    <xf numFmtId="44" fontId="25" fillId="0" borderId="0" xfId="79" applyFont="1" applyFill="1"/>
    <xf numFmtId="43" fontId="25" fillId="0" borderId="0" xfId="71" applyFont="1" applyFill="1" applyAlignment="1">
      <alignment horizontal="center" vertical="center"/>
    </xf>
    <xf numFmtId="165" fontId="25" fillId="0" borderId="0" xfId="0" applyNumberFormat="1" applyFont="1" applyFill="1"/>
    <xf numFmtId="0" fontId="25" fillId="0" borderId="0" xfId="0" applyNumberFormat="1" applyFont="1" applyFill="1" applyAlignment="1">
      <alignment horizontal="center" vertical="center"/>
    </xf>
    <xf numFmtId="0" fontId="82" fillId="0" borderId="0" xfId="71" applyNumberFormat="1" applyFont="1" applyFill="1" applyBorder="1" applyAlignment="1">
      <alignment vertical="top" wrapText="1"/>
    </xf>
    <xf numFmtId="0" fontId="84" fillId="0" borderId="0" xfId="339" applyFont="1" applyFill="1" applyBorder="1"/>
    <xf numFmtId="170" fontId="76" fillId="0" borderId="0" xfId="79" applyNumberFormat="1" applyFont="1" applyFill="1" applyBorder="1"/>
    <xf numFmtId="170" fontId="82" fillId="0" borderId="18" xfId="79" applyNumberFormat="1" applyFont="1" applyFill="1" applyBorder="1"/>
    <xf numFmtId="0" fontId="76" fillId="0" borderId="22" xfId="305" applyFont="1" applyFill="1" applyBorder="1"/>
    <xf numFmtId="164" fontId="25" fillId="0" borderId="0" xfId="0" applyNumberFormat="1" applyFont="1" applyBorder="1" applyProtection="1"/>
    <xf numFmtId="180" fontId="25" fillId="71" borderId="58" xfId="71" applyNumberFormat="1" applyFont="1" applyFill="1" applyBorder="1" applyAlignment="1" applyProtection="1">
      <alignment horizontal="center" vertical="top" wrapText="1"/>
    </xf>
    <xf numFmtId="171" fontId="25" fillId="71" borderId="58" xfId="71" applyNumberFormat="1" applyFont="1" applyFill="1" applyBorder="1" applyAlignment="1" applyProtection="1">
      <alignment horizontal="center" vertical="top" wrapText="1"/>
    </xf>
    <xf numFmtId="0" fontId="74" fillId="0" borderId="0" xfId="41216" applyFont="1"/>
    <xf numFmtId="0" fontId="75" fillId="0" borderId="0" xfId="41217" applyFont="1"/>
    <xf numFmtId="0" fontId="71" fillId="0" borderId="0" xfId="41216" applyFont="1"/>
    <xf numFmtId="0" fontId="71" fillId="0" borderId="0" xfId="41216" applyFont="1" applyFill="1"/>
    <xf numFmtId="0" fontId="71" fillId="0" borderId="0" xfId="41216" applyFont="1" applyBorder="1"/>
    <xf numFmtId="0" fontId="74" fillId="0" borderId="14" xfId="41216" applyFont="1" applyBorder="1"/>
    <xf numFmtId="0" fontId="89" fillId="0" borderId="15" xfId="41216" applyFont="1" applyFill="1" applyBorder="1" applyAlignment="1">
      <alignment horizontal="center" wrapText="1"/>
    </xf>
    <xf numFmtId="0" fontId="89" fillId="0" borderId="16" xfId="41216" applyFont="1" applyFill="1" applyBorder="1" applyAlignment="1">
      <alignment horizontal="center" wrapText="1"/>
    </xf>
    <xf numFmtId="0" fontId="89" fillId="0" borderId="24" xfId="41216" applyFont="1" applyBorder="1"/>
    <xf numFmtId="0" fontId="74" fillId="0" borderId="0" xfId="41216" applyFont="1" applyBorder="1"/>
    <xf numFmtId="0" fontId="74" fillId="0" borderId="26" xfId="41216" applyFont="1" applyBorder="1"/>
    <xf numFmtId="0" fontId="74" fillId="0" borderId="24" xfId="41216" applyFont="1" applyBorder="1"/>
    <xf numFmtId="2" fontId="71" fillId="0" borderId="0" xfId="41216" applyNumberFormat="1" applyFont="1" applyAlignment="1">
      <alignment horizontal="center"/>
    </xf>
    <xf numFmtId="0" fontId="71" fillId="0" borderId="0" xfId="41216" applyFont="1" applyFill="1" applyBorder="1"/>
    <xf numFmtId="0" fontId="71" fillId="0" borderId="20" xfId="41216" applyFont="1" applyFill="1" applyBorder="1"/>
    <xf numFmtId="3" fontId="91" fillId="0" borderId="0" xfId="41216" applyNumberFormat="1" applyFont="1" applyFill="1" applyBorder="1"/>
    <xf numFmtId="166" fontId="91" fillId="0" borderId="0" xfId="41222" applyNumberFormat="1" applyFont="1" applyFill="1" applyBorder="1"/>
    <xf numFmtId="0" fontId="71" fillId="0" borderId="17" xfId="41216" applyFont="1" applyBorder="1"/>
    <xf numFmtId="0" fontId="71" fillId="0" borderId="19" xfId="41216" applyFont="1" applyBorder="1"/>
    <xf numFmtId="0" fontId="71" fillId="0" borderId="33" xfId="41216" applyFont="1" applyFill="1" applyBorder="1"/>
    <xf numFmtId="0" fontId="71" fillId="0" borderId="22" xfId="41216" applyFont="1" applyFill="1" applyBorder="1"/>
    <xf numFmtId="3" fontId="72" fillId="0" borderId="22" xfId="41216" applyNumberFormat="1" applyFont="1" applyFill="1" applyBorder="1"/>
    <xf numFmtId="166" fontId="71" fillId="0" borderId="22" xfId="41222" applyNumberFormat="1" applyFont="1" applyFill="1" applyBorder="1"/>
    <xf numFmtId="0" fontId="12" fillId="0" borderId="0" xfId="41217"/>
    <xf numFmtId="0" fontId="92" fillId="0" borderId="0" xfId="41216" applyFont="1"/>
    <xf numFmtId="44" fontId="12" fillId="0" borderId="0" xfId="41217" applyNumberFormat="1"/>
    <xf numFmtId="0" fontId="82" fillId="0" borderId="0" xfId="121" applyFont="1" applyFill="1" applyBorder="1" applyAlignment="1">
      <alignment vertical="top" wrapText="1"/>
    </xf>
    <xf numFmtId="0" fontId="81" fillId="0" borderId="0" xfId="201" applyFont="1" applyFill="1" applyBorder="1" applyAlignment="1">
      <alignment horizontal="center" vertical="top" wrapText="1"/>
    </xf>
    <xf numFmtId="0" fontId="84" fillId="0" borderId="0" xfId="201" applyFont="1" applyFill="1" applyBorder="1" applyAlignment="1">
      <alignment horizontal="center" vertical="top" wrapText="1"/>
    </xf>
    <xf numFmtId="0" fontId="84" fillId="0" borderId="0" xfId="201" applyFont="1" applyBorder="1"/>
    <xf numFmtId="170" fontId="76" fillId="43" borderId="0" xfId="202" applyNumberFormat="1" applyFont="1" applyFill="1" applyBorder="1"/>
    <xf numFmtId="170" fontId="76" fillId="46" borderId="0" xfId="202" applyNumberFormat="1" applyFont="1" applyFill="1" applyBorder="1"/>
    <xf numFmtId="171" fontId="76" fillId="69" borderId="0" xfId="203" applyNumberFormat="1" applyFont="1" applyFill="1" applyBorder="1"/>
    <xf numFmtId="43" fontId="76" fillId="43" borderId="0" xfId="71" applyFont="1" applyFill="1" applyBorder="1"/>
    <xf numFmtId="43" fontId="76" fillId="47" borderId="0" xfId="71" applyFont="1" applyFill="1" applyBorder="1"/>
    <xf numFmtId="170" fontId="76" fillId="47" borderId="0" xfId="202" applyNumberFormat="1" applyFont="1" applyFill="1" applyBorder="1"/>
    <xf numFmtId="0" fontId="76" fillId="0" borderId="0" xfId="0" applyFont="1" applyBorder="1"/>
    <xf numFmtId="0" fontId="76" fillId="0" borderId="0" xfId="0" applyFont="1" applyFill="1" applyBorder="1"/>
    <xf numFmtId="178" fontId="25" fillId="0" borderId="0" xfId="0" applyNumberFormat="1" applyFont="1" applyFill="1"/>
    <xf numFmtId="178" fontId="25" fillId="0" borderId="0" xfId="0" applyNumberFormat="1" applyFont="1" applyAlignment="1" applyProtection="1">
      <alignment horizontal="center" vertical="center"/>
      <protection locked="0"/>
    </xf>
    <xf numFmtId="165" fontId="0" fillId="0" borderId="20" xfId="0" quotePrefix="1" applyNumberFormat="1" applyFill="1" applyBorder="1" applyProtection="1"/>
    <xf numFmtId="0" fontId="69" fillId="65" borderId="31" xfId="0" applyFont="1" applyFill="1" applyBorder="1" applyAlignment="1">
      <alignment horizontal="center" vertical="center"/>
    </xf>
    <xf numFmtId="0" fontId="69" fillId="45" borderId="31" xfId="0" applyFont="1" applyFill="1" applyBorder="1" applyAlignment="1">
      <alignment horizontal="center" vertical="center"/>
    </xf>
    <xf numFmtId="0" fontId="0" fillId="0" borderId="51" xfId="0" applyFill="1" applyBorder="1" applyAlignment="1" applyProtection="1">
      <alignment horizontal="left"/>
    </xf>
    <xf numFmtId="44" fontId="27" fillId="0" borderId="82" xfId="79" applyFont="1" applyFill="1" applyBorder="1" applyProtection="1"/>
    <xf numFmtId="0" fontId="25" fillId="34" borderId="61" xfId="0" applyNumberFormat="1" applyFont="1" applyFill="1" applyBorder="1" applyAlignment="1" applyProtection="1">
      <alignment vertical="top" wrapText="1"/>
    </xf>
    <xf numFmtId="167" fontId="25" fillId="34" borderId="60" xfId="0" applyNumberFormat="1" applyFont="1" applyFill="1" applyBorder="1" applyAlignment="1" applyProtection="1">
      <alignment vertical="top" wrapText="1"/>
    </xf>
    <xf numFmtId="0" fontId="0" fillId="0" borderId="18" xfId="0" applyFont="1" applyFill="1" applyBorder="1" applyProtection="1">
      <protection locked="0"/>
    </xf>
    <xf numFmtId="0" fontId="84" fillId="0" borderId="0" xfId="339" applyFont="1" applyFill="1" applyBorder="1" applyAlignment="1">
      <alignment horizontal="left"/>
    </xf>
    <xf numFmtId="165" fontId="0" fillId="0" borderId="0" xfId="71" applyNumberFormat="1" applyFont="1" applyFill="1" applyBorder="1" applyProtection="1"/>
    <xf numFmtId="42" fontId="76" fillId="0" borderId="0" xfId="0" applyNumberFormat="1" applyFont="1" applyBorder="1"/>
    <xf numFmtId="42" fontId="76" fillId="0" borderId="0" xfId="79" applyNumberFormat="1" applyFont="1" applyBorder="1"/>
    <xf numFmtId="1" fontId="82" fillId="0" borderId="0" xfId="71" applyNumberFormat="1" applyFont="1" applyFill="1" applyBorder="1" applyAlignment="1">
      <alignment vertical="top" wrapText="1"/>
    </xf>
    <xf numFmtId="1" fontId="76" fillId="0" borderId="0" xfId="0" applyNumberFormat="1" applyFont="1" applyBorder="1"/>
    <xf numFmtId="3" fontId="71" fillId="0" borderId="0" xfId="41216" applyNumberFormat="1" applyFont="1" applyFill="1" applyAlignment="1">
      <alignment horizontal="right"/>
    </xf>
    <xf numFmtId="0" fontId="72" fillId="0" borderId="24" xfId="41216" applyFont="1" applyBorder="1"/>
    <xf numFmtId="0" fontId="71" fillId="0" borderId="24" xfId="41216" applyFont="1" applyBorder="1"/>
    <xf numFmtId="192" fontId="74" fillId="0" borderId="26" xfId="41219" applyNumberFormat="1" applyFont="1" applyFill="1" applyBorder="1"/>
    <xf numFmtId="192" fontId="89" fillId="0" borderId="0" xfId="41219" applyNumberFormat="1" applyFont="1" applyFill="1" applyBorder="1"/>
    <xf numFmtId="192" fontId="89" fillId="0" borderId="26" xfId="41219" applyNumberFormat="1" applyFont="1" applyFill="1" applyBorder="1"/>
    <xf numFmtId="192" fontId="74" fillId="0" borderId="0" xfId="41216" applyNumberFormat="1" applyFont="1" applyFill="1" applyBorder="1"/>
    <xf numFmtId="192" fontId="74" fillId="0" borderId="26" xfId="41216" applyNumberFormat="1" applyFont="1" applyFill="1" applyBorder="1"/>
    <xf numFmtId="192" fontId="74" fillId="0" borderId="0" xfId="41219" applyNumberFormat="1" applyFont="1" applyFill="1" applyBorder="1" applyAlignment="1"/>
    <xf numFmtId="192" fontId="89" fillId="0" borderId="0" xfId="41219" applyNumberFormat="1" applyFont="1" applyFill="1" applyBorder="1" applyAlignment="1"/>
    <xf numFmtId="192" fontId="74" fillId="0" borderId="0" xfId="41216" applyNumberFormat="1" applyFont="1" applyFill="1" applyBorder="1" applyAlignment="1"/>
    <xf numFmtId="2" fontId="74" fillId="0" borderId="24" xfId="41216" applyNumberFormat="1" applyFont="1" applyBorder="1" applyAlignment="1">
      <alignment horizontal="center"/>
    </xf>
    <xf numFmtId="0" fontId="72" fillId="0" borderId="24" xfId="41216" applyFont="1" applyBorder="1" applyAlignment="1">
      <alignment horizontal="right"/>
    </xf>
    <xf numFmtId="39" fontId="74" fillId="0" borderId="0" xfId="41216" applyNumberFormat="1" applyFont="1" applyFill="1" applyBorder="1" applyAlignment="1">
      <alignment horizontal="center"/>
    </xf>
    <xf numFmtId="39" fontId="89" fillId="0" borderId="0" xfId="41216" applyNumberFormat="1" applyFont="1" applyFill="1" applyBorder="1" applyAlignment="1">
      <alignment horizontal="center"/>
    </xf>
    <xf numFmtId="0" fontId="71" fillId="0" borderId="87" xfId="41216" applyFont="1" applyFill="1" applyBorder="1"/>
    <xf numFmtId="0" fontId="71" fillId="0" borderId="73" xfId="41216" applyFont="1" applyFill="1" applyBorder="1"/>
    <xf numFmtId="3" fontId="71" fillId="0" borderId="73" xfId="41216" applyNumberFormat="1" applyFont="1" applyFill="1" applyBorder="1"/>
    <xf numFmtId="166" fontId="71" fillId="0" borderId="73" xfId="41222" applyNumberFormat="1" applyFont="1" applyFill="1" applyBorder="1"/>
    <xf numFmtId="0" fontId="72" fillId="0" borderId="73" xfId="41216" applyFont="1" applyFill="1" applyBorder="1" applyAlignment="1">
      <alignment horizontal="center"/>
    </xf>
    <xf numFmtId="0" fontId="71" fillId="0" borderId="74" xfId="41216" applyFont="1" applyBorder="1"/>
    <xf numFmtId="0" fontId="76" fillId="44" borderId="0" xfId="0" applyFont="1" applyFill="1" applyBorder="1"/>
    <xf numFmtId="1" fontId="76" fillId="44" borderId="0" xfId="0" applyNumberFormat="1" applyFont="1" applyFill="1" applyBorder="1"/>
    <xf numFmtId="42" fontId="76" fillId="44" borderId="0" xfId="0" applyNumberFormat="1" applyFont="1" applyFill="1" applyBorder="1"/>
    <xf numFmtId="188" fontId="12" fillId="0" borderId="0" xfId="41217" applyNumberFormat="1"/>
    <xf numFmtId="176" fontId="25" fillId="0" borderId="0" xfId="0" applyNumberFormat="1" applyFont="1" applyFill="1" applyAlignment="1" applyProtection="1">
      <alignment horizontal="center"/>
      <protection locked="0"/>
    </xf>
    <xf numFmtId="176" fontId="25" fillId="0" borderId="0" xfId="0" applyNumberFormat="1" applyFont="1" applyAlignment="1" applyProtection="1">
      <alignment horizontal="center" vertical="center"/>
      <protection locked="0"/>
    </xf>
    <xf numFmtId="176" fontId="25" fillId="0" borderId="0" xfId="0" applyNumberFormat="1" applyFont="1"/>
    <xf numFmtId="1" fontId="25" fillId="0" borderId="0" xfId="0" applyNumberFormat="1" applyFont="1" applyAlignment="1" applyProtection="1">
      <alignment horizontal="center" vertical="center"/>
      <protection locked="0"/>
    </xf>
    <xf numFmtId="0" fontId="74" fillId="0" borderId="0" xfId="41216" applyFont="1" applyFill="1"/>
    <xf numFmtId="0" fontId="0" fillId="0" borderId="0" xfId="0" applyFont="1" applyFill="1" applyBorder="1" applyProtection="1">
      <protection locked="0"/>
    </xf>
    <xf numFmtId="2" fontId="0" fillId="0" borderId="18" xfId="0" applyNumberFormat="1" applyFont="1" applyFill="1" applyBorder="1" applyAlignment="1" applyProtection="1">
      <alignment horizontal="right"/>
      <protection locked="0"/>
    </xf>
    <xf numFmtId="171" fontId="0" fillId="0" borderId="18" xfId="71" applyNumberFormat="1" applyFont="1" applyFill="1" applyBorder="1" applyAlignment="1" applyProtection="1">
      <alignment horizontal="right"/>
      <protection locked="0"/>
    </xf>
    <xf numFmtId="0" fontId="27" fillId="0" borderId="58" xfId="0" applyFont="1" applyFill="1" applyBorder="1" applyAlignment="1" applyProtection="1">
      <alignment horizontal="center" vertical="center" wrapText="1"/>
      <protection locked="0"/>
    </xf>
    <xf numFmtId="0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8" borderId="58" xfId="0" applyNumberFormat="1" applyFont="1" applyFill="1" applyBorder="1" applyAlignment="1" applyProtection="1">
      <alignment horizontal="center" vertical="center" textRotation="90" wrapText="1"/>
      <protection locked="0"/>
    </xf>
    <xf numFmtId="165" fontId="27" fillId="37" borderId="58" xfId="0" applyNumberFormat="1" applyFont="1" applyFill="1" applyBorder="1" applyAlignment="1" applyProtection="1">
      <alignment horizontal="center" vertical="center" textRotation="90" wrapText="1"/>
      <protection locked="0"/>
    </xf>
    <xf numFmtId="2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43" fontId="27" fillId="48" borderId="58" xfId="71" applyFont="1" applyFill="1" applyBorder="1" applyAlignment="1" applyProtection="1">
      <alignment horizontal="center" vertical="center" wrapText="1"/>
      <protection locked="0"/>
    </xf>
    <xf numFmtId="2" fontId="27" fillId="48" borderId="60" xfId="0" applyNumberFormat="1" applyFont="1" applyFill="1" applyBorder="1" applyAlignment="1" applyProtection="1">
      <alignment horizontal="center" vertical="center" wrapText="1"/>
      <protection locked="0"/>
    </xf>
    <xf numFmtId="3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/>
    <xf numFmtId="0" fontId="25" fillId="0" borderId="0" xfId="0" applyFont="1" applyFill="1" applyAlignment="1" applyProtection="1">
      <alignment vertical="top" wrapText="1"/>
    </xf>
    <xf numFmtId="0" fontId="27" fillId="0" borderId="58" xfId="0" applyFont="1" applyFill="1" applyBorder="1" applyAlignment="1">
      <alignment horizontal="center" vertical="center" wrapText="1"/>
    </xf>
    <xf numFmtId="0" fontId="83" fillId="0" borderId="33" xfId="121" applyFont="1" applyFill="1" applyBorder="1" applyAlignment="1">
      <alignment horizontal="left"/>
    </xf>
    <xf numFmtId="170" fontId="82" fillId="0" borderId="21" xfId="79" applyNumberFormat="1" applyFont="1" applyFill="1" applyBorder="1"/>
    <xf numFmtId="0" fontId="27" fillId="64" borderId="58" xfId="0" applyFont="1" applyFill="1" applyBorder="1" applyAlignment="1">
      <alignment horizontal="center" vertical="top" wrapText="1"/>
    </xf>
    <xf numFmtId="0" fontId="0" fillId="0" borderId="68" xfId="0" applyFont="1" applyBorder="1" applyAlignment="1" applyProtection="1">
      <alignment horizontal="center" vertical="top" wrapText="1"/>
    </xf>
    <xf numFmtId="0" fontId="0" fillId="0" borderId="58" xfId="0" applyFont="1" applyBorder="1" applyAlignment="1" applyProtection="1">
      <alignment horizontal="center" vertical="top" wrapText="1"/>
    </xf>
    <xf numFmtId="43" fontId="27" fillId="0" borderId="20" xfId="71" applyNumberFormat="1" applyFont="1" applyFill="1" applyBorder="1" applyProtection="1"/>
    <xf numFmtId="0" fontId="25" fillId="0" borderId="18" xfId="335" applyFont="1" applyFill="1" applyBorder="1"/>
    <xf numFmtId="0" fontId="0" fillId="0" borderId="18" xfId="0" applyNumberFormat="1" applyFont="1" applyFill="1" applyBorder="1"/>
    <xf numFmtId="3" fontId="0" fillId="0" borderId="18" xfId="71" applyNumberFormat="1" applyFont="1" applyFill="1" applyBorder="1" applyAlignment="1" applyProtection="1">
      <alignment horizontal="center" vertical="center"/>
      <protection locked="0"/>
    </xf>
    <xf numFmtId="44" fontId="0" fillId="0" borderId="18" xfId="79" applyFont="1" applyFill="1" applyBorder="1" applyAlignment="1" applyProtection="1">
      <alignment horizontal="center" vertical="center"/>
      <protection locked="0"/>
    </xf>
    <xf numFmtId="172" fontId="74" fillId="0" borderId="0" xfId="71" applyNumberFormat="1" applyFont="1"/>
    <xf numFmtId="172" fontId="74" fillId="0" borderId="0" xfId="71" applyNumberFormat="1" applyFont="1" applyBorder="1"/>
    <xf numFmtId="172" fontId="71" fillId="0" borderId="73" xfId="71" applyNumberFormat="1" applyFont="1" applyFill="1" applyBorder="1"/>
    <xf numFmtId="172" fontId="71" fillId="0" borderId="0" xfId="71" applyNumberFormat="1" applyFont="1" applyFill="1" applyBorder="1"/>
    <xf numFmtId="172" fontId="71" fillId="0" borderId="22" xfId="71" applyNumberFormat="1" applyFont="1" applyFill="1" applyBorder="1"/>
    <xf numFmtId="172" fontId="75" fillId="0" borderId="0" xfId="71" applyNumberFormat="1" applyFont="1"/>
    <xf numFmtId="0" fontId="75" fillId="0" borderId="0" xfId="41217" applyFont="1" applyFill="1"/>
    <xf numFmtId="0" fontId="71" fillId="0" borderId="0" xfId="41216" applyFont="1" applyFill="1" applyAlignment="1">
      <alignment horizontal="right"/>
    </xf>
    <xf numFmtId="192" fontId="74" fillId="0" borderId="0" xfId="79" applyNumberFormat="1" applyFont="1" applyFill="1" applyBorder="1"/>
    <xf numFmtId="192" fontId="74" fillId="0" borderId="0" xfId="71" applyNumberFormat="1" applyFont="1" applyFill="1" applyBorder="1" applyAlignment="1"/>
    <xf numFmtId="192" fontId="89" fillId="0" borderId="0" xfId="79" applyNumberFormat="1" applyFont="1" applyFill="1" applyBorder="1"/>
    <xf numFmtId="192" fontId="89" fillId="0" borderId="0" xfId="71" applyNumberFormat="1" applyFont="1" applyFill="1" applyBorder="1" applyAlignment="1"/>
    <xf numFmtId="170" fontId="74" fillId="0" borderId="0" xfId="79" applyNumberFormat="1" applyFont="1" applyBorder="1"/>
    <xf numFmtId="170" fontId="71" fillId="0" borderId="0" xfId="79" applyNumberFormat="1" applyFont="1" applyBorder="1"/>
    <xf numFmtId="170" fontId="89" fillId="0" borderId="0" xfId="79" applyNumberFormat="1" applyFont="1" applyFill="1" applyBorder="1"/>
    <xf numFmtId="170" fontId="74" fillId="0" borderId="0" xfId="79" applyNumberFormat="1" applyFont="1" applyFill="1" applyBorder="1"/>
    <xf numFmtId="0" fontId="25" fillId="0" borderId="0" xfId="335" applyFont="1" applyFill="1" applyBorder="1" applyAlignment="1">
      <alignment horizontal="right"/>
    </xf>
    <xf numFmtId="0" fontId="25" fillId="0" borderId="0" xfId="335" applyFont="1" applyFill="1"/>
    <xf numFmtId="0" fontId="25" fillId="0" borderId="0" xfId="335" applyFont="1" applyFill="1" applyBorder="1"/>
    <xf numFmtId="0" fontId="86" fillId="0" borderId="0" xfId="335" applyFont="1" applyFill="1" applyBorder="1"/>
    <xf numFmtId="175" fontId="0" fillId="33" borderId="58" xfId="113" applyNumberFormat="1" applyFont="1" applyFill="1" applyBorder="1" applyAlignment="1" applyProtection="1">
      <alignment horizontal="center" vertical="top" wrapText="1"/>
    </xf>
    <xf numFmtId="170" fontId="72" fillId="0" borderId="0" xfId="79" applyNumberFormat="1" applyFont="1" applyFill="1" applyBorder="1"/>
    <xf numFmtId="170" fontId="72" fillId="0" borderId="26" xfId="79" applyNumberFormat="1" applyFont="1" applyFill="1" applyBorder="1"/>
    <xf numFmtId="10" fontId="76" fillId="0" borderId="0" xfId="147" applyNumberFormat="1" applyFont="1" applyFill="1" applyBorder="1"/>
    <xf numFmtId="0" fontId="89" fillId="0" borderId="86" xfId="41216" applyFont="1" applyBorder="1" applyAlignment="1">
      <alignment horizontal="right"/>
    </xf>
    <xf numFmtId="0" fontId="86" fillId="0" borderId="0" xfId="335" applyFont="1" applyFill="1"/>
    <xf numFmtId="0" fontId="86" fillId="0" borderId="51" xfId="335" applyFont="1" applyFill="1" applyBorder="1"/>
    <xf numFmtId="0" fontId="58" fillId="0" borderId="0" xfId="335" applyFont="1" applyFill="1"/>
    <xf numFmtId="0" fontId="86" fillId="0" borderId="101" xfId="335" applyFont="1" applyFill="1" applyBorder="1"/>
    <xf numFmtId="0" fontId="27" fillId="0" borderId="103" xfId="335" applyFont="1" applyFill="1" applyBorder="1" applyAlignment="1">
      <alignment horizontal="center"/>
    </xf>
    <xf numFmtId="165" fontId="25" fillId="0" borderId="18" xfId="335" applyNumberFormat="1" applyFont="1" applyFill="1" applyBorder="1" applyAlignment="1">
      <alignment horizontal="center"/>
    </xf>
    <xf numFmtId="165" fontId="27" fillId="0" borderId="82" xfId="335" applyNumberFormat="1" applyFont="1" applyFill="1" applyBorder="1" applyAlignment="1">
      <alignment horizontal="center"/>
    </xf>
    <xf numFmtId="0" fontId="86" fillId="0" borderId="91" xfId="335" applyFont="1" applyFill="1" applyBorder="1"/>
    <xf numFmtId="165" fontId="25" fillId="0" borderId="104" xfId="335" applyNumberFormat="1" applyFont="1" applyFill="1" applyBorder="1" applyAlignment="1">
      <alignment horizontal="center"/>
    </xf>
    <xf numFmtId="165" fontId="27" fillId="0" borderId="94" xfId="335" applyNumberFormat="1" applyFont="1" applyFill="1" applyBorder="1" applyAlignment="1">
      <alignment horizontal="center"/>
    </xf>
    <xf numFmtId="0" fontId="27" fillId="0" borderId="0" xfId="335" applyFont="1" applyFill="1"/>
    <xf numFmtId="0" fontId="58" fillId="0" borderId="0" xfId="335" applyFont="1" applyFill="1" applyBorder="1"/>
    <xf numFmtId="0" fontId="94" fillId="0" borderId="0" xfId="41215" applyFont="1" applyFill="1" applyBorder="1" applyAlignment="1">
      <alignment horizontal="center" wrapText="1"/>
    </xf>
    <xf numFmtId="165" fontId="0" fillId="0" borderId="18" xfId="71" applyNumberFormat="1" applyFont="1" applyFill="1" applyBorder="1" applyProtection="1"/>
    <xf numFmtId="0" fontId="114" fillId="0" borderId="0" xfId="0" applyFont="1" applyAlignment="1">
      <alignment vertical="center"/>
    </xf>
    <xf numFmtId="0" fontId="0" fillId="0" borderId="0" xfId="335" applyFont="1" applyFill="1" applyBorder="1"/>
    <xf numFmtId="0" fontId="0" fillId="0" borderId="0" xfId="335" applyFont="1" applyFill="1"/>
    <xf numFmtId="9" fontId="25" fillId="40" borderId="0" xfId="41222" applyFont="1" applyFill="1" applyBorder="1" applyAlignment="1">
      <alignment horizontal="center" vertical="center"/>
    </xf>
    <xf numFmtId="0" fontId="25" fillId="0" borderId="0" xfId="338" applyNumberFormat="1" applyFont="1" applyFill="1" applyBorder="1" applyAlignment="1">
      <alignment horizontal="left" vertical="center" indent="2"/>
    </xf>
    <xf numFmtId="4" fontId="25" fillId="40" borderId="18" xfId="335" applyNumberFormat="1" applyFont="1" applyFill="1" applyBorder="1" applyAlignment="1">
      <alignment horizontal="center"/>
    </xf>
    <xf numFmtId="4" fontId="25" fillId="40" borderId="104" xfId="335" applyNumberFormat="1" applyFont="1" applyFill="1" applyBorder="1" applyAlignment="1">
      <alignment horizontal="center"/>
    </xf>
    <xf numFmtId="0" fontId="118" fillId="86" borderId="0" xfId="0" applyFont="1" applyFill="1" applyAlignment="1" applyProtection="1">
      <alignment vertical="center"/>
      <protection locked="0"/>
    </xf>
    <xf numFmtId="0" fontId="119" fillId="86" borderId="0" xfId="0" applyFont="1" applyFill="1" applyAlignment="1">
      <alignment vertical="center"/>
    </xf>
    <xf numFmtId="0" fontId="25" fillId="86" borderId="0" xfId="335" applyFont="1" applyFill="1" applyBorder="1"/>
    <xf numFmtId="0" fontId="25" fillId="86" borderId="0" xfId="335" applyFont="1" applyFill="1"/>
    <xf numFmtId="0" fontId="86" fillId="86" borderId="0" xfId="335" applyFont="1" applyFill="1" applyBorder="1"/>
    <xf numFmtId="0" fontId="115" fillId="50" borderId="81" xfId="0" applyFont="1" applyFill="1" applyBorder="1" applyAlignment="1" applyProtection="1">
      <alignment vertical="center"/>
      <protection locked="0"/>
    </xf>
    <xf numFmtId="0" fontId="116" fillId="50" borderId="81" xfId="0" applyFont="1" applyFill="1" applyBorder="1" applyAlignment="1">
      <alignment vertical="center"/>
    </xf>
    <xf numFmtId="0" fontId="117" fillId="50" borderId="81" xfId="0" applyFont="1" applyFill="1" applyBorder="1" applyAlignment="1">
      <alignment vertical="center"/>
    </xf>
    <xf numFmtId="10" fontId="25" fillId="40" borderId="0" xfId="41222" applyNumberFormat="1" applyFont="1" applyFill="1" applyBorder="1" applyAlignment="1">
      <alignment horizontal="center"/>
    </xf>
    <xf numFmtId="0" fontId="25" fillId="0" borderId="0" xfId="335" applyFont="1" applyFill="1" applyAlignment="1">
      <alignment horizontal="left"/>
    </xf>
    <xf numFmtId="0" fontId="25" fillId="0" borderId="0" xfId="335" applyFont="1" applyFill="1" applyBorder="1" applyAlignment="1">
      <alignment horizontal="left"/>
    </xf>
    <xf numFmtId="0" fontId="27" fillId="51" borderId="0" xfId="335" applyFont="1" applyFill="1" applyBorder="1" applyAlignment="1">
      <alignment horizontal="left"/>
    </xf>
    <xf numFmtId="0" fontId="27" fillId="51" borderId="0" xfId="335" applyFont="1" applyFill="1" applyBorder="1"/>
    <xf numFmtId="0" fontId="27" fillId="51" borderId="0" xfId="335" applyFont="1" applyFill="1"/>
    <xf numFmtId="0" fontId="119" fillId="86" borderId="0" xfId="0" applyFont="1" applyFill="1" applyBorder="1" applyAlignment="1">
      <alignment vertical="center"/>
    </xf>
    <xf numFmtId="0" fontId="25" fillId="0" borderId="84" xfId="335" applyFont="1" applyFill="1" applyBorder="1"/>
    <xf numFmtId="0" fontId="25" fillId="0" borderId="21" xfId="335" applyFont="1" applyFill="1" applyBorder="1"/>
    <xf numFmtId="0" fontId="25" fillId="0" borderId="18" xfId="42638" applyFont="1" applyFill="1" applyBorder="1"/>
    <xf numFmtId="0" fontId="25" fillId="0" borderId="87" xfId="335" applyFont="1" applyFill="1" applyBorder="1"/>
    <xf numFmtId="0" fontId="25" fillId="0" borderId="20" xfId="335" applyFont="1" applyFill="1" applyBorder="1"/>
    <xf numFmtId="0" fontId="0" fillId="0" borderId="20" xfId="335" applyFont="1" applyFill="1" applyBorder="1"/>
    <xf numFmtId="0" fontId="86" fillId="0" borderId="33" xfId="335" applyFont="1" applyFill="1" applyBorder="1"/>
    <xf numFmtId="0" fontId="86" fillId="0" borderId="20" xfId="335" applyFont="1" applyFill="1" applyBorder="1"/>
    <xf numFmtId="0" fontId="25" fillId="40" borderId="17" xfId="335" applyFont="1" applyFill="1" applyBorder="1"/>
    <xf numFmtId="0" fontId="27" fillId="40" borderId="17" xfId="335" applyFont="1" applyFill="1" applyBorder="1" applyAlignment="1">
      <alignment horizontal="left"/>
    </xf>
    <xf numFmtId="0" fontId="27" fillId="40" borderId="19" xfId="335" applyFont="1" applyFill="1" applyBorder="1" applyAlignment="1">
      <alignment horizontal="left"/>
    </xf>
    <xf numFmtId="0" fontId="27" fillId="0" borderId="0" xfId="71" applyNumberFormat="1" applyFont="1" applyFill="1" applyBorder="1" applyAlignment="1" applyProtection="1">
      <alignment horizontal="left"/>
      <protection locked="0"/>
    </xf>
    <xf numFmtId="3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72" borderId="58" xfId="0" applyNumberFormat="1" applyFont="1" applyFill="1" applyBorder="1" applyAlignment="1" applyProtection="1">
      <alignment horizontal="center" vertical="center" wrapText="1"/>
      <protection locked="0"/>
    </xf>
    <xf numFmtId="172" fontId="27" fillId="39" borderId="58" xfId="71" applyNumberFormat="1" applyFont="1" applyFill="1" applyBorder="1" applyAlignment="1" applyProtection="1">
      <alignment horizontal="center" vertical="center" wrapText="1"/>
      <protection locked="0"/>
    </xf>
    <xf numFmtId="0" fontId="27" fillId="0" borderId="87" xfId="0" applyFont="1" applyFill="1" applyBorder="1" applyAlignment="1">
      <alignment horizontal="center" vertical="center" wrapText="1"/>
    </xf>
    <xf numFmtId="0" fontId="27" fillId="0" borderId="84" xfId="0" applyFont="1" applyFill="1" applyBorder="1" applyAlignment="1">
      <alignment horizontal="center" vertical="center" wrapText="1"/>
    </xf>
    <xf numFmtId="166" fontId="27" fillId="42" borderId="84" xfId="147" applyNumberFormat="1" applyFont="1" applyFill="1" applyBorder="1" applyAlignment="1" applyProtection="1">
      <alignment horizontal="center" vertical="center" textRotation="90" wrapText="1"/>
      <protection locked="0"/>
    </xf>
    <xf numFmtId="9" fontId="27" fillId="43" borderId="84" xfId="0" applyNumberFormat="1" applyFont="1" applyFill="1" applyBorder="1" applyAlignment="1" applyProtection="1">
      <alignment horizontal="center" vertical="center" textRotation="90" wrapText="1"/>
      <protection locked="0"/>
    </xf>
    <xf numFmtId="0" fontId="96" fillId="0" borderId="0" xfId="0" applyFont="1" applyFill="1"/>
    <xf numFmtId="0" fontId="96" fillId="0" borderId="0" xfId="0" applyFont="1" applyFill="1" applyAlignment="1">
      <alignment horizontal="center" vertical="center" wrapText="1"/>
    </xf>
    <xf numFmtId="0" fontId="9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27" fillId="43" borderId="84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305" applyFont="1" applyFill="1" applyBorder="1"/>
    <xf numFmtId="0" fontId="81" fillId="0" borderId="59" xfId="339" applyFont="1" applyFill="1" applyBorder="1" applyAlignment="1">
      <alignment horizontal="left" vertical="center" wrapText="1"/>
    </xf>
    <xf numFmtId="0" fontId="81" fillId="0" borderId="61" xfId="339" applyFont="1" applyFill="1" applyBorder="1" applyAlignment="1">
      <alignment horizontal="center" vertical="center" wrapText="1"/>
    </xf>
    <xf numFmtId="0" fontId="81" fillId="0" borderId="60" xfId="339" applyFont="1" applyFill="1" applyBorder="1" applyAlignment="1">
      <alignment horizontal="center" vertical="center" wrapText="1"/>
    </xf>
    <xf numFmtId="0" fontId="76" fillId="0" borderId="0" xfId="305" applyFont="1" applyFill="1" applyBorder="1" applyAlignment="1">
      <alignment vertical="center"/>
    </xf>
    <xf numFmtId="0" fontId="86" fillId="0" borderId="22" xfId="335" applyFont="1" applyFill="1" applyBorder="1"/>
    <xf numFmtId="0" fontId="25" fillId="0" borderId="73" xfId="335" applyFont="1" applyFill="1" applyBorder="1"/>
    <xf numFmtId="0" fontId="27" fillId="0" borderId="22" xfId="335" applyFont="1" applyFill="1" applyBorder="1"/>
    <xf numFmtId="0" fontId="27" fillId="0" borderId="22" xfId="335" applyFont="1" applyFill="1" applyBorder="1" applyAlignment="1">
      <alignment horizontal="center"/>
    </xf>
    <xf numFmtId="1" fontId="25" fillId="40" borderId="0" xfId="338" applyNumberFormat="1" applyFont="1" applyFill="1" applyBorder="1" applyAlignment="1">
      <alignment horizontal="center"/>
    </xf>
    <xf numFmtId="10" fontId="25" fillId="0" borderId="0" xfId="41222" applyNumberFormat="1" applyFont="1" applyFill="1" applyBorder="1" applyAlignment="1">
      <alignment horizontal="center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Border="1"/>
    <xf numFmtId="0" fontId="0" fillId="0" borderId="0" xfId="0" applyFont="1" applyFill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38" borderId="0" xfId="0" applyFont="1" applyFill="1" applyAlignment="1" applyProtection="1">
      <alignment horizontal="center"/>
      <protection locked="0"/>
    </xf>
    <xf numFmtId="0" fontId="54" fillId="51" borderId="0" xfId="0" applyFont="1" applyFill="1" applyBorder="1" applyAlignment="1" applyProtection="1">
      <alignment horizontal="left"/>
    </xf>
    <xf numFmtId="0" fontId="111" fillId="51" borderId="0" xfId="0" applyFont="1" applyFill="1" applyBorder="1" applyAlignment="1" applyProtection="1">
      <alignment horizontal="left"/>
    </xf>
    <xf numFmtId="0" fontId="55" fillId="51" borderId="0" xfId="0" applyFont="1" applyFill="1" applyBorder="1" applyAlignment="1" applyProtection="1">
      <alignment horizontal="right"/>
    </xf>
    <xf numFmtId="0" fontId="96" fillId="51" borderId="0" xfId="0" applyFont="1" applyFill="1" applyBorder="1" applyProtection="1"/>
    <xf numFmtId="0" fontId="123" fillId="51" borderId="0" xfId="0" applyFont="1" applyFill="1" applyBorder="1" applyAlignment="1" applyProtection="1">
      <alignment horizontal="left"/>
    </xf>
    <xf numFmtId="0" fontId="96" fillId="51" borderId="0" xfId="0" applyFont="1" applyFill="1" applyBorder="1"/>
    <xf numFmtId="0" fontId="124" fillId="51" borderId="0" xfId="0" applyFont="1" applyFill="1" applyBorder="1" applyAlignment="1" applyProtection="1">
      <alignment horizontal="right"/>
    </xf>
    <xf numFmtId="0" fontId="56" fillId="51" borderId="0" xfId="0" applyFont="1" applyFill="1" applyBorder="1" applyAlignment="1" applyProtection="1">
      <alignment horizontal="left"/>
    </xf>
    <xf numFmtId="0" fontId="125" fillId="51" borderId="0" xfId="0" applyFont="1" applyFill="1" applyBorder="1" applyAlignment="1" applyProtection="1">
      <alignment horizontal="left"/>
    </xf>
    <xf numFmtId="0" fontId="96" fillId="51" borderId="0" xfId="0" applyFont="1" applyFill="1" applyBorder="1" applyProtection="1">
      <protection locked="0"/>
    </xf>
    <xf numFmtId="0" fontId="27" fillId="51" borderId="0" xfId="0" applyFont="1" applyFill="1" applyBorder="1" applyAlignment="1" applyProtection="1">
      <alignment horizontal="left"/>
    </xf>
    <xf numFmtId="0" fontId="126" fillId="51" borderId="0" xfId="0" applyFont="1" applyFill="1" applyBorder="1" applyAlignment="1" applyProtection="1">
      <alignment horizontal="left"/>
    </xf>
    <xf numFmtId="0" fontId="27" fillId="51" borderId="0" xfId="0" applyFont="1" applyFill="1" applyBorder="1" applyAlignment="1" applyProtection="1">
      <alignment horizontal="center" vertical="center"/>
    </xf>
    <xf numFmtId="0" fontId="27" fillId="51" borderId="42" xfId="0" applyFont="1" applyFill="1" applyBorder="1" applyAlignment="1" applyProtection="1">
      <alignment horizontal="center" vertical="center" wrapText="1"/>
    </xf>
    <xf numFmtId="0" fontId="27" fillId="51" borderId="84" xfId="0" applyFont="1" applyFill="1" applyBorder="1" applyAlignment="1" applyProtection="1">
      <alignment horizontal="center" vertical="center" wrapText="1"/>
    </xf>
    <xf numFmtId="0" fontId="27" fillId="51" borderId="32" xfId="0" applyFont="1" applyFill="1" applyBorder="1" applyAlignment="1" applyProtection="1">
      <alignment horizontal="center" vertical="center" wrapText="1"/>
    </xf>
    <xf numFmtId="0" fontId="27" fillId="51" borderId="43" xfId="0" applyFont="1" applyFill="1" applyBorder="1" applyAlignment="1" applyProtection="1">
      <alignment horizontal="center" vertical="center" wrapText="1"/>
    </xf>
    <xf numFmtId="0" fontId="27" fillId="51" borderId="44" xfId="0" applyFont="1" applyFill="1" applyBorder="1" applyAlignment="1" applyProtection="1">
      <alignment horizontal="center" vertical="center" wrapText="1"/>
    </xf>
    <xf numFmtId="0" fontId="27" fillId="51" borderId="87" xfId="0" applyFont="1" applyFill="1" applyBorder="1" applyAlignment="1" applyProtection="1">
      <alignment horizontal="center" vertical="center" wrapText="1"/>
    </xf>
    <xf numFmtId="0" fontId="27" fillId="51" borderId="51" xfId="0" applyFont="1" applyFill="1" applyBorder="1" applyAlignment="1" applyProtection="1">
      <alignment horizontal="center" vertical="center" wrapText="1"/>
    </xf>
    <xf numFmtId="0" fontId="27" fillId="51" borderId="20" xfId="0" applyFont="1" applyFill="1" applyBorder="1" applyAlignment="1" applyProtection="1">
      <alignment horizontal="center" vertical="center" wrapText="1"/>
    </xf>
    <xf numFmtId="0" fontId="27" fillId="51" borderId="82" xfId="0" applyFont="1" applyFill="1" applyBorder="1" applyAlignment="1" applyProtection="1">
      <alignment horizontal="center" vertical="center" wrapText="1"/>
    </xf>
    <xf numFmtId="0" fontId="27" fillId="51" borderId="85" xfId="0" applyFont="1" applyFill="1" applyBorder="1" applyAlignment="1" applyProtection="1">
      <alignment horizontal="center" vertical="center" wrapText="1"/>
    </xf>
    <xf numFmtId="0" fontId="126" fillId="51" borderId="0" xfId="0" applyFont="1" applyFill="1" applyBorder="1" applyAlignment="1" applyProtection="1">
      <alignment horizontal="center" vertical="center"/>
    </xf>
    <xf numFmtId="0" fontId="126" fillId="51" borderId="42" xfId="0" applyFont="1" applyFill="1" applyBorder="1" applyAlignment="1" applyProtection="1">
      <alignment horizontal="center" vertical="center" wrapText="1"/>
    </xf>
    <xf numFmtId="0" fontId="126" fillId="51" borderId="84" xfId="0" applyFont="1" applyFill="1" applyBorder="1" applyAlignment="1" applyProtection="1">
      <alignment horizontal="center" vertical="center" wrapText="1"/>
    </xf>
    <xf numFmtId="0" fontId="126" fillId="51" borderId="85" xfId="0" applyFont="1" applyFill="1" applyBorder="1" applyAlignment="1" applyProtection="1">
      <alignment horizontal="center" vertical="center" wrapText="1"/>
    </xf>
    <xf numFmtId="0" fontId="126" fillId="51" borderId="87" xfId="0" applyFont="1" applyFill="1" applyBorder="1" applyAlignment="1" applyProtection="1">
      <alignment horizontal="center" vertical="center" wrapText="1"/>
    </xf>
    <xf numFmtId="0" fontId="126" fillId="51" borderId="51" xfId="0" applyFont="1" applyFill="1" applyBorder="1" applyAlignment="1" applyProtection="1">
      <alignment horizontal="center" vertical="center" wrapText="1"/>
    </xf>
    <xf numFmtId="0" fontId="126" fillId="51" borderId="20" xfId="0" applyFont="1" applyFill="1" applyBorder="1" applyAlignment="1" applyProtection="1">
      <alignment horizontal="center" vertical="center" wrapText="1"/>
    </xf>
    <xf numFmtId="0" fontId="126" fillId="51" borderId="82" xfId="0" applyFont="1" applyFill="1" applyBorder="1" applyAlignment="1" applyProtection="1">
      <alignment horizontal="center" vertical="center" wrapText="1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8" xfId="0" applyFont="1" applyFill="1" applyBorder="1" applyAlignment="1" applyProtection="1">
      <alignment horizontal="center" vertical="center"/>
    </xf>
    <xf numFmtId="0" fontId="27" fillId="51" borderId="68" xfId="0" applyFont="1" applyFill="1" applyBorder="1" applyAlignment="1" applyProtection="1">
      <alignment horizontal="center" vertical="center"/>
    </xf>
    <xf numFmtId="0" fontId="27" fillId="51" borderId="58" xfId="0" applyFont="1" applyFill="1" applyBorder="1" applyAlignment="1" applyProtection="1">
      <alignment horizontal="center" vertical="center"/>
    </xf>
    <xf numFmtId="0" fontId="27" fillId="51" borderId="69" xfId="0" applyFont="1" applyFill="1" applyBorder="1" applyAlignment="1" applyProtection="1">
      <alignment horizontal="center" vertical="center"/>
    </xf>
    <xf numFmtId="0" fontId="27" fillId="51" borderId="36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27" fillId="51" borderId="38" xfId="0" applyFont="1" applyFill="1" applyBorder="1" applyAlignment="1" applyProtection="1">
      <alignment horizontal="center" vertical="center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6" xfId="0" applyFont="1" applyFill="1" applyBorder="1" applyAlignment="1" applyProtection="1">
      <alignment horizontal="center" vertical="center"/>
    </xf>
    <xf numFmtId="0" fontId="27" fillId="51" borderId="70" xfId="0" applyFont="1" applyFill="1" applyBorder="1" applyAlignment="1" applyProtection="1">
      <alignment horizontal="center"/>
    </xf>
    <xf numFmtId="0" fontId="27" fillId="51" borderId="42" xfId="0" applyFont="1" applyFill="1" applyBorder="1" applyAlignment="1" applyProtection="1">
      <alignment horizontal="center"/>
    </xf>
    <xf numFmtId="0" fontId="27" fillId="51" borderId="84" xfId="0" applyFont="1" applyFill="1" applyBorder="1" applyAlignment="1" applyProtection="1">
      <alignment horizontal="center"/>
    </xf>
    <xf numFmtId="0" fontId="27" fillId="51" borderId="85" xfId="0" applyFont="1" applyFill="1" applyBorder="1" applyAlignment="1" applyProtection="1">
      <alignment horizontal="center"/>
    </xf>
    <xf numFmtId="0" fontId="27" fillId="51" borderId="0" xfId="0" applyFont="1" applyFill="1" applyBorder="1" applyAlignment="1" applyProtection="1">
      <alignment horizontal="center"/>
    </xf>
    <xf numFmtId="178" fontId="78" fillId="51" borderId="68" xfId="0" applyNumberFormat="1" applyFont="1" applyFill="1" applyBorder="1" applyAlignment="1" applyProtection="1">
      <alignment horizontal="center"/>
    </xf>
    <xf numFmtId="178" fontId="78" fillId="51" borderId="69" xfId="0" applyNumberFormat="1" applyFont="1" applyFill="1" applyBorder="1" applyAlignment="1" applyProtection="1">
      <alignment horizontal="center"/>
    </xf>
    <xf numFmtId="0" fontId="126" fillId="51" borderId="0" xfId="0" applyFont="1" applyFill="1" applyBorder="1" applyAlignment="1" applyProtection="1">
      <alignment horizontal="center"/>
    </xf>
    <xf numFmtId="178" fontId="96" fillId="51" borderId="68" xfId="0" applyNumberFormat="1" applyFont="1" applyFill="1" applyBorder="1" applyAlignment="1" applyProtection="1">
      <alignment horizontal="center"/>
    </xf>
    <xf numFmtId="178" fontId="96" fillId="51" borderId="58" xfId="0" applyNumberFormat="1" applyFont="1" applyFill="1" applyBorder="1" applyAlignment="1" applyProtection="1">
      <alignment horizontal="center"/>
    </xf>
    <xf numFmtId="178" fontId="96" fillId="51" borderId="69" xfId="0" applyNumberFormat="1" applyFont="1" applyFill="1" applyBorder="1" applyAlignment="1" applyProtection="1">
      <alignment horizontal="center"/>
    </xf>
    <xf numFmtId="168" fontId="96" fillId="51" borderId="68" xfId="0" applyNumberFormat="1" applyFont="1" applyFill="1" applyBorder="1" applyAlignment="1" applyProtection="1">
      <alignment horizontal="center"/>
    </xf>
    <xf numFmtId="168" fontId="96" fillId="51" borderId="59" xfId="0" applyNumberFormat="1" applyFont="1" applyFill="1" applyBorder="1" applyAlignment="1" applyProtection="1">
      <alignment horizontal="center"/>
    </xf>
    <xf numFmtId="178" fontId="78" fillId="51" borderId="30" xfId="0" applyNumberFormat="1" applyFont="1" applyFill="1" applyBorder="1" applyAlignment="1" applyProtection="1">
      <alignment horizontal="center"/>
    </xf>
    <xf numFmtId="178" fontId="78" fillId="51" borderId="93" xfId="0" applyNumberFormat="1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/>
    </xf>
    <xf numFmtId="0" fontId="27" fillId="51" borderId="43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 wrapText="1"/>
    </xf>
    <xf numFmtId="0" fontId="27" fillId="51" borderId="43" xfId="0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 wrapText="1"/>
    </xf>
    <xf numFmtId="2" fontId="27" fillId="51" borderId="45" xfId="0" applyNumberFormat="1" applyFont="1" applyFill="1" applyBorder="1" applyAlignment="1" applyProtection="1">
      <alignment horizontal="center" wrapText="1"/>
    </xf>
    <xf numFmtId="2" fontId="27" fillId="51" borderId="44" xfId="0" applyNumberFormat="1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/>
    </xf>
    <xf numFmtId="0" fontId="27" fillId="51" borderId="108" xfId="0" applyFont="1" applyFill="1" applyBorder="1" applyAlignment="1" applyProtection="1">
      <alignment horizontal="center"/>
    </xf>
    <xf numFmtId="178" fontId="78" fillId="51" borderId="83" xfId="0" applyNumberFormat="1" applyFont="1" applyFill="1" applyBorder="1" applyAlignment="1" applyProtection="1">
      <alignment horizontal="center"/>
    </xf>
    <xf numFmtId="0" fontId="27" fillId="51" borderId="45" xfId="0" applyFont="1" applyFill="1" applyBorder="1" applyAlignment="1" applyProtection="1">
      <alignment horizontal="center"/>
    </xf>
    <xf numFmtId="2" fontId="27" fillId="51" borderId="43" xfId="0" applyNumberFormat="1" applyFont="1" applyFill="1" applyBorder="1" applyAlignment="1" applyProtection="1">
      <alignment horizontal="center" wrapText="1"/>
    </xf>
    <xf numFmtId="178" fontId="96" fillId="51" borderId="93" xfId="0" applyNumberFormat="1" applyFont="1" applyFill="1" applyBorder="1" applyAlignment="1" applyProtection="1">
      <alignment horizontal="center"/>
    </xf>
    <xf numFmtId="178" fontId="96" fillId="51" borderId="21" xfId="0" applyNumberFormat="1" applyFont="1" applyFill="1" applyBorder="1" applyAlignment="1" applyProtection="1">
      <alignment horizontal="center"/>
    </xf>
    <xf numFmtId="178" fontId="96" fillId="51" borderId="83" xfId="0" applyNumberFormat="1" applyFont="1" applyFill="1" applyBorder="1" applyAlignment="1" applyProtection="1">
      <alignment horizontal="center"/>
    </xf>
    <xf numFmtId="168" fontId="96" fillId="51" borderId="93" xfId="0" applyNumberFormat="1" applyFont="1" applyFill="1" applyBorder="1" applyAlignment="1" applyProtection="1">
      <alignment horizontal="center"/>
    </xf>
    <xf numFmtId="168" fontId="96" fillId="51" borderId="33" xfId="0" applyNumberFormat="1" applyFont="1" applyFill="1" applyBorder="1" applyAlignment="1" applyProtection="1">
      <alignment horizontal="center"/>
    </xf>
    <xf numFmtId="0" fontId="126" fillId="51" borderId="32" xfId="0" applyFont="1" applyFill="1" applyBorder="1" applyAlignment="1" applyProtection="1">
      <alignment horizontal="center"/>
    </xf>
    <xf numFmtId="0" fontId="126" fillId="51" borderId="43" xfId="0" applyFont="1" applyFill="1" applyBorder="1" applyAlignment="1" applyProtection="1">
      <alignment horizontal="center"/>
    </xf>
    <xf numFmtId="0" fontId="126" fillId="51" borderId="44" xfId="0" applyFont="1" applyFill="1" applyBorder="1" applyAlignment="1" applyProtection="1">
      <alignment horizontal="center"/>
    </xf>
    <xf numFmtId="0" fontId="126" fillId="51" borderId="45" xfId="0" applyFont="1" applyFill="1" applyBorder="1" applyAlignment="1" applyProtection="1">
      <alignment horizontal="center"/>
    </xf>
    <xf numFmtId="2" fontId="126" fillId="51" borderId="43" xfId="0" applyNumberFormat="1" applyFont="1" applyFill="1" applyBorder="1" applyAlignment="1" applyProtection="1">
      <alignment horizontal="center" wrapText="1"/>
    </xf>
    <xf numFmtId="2" fontId="126" fillId="51" borderId="44" xfId="0" applyNumberFormat="1" applyFont="1" applyFill="1" applyBorder="1" applyAlignment="1" applyProtection="1">
      <alignment horizontal="center" wrapText="1"/>
    </xf>
    <xf numFmtId="0" fontId="126" fillId="51" borderId="32" xfId="0" applyFont="1" applyFill="1" applyBorder="1" applyAlignment="1" applyProtection="1">
      <alignment horizontal="center" wrapText="1"/>
    </xf>
    <xf numFmtId="168" fontId="78" fillId="51" borderId="93" xfId="0" applyNumberFormat="1" applyFont="1" applyFill="1" applyBorder="1" applyAlignment="1" applyProtection="1">
      <alignment horizontal="center"/>
    </xf>
    <xf numFmtId="0" fontId="129" fillId="51" borderId="0" xfId="0" applyFont="1" applyFill="1" applyBorder="1" applyProtection="1">
      <protection locked="0"/>
    </xf>
    <xf numFmtId="0" fontId="54" fillId="51" borderId="112" xfId="0" applyFont="1" applyFill="1" applyBorder="1" applyAlignment="1" applyProtection="1">
      <alignment horizontal="left"/>
    </xf>
    <xf numFmtId="0" fontId="56" fillId="51" borderId="112" xfId="0" applyFont="1" applyFill="1" applyBorder="1" applyAlignment="1" applyProtection="1">
      <alignment horizontal="left"/>
    </xf>
    <xf numFmtId="0" fontId="27" fillId="51" borderId="112" xfId="0" applyFont="1" applyFill="1" applyBorder="1" applyAlignment="1" applyProtection="1">
      <alignment horizontal="center" vertical="center"/>
    </xf>
    <xf numFmtId="0" fontId="27" fillId="51" borderId="116" xfId="0" applyFont="1" applyFill="1" applyBorder="1" applyAlignment="1" applyProtection="1">
      <alignment horizontal="center" vertical="center"/>
    </xf>
    <xf numFmtId="0" fontId="27" fillId="51" borderId="117" xfId="0" applyFont="1" applyFill="1" applyBorder="1" applyAlignment="1" applyProtection="1">
      <alignment horizontal="center"/>
    </xf>
    <xf numFmtId="0" fontId="27" fillId="51" borderId="118" xfId="0" applyFont="1" applyFill="1" applyBorder="1" applyAlignment="1" applyProtection="1">
      <alignment horizontal="center"/>
    </xf>
    <xf numFmtId="0" fontId="27" fillId="51" borderId="119" xfId="0" applyFont="1" applyFill="1" applyBorder="1" applyAlignment="1" applyProtection="1">
      <alignment horizontal="center"/>
    </xf>
    <xf numFmtId="0" fontId="27" fillId="51" borderId="120" xfId="0" applyFont="1" applyFill="1" applyBorder="1" applyAlignment="1" applyProtection="1">
      <alignment horizontal="center"/>
    </xf>
    <xf numFmtId="0" fontId="27" fillId="51" borderId="105" xfId="0" applyFont="1" applyFill="1" applyBorder="1" applyAlignment="1" applyProtection="1">
      <alignment horizontal="center"/>
    </xf>
    <xf numFmtId="0" fontId="27" fillId="51" borderId="130" xfId="0" applyFont="1" applyFill="1" applyBorder="1" applyAlignment="1" applyProtection="1">
      <alignment horizontal="center"/>
    </xf>
    <xf numFmtId="178" fontId="78" fillId="51" borderId="127" xfId="0" applyNumberFormat="1" applyFont="1" applyFill="1" applyBorder="1" applyAlignment="1" applyProtection="1">
      <alignment horizontal="center"/>
    </xf>
    <xf numFmtId="178" fontId="78" fillId="51" borderId="129" xfId="0" applyNumberFormat="1" applyFont="1" applyFill="1" applyBorder="1" applyAlignment="1" applyProtection="1">
      <alignment horizontal="center"/>
    </xf>
    <xf numFmtId="0" fontId="126" fillId="51" borderId="105" xfId="0" applyFont="1" applyFill="1" applyBorder="1" applyAlignment="1" applyProtection="1">
      <alignment horizontal="center"/>
    </xf>
    <xf numFmtId="178" fontId="96" fillId="51" borderId="127" xfId="0" applyNumberFormat="1" applyFont="1" applyFill="1" applyBorder="1" applyAlignment="1" applyProtection="1">
      <alignment horizontal="center"/>
    </xf>
    <xf numFmtId="178" fontId="96" fillId="51" borderId="122" xfId="0" applyNumberFormat="1" applyFont="1" applyFill="1" applyBorder="1" applyAlignment="1" applyProtection="1">
      <alignment horizontal="center"/>
    </xf>
    <xf numFmtId="178" fontId="96" fillId="51" borderId="129" xfId="0" applyNumberFormat="1" applyFont="1" applyFill="1" applyBorder="1" applyAlignment="1" applyProtection="1">
      <alignment horizontal="center"/>
    </xf>
    <xf numFmtId="168" fontId="96" fillId="51" borderId="127" xfId="0" applyNumberFormat="1" applyFont="1" applyFill="1" applyBorder="1" applyAlignment="1" applyProtection="1">
      <alignment horizontal="center"/>
    </xf>
    <xf numFmtId="168" fontId="96" fillId="51" borderId="128" xfId="0" applyNumberFormat="1" applyFont="1" applyFill="1" applyBorder="1" applyAlignment="1" applyProtection="1">
      <alignment horizontal="center"/>
    </xf>
    <xf numFmtId="0" fontId="0" fillId="93" borderId="0" xfId="0" applyFont="1" applyFill="1" applyAlignment="1" applyProtection="1">
      <alignment horizontal="center"/>
      <protection locked="0"/>
    </xf>
    <xf numFmtId="0" fontId="0" fillId="51" borderId="0" xfId="0" applyFont="1" applyFill="1" applyBorder="1" applyAlignment="1" applyProtection="1">
      <alignment horizontal="center"/>
      <protection locked="0"/>
    </xf>
    <xf numFmtId="0" fontId="85" fillId="51" borderId="0" xfId="0" applyFont="1" applyFill="1" applyBorder="1"/>
    <xf numFmtId="0" fontId="0" fillId="51" borderId="0" xfId="0" applyFont="1" applyFill="1" applyBorder="1"/>
    <xf numFmtId="0" fontId="0" fillId="51" borderId="0" xfId="0" applyFont="1" applyFill="1" applyBorder="1" applyAlignment="1">
      <alignment horizontal="center"/>
    </xf>
    <xf numFmtId="0" fontId="0" fillId="51" borderId="24" xfId="0" applyFont="1" applyFill="1" applyBorder="1" applyAlignment="1">
      <alignment horizontal="center" wrapText="1"/>
    </xf>
    <xf numFmtId="0" fontId="0" fillId="51" borderId="0" xfId="0" applyFont="1" applyFill="1" applyBorder="1" applyAlignment="1">
      <alignment horizontal="center" wrapText="1"/>
    </xf>
    <xf numFmtId="2" fontId="0" fillId="51" borderId="73" xfId="0" applyNumberFormat="1" applyFont="1" applyFill="1" applyBorder="1" applyAlignment="1">
      <alignment horizontal="center"/>
    </xf>
    <xf numFmtId="2" fontId="0" fillId="51" borderId="0" xfId="0" applyNumberFormat="1" applyFont="1" applyFill="1" applyBorder="1" applyAlignment="1">
      <alignment horizontal="center"/>
    </xf>
    <xf numFmtId="2" fontId="0" fillId="51" borderId="87" xfId="0" applyNumberFormat="1" applyFont="1" applyFill="1" applyBorder="1" applyAlignment="1">
      <alignment horizontal="center"/>
    </xf>
    <xf numFmtId="2" fontId="0" fillId="51" borderId="24" xfId="0" applyNumberFormat="1" applyFont="1" applyFill="1" applyBorder="1" applyAlignment="1">
      <alignment horizontal="center"/>
    </xf>
    <xf numFmtId="2" fontId="0" fillId="51" borderId="17" xfId="0" applyNumberFormat="1" applyFont="1" applyFill="1" applyBorder="1" applyAlignment="1">
      <alignment horizontal="center"/>
    </xf>
    <xf numFmtId="2" fontId="0" fillId="51" borderId="20" xfId="0" applyNumberFormat="1" applyFont="1" applyFill="1" applyBorder="1" applyAlignment="1">
      <alignment horizontal="center"/>
    </xf>
    <xf numFmtId="0" fontId="0" fillId="51" borderId="0" xfId="0" applyFont="1" applyFill="1" applyBorder="1" applyProtection="1">
      <protection locked="0"/>
    </xf>
    <xf numFmtId="0" fontId="27" fillId="51" borderId="28" xfId="0" applyFont="1" applyFill="1" applyBorder="1" applyAlignment="1">
      <alignment horizontal="center"/>
    </xf>
    <xf numFmtId="0" fontId="27" fillId="51" borderId="49" xfId="0" applyFont="1" applyFill="1" applyBorder="1" applyAlignment="1">
      <alignment horizontal="center" wrapText="1"/>
    </xf>
    <xf numFmtId="0" fontId="27" fillId="51" borderId="22" xfId="0" applyFont="1" applyFill="1" applyBorder="1" applyAlignment="1">
      <alignment horizontal="center" wrapText="1"/>
    </xf>
    <xf numFmtId="0" fontId="27" fillId="51" borderId="19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 wrapText="1"/>
    </xf>
    <xf numFmtId="0" fontId="27" fillId="51" borderId="33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/>
    </xf>
    <xf numFmtId="0" fontId="0" fillId="51" borderId="24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/>
    <xf numFmtId="0" fontId="0" fillId="51" borderId="24" xfId="0" applyFont="1" applyFill="1" applyBorder="1" applyAlignment="1">
      <alignment horizontal="center"/>
    </xf>
    <xf numFmtId="0" fontId="0" fillId="51" borderId="26" xfId="0" applyFont="1" applyFill="1" applyBorder="1" applyAlignment="1">
      <alignment horizontal="center" wrapText="1"/>
    </xf>
    <xf numFmtId="2" fontId="0" fillId="51" borderId="132" xfId="0" applyNumberFormat="1" applyFont="1" applyFill="1" applyBorder="1" applyAlignment="1">
      <alignment horizontal="center"/>
    </xf>
    <xf numFmtId="2" fontId="0" fillId="51" borderId="74" xfId="0" applyNumberFormat="1" applyFont="1" applyFill="1" applyBorder="1" applyAlignment="1">
      <alignment horizontal="center"/>
    </xf>
    <xf numFmtId="2" fontId="0" fillId="51" borderId="133" xfId="0" applyNumberFormat="1" applyFont="1" applyFill="1" applyBorder="1" applyAlignment="1">
      <alignment horizontal="center"/>
    </xf>
    <xf numFmtId="2" fontId="0" fillId="51" borderId="82" xfId="0" applyNumberFormat="1" applyFont="1" applyFill="1" applyBorder="1" applyAlignment="1">
      <alignment horizontal="center"/>
    </xf>
    <xf numFmtId="0" fontId="0" fillId="51" borderId="24" xfId="0" applyFont="1" applyFill="1" applyBorder="1" applyProtection="1">
      <protection locked="0"/>
    </xf>
    <xf numFmtId="0" fontId="0" fillId="51" borderId="26" xfId="0" applyFont="1" applyFill="1" applyBorder="1" applyProtection="1">
      <protection locked="0"/>
    </xf>
    <xf numFmtId="2" fontId="0" fillId="51" borderId="0" xfId="0" applyNumberFormat="1" applyFont="1" applyFill="1" applyBorder="1"/>
    <xf numFmtId="2" fontId="0" fillId="51" borderId="95" xfId="0" applyNumberFormat="1" applyFont="1" applyFill="1" applyBorder="1" applyAlignment="1">
      <alignment horizontal="center"/>
    </xf>
    <xf numFmtId="0" fontId="0" fillId="51" borderId="28" xfId="0" applyFont="1" applyFill="1" applyBorder="1" applyAlignment="1">
      <alignment horizontal="center"/>
    </xf>
    <xf numFmtId="2" fontId="0" fillId="51" borderId="53" xfId="0" applyNumberFormat="1" applyFont="1" applyFill="1" applyBorder="1" applyAlignment="1">
      <alignment horizontal="center"/>
    </xf>
    <xf numFmtId="2" fontId="0" fillId="51" borderId="28" xfId="0" applyNumberFormat="1" applyFont="1" applyFill="1" applyBorder="1" applyAlignment="1">
      <alignment horizontal="center"/>
    </xf>
    <xf numFmtId="2" fontId="0" fillId="51" borderId="107" xfId="0" applyNumberFormat="1" applyFont="1" applyFill="1" applyBorder="1" applyAlignment="1">
      <alignment horizontal="center"/>
    </xf>
    <xf numFmtId="2" fontId="0" fillId="51" borderId="51" xfId="0" applyNumberFormat="1" applyFont="1" applyFill="1" applyBorder="1" applyAlignment="1">
      <alignment horizontal="center"/>
    </xf>
    <xf numFmtId="0" fontId="0" fillId="51" borderId="137" xfId="0" applyFont="1" applyFill="1" applyBorder="1" applyAlignment="1" applyProtection="1">
      <alignment horizontal="center"/>
      <protection locked="0"/>
    </xf>
    <xf numFmtId="0" fontId="120" fillId="51" borderId="137" xfId="0" applyFont="1" applyFill="1" applyBorder="1" applyAlignment="1" applyProtection="1">
      <alignment horizontal="left"/>
    </xf>
    <xf numFmtId="0" fontId="0" fillId="51" borderId="138" xfId="0" applyFont="1" applyFill="1" applyBorder="1" applyProtection="1">
      <protection locked="0"/>
    </xf>
    <xf numFmtId="0" fontId="27" fillId="51" borderId="137" xfId="0" applyFont="1" applyFill="1" applyBorder="1" applyAlignment="1">
      <alignment horizontal="center"/>
    </xf>
    <xf numFmtId="0" fontId="0" fillId="51" borderId="137" xfId="0" applyFont="1" applyFill="1" applyBorder="1" applyAlignment="1">
      <alignment horizontal="center"/>
    </xf>
    <xf numFmtId="0" fontId="0" fillId="51" borderId="139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2" fontId="0" fillId="51" borderId="141" xfId="0" applyNumberFormat="1" applyFont="1" applyFill="1" applyBorder="1" applyAlignment="1">
      <alignment horizontal="center"/>
    </xf>
    <xf numFmtId="2" fontId="0" fillId="51" borderId="140" xfId="0" applyNumberFormat="1" applyFont="1" applyFill="1" applyBorder="1" applyAlignment="1">
      <alignment horizontal="center"/>
    </xf>
    <xf numFmtId="2" fontId="0" fillId="51" borderId="142" xfId="0" applyNumberFormat="1" applyFont="1" applyFill="1" applyBorder="1" applyAlignment="1">
      <alignment horizontal="center"/>
    </xf>
    <xf numFmtId="2" fontId="0" fillId="51" borderId="143" xfId="0" applyNumberFormat="1" applyFont="1" applyFill="1" applyBorder="1" applyAlignment="1">
      <alignment horizontal="center"/>
    </xf>
    <xf numFmtId="2" fontId="0" fillId="51" borderId="144" xfId="0" applyNumberFormat="1" applyFont="1" applyFill="1" applyBorder="1" applyAlignment="1">
      <alignment horizontal="center"/>
    </xf>
    <xf numFmtId="2" fontId="0" fillId="51" borderId="140" xfId="0" applyNumberFormat="1" applyFont="1" applyFill="1" applyBorder="1"/>
    <xf numFmtId="0" fontId="0" fillId="51" borderId="140" xfId="0" applyFont="1" applyFill="1" applyBorder="1" applyProtection="1">
      <protection locked="0"/>
    </xf>
    <xf numFmtId="2" fontId="0" fillId="51" borderId="145" xfId="0" applyNumberFormat="1" applyFont="1" applyFill="1" applyBorder="1" applyAlignment="1">
      <alignment horizontal="center"/>
    </xf>
    <xf numFmtId="0" fontId="0" fillId="94" borderId="0" xfId="0" applyFont="1" applyFill="1" applyAlignment="1" applyProtection="1">
      <alignment horizontal="center"/>
      <protection locked="0"/>
    </xf>
    <xf numFmtId="0" fontId="0" fillId="55" borderId="20" xfId="0" applyFont="1" applyFill="1" applyBorder="1"/>
    <xf numFmtId="0" fontId="0" fillId="55" borderId="0" xfId="0" applyFont="1" applyFill="1" applyBorder="1"/>
    <xf numFmtId="165" fontId="0" fillId="55" borderId="138" xfId="0" applyNumberFormat="1" applyFont="1" applyFill="1" applyBorder="1"/>
    <xf numFmtId="0" fontId="0" fillId="55" borderId="143" xfId="0" applyFont="1" applyFill="1" applyBorder="1"/>
    <xf numFmtId="0" fontId="0" fillId="55" borderId="140" xfId="0" applyFont="1" applyFill="1" applyBorder="1"/>
    <xf numFmtId="165" fontId="0" fillId="55" borderId="146" xfId="0" applyNumberFormat="1" applyFont="1" applyFill="1" applyBorder="1"/>
    <xf numFmtId="0" fontId="27" fillId="55" borderId="59" xfId="0" applyFont="1" applyFill="1" applyBorder="1"/>
    <xf numFmtId="0" fontId="27" fillId="55" borderId="61" xfId="0" applyFont="1" applyFill="1" applyBorder="1"/>
    <xf numFmtId="165" fontId="27" fillId="55" borderId="147" xfId="0" applyNumberFormat="1" applyFont="1" applyFill="1" applyBorder="1"/>
    <xf numFmtId="0" fontId="113" fillId="51" borderId="95" xfId="0" applyFont="1" applyFill="1" applyBorder="1" applyAlignment="1">
      <alignment horizontal="center" vertical="center" wrapText="1"/>
    </xf>
    <xf numFmtId="0" fontId="113" fillId="51" borderId="51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center" vertical="center" wrapText="1"/>
    </xf>
    <xf numFmtId="0" fontId="113" fillId="51" borderId="17" xfId="0" applyFont="1" applyFill="1" applyBorder="1" applyAlignment="1">
      <alignment horizontal="center" vertical="center" wrapText="1"/>
    </xf>
    <xf numFmtId="0" fontId="113" fillId="51" borderId="20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left" vertical="center" wrapText="1" indent="1"/>
    </xf>
    <xf numFmtId="0" fontId="113" fillId="51" borderId="20" xfId="0" applyFont="1" applyFill="1" applyBorder="1" applyAlignment="1">
      <alignment horizontal="left" vertical="center" wrapText="1" indent="1"/>
    </xf>
    <xf numFmtId="0" fontId="113" fillId="51" borderId="17" xfId="0" applyFont="1" applyFill="1" applyBorder="1" applyAlignment="1">
      <alignment horizontal="left" vertical="center" wrapText="1" indent="1"/>
    </xf>
    <xf numFmtId="8" fontId="122" fillId="51" borderId="0" xfId="0" applyNumberFormat="1" applyFont="1" applyFill="1" applyBorder="1" applyAlignment="1">
      <alignment horizontal="center" vertical="center" wrapText="1"/>
    </xf>
    <xf numFmtId="8" fontId="122" fillId="51" borderId="17" xfId="0" applyNumberFormat="1" applyFont="1" applyFill="1" applyBorder="1" applyAlignment="1">
      <alignment horizontal="center" vertical="center" wrapText="1"/>
    </xf>
    <xf numFmtId="8" fontId="122" fillId="51" borderId="20" xfId="0" applyNumberFormat="1" applyFont="1" applyFill="1" applyBorder="1" applyAlignment="1">
      <alignment horizontal="center" vertical="center" wrapText="1"/>
    </xf>
    <xf numFmtId="8" fontId="122" fillId="51" borderId="95" xfId="0" applyNumberFormat="1" applyFont="1" applyFill="1" applyBorder="1" applyAlignment="1">
      <alignment horizontal="center" vertical="center" wrapText="1"/>
    </xf>
    <xf numFmtId="8" fontId="122" fillId="51" borderId="28" xfId="0" applyNumberFormat="1" applyFont="1" applyFill="1" applyBorder="1" applyAlignment="1">
      <alignment horizontal="center" vertical="center" wrapText="1"/>
    </xf>
    <xf numFmtId="8" fontId="122" fillId="51" borderId="96" xfId="0" applyNumberFormat="1" applyFont="1" applyFill="1" applyBorder="1" applyAlignment="1">
      <alignment horizontal="center" vertical="center" wrapText="1"/>
    </xf>
    <xf numFmtId="8" fontId="122" fillId="51" borderId="53" xfId="0" applyNumberFormat="1" applyFont="1" applyFill="1" applyBorder="1" applyAlignment="1">
      <alignment horizontal="center" vertical="center" wrapText="1"/>
    </xf>
    <xf numFmtId="8" fontId="122" fillId="51" borderId="107" xfId="0" applyNumberFormat="1" applyFont="1" applyFill="1" applyBorder="1" applyAlignment="1">
      <alignment horizontal="center" vertical="center" wrapText="1"/>
    </xf>
    <xf numFmtId="8" fontId="122" fillId="51" borderId="51" xfId="0" applyNumberFormat="1" applyFont="1" applyFill="1" applyBorder="1" applyAlignment="1">
      <alignment horizontal="center" vertical="center" wrapText="1"/>
    </xf>
    <xf numFmtId="8" fontId="122" fillId="51" borderId="82" xfId="0" applyNumberFormat="1" applyFont="1" applyFill="1" applyBorder="1" applyAlignment="1">
      <alignment horizontal="center" vertical="center" wrapText="1"/>
    </xf>
    <xf numFmtId="0" fontId="0" fillId="95" borderId="0" xfId="0" applyFont="1" applyFill="1" applyBorder="1" applyAlignment="1" applyProtection="1">
      <alignment horizontal="center"/>
      <protection locked="0"/>
    </xf>
    <xf numFmtId="0" fontId="0" fillId="95" borderId="26" xfId="0" applyFont="1" applyFill="1" applyBorder="1" applyAlignment="1" applyProtection="1">
      <alignment horizontal="center"/>
      <protection locked="0"/>
    </xf>
    <xf numFmtId="0" fontId="113" fillId="51" borderId="107" xfId="0" applyFont="1" applyFill="1" applyBorder="1" applyAlignment="1">
      <alignment horizontal="left" vertical="center" wrapText="1" indent="1"/>
    </xf>
    <xf numFmtId="0" fontId="113" fillId="51" borderId="82" xfId="0" applyFont="1" applyFill="1" applyBorder="1" applyAlignment="1">
      <alignment horizontal="center" vertical="center" wrapText="1"/>
    </xf>
    <xf numFmtId="0" fontId="113" fillId="51" borderId="82" xfId="0" applyFont="1" applyFill="1" applyBorder="1" applyAlignment="1">
      <alignment horizontal="left" vertical="center" wrapText="1" indent="1"/>
    </xf>
    <xf numFmtId="0" fontId="0" fillId="51" borderId="151" xfId="0" applyFont="1" applyFill="1" applyBorder="1" applyAlignment="1" applyProtection="1">
      <alignment horizontal="center"/>
      <protection locked="0"/>
    </xf>
    <xf numFmtId="0" fontId="0" fillId="51" borderId="152" xfId="0" applyFont="1" applyFill="1" applyBorder="1" applyAlignment="1" applyProtection="1">
      <alignment horizontal="center"/>
      <protection locked="0"/>
    </xf>
    <xf numFmtId="0" fontId="120" fillId="51" borderId="151" xfId="0" applyFont="1" applyFill="1" applyBorder="1" applyAlignment="1" applyProtection="1">
      <alignment horizontal="left"/>
    </xf>
    <xf numFmtId="0" fontId="0" fillId="51" borderId="152" xfId="0" applyFont="1" applyFill="1" applyBorder="1" applyProtection="1">
      <protection locked="0"/>
    </xf>
    <xf numFmtId="0" fontId="121" fillId="51" borderId="151" xfId="0" applyFont="1" applyFill="1" applyBorder="1" applyAlignment="1">
      <alignment horizontal="center" vertical="center" wrapText="1"/>
    </xf>
    <xf numFmtId="0" fontId="121" fillId="51" borderId="160" xfId="0" applyFont="1" applyFill="1" applyBorder="1" applyAlignment="1">
      <alignment horizontal="center" vertical="center" wrapText="1"/>
    </xf>
    <xf numFmtId="8" fontId="122" fillId="51" borderId="161" xfId="0" applyNumberFormat="1" applyFont="1" applyFill="1" applyBorder="1" applyAlignment="1">
      <alignment horizontal="center" vertical="center" wrapText="1"/>
    </xf>
    <xf numFmtId="8" fontId="122" fillId="51" borderId="162" xfId="0" applyNumberFormat="1" applyFont="1" applyFill="1" applyBorder="1" applyAlignment="1">
      <alignment horizontal="center" vertical="center" wrapText="1"/>
    </xf>
    <xf numFmtId="8" fontId="122" fillId="51" borderId="163" xfId="0" applyNumberFormat="1" applyFont="1" applyFill="1" applyBorder="1" applyAlignment="1">
      <alignment horizontal="center" vertical="center" wrapText="1"/>
    </xf>
    <xf numFmtId="8" fontId="122" fillId="51" borderId="164" xfId="0" applyNumberFormat="1" applyFont="1" applyFill="1" applyBorder="1" applyAlignment="1">
      <alignment horizontal="center" vertical="center" wrapText="1"/>
    </xf>
    <xf numFmtId="8" fontId="122" fillId="51" borderId="165" xfId="0" applyNumberFormat="1" applyFont="1" applyFill="1" applyBorder="1" applyAlignment="1">
      <alignment horizontal="center" vertical="center" wrapText="1"/>
    </xf>
    <xf numFmtId="0" fontId="0" fillId="95" borderId="0" xfId="0" applyFont="1" applyFill="1" applyAlignment="1" applyProtection="1">
      <alignment horizontal="center"/>
      <protection locked="0"/>
    </xf>
    <xf numFmtId="0" fontId="0" fillId="94" borderId="138" xfId="0" applyFont="1" applyFill="1" applyBorder="1" applyAlignment="1" applyProtection="1">
      <alignment horizontal="center"/>
      <protection locked="0"/>
    </xf>
    <xf numFmtId="0" fontId="0" fillId="94" borderId="0" xfId="0" applyFont="1" applyFill="1" applyBorder="1" applyAlignment="1" applyProtection="1">
      <alignment horizont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center"/>
      <protection locked="0"/>
    </xf>
    <xf numFmtId="0" fontId="128" fillId="0" borderId="0" xfId="0" applyFont="1" applyProtection="1">
      <protection locked="0"/>
    </xf>
    <xf numFmtId="0" fontId="76" fillId="0" borderId="0" xfId="0" applyFont="1" applyProtection="1">
      <protection locked="0"/>
    </xf>
    <xf numFmtId="0" fontId="0" fillId="0" borderId="0" xfId="0" applyFont="1" applyAlignment="1" applyProtection="1">
      <alignment horizontal="right"/>
      <protection locked="0"/>
    </xf>
    <xf numFmtId="0" fontId="131" fillId="87" borderId="0" xfId="0" applyFont="1" applyFill="1" applyBorder="1" applyAlignment="1" applyProtection="1">
      <alignment horizontal="center"/>
      <protection locked="0"/>
    </xf>
    <xf numFmtId="0" fontId="132" fillId="87" borderId="0" xfId="0" applyFont="1" applyFill="1" applyBorder="1" applyAlignment="1" applyProtection="1">
      <alignment vertical="center"/>
      <protection locked="0"/>
    </xf>
    <xf numFmtId="0" fontId="82" fillId="88" borderId="84" xfId="0" applyFont="1" applyFill="1" applyBorder="1" applyAlignment="1" applyProtection="1">
      <alignment vertical="center" wrapText="1"/>
      <protection locked="0"/>
    </xf>
    <xf numFmtId="0" fontId="82" fillId="41" borderId="84" xfId="0" applyFont="1" applyFill="1" applyBorder="1" applyAlignment="1" applyProtection="1">
      <alignment horizontal="center" vertical="center" wrapText="1"/>
      <protection locked="0"/>
    </xf>
    <xf numFmtId="0" fontId="76" fillId="31" borderId="33" xfId="0" applyFont="1" applyFill="1" applyBorder="1" applyAlignment="1" applyProtection="1">
      <alignment horizontal="left" vertical="top" wrapText="1"/>
      <protection locked="0"/>
    </xf>
    <xf numFmtId="0" fontId="76" fillId="31" borderId="22" xfId="0" applyFont="1" applyFill="1" applyBorder="1" applyAlignment="1" applyProtection="1">
      <alignment horizontal="left" vertical="top" wrapText="1"/>
      <protection locked="0"/>
    </xf>
    <xf numFmtId="0" fontId="76" fillId="31" borderId="19" xfId="0" applyFont="1" applyFill="1" applyBorder="1" applyAlignment="1" applyProtection="1">
      <alignment horizontal="left" vertical="top" wrapText="1"/>
      <protection locked="0"/>
    </xf>
    <xf numFmtId="0" fontId="76" fillId="36" borderId="33" xfId="0" applyFont="1" applyFill="1" applyBorder="1" applyAlignment="1" applyProtection="1">
      <alignment horizontal="left" vertical="top" wrapText="1"/>
      <protection locked="0"/>
    </xf>
    <xf numFmtId="0" fontId="76" fillId="36" borderId="22" xfId="0" applyFont="1" applyFill="1" applyBorder="1" applyAlignment="1" applyProtection="1">
      <alignment horizontal="left" vertical="top" wrapText="1"/>
      <protection locked="0"/>
    </xf>
    <xf numFmtId="0" fontId="76" fillId="36" borderId="19" xfId="0" applyFont="1" applyFill="1" applyBorder="1" applyAlignment="1" applyProtection="1">
      <alignment horizontal="left" vertical="top" wrapText="1"/>
      <protection locked="0"/>
    </xf>
    <xf numFmtId="0" fontId="76" fillId="88" borderId="33" xfId="0" applyFont="1" applyFill="1" applyBorder="1" applyAlignment="1" applyProtection="1">
      <alignment horizontal="left" vertical="top" wrapText="1"/>
      <protection locked="0"/>
    </xf>
    <xf numFmtId="0" fontId="76" fillId="88" borderId="22" xfId="0" applyFont="1" applyFill="1" applyBorder="1" applyAlignment="1" applyProtection="1">
      <alignment horizontal="left" vertical="top" wrapText="1"/>
      <protection locked="0"/>
    </xf>
    <xf numFmtId="0" fontId="76" fillId="88" borderId="19" xfId="0" applyFont="1" applyFill="1" applyBorder="1" applyAlignment="1" applyProtection="1">
      <alignment horizontal="left" vertical="top" wrapText="1"/>
      <protection locked="0"/>
    </xf>
    <xf numFmtId="0" fontId="76" fillId="88" borderId="21" xfId="0" applyFont="1" applyFill="1" applyBorder="1" applyAlignment="1" applyProtection="1">
      <alignment horizontal="left" vertical="top" wrapText="1"/>
      <protection locked="0"/>
    </xf>
    <xf numFmtId="0" fontId="76" fillId="34" borderId="33" xfId="0" applyFont="1" applyFill="1" applyBorder="1" applyAlignment="1" applyProtection="1">
      <alignment horizontal="left" vertical="top" wrapText="1"/>
      <protection locked="0"/>
    </xf>
    <xf numFmtId="0" fontId="76" fillId="34" borderId="22" xfId="0" applyFont="1" applyFill="1" applyBorder="1" applyAlignment="1" applyProtection="1">
      <alignment horizontal="left" vertical="top" wrapText="1"/>
      <protection locked="0"/>
    </xf>
    <xf numFmtId="0" fontId="76" fillId="34" borderId="19" xfId="0" applyFont="1" applyFill="1" applyBorder="1" applyAlignment="1" applyProtection="1">
      <alignment vertical="top" wrapText="1"/>
      <protection locked="0"/>
    </xf>
    <xf numFmtId="0" fontId="76" fillId="90" borderId="33" xfId="0" applyFont="1" applyFill="1" applyBorder="1" applyAlignment="1" applyProtection="1">
      <alignment horizontal="left" vertical="top" wrapText="1"/>
      <protection locked="0"/>
    </xf>
    <xf numFmtId="0" fontId="76" fillId="90" borderId="22" xfId="0" applyFont="1" applyFill="1" applyBorder="1" applyAlignment="1" applyProtection="1">
      <alignment horizontal="left" vertical="top" wrapText="1"/>
      <protection locked="0"/>
    </xf>
    <xf numFmtId="0" fontId="76" fillId="91" borderId="33" xfId="0" applyFont="1" applyFill="1" applyBorder="1" applyAlignment="1" applyProtection="1">
      <alignment horizontal="left" vertical="top" wrapText="1"/>
      <protection locked="0"/>
    </xf>
    <xf numFmtId="0" fontId="76" fillId="91" borderId="19" xfId="0" applyFont="1" applyFill="1" applyBorder="1" applyAlignment="1" applyProtection="1">
      <alignment horizontal="left" vertical="top" wrapText="1"/>
      <protection locked="0"/>
    </xf>
    <xf numFmtId="0" fontId="76" fillId="41" borderId="21" xfId="0" applyFont="1" applyFill="1" applyBorder="1" applyAlignment="1" applyProtection="1">
      <alignment horizontal="left" vertical="top" wrapText="1"/>
      <protection locked="0"/>
    </xf>
    <xf numFmtId="0" fontId="76" fillId="38" borderId="33" xfId="0" applyFont="1" applyFill="1" applyBorder="1" applyAlignment="1" applyProtection="1">
      <alignment horizontal="left" vertical="top" wrapText="1"/>
      <protection locked="0"/>
    </xf>
    <xf numFmtId="0" fontId="76" fillId="38" borderId="22" xfId="0" applyFont="1" applyFill="1" applyBorder="1" applyAlignment="1" applyProtection="1">
      <alignment horizontal="left" vertical="top" wrapText="1"/>
      <protection locked="0"/>
    </xf>
    <xf numFmtId="0" fontId="76" fillId="38" borderId="19" xfId="0" applyFont="1" applyFill="1" applyBorder="1" applyAlignment="1" applyProtection="1">
      <alignment horizontal="left" vertical="top" wrapText="1"/>
      <protection locked="0"/>
    </xf>
    <xf numFmtId="0" fontId="132" fillId="92" borderId="59" xfId="0" applyFont="1" applyFill="1" applyBorder="1" applyProtection="1">
      <protection locked="0"/>
    </xf>
    <xf numFmtId="0" fontId="133" fillId="92" borderId="61" xfId="0" applyFont="1" applyFill="1" applyBorder="1" applyAlignment="1" applyProtection="1">
      <alignment horizontal="center"/>
      <protection locked="0"/>
    </xf>
    <xf numFmtId="0" fontId="133" fillId="92" borderId="60" xfId="0" applyFont="1" applyFill="1" applyBorder="1" applyAlignment="1" applyProtection="1">
      <alignment horizontal="center"/>
      <protection locked="0"/>
    </xf>
    <xf numFmtId="0" fontId="134" fillId="51" borderId="61" xfId="0" applyFont="1" applyFill="1" applyBorder="1" applyAlignment="1" applyProtection="1">
      <alignment horizontal="center"/>
      <protection locked="0"/>
    </xf>
    <xf numFmtId="0" fontId="134" fillId="51" borderId="60" xfId="0" applyFont="1" applyFill="1" applyBorder="1" applyAlignment="1" applyProtection="1">
      <alignment horizontal="center"/>
      <protection locked="0"/>
    </xf>
    <xf numFmtId="0" fontId="76" fillId="0" borderId="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>
      <protection locked="0"/>
    </xf>
    <xf numFmtId="173" fontId="0" fillId="0" borderId="0" xfId="0" applyNumberFormat="1" applyFont="1" applyFill="1" applyBorder="1" applyProtection="1">
      <protection locked="0"/>
    </xf>
    <xf numFmtId="173" fontId="0" fillId="0" borderId="17" xfId="0" applyNumberFormat="1" applyFont="1" applyFill="1" applyBorder="1" applyProtection="1">
      <protection locked="0"/>
    </xf>
    <xf numFmtId="174" fontId="0" fillId="0" borderId="0" xfId="0" applyNumberFormat="1" applyFont="1" applyFill="1" applyBorder="1" applyProtection="1">
      <protection locked="0"/>
    </xf>
    <xf numFmtId="174" fontId="0" fillId="0" borderId="20" xfId="0" applyNumberFormat="1" applyFont="1" applyFill="1" applyBorder="1" applyProtection="1">
      <protection locked="0"/>
    </xf>
    <xf numFmtId="165" fontId="0" fillId="0" borderId="20" xfId="0" applyNumberFormat="1" applyFont="1" applyFill="1" applyBorder="1" applyProtection="1">
      <protection locked="0"/>
    </xf>
    <xf numFmtId="165" fontId="0" fillId="0" borderId="0" xfId="0" applyNumberFormat="1" applyFont="1" applyFill="1" applyBorder="1" applyProtection="1">
      <protection locked="0"/>
    </xf>
    <xf numFmtId="165" fontId="0" fillId="0" borderId="17" xfId="0" applyNumberFormat="1" applyFont="1" applyFill="1" applyBorder="1" applyProtection="1">
      <protection locked="0"/>
    </xf>
    <xf numFmtId="165" fontId="0" fillId="0" borderId="18" xfId="0" applyNumberFormat="1" applyFont="1" applyFill="1" applyBorder="1" applyProtection="1">
      <protection locked="0"/>
    </xf>
    <xf numFmtId="4" fontId="0" fillId="0" borderId="18" xfId="0" applyNumberFormat="1" applyFont="1" applyFill="1" applyBorder="1" applyProtection="1">
      <protection locked="0"/>
    </xf>
    <xf numFmtId="174" fontId="0" fillId="0" borderId="17" xfId="0" applyNumberFormat="1" applyFont="1" applyFill="1" applyBorder="1" applyProtection="1">
      <protection locked="0"/>
    </xf>
    <xf numFmtId="0" fontId="76" fillId="0" borderId="0" xfId="0" applyFont="1" applyBorder="1" applyAlignment="1" applyProtection="1">
      <alignment horizontal="center"/>
    </xf>
    <xf numFmtId="165" fontId="0" fillId="0" borderId="0" xfId="0" applyNumberFormat="1" applyFont="1" applyBorder="1" applyProtection="1">
      <protection locked="0"/>
    </xf>
    <xf numFmtId="0" fontId="76" fillId="0" borderId="87" xfId="0" applyFont="1" applyFill="1" applyBorder="1" applyAlignment="1" applyProtection="1">
      <alignment horizontal="center"/>
    </xf>
    <xf numFmtId="0" fontId="76" fillId="0" borderId="8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/>
    <xf numFmtId="173" fontId="0" fillId="0" borderId="0" xfId="0" applyNumberFormat="1" applyFont="1" applyFill="1" applyBorder="1" applyProtection="1"/>
    <xf numFmtId="173" fontId="0" fillId="0" borderId="17" xfId="0" applyNumberFormat="1" applyFont="1" applyFill="1" applyBorder="1" applyProtection="1"/>
    <xf numFmtId="174" fontId="0" fillId="0" borderId="20" xfId="0" applyNumberFormat="1" applyFont="1" applyFill="1" applyBorder="1" applyProtection="1"/>
    <xf numFmtId="174" fontId="0" fillId="0" borderId="0" xfId="0" applyNumberFormat="1" applyFont="1" applyFill="1" applyBorder="1" applyProtection="1"/>
    <xf numFmtId="165" fontId="0" fillId="0" borderId="20" xfId="0" applyNumberFormat="1" applyFont="1" applyFill="1" applyBorder="1" applyProtection="1"/>
    <xf numFmtId="165" fontId="0" fillId="0" borderId="0" xfId="0" applyNumberFormat="1" applyFont="1" applyFill="1" applyBorder="1" applyProtection="1"/>
    <xf numFmtId="174" fontId="0" fillId="0" borderId="17" xfId="0" applyNumberFormat="1" applyFont="1" applyFill="1" applyBorder="1" applyProtection="1"/>
    <xf numFmtId="167" fontId="0" fillId="0" borderId="20" xfId="0" applyNumberFormat="1" applyFont="1" applyFill="1" applyBorder="1" applyProtection="1"/>
    <xf numFmtId="165" fontId="0" fillId="0" borderId="17" xfId="0" applyNumberFormat="1" applyFont="1" applyFill="1" applyBorder="1" applyProtection="1"/>
    <xf numFmtId="174" fontId="0" fillId="0" borderId="18" xfId="0" applyNumberFormat="1" applyFont="1" applyFill="1" applyBorder="1" applyProtection="1"/>
    <xf numFmtId="165" fontId="0" fillId="0" borderId="18" xfId="0" applyNumberFormat="1" applyFont="1" applyFill="1" applyBorder="1" applyProtection="1"/>
    <xf numFmtId="4" fontId="0" fillId="0" borderId="18" xfId="0" applyNumberFormat="1" applyFont="1" applyFill="1" applyBorder="1" applyProtection="1"/>
    <xf numFmtId="0" fontId="76" fillId="0" borderId="20" xfId="0" applyFont="1" applyBorder="1" applyAlignment="1" applyProtection="1">
      <alignment horizontal="center"/>
    </xf>
    <xf numFmtId="0" fontId="76" fillId="0" borderId="17" xfId="0" applyFont="1" applyBorder="1" applyAlignment="1" applyProtection="1">
      <alignment horizontal="center"/>
    </xf>
    <xf numFmtId="173" fontId="0" fillId="0" borderId="20" xfId="0" applyNumberFormat="1" applyFont="1" applyBorder="1" applyProtection="1"/>
    <xf numFmtId="173" fontId="0" fillId="0" borderId="0" xfId="0" applyNumberFormat="1" applyFont="1" applyBorder="1" applyProtection="1"/>
    <xf numFmtId="173" fontId="0" fillId="0" borderId="17" xfId="0" applyNumberFormat="1" applyFont="1" applyBorder="1" applyProtection="1"/>
    <xf numFmtId="174" fontId="0" fillId="0" borderId="20" xfId="0" applyNumberFormat="1" applyFont="1" applyBorder="1" applyProtection="1"/>
    <xf numFmtId="165" fontId="0" fillId="0" borderId="20" xfId="0" applyNumberFormat="1" applyFont="1" applyBorder="1" applyProtection="1"/>
    <xf numFmtId="165" fontId="0" fillId="0" borderId="0" xfId="0" applyNumberFormat="1" applyFont="1" applyBorder="1" applyProtection="1"/>
    <xf numFmtId="174" fontId="0" fillId="0" borderId="17" xfId="0" applyNumberFormat="1" applyFont="1" applyBorder="1" applyProtection="1"/>
    <xf numFmtId="167" fontId="0" fillId="0" borderId="20" xfId="0" applyNumberFormat="1" applyFont="1" applyBorder="1" applyProtection="1"/>
    <xf numFmtId="165" fontId="0" fillId="0" borderId="17" xfId="0" applyNumberFormat="1" applyFont="1" applyBorder="1" applyProtection="1"/>
    <xf numFmtId="174" fontId="0" fillId="0" borderId="18" xfId="0" applyNumberFormat="1" applyFont="1" applyBorder="1" applyProtection="1"/>
    <xf numFmtId="174" fontId="0" fillId="0" borderId="0" xfId="0" applyNumberFormat="1" applyFont="1" applyBorder="1" applyProtection="1"/>
    <xf numFmtId="4" fontId="0" fillId="0" borderId="18" xfId="0" applyNumberFormat="1" applyFont="1" applyBorder="1" applyProtection="1"/>
    <xf numFmtId="0" fontId="76" fillId="0" borderId="33" xfId="0" applyFont="1" applyBorder="1" applyAlignment="1" applyProtection="1">
      <alignment horizontal="center"/>
    </xf>
    <xf numFmtId="0" fontId="76" fillId="0" borderId="19" xfId="0" applyFont="1" applyBorder="1" applyAlignment="1" applyProtection="1">
      <alignment horizontal="center"/>
    </xf>
    <xf numFmtId="173" fontId="0" fillId="0" borderId="33" xfId="0" applyNumberFormat="1" applyFont="1" applyBorder="1" applyProtection="1"/>
    <xf numFmtId="173" fontId="0" fillId="0" borderId="22" xfId="0" applyNumberFormat="1" applyFont="1" applyBorder="1" applyProtection="1"/>
    <xf numFmtId="173" fontId="0" fillId="0" borderId="19" xfId="0" applyNumberFormat="1" applyFont="1" applyBorder="1" applyProtection="1"/>
    <xf numFmtId="174" fontId="0" fillId="0" borderId="33" xfId="0" applyNumberFormat="1" applyFont="1" applyBorder="1" applyProtection="1"/>
    <xf numFmtId="165" fontId="0" fillId="0" borderId="33" xfId="0" applyNumberFormat="1" applyFont="1" applyBorder="1" applyProtection="1"/>
    <xf numFmtId="165" fontId="0" fillId="0" borderId="22" xfId="0" applyNumberFormat="1" applyFont="1" applyBorder="1" applyProtection="1"/>
    <xf numFmtId="174" fontId="0" fillId="0" borderId="19" xfId="0" applyNumberFormat="1" applyFont="1" applyBorder="1" applyProtection="1"/>
    <xf numFmtId="167" fontId="0" fillId="0" borderId="33" xfId="0" applyNumberFormat="1" applyFont="1" applyBorder="1" applyProtection="1"/>
    <xf numFmtId="165" fontId="0" fillId="0" borderId="19" xfId="0" applyNumberFormat="1" applyFont="1" applyBorder="1" applyProtection="1"/>
    <xf numFmtId="174" fontId="0" fillId="0" borderId="21" xfId="0" applyNumberFormat="1" applyFont="1" applyBorder="1" applyProtection="1"/>
    <xf numFmtId="174" fontId="0" fillId="0" borderId="22" xfId="0" applyNumberFormat="1" applyFont="1" applyBorder="1" applyProtection="1"/>
    <xf numFmtId="165" fontId="0" fillId="0" borderId="33" xfId="0" applyNumberFormat="1" applyFont="1" applyFill="1" applyBorder="1" applyProtection="1"/>
    <xf numFmtId="165" fontId="0" fillId="0" borderId="22" xfId="0" applyNumberFormat="1" applyFont="1" applyFill="1" applyBorder="1" applyProtection="1"/>
    <xf numFmtId="165" fontId="0" fillId="0" borderId="21" xfId="0" applyNumberFormat="1" applyFont="1" applyFill="1" applyBorder="1" applyProtection="1"/>
    <xf numFmtId="4" fontId="0" fillId="0" borderId="21" xfId="0" applyNumberFormat="1" applyFont="1" applyBorder="1" applyProtection="1"/>
    <xf numFmtId="0" fontId="0" fillId="0" borderId="22" xfId="0" applyFont="1" applyBorder="1" applyProtection="1">
      <protection locked="0"/>
    </xf>
    <xf numFmtId="0" fontId="135" fillId="92" borderId="109" xfId="116" applyFont="1" applyFill="1" applyBorder="1" applyAlignment="1"/>
    <xf numFmtId="0" fontId="135" fillId="92" borderId="110" xfId="116" applyFont="1" applyFill="1" applyBorder="1" applyAlignment="1"/>
    <xf numFmtId="0" fontId="135" fillId="92" borderId="111" xfId="116" applyFont="1" applyFill="1" applyBorder="1" applyAlignment="1"/>
    <xf numFmtId="0" fontId="130" fillId="51" borderId="112" xfId="0" applyFont="1" applyFill="1" applyBorder="1" applyAlignment="1"/>
    <xf numFmtId="0" fontId="0" fillId="51" borderId="113" xfId="0" applyFont="1" applyFill="1" applyBorder="1" applyProtection="1">
      <protection locked="0"/>
    </xf>
    <xf numFmtId="0" fontId="76" fillId="0" borderId="0" xfId="0" applyFont="1" applyFill="1" applyAlignment="1" applyProtection="1">
      <alignment horizontal="center"/>
      <protection locked="0"/>
    </xf>
    <xf numFmtId="0" fontId="76" fillId="51" borderId="112" xfId="0" applyFont="1" applyFill="1" applyBorder="1" applyAlignment="1" applyProtection="1">
      <alignment horizontal="center"/>
      <protection locked="0"/>
    </xf>
    <xf numFmtId="0" fontId="76" fillId="51" borderId="0" xfId="0" applyFont="1" applyFill="1" applyBorder="1" applyAlignment="1" applyProtection="1">
      <alignment horizontal="center"/>
      <protection locked="0"/>
    </xf>
    <xf numFmtId="0" fontId="76" fillId="93" borderId="0" xfId="0" applyFont="1" applyFill="1" applyBorder="1" applyAlignment="1" applyProtection="1">
      <alignment horizontal="center"/>
      <protection locked="0"/>
    </xf>
    <xf numFmtId="0" fontId="0" fillId="51" borderId="0" xfId="0" applyFont="1" applyFill="1" applyBorder="1" applyProtection="1"/>
    <xf numFmtId="0" fontId="0" fillId="51" borderId="112" xfId="0" applyFont="1" applyFill="1" applyBorder="1" applyAlignment="1" applyProtection="1">
      <alignment horizontal="center"/>
      <protection locked="0"/>
    </xf>
    <xf numFmtId="0" fontId="0" fillId="51" borderId="112" xfId="0" applyFont="1" applyFill="1" applyBorder="1" applyProtection="1"/>
    <xf numFmtId="178" fontId="0" fillId="51" borderId="49" xfId="0" applyNumberFormat="1" applyFont="1" applyFill="1" applyBorder="1" applyAlignment="1" applyProtection="1">
      <alignment horizontal="center"/>
    </xf>
    <xf numFmtId="178" fontId="0" fillId="51" borderId="21" xfId="0" applyNumberFormat="1" applyFont="1" applyFill="1" applyBorder="1" applyAlignment="1" applyProtection="1">
      <alignment horizontal="center"/>
    </xf>
    <xf numFmtId="178" fontId="0" fillId="55" borderId="93" xfId="0" applyNumberFormat="1" applyFont="1" applyFill="1" applyBorder="1" applyAlignment="1" applyProtection="1">
      <alignment horizontal="center"/>
    </xf>
    <xf numFmtId="178" fontId="0" fillId="55" borderId="21" xfId="0" applyNumberFormat="1" applyFont="1" applyFill="1" applyBorder="1" applyAlignment="1" applyProtection="1">
      <alignment horizontal="center"/>
    </xf>
    <xf numFmtId="178" fontId="0" fillId="55" borderId="83" xfId="0" applyNumberFormat="1" applyFont="1" applyFill="1" applyBorder="1" applyAlignment="1" applyProtection="1">
      <alignment horizontal="center"/>
    </xf>
    <xf numFmtId="168" fontId="0" fillId="51" borderId="19" xfId="0" applyNumberFormat="1" applyFont="1" applyFill="1" applyBorder="1" applyAlignment="1" applyProtection="1">
      <alignment horizontal="center"/>
    </xf>
    <xf numFmtId="168" fontId="0" fillId="51" borderId="21" xfId="147" applyNumberFormat="1" applyFont="1" applyFill="1" applyBorder="1" applyAlignment="1" applyProtection="1">
      <alignment horizontal="center"/>
    </xf>
    <xf numFmtId="168" fontId="0" fillId="55" borderId="93" xfId="0" applyNumberFormat="1" applyFont="1" applyFill="1" applyBorder="1" applyAlignment="1" applyProtection="1">
      <alignment horizontal="center"/>
    </xf>
    <xf numFmtId="168" fontId="0" fillId="55" borderId="33" xfId="0" applyNumberFormat="1" applyFont="1" applyFill="1" applyBorder="1" applyAlignment="1" applyProtection="1">
      <alignment horizontal="center"/>
    </xf>
    <xf numFmtId="168" fontId="0" fillId="55" borderId="83" xfId="0" applyNumberFormat="1" applyFont="1" applyFill="1" applyBorder="1" applyAlignment="1" applyProtection="1">
      <alignment horizontal="center"/>
    </xf>
    <xf numFmtId="178" fontId="0" fillId="51" borderId="93" xfId="0" applyNumberFormat="1" applyFont="1" applyFill="1" applyBorder="1" applyAlignment="1" applyProtection="1">
      <alignment horizontal="center"/>
    </xf>
    <xf numFmtId="178" fontId="0" fillId="51" borderId="83" xfId="0" applyNumberFormat="1" applyFont="1" applyFill="1" applyBorder="1" applyAlignment="1" applyProtection="1">
      <alignment horizontal="center"/>
    </xf>
    <xf numFmtId="178" fontId="0" fillId="51" borderId="31" xfId="0" applyNumberFormat="1" applyFont="1" applyFill="1" applyBorder="1" applyAlignment="1" applyProtection="1">
      <alignment horizontal="center"/>
    </xf>
    <xf numFmtId="178" fontId="0" fillId="51" borderId="41" xfId="0" applyNumberFormat="1" applyFont="1" applyFill="1" applyBorder="1" applyAlignment="1" applyProtection="1">
      <alignment horizontal="center"/>
    </xf>
    <xf numFmtId="168" fontId="0" fillId="51" borderId="33" xfId="0" applyNumberFormat="1" applyFont="1" applyFill="1" applyBorder="1" applyAlignment="1" applyProtection="1">
      <alignment horizontal="center"/>
    </xf>
    <xf numFmtId="168" fontId="0" fillId="51" borderId="108" xfId="0" applyNumberFormat="1" applyFont="1" applyFill="1" applyBorder="1" applyAlignment="1" applyProtection="1">
      <alignment horizontal="center"/>
    </xf>
    <xf numFmtId="168" fontId="0" fillId="51" borderId="21" xfId="0" applyNumberFormat="1" applyFont="1" applyFill="1" applyBorder="1" applyAlignment="1" applyProtection="1">
      <alignment horizontal="center"/>
    </xf>
    <xf numFmtId="178" fontId="0" fillId="51" borderId="71" xfId="0" applyNumberFormat="1" applyFont="1" applyFill="1" applyBorder="1" applyAlignment="1" applyProtection="1">
      <alignment horizontal="center"/>
    </xf>
    <xf numFmtId="178" fontId="0" fillId="51" borderId="58" xfId="0" applyNumberFormat="1" applyFont="1" applyFill="1" applyBorder="1" applyAlignment="1" applyProtection="1">
      <alignment horizontal="center"/>
    </xf>
    <xf numFmtId="168" fontId="0" fillId="51" borderId="60" xfId="0" applyNumberFormat="1" applyFont="1" applyFill="1" applyBorder="1" applyAlignment="1" applyProtection="1">
      <alignment horizontal="center"/>
    </xf>
    <xf numFmtId="168" fontId="0" fillId="51" borderId="58" xfId="147" applyNumberFormat="1" applyFont="1" applyFill="1" applyBorder="1" applyAlignment="1" applyProtection="1">
      <alignment horizontal="center"/>
    </xf>
    <xf numFmtId="168" fontId="0" fillId="55" borderId="68" xfId="0" applyNumberFormat="1" applyFont="1" applyFill="1" applyBorder="1" applyAlignment="1" applyProtection="1">
      <alignment horizontal="center"/>
    </xf>
    <xf numFmtId="168" fontId="0" fillId="55" borderId="59" xfId="0" applyNumberFormat="1" applyFont="1" applyFill="1" applyBorder="1" applyAlignment="1" applyProtection="1">
      <alignment horizontal="center"/>
    </xf>
    <xf numFmtId="168" fontId="0" fillId="55" borderId="69" xfId="0" applyNumberFormat="1" applyFont="1" applyFill="1" applyBorder="1" applyAlignment="1" applyProtection="1">
      <alignment horizontal="center"/>
    </xf>
    <xf numFmtId="178" fontId="0" fillId="51" borderId="68" xfId="0" applyNumberFormat="1" applyFont="1" applyFill="1" applyBorder="1" applyAlignment="1" applyProtection="1">
      <alignment horizontal="center"/>
    </xf>
    <xf numFmtId="178" fontId="0" fillId="51" borderId="69" xfId="0" applyNumberFormat="1" applyFont="1" applyFill="1" applyBorder="1" applyAlignment="1" applyProtection="1">
      <alignment horizontal="center"/>
    </xf>
    <xf numFmtId="168" fontId="0" fillId="51" borderId="59" xfId="0" applyNumberFormat="1" applyFont="1" applyFill="1" applyBorder="1" applyAlignment="1" applyProtection="1">
      <alignment horizontal="center"/>
    </xf>
    <xf numFmtId="168" fontId="0" fillId="51" borderId="70" xfId="0" applyNumberFormat="1" applyFont="1" applyFill="1" applyBorder="1" applyAlignment="1" applyProtection="1">
      <alignment horizontal="center"/>
    </xf>
    <xf numFmtId="168" fontId="0" fillId="51" borderId="68" xfId="0" applyNumberFormat="1" applyFont="1" applyFill="1" applyBorder="1" applyAlignment="1" applyProtection="1">
      <alignment horizontal="center"/>
    </xf>
    <xf numFmtId="168" fontId="0" fillId="51" borderId="58" xfId="0" applyNumberFormat="1" applyFont="1" applyFill="1" applyBorder="1" applyAlignment="1" applyProtection="1">
      <alignment horizontal="center"/>
    </xf>
    <xf numFmtId="0" fontId="0" fillId="0" borderId="0" xfId="0" applyFont="1" applyProtection="1"/>
    <xf numFmtId="178" fontId="0" fillId="51" borderId="121" xfId="0" applyNumberFormat="1" applyFont="1" applyFill="1" applyBorder="1" applyAlignment="1" applyProtection="1">
      <alignment horizontal="center"/>
    </xf>
    <xf numFmtId="178" fontId="0" fillId="51" borderId="122" xfId="0" applyNumberFormat="1" applyFont="1" applyFill="1" applyBorder="1" applyAlignment="1" applyProtection="1">
      <alignment horizontal="center"/>
    </xf>
    <xf numFmtId="178" fontId="0" fillId="55" borderId="123" xfId="0" applyNumberFormat="1" applyFont="1" applyFill="1" applyBorder="1" applyAlignment="1" applyProtection="1">
      <alignment horizontal="center"/>
    </xf>
    <xf numFmtId="178" fontId="0" fillId="55" borderId="124" xfId="0" applyNumberFormat="1" applyFont="1" applyFill="1" applyBorder="1" applyAlignment="1" applyProtection="1">
      <alignment horizontal="center"/>
    </xf>
    <xf numFmtId="178" fontId="0" fillId="55" borderId="125" xfId="0" applyNumberFormat="1" applyFont="1" applyFill="1" applyBorder="1" applyAlignment="1" applyProtection="1">
      <alignment horizontal="center"/>
    </xf>
    <xf numFmtId="168" fontId="0" fillId="51" borderId="126" xfId="0" applyNumberFormat="1" applyFont="1" applyFill="1" applyBorder="1" applyAlignment="1" applyProtection="1">
      <alignment horizontal="center"/>
    </xf>
    <xf numFmtId="168" fontId="0" fillId="51" borderId="122" xfId="147" applyNumberFormat="1" applyFont="1" applyFill="1" applyBorder="1" applyAlignment="1" applyProtection="1">
      <alignment horizontal="center"/>
    </xf>
    <xf numFmtId="168" fontId="0" fillId="55" borderId="127" xfId="0" applyNumberFormat="1" applyFont="1" applyFill="1" applyBorder="1" applyAlignment="1" applyProtection="1">
      <alignment horizontal="center"/>
    </xf>
    <xf numFmtId="168" fontId="0" fillId="55" borderId="128" xfId="0" applyNumberFormat="1" applyFont="1" applyFill="1" applyBorder="1" applyAlignment="1" applyProtection="1">
      <alignment horizontal="center"/>
    </xf>
    <xf numFmtId="168" fontId="0" fillId="55" borderId="129" xfId="0" applyNumberFormat="1" applyFont="1" applyFill="1" applyBorder="1" applyAlignment="1" applyProtection="1">
      <alignment horizontal="center"/>
    </xf>
    <xf numFmtId="178" fontId="0" fillId="51" borderId="127" xfId="0" applyNumberFormat="1" applyFont="1" applyFill="1" applyBorder="1" applyAlignment="1" applyProtection="1">
      <alignment horizontal="center"/>
    </xf>
    <xf numFmtId="178" fontId="0" fillId="51" borderId="129" xfId="0" applyNumberFormat="1" applyFont="1" applyFill="1" applyBorder="1" applyAlignment="1" applyProtection="1">
      <alignment horizontal="center"/>
    </xf>
    <xf numFmtId="0" fontId="0" fillId="51" borderId="105" xfId="0" applyFont="1" applyFill="1" applyBorder="1"/>
    <xf numFmtId="168" fontId="0" fillId="51" borderId="128" xfId="0" applyNumberFormat="1" applyFont="1" applyFill="1" applyBorder="1" applyAlignment="1" applyProtection="1">
      <alignment horizontal="center"/>
    </xf>
    <xf numFmtId="168" fontId="0" fillId="55" borderId="123" xfId="0" applyNumberFormat="1" applyFont="1" applyFill="1" applyBorder="1" applyAlignment="1" applyProtection="1">
      <alignment horizontal="center"/>
    </xf>
    <xf numFmtId="168" fontId="0" fillId="55" borderId="131" xfId="0" applyNumberFormat="1" applyFont="1" applyFill="1" applyBorder="1" applyAlignment="1" applyProtection="1">
      <alignment horizontal="center"/>
    </xf>
    <xf numFmtId="168" fontId="0" fillId="55" borderId="125" xfId="0" applyNumberFormat="1" applyFont="1" applyFill="1" applyBorder="1" applyAlignment="1" applyProtection="1">
      <alignment horizontal="center"/>
    </xf>
    <xf numFmtId="168" fontId="0" fillId="51" borderId="130" xfId="0" applyNumberFormat="1" applyFont="1" applyFill="1" applyBorder="1" applyAlignment="1" applyProtection="1">
      <alignment horizontal="center"/>
    </xf>
    <xf numFmtId="168" fontId="0" fillId="51" borderId="127" xfId="0" applyNumberFormat="1" applyFont="1" applyFill="1" applyBorder="1" applyAlignment="1" applyProtection="1">
      <alignment horizontal="center"/>
    </xf>
    <xf numFmtId="168" fontId="0" fillId="51" borderId="122" xfId="0" applyNumberFormat="1" applyFont="1" applyFill="1" applyBorder="1" applyAlignment="1" applyProtection="1">
      <alignment horizontal="center"/>
    </xf>
    <xf numFmtId="0" fontId="135" fillId="92" borderId="134" xfId="116" applyFont="1" applyFill="1" applyBorder="1" applyAlignment="1"/>
    <xf numFmtId="0" fontId="135" fillId="92" borderId="135" xfId="116" applyFont="1" applyFill="1" applyBorder="1" applyAlignment="1"/>
    <xf numFmtId="0" fontId="135" fillId="92" borderId="136" xfId="116" applyFont="1" applyFill="1" applyBorder="1" applyAlignment="1"/>
    <xf numFmtId="0" fontId="130" fillId="51" borderId="137" xfId="0" applyFont="1" applyFill="1" applyBorder="1" applyAlignment="1"/>
    <xf numFmtId="0" fontId="130" fillId="51" borderId="24" xfId="0" applyFont="1" applyFill="1" applyBorder="1" applyAlignment="1"/>
    <xf numFmtId="0" fontId="136" fillId="51" borderId="137" xfId="0" applyFont="1" applyFill="1" applyBorder="1"/>
    <xf numFmtId="0" fontId="136" fillId="51" borderId="24" xfId="0" applyFont="1" applyFill="1" applyBorder="1"/>
    <xf numFmtId="0" fontId="0" fillId="51" borderId="26" xfId="0" applyFont="1" applyFill="1" applyBorder="1" applyAlignment="1">
      <alignment horizontal="center"/>
    </xf>
    <xf numFmtId="0" fontId="136" fillId="0" borderId="0" xfId="0" applyFont="1" applyFill="1" applyBorder="1"/>
    <xf numFmtId="0" fontId="137" fillId="0" borderId="0" xfId="0" applyFont="1" applyFill="1" applyBorder="1"/>
    <xf numFmtId="2" fontId="0" fillId="51" borderId="96" xfId="30" applyNumberFormat="1" applyFont="1" applyFill="1" applyBorder="1" applyAlignment="1">
      <alignment horizontal="center"/>
    </xf>
    <xf numFmtId="0" fontId="135" fillId="92" borderId="148" xfId="116" applyFont="1" applyFill="1" applyBorder="1" applyAlignment="1"/>
    <xf numFmtId="0" fontId="135" fillId="92" borderId="149" xfId="116" applyFont="1" applyFill="1" applyBorder="1" applyAlignment="1"/>
    <xf numFmtId="0" fontId="135" fillId="92" borderId="150" xfId="116" applyFont="1" applyFill="1" applyBorder="1" applyAlignment="1"/>
    <xf numFmtId="0" fontId="130" fillId="51" borderId="151" xfId="0" applyFont="1" applyFill="1" applyBorder="1" applyAlignment="1"/>
    <xf numFmtId="0" fontId="136" fillId="51" borderId="151" xfId="0" applyFont="1" applyFill="1" applyBorder="1"/>
    <xf numFmtId="0" fontId="94" fillId="51" borderId="99" xfId="0" applyFont="1" applyFill="1" applyBorder="1" applyAlignment="1">
      <alignment horizontal="center"/>
    </xf>
    <xf numFmtId="0" fontId="94" fillId="51" borderId="100" xfId="0" applyFont="1" applyFill="1" applyBorder="1" applyAlignment="1">
      <alignment horizontal="center"/>
    </xf>
    <xf numFmtId="0" fontId="94" fillId="51" borderId="157" xfId="0" applyFont="1" applyFill="1" applyBorder="1" applyAlignment="1">
      <alignment horizontal="center"/>
    </xf>
    <xf numFmtId="0" fontId="0" fillId="51" borderId="49" xfId="0" applyFont="1" applyFill="1" applyBorder="1" applyAlignment="1">
      <alignment horizontal="center"/>
    </xf>
    <xf numFmtId="2" fontId="0" fillId="51" borderId="93" xfId="0" applyNumberFormat="1" applyFont="1" applyFill="1" applyBorder="1" applyAlignment="1">
      <alignment horizontal="center"/>
    </xf>
    <xf numFmtId="2" fontId="0" fillId="51" borderId="21" xfId="0" applyNumberFormat="1" applyFont="1" applyFill="1" applyBorder="1" applyAlignment="1">
      <alignment horizontal="center"/>
    </xf>
    <xf numFmtId="181" fontId="0" fillId="51" borderId="21" xfId="0" applyNumberFormat="1" applyFont="1" applyFill="1" applyBorder="1" applyAlignment="1">
      <alignment horizontal="center"/>
    </xf>
    <xf numFmtId="2" fontId="0" fillId="51" borderId="158" xfId="0" applyNumberFormat="1" applyFont="1" applyFill="1" applyBorder="1" applyAlignment="1">
      <alignment horizontal="center"/>
    </xf>
    <xf numFmtId="0" fontId="0" fillId="51" borderId="71" xfId="0" applyFont="1" applyFill="1" applyBorder="1" applyAlignment="1">
      <alignment horizontal="center"/>
    </xf>
    <xf numFmtId="2" fontId="0" fillId="51" borderId="68" xfId="0" applyNumberFormat="1" applyFont="1" applyFill="1" applyBorder="1" applyAlignment="1">
      <alignment horizontal="center"/>
    </xf>
    <xf numFmtId="2" fontId="0" fillId="51" borderId="58" xfId="0" applyNumberFormat="1" applyFont="1" applyFill="1" applyBorder="1" applyAlignment="1">
      <alignment horizontal="center"/>
    </xf>
    <xf numFmtId="181" fontId="0" fillId="51" borderId="58" xfId="0" applyNumberFormat="1" applyFont="1" applyFill="1" applyBorder="1" applyAlignment="1">
      <alignment horizontal="center"/>
    </xf>
    <xf numFmtId="2" fontId="0" fillId="51" borderId="159" xfId="0" applyNumberFormat="1" applyFont="1" applyFill="1" applyBorder="1" applyAlignment="1">
      <alignment horizontal="center"/>
    </xf>
    <xf numFmtId="0" fontId="0" fillId="55" borderId="71" xfId="0" applyFont="1" applyFill="1" applyBorder="1" applyAlignment="1">
      <alignment horizontal="center"/>
    </xf>
    <xf numFmtId="2" fontId="0" fillId="55" borderId="68" xfId="0" applyNumberFormat="1" applyFont="1" applyFill="1" applyBorder="1" applyAlignment="1">
      <alignment horizontal="center"/>
    </xf>
    <xf numFmtId="2" fontId="0" fillId="55" borderId="58" xfId="0" applyNumberFormat="1" applyFont="1" applyFill="1" applyBorder="1" applyAlignment="1">
      <alignment horizontal="center"/>
    </xf>
    <xf numFmtId="181" fontId="0" fillId="55" borderId="58" xfId="0" applyNumberFormat="1" applyFont="1" applyFill="1" applyBorder="1" applyAlignment="1">
      <alignment horizontal="center"/>
    </xf>
    <xf numFmtId="2" fontId="0" fillId="55" borderId="159" xfId="0" applyNumberFormat="1" applyFont="1" applyFill="1" applyBorder="1" applyAlignment="1">
      <alignment horizontal="center"/>
    </xf>
    <xf numFmtId="0" fontId="0" fillId="0" borderId="162" xfId="0" applyFont="1" applyBorder="1" applyProtection="1">
      <protection locked="0"/>
    </xf>
    <xf numFmtId="0" fontId="0" fillId="55" borderId="166" xfId="0" applyFont="1" applyFill="1" applyBorder="1" applyAlignment="1">
      <alignment horizontal="center"/>
    </xf>
    <xf numFmtId="2" fontId="0" fillId="55" borderId="167" xfId="0" applyNumberFormat="1" applyFont="1" applyFill="1" applyBorder="1" applyAlignment="1">
      <alignment horizontal="center"/>
    </xf>
    <xf numFmtId="2" fontId="0" fillId="55" borderId="168" xfId="0" applyNumberFormat="1" applyFont="1" applyFill="1" applyBorder="1" applyAlignment="1">
      <alignment horizontal="center"/>
    </xf>
    <xf numFmtId="181" fontId="0" fillId="55" borderId="168" xfId="0" applyNumberFormat="1" applyFont="1" applyFill="1" applyBorder="1" applyAlignment="1">
      <alignment horizontal="center"/>
    </xf>
    <xf numFmtId="2" fontId="0" fillId="55" borderId="169" xfId="0" applyNumberFormat="1" applyFont="1" applyFill="1" applyBorder="1" applyAlignment="1">
      <alignment horizontal="center"/>
    </xf>
    <xf numFmtId="0" fontId="96" fillId="0" borderId="0" xfId="0" applyFont="1" applyAlignment="1" applyProtection="1">
      <alignment horizontal="center"/>
      <protection locked="0"/>
    </xf>
    <xf numFmtId="0" fontId="76" fillId="0" borderId="22" xfId="0" applyFont="1" applyBorder="1" applyAlignment="1" applyProtection="1">
      <alignment horizontal="center"/>
    </xf>
    <xf numFmtId="173" fontId="0" fillId="0" borderId="33" xfId="0" applyNumberFormat="1" applyFont="1" applyFill="1" applyBorder="1" applyProtection="1">
      <protection locked="0"/>
    </xf>
    <xf numFmtId="173" fontId="0" fillId="0" borderId="22" xfId="0" applyNumberFormat="1" applyFont="1" applyFill="1" applyBorder="1" applyProtection="1">
      <protection locked="0"/>
    </xf>
    <xf numFmtId="173" fontId="0" fillId="0" borderId="19" xfId="0" applyNumberFormat="1" applyFont="1" applyFill="1" applyBorder="1" applyProtection="1">
      <protection locked="0"/>
    </xf>
    <xf numFmtId="174" fontId="0" fillId="0" borderId="22" xfId="0" applyNumberFormat="1" applyFont="1" applyFill="1" applyBorder="1" applyProtection="1">
      <protection locked="0"/>
    </xf>
    <xf numFmtId="174" fontId="0" fillId="0" borderId="33" xfId="0" applyNumberFormat="1" applyFont="1" applyFill="1" applyBorder="1" applyProtection="1">
      <protection locked="0"/>
    </xf>
    <xf numFmtId="165" fontId="0" fillId="0" borderId="33" xfId="0" applyNumberFormat="1" applyFont="1" applyFill="1" applyBorder="1" applyProtection="1">
      <protection locked="0"/>
    </xf>
    <xf numFmtId="165" fontId="0" fillId="0" borderId="22" xfId="0" applyNumberFormat="1" applyFont="1" applyFill="1" applyBorder="1" applyProtection="1">
      <protection locked="0"/>
    </xf>
    <xf numFmtId="165" fontId="0" fillId="0" borderId="19" xfId="0" applyNumberFormat="1" applyFont="1" applyFill="1" applyBorder="1" applyProtection="1">
      <protection locked="0"/>
    </xf>
    <xf numFmtId="174" fontId="0" fillId="0" borderId="19" xfId="0" applyNumberFormat="1" applyFont="1" applyFill="1" applyBorder="1" applyProtection="1">
      <protection locked="0"/>
    </xf>
    <xf numFmtId="165" fontId="0" fillId="0" borderId="21" xfId="0" applyNumberFormat="1" applyFont="1" applyFill="1" applyBorder="1" applyProtection="1">
      <protection locked="0"/>
    </xf>
    <xf numFmtId="4" fontId="0" fillId="0" borderId="21" xfId="0" applyNumberFormat="1" applyFont="1" applyFill="1" applyBorder="1" applyProtection="1">
      <protection locked="0"/>
    </xf>
    <xf numFmtId="164" fontId="0" fillId="57" borderId="58" xfId="113" applyNumberFormat="1" applyFont="1" applyFill="1" applyBorder="1" applyAlignment="1" applyProtection="1">
      <alignment horizontal="center" vertical="top" wrapText="1"/>
    </xf>
    <xf numFmtId="0" fontId="0" fillId="0" borderId="18" xfId="335" applyFont="1" applyFill="1" applyBorder="1"/>
    <xf numFmtId="0" fontId="76" fillId="89" borderId="22" xfId="0" applyFont="1" applyFill="1" applyBorder="1" applyAlignment="1" applyProtection="1">
      <alignment horizontal="left" vertical="top" wrapText="1"/>
      <protection locked="0"/>
    </xf>
    <xf numFmtId="0" fontId="76" fillId="89" borderId="17" xfId="0" applyFont="1" applyFill="1" applyBorder="1" applyAlignment="1" applyProtection="1">
      <alignment vertical="top" wrapText="1"/>
      <protection locked="0"/>
    </xf>
    <xf numFmtId="167" fontId="0" fillId="34" borderId="58" xfId="0" applyNumberFormat="1" applyFont="1" applyFill="1" applyBorder="1" applyAlignment="1" applyProtection="1">
      <alignment vertical="top" wrapText="1"/>
    </xf>
    <xf numFmtId="0" fontId="27" fillId="0" borderId="102" xfId="335" applyFont="1" applyFill="1" applyBorder="1" applyAlignment="1">
      <alignment horizontal="center"/>
    </xf>
    <xf numFmtId="0" fontId="25" fillId="0" borderId="22" xfId="335" applyFont="1" applyFill="1" applyBorder="1"/>
    <xf numFmtId="10" fontId="0" fillId="40" borderId="0" xfId="41222" applyNumberFormat="1" applyFont="1" applyFill="1" applyBorder="1" applyAlignment="1">
      <alignment horizontal="center"/>
    </xf>
    <xf numFmtId="164" fontId="25" fillId="51" borderId="58" xfId="113" applyNumberFormat="1" applyFont="1" applyFill="1" applyBorder="1" applyAlignment="1" applyProtection="1">
      <alignment horizontal="center" vertical="top" wrapText="1"/>
    </xf>
    <xf numFmtId="164" fontId="27" fillId="51" borderId="58" xfId="113" applyNumberFormat="1" applyFont="1" applyFill="1" applyBorder="1" applyAlignment="1" applyProtection="1">
      <alignment horizontal="center" vertical="top" wrapText="1"/>
    </xf>
    <xf numFmtId="165" fontId="25" fillId="0" borderId="20" xfId="79" applyNumberFormat="1" applyFont="1" applyFill="1" applyBorder="1" applyProtection="1"/>
    <xf numFmtId="0" fontId="27" fillId="64" borderId="170" xfId="0" applyFont="1" applyFill="1" applyBorder="1" applyAlignment="1">
      <alignment horizontal="center" vertical="top" wrapText="1"/>
    </xf>
    <xf numFmtId="3" fontId="76" fillId="0" borderId="0" xfId="0" applyNumberFormat="1" applyFont="1" applyBorder="1"/>
    <xf numFmtId="0" fontId="138" fillId="0" borderId="0" xfId="201" applyFont="1" applyFill="1" applyBorder="1" applyAlignment="1">
      <alignment horizontal="center" vertical="top" wrapText="1"/>
    </xf>
    <xf numFmtId="0" fontId="138" fillId="0" borderId="0" xfId="0" applyFont="1" applyBorder="1"/>
    <xf numFmtId="0" fontId="138" fillId="0" borderId="0" xfId="0" applyFont="1" applyFill="1" applyBorder="1"/>
    <xf numFmtId="0" fontId="138" fillId="0" borderId="0" xfId="0" applyFont="1" applyBorder="1" applyAlignment="1">
      <alignment horizontal="left" vertical="top" wrapText="1"/>
    </xf>
    <xf numFmtId="43" fontId="76" fillId="96" borderId="0" xfId="71" applyFont="1" applyFill="1" applyBorder="1"/>
    <xf numFmtId="170" fontId="76" fillId="0" borderId="0" xfId="0" applyNumberFormat="1" applyFont="1" applyBorder="1"/>
    <xf numFmtId="0" fontId="83" fillId="0" borderId="0" xfId="121" applyFont="1" applyFill="1" applyBorder="1"/>
    <xf numFmtId="42" fontId="138" fillId="0" borderId="0" xfId="0" applyNumberFormat="1" applyFont="1" applyBorder="1" applyAlignment="1">
      <alignment horizontal="left" vertical="top" wrapText="1"/>
    </xf>
    <xf numFmtId="0" fontId="138" fillId="0" borderId="87" xfId="0" applyFont="1" applyBorder="1"/>
    <xf numFmtId="0" fontId="138" fillId="0" borderId="73" xfId="0" applyFont="1" applyBorder="1"/>
    <xf numFmtId="42" fontId="138" fillId="0" borderId="73" xfId="0" applyNumberFormat="1" applyFont="1" applyBorder="1"/>
    <xf numFmtId="0" fontId="138" fillId="0" borderId="74" xfId="0" applyFont="1" applyBorder="1"/>
    <xf numFmtId="0" fontId="138" fillId="0" borderId="20" xfId="0" applyFont="1" applyBorder="1" applyAlignment="1">
      <alignment horizontal="left" vertical="top" wrapText="1"/>
    </xf>
    <xf numFmtId="0" fontId="138" fillId="0" borderId="17" xfId="0" applyFont="1" applyBorder="1" applyAlignment="1">
      <alignment horizontal="left" vertical="top" wrapText="1"/>
    </xf>
    <xf numFmtId="0" fontId="138" fillId="0" borderId="33" xfId="0" applyFont="1" applyBorder="1"/>
    <xf numFmtId="0" fontId="138" fillId="0" borderId="22" xfId="0" applyFont="1" applyBorder="1"/>
    <xf numFmtId="0" fontId="138" fillId="0" borderId="22" xfId="0" applyFont="1" applyFill="1" applyBorder="1"/>
    <xf numFmtId="39" fontId="75" fillId="0" borderId="0" xfId="41217" applyNumberFormat="1" applyFont="1"/>
    <xf numFmtId="43" fontId="75" fillId="0" borderId="0" xfId="71" applyFont="1"/>
    <xf numFmtId="165" fontId="0" fillId="97" borderId="0" xfId="0" applyNumberFormat="1" applyFont="1" applyFill="1" applyBorder="1" applyProtection="1"/>
    <xf numFmtId="165" fontId="0" fillId="97" borderId="22" xfId="0" applyNumberFormat="1" applyFont="1" applyFill="1" applyBorder="1" applyProtection="1"/>
    <xf numFmtId="0" fontId="0" fillId="51" borderId="61" xfId="0" applyFont="1" applyFill="1" applyBorder="1" applyAlignment="1" applyProtection="1">
      <alignment horizontal="left" vertical="center"/>
      <protection locked="0"/>
    </xf>
    <xf numFmtId="168" fontId="96" fillId="55" borderId="93" xfId="0" applyNumberFormat="1" applyFont="1" applyFill="1" applyBorder="1" applyAlignment="1" applyProtection="1">
      <alignment horizontal="center"/>
    </xf>
    <xf numFmtId="168" fontId="96" fillId="55" borderId="33" xfId="0" applyNumberFormat="1" applyFont="1" applyFill="1" applyBorder="1" applyAlignment="1" applyProtection="1">
      <alignment horizontal="center"/>
    </xf>
    <xf numFmtId="168" fontId="96" fillId="55" borderId="83" xfId="0" applyNumberFormat="1" applyFont="1" applyFill="1" applyBorder="1" applyAlignment="1" applyProtection="1">
      <alignment horizontal="center"/>
    </xf>
    <xf numFmtId="168" fontId="96" fillId="55" borderId="123" xfId="0" applyNumberFormat="1" applyFont="1" applyFill="1" applyBorder="1" applyAlignment="1" applyProtection="1">
      <alignment horizontal="center"/>
    </xf>
    <xf numFmtId="168" fontId="96" fillId="55" borderId="131" xfId="0" applyNumberFormat="1" applyFont="1" applyFill="1" applyBorder="1" applyAlignment="1" applyProtection="1">
      <alignment horizontal="center"/>
    </xf>
    <xf numFmtId="168" fontId="96" fillId="55" borderId="125" xfId="0" applyNumberFormat="1" applyFont="1" applyFill="1" applyBorder="1" applyAlignment="1" applyProtection="1">
      <alignment horizontal="center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41" xfId="0" applyFont="1" applyFill="1" applyBorder="1" applyAlignment="1" applyProtection="1">
      <alignment horizontal="center" vertical="center"/>
    </xf>
    <xf numFmtId="1" fontId="138" fillId="0" borderId="22" xfId="0" applyNumberFormat="1" applyFont="1" applyFill="1" applyBorder="1"/>
    <xf numFmtId="42" fontId="138" fillId="0" borderId="22" xfId="0" applyNumberFormat="1" applyFont="1" applyFill="1" applyBorder="1"/>
    <xf numFmtId="0" fontId="138" fillId="0" borderId="19" xfId="0" applyFont="1" applyFill="1" applyBorder="1"/>
    <xf numFmtId="0" fontId="27" fillId="97" borderId="172" xfId="0" applyFont="1" applyFill="1" applyBorder="1" applyAlignment="1" applyProtection="1">
      <alignment horizontal="center" vertical="center" wrapText="1"/>
    </xf>
    <xf numFmtId="0" fontId="27" fillId="97" borderId="84" xfId="0" applyFont="1" applyFill="1" applyBorder="1" applyAlignment="1" applyProtection="1">
      <alignment horizontal="center" vertical="center" wrapText="1"/>
    </xf>
    <xf numFmtId="0" fontId="27" fillId="97" borderId="133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97" borderId="68" xfId="0" applyFont="1" applyFill="1" applyBorder="1" applyAlignment="1" applyProtection="1">
      <alignment horizontal="center"/>
    </xf>
    <xf numFmtId="0" fontId="27" fillId="97" borderId="58" xfId="0" applyFont="1" applyFill="1" applyBorder="1" applyAlignment="1" applyProtection="1">
      <alignment horizontal="center"/>
    </xf>
    <xf numFmtId="0" fontId="27" fillId="97" borderId="69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 wrapText="1"/>
    </xf>
    <xf numFmtId="0" fontId="76" fillId="51" borderId="113" xfId="0" applyFont="1" applyFill="1" applyBorder="1" applyAlignment="1" applyProtection="1">
      <alignment horizontal="center"/>
      <protection locked="0"/>
    </xf>
    <xf numFmtId="0" fontId="96" fillId="51" borderId="113" xfId="0" applyFont="1" applyFill="1" applyBorder="1"/>
    <xf numFmtId="0" fontId="0" fillId="51" borderId="113" xfId="0" applyFont="1" applyFill="1" applyBorder="1"/>
    <xf numFmtId="0" fontId="0" fillId="51" borderId="106" xfId="0" applyFont="1" applyFill="1" applyBorder="1"/>
    <xf numFmtId="0" fontId="52" fillId="97" borderId="0" xfId="0" applyFont="1" applyFill="1" applyBorder="1" applyAlignment="1">
      <alignment vertical="top" wrapText="1"/>
    </xf>
    <xf numFmtId="0" fontId="52" fillId="97" borderId="171" xfId="0" applyFont="1" applyFill="1" applyBorder="1" applyAlignment="1">
      <alignment vertical="top" wrapText="1"/>
    </xf>
    <xf numFmtId="0" fontId="0" fillId="97" borderId="0" xfId="0" applyFont="1" applyFill="1" applyBorder="1" applyProtection="1">
      <protection locked="0"/>
    </xf>
    <xf numFmtId="0" fontId="0" fillId="0" borderId="0" xfId="335" applyFont="1" applyFill="1" applyBorder="1" applyAlignment="1">
      <alignment vertical="center"/>
    </xf>
    <xf numFmtId="1" fontId="25" fillId="40" borderId="0" xfId="338" applyNumberFormat="1" applyFont="1" applyFill="1" applyBorder="1" applyAlignment="1">
      <alignment horizontal="center" vertical="center"/>
    </xf>
    <xf numFmtId="0" fontId="25" fillId="0" borderId="0" xfId="335" applyFont="1" applyFill="1" applyAlignment="1">
      <alignment vertical="center"/>
    </xf>
    <xf numFmtId="0" fontId="25" fillId="0" borderId="173" xfId="335" applyFont="1" applyFill="1" applyBorder="1" applyAlignment="1">
      <alignment vertical="center"/>
    </xf>
    <xf numFmtId="0" fontId="0" fillId="0" borderId="173" xfId="335" applyFont="1" applyFill="1" applyBorder="1" applyAlignment="1">
      <alignment vertical="center"/>
    </xf>
    <xf numFmtId="10" fontId="25" fillId="40" borderId="173" xfId="41222" applyNumberFormat="1" applyFont="1" applyFill="1" applyBorder="1" applyAlignment="1">
      <alignment horizontal="center" vertical="center"/>
    </xf>
    <xf numFmtId="165" fontId="25" fillId="40" borderId="173" xfId="338" applyNumberFormat="1" applyFont="1" applyFill="1" applyBorder="1" applyAlignment="1">
      <alignment horizontal="center" vertical="center"/>
    </xf>
    <xf numFmtId="1" fontId="25" fillId="40" borderId="173" xfId="338" applyNumberFormat="1" applyFont="1" applyFill="1" applyBorder="1" applyAlignment="1">
      <alignment horizontal="center" vertical="center"/>
    </xf>
    <xf numFmtId="174" fontId="25" fillId="40" borderId="173" xfId="338" applyNumberFormat="1" applyFont="1" applyFill="1" applyBorder="1" applyAlignment="1">
      <alignment horizontal="center" vertical="center"/>
    </xf>
    <xf numFmtId="3" fontId="25" fillId="40" borderId="0" xfId="41222" applyNumberFormat="1" applyFont="1" applyFill="1" applyBorder="1" applyAlignment="1">
      <alignment horizontal="center"/>
    </xf>
    <xf numFmtId="4" fontId="25" fillId="40" borderId="0" xfId="41222" applyNumberFormat="1" applyFont="1" applyFill="1" applyBorder="1" applyAlignment="1">
      <alignment horizontal="center"/>
    </xf>
    <xf numFmtId="193" fontId="25" fillId="40" borderId="0" xfId="41222" applyNumberFormat="1" applyFont="1" applyFill="1" applyBorder="1" applyAlignment="1">
      <alignment horizontal="center"/>
    </xf>
    <xf numFmtId="166" fontId="25" fillId="40" borderId="0" xfId="41222" applyNumberFormat="1" applyFont="1" applyFill="1" applyBorder="1" applyAlignment="1">
      <alignment horizontal="center"/>
    </xf>
    <xf numFmtId="42" fontId="94" fillId="0" borderId="0" xfId="201" applyNumberFormat="1" applyFont="1" applyFill="1" applyBorder="1" applyAlignment="1">
      <alignment horizontal="center" vertical="top" wrapText="1"/>
    </xf>
    <xf numFmtId="0" fontId="94" fillId="0" borderId="0" xfId="201" applyFont="1" applyFill="1" applyBorder="1" applyAlignment="1">
      <alignment horizontal="center" vertical="top" wrapText="1"/>
    </xf>
    <xf numFmtId="0" fontId="27" fillId="97" borderId="30" xfId="0" applyFont="1" applyFill="1" applyBorder="1" applyAlignment="1" applyProtection="1">
      <alignment horizontal="center" vertical="center"/>
    </xf>
    <xf numFmtId="43" fontId="0" fillId="0" borderId="0" xfId="71" applyFont="1" applyFill="1" applyBorder="1" applyProtection="1">
      <protection locked="0"/>
    </xf>
    <xf numFmtId="0" fontId="76" fillId="51" borderId="61" xfId="0" applyFont="1" applyFill="1" applyBorder="1" applyAlignment="1" applyProtection="1">
      <alignment horizontal="left"/>
      <protection locked="0"/>
    </xf>
    <xf numFmtId="165" fontId="0" fillId="97" borderId="0" xfId="0" applyNumberFormat="1" applyFont="1" applyFill="1" applyBorder="1" applyProtection="1">
      <protection locked="0"/>
    </xf>
    <xf numFmtId="173" fontId="0" fillId="97" borderId="17" xfId="0" applyNumberFormat="1" applyFont="1" applyFill="1" applyBorder="1" applyProtection="1">
      <protection locked="0"/>
    </xf>
    <xf numFmtId="165" fontId="0" fillId="97" borderId="22" xfId="0" applyNumberFormat="1" applyFont="1" applyFill="1" applyBorder="1" applyProtection="1">
      <protection locked="0"/>
    </xf>
    <xf numFmtId="173" fontId="0" fillId="97" borderId="19" xfId="0" applyNumberFormat="1" applyFont="1" applyFill="1" applyBorder="1" applyProtection="1">
      <protection locked="0"/>
    </xf>
    <xf numFmtId="174" fontId="0" fillId="97" borderId="0" xfId="0" applyNumberFormat="1" applyFont="1" applyFill="1" applyBorder="1" applyProtection="1">
      <protection locked="0"/>
    </xf>
    <xf numFmtId="174" fontId="0" fillId="97" borderId="22" xfId="0" applyNumberFormat="1" applyFont="1" applyFill="1" applyBorder="1" applyProtection="1">
      <protection locked="0"/>
    </xf>
    <xf numFmtId="174" fontId="0" fillId="97" borderId="33" xfId="0" applyNumberFormat="1" applyFont="1" applyFill="1" applyBorder="1" applyProtection="1">
      <protection locked="0"/>
    </xf>
    <xf numFmtId="0" fontId="27" fillId="97" borderId="38" xfId="0" applyFont="1" applyFill="1" applyBorder="1" applyAlignment="1" applyProtection="1">
      <alignment horizontal="center" vertical="center"/>
    </xf>
    <xf numFmtId="0" fontId="27" fillId="97" borderId="71" xfId="0" applyFont="1" applyFill="1" applyBorder="1" applyAlignment="1" applyProtection="1">
      <alignment horizontal="center"/>
    </xf>
    <xf numFmtId="0" fontId="27" fillId="97" borderId="175" xfId="0" applyFont="1" applyFill="1" applyBorder="1" applyAlignment="1" applyProtection="1">
      <alignment horizontal="center"/>
    </xf>
    <xf numFmtId="174" fontId="0" fillId="97" borderId="73" xfId="0" applyNumberFormat="1" applyFont="1" applyFill="1" applyBorder="1" applyProtection="1">
      <protection locked="0"/>
    </xf>
    <xf numFmtId="174" fontId="0" fillId="97" borderId="74" xfId="0" applyNumberFormat="1" applyFont="1" applyFill="1" applyBorder="1" applyProtection="1">
      <protection locked="0"/>
    </xf>
    <xf numFmtId="174" fontId="0" fillId="97" borderId="17" xfId="0" applyNumberFormat="1" applyFont="1" applyFill="1" applyBorder="1" applyProtection="1">
      <protection locked="0"/>
    </xf>
    <xf numFmtId="174" fontId="0" fillId="97" borderId="19" xfId="0" applyNumberFormat="1" applyFont="1" applyFill="1" applyBorder="1" applyProtection="1">
      <protection locked="0"/>
    </xf>
    <xf numFmtId="173" fontId="0" fillId="97" borderId="18" xfId="0" applyNumberFormat="1" applyFont="1" applyFill="1" applyBorder="1" applyProtection="1">
      <protection locked="0"/>
    </xf>
    <xf numFmtId="173" fontId="0" fillId="97" borderId="21" xfId="0" applyNumberFormat="1" applyFont="1" applyFill="1" applyBorder="1" applyProtection="1">
      <protection locked="0"/>
    </xf>
    <xf numFmtId="194" fontId="0" fillId="0" borderId="0" xfId="71" applyNumberFormat="1" applyFont="1" applyFill="1" applyBorder="1" applyProtection="1">
      <protection locked="0"/>
    </xf>
    <xf numFmtId="195" fontId="0" fillId="0" borderId="0" xfId="71" applyNumberFormat="1" applyFont="1" applyFill="1" applyBorder="1" applyProtection="1">
      <protection locked="0"/>
    </xf>
    <xf numFmtId="44" fontId="27" fillId="39" borderId="58" xfId="79" applyFont="1" applyFill="1" applyBorder="1" applyAlignment="1" applyProtection="1">
      <alignment horizontal="center" vertical="center" wrapText="1"/>
      <protection locked="0"/>
    </xf>
    <xf numFmtId="0" fontId="71" fillId="0" borderId="0" xfId="41225" applyFont="1"/>
    <xf numFmtId="0" fontId="0" fillId="0" borderId="0" xfId="0" applyFont="1" applyAlignment="1" applyProtection="1">
      <alignment horizontal="center" vertical="center"/>
      <protection locked="0"/>
    </xf>
    <xf numFmtId="192" fontId="71" fillId="0" borderId="0" xfId="41216" applyNumberFormat="1" applyFont="1" applyFill="1" applyBorder="1"/>
    <xf numFmtId="0" fontId="72" fillId="0" borderId="114" xfId="41216" applyFont="1" applyBorder="1" applyAlignment="1">
      <alignment horizontal="right"/>
    </xf>
    <xf numFmtId="44" fontId="76" fillId="0" borderId="0" xfId="305" applyNumberFormat="1" applyFont="1" applyFill="1" applyBorder="1"/>
    <xf numFmtId="192" fontId="75" fillId="0" borderId="0" xfId="41217" applyNumberFormat="1" applyFont="1"/>
    <xf numFmtId="0" fontId="0" fillId="0" borderId="18" xfId="42638" applyFont="1" applyFill="1" applyBorder="1"/>
    <xf numFmtId="166" fontId="76" fillId="0" borderId="0" xfId="147" applyNumberFormat="1" applyFont="1" applyFill="1" applyBorder="1"/>
    <xf numFmtId="188" fontId="71" fillId="0" borderId="0" xfId="41216" applyNumberFormat="1" applyFont="1" applyFill="1"/>
    <xf numFmtId="172" fontId="75" fillId="0" borderId="0" xfId="71" applyNumberFormat="1" applyFont="1" applyFill="1"/>
    <xf numFmtId="165" fontId="76" fillId="0" borderId="0" xfId="305" applyNumberFormat="1" applyFont="1" applyFill="1" applyBorder="1"/>
    <xf numFmtId="165" fontId="141" fillId="0" borderId="0" xfId="305" applyNumberFormat="1" applyFont="1" applyFill="1" applyBorder="1"/>
    <xf numFmtId="10" fontId="76" fillId="0" borderId="0" xfId="147" applyNumberFormat="1" applyFont="1" applyFill="1" applyBorder="1" applyAlignment="1">
      <alignment horizontal="center"/>
    </xf>
    <xf numFmtId="44" fontId="76" fillId="0" borderId="0" xfId="79" applyFont="1" applyFill="1" applyBorder="1"/>
    <xf numFmtId="44" fontId="58" fillId="0" borderId="0" xfId="79" applyFont="1" applyFill="1" applyBorder="1"/>
    <xf numFmtId="0" fontId="71" fillId="0" borderId="24" xfId="0" applyFont="1" applyBorder="1"/>
    <xf numFmtId="171" fontId="142" fillId="0" borderId="0" xfId="71" applyNumberFormat="1" applyFont="1" applyBorder="1"/>
    <xf numFmtId="171" fontId="71" fillId="0" borderId="17" xfId="71" applyNumberFormat="1" applyFont="1" applyBorder="1"/>
    <xf numFmtId="170" fontId="142" fillId="38" borderId="0" xfId="79" applyNumberFormat="1" applyFont="1" applyFill="1" applyBorder="1"/>
    <xf numFmtId="196" fontId="71" fillId="38" borderId="17" xfId="147" applyNumberFormat="1" applyFont="1" applyFill="1" applyBorder="1"/>
    <xf numFmtId="170" fontId="71" fillId="38" borderId="0" xfId="79" applyNumberFormat="1" applyFont="1" applyFill="1" applyBorder="1"/>
    <xf numFmtId="170" fontId="142" fillId="0" borderId="0" xfId="79" applyNumberFormat="1" applyFont="1" applyBorder="1"/>
    <xf numFmtId="196" fontId="71" fillId="0" borderId="33" xfId="147" applyNumberFormat="1" applyFont="1" applyBorder="1"/>
    <xf numFmtId="170" fontId="71" fillId="0" borderId="24" xfId="79" applyNumberFormat="1" applyFont="1" applyBorder="1"/>
    <xf numFmtId="170" fontId="71" fillId="0" borderId="0" xfId="79" applyNumberFormat="1" applyFont="1" applyFill="1" applyBorder="1"/>
    <xf numFmtId="0" fontId="71" fillId="0" borderId="82" xfId="0" applyFont="1" applyBorder="1"/>
    <xf numFmtId="0" fontId="71" fillId="0" borderId="83" xfId="0" applyFont="1" applyBorder="1"/>
    <xf numFmtId="196" fontId="75" fillId="0" borderId="171" xfId="42639" applyNumberFormat="1" applyFont="1" applyBorder="1"/>
    <xf numFmtId="170" fontId="75" fillId="0" borderId="45" xfId="42639" applyNumberFormat="1" applyFont="1" applyBorder="1"/>
    <xf numFmtId="170" fontId="75" fillId="0" borderId="49" xfId="79" applyNumberFormat="1" applyFont="1" applyBorder="1"/>
    <xf numFmtId="170" fontId="75" fillId="0" borderId="24" xfId="79" applyNumberFormat="1" applyFont="1" applyBorder="1"/>
    <xf numFmtId="2" fontId="143" fillId="0" borderId="114" xfId="42639" applyNumberFormat="1" applyFont="1" applyBorder="1" applyAlignment="1">
      <alignment horizontal="center"/>
    </xf>
    <xf numFmtId="0" fontId="75" fillId="0" borderId="0" xfId="42639" applyFont="1"/>
    <xf numFmtId="0" fontId="143" fillId="0" borderId="49" xfId="0" applyFont="1" applyBorder="1" applyAlignment="1">
      <alignment wrapText="1"/>
    </xf>
    <xf numFmtId="0" fontId="143" fillId="0" borderId="33" xfId="0" applyFont="1" applyBorder="1" applyAlignment="1">
      <alignment wrapText="1"/>
    </xf>
    <xf numFmtId="0" fontId="143" fillId="0" borderId="22" xfId="0" applyFont="1" applyBorder="1" applyAlignment="1">
      <alignment wrapText="1"/>
    </xf>
    <xf numFmtId="0" fontId="143" fillId="0" borderId="19" xfId="0" applyFont="1" applyBorder="1" applyAlignment="1">
      <alignment horizontal="center" wrapText="1"/>
    </xf>
    <xf numFmtId="0" fontId="143" fillId="0" borderId="22" xfId="0" applyFont="1" applyBorder="1" applyAlignment="1">
      <alignment horizontal="center" wrapText="1"/>
    </xf>
    <xf numFmtId="0" fontId="143" fillId="0" borderId="33" xfId="0" applyFont="1" applyBorder="1" applyAlignment="1">
      <alignment horizontal="center" wrapText="1"/>
    </xf>
    <xf numFmtId="0" fontId="143" fillId="0" borderId="83" xfId="0" applyFont="1" applyBorder="1" applyAlignment="1">
      <alignment wrapText="1"/>
    </xf>
    <xf numFmtId="10" fontId="75" fillId="0" borderId="0" xfId="42639" applyNumberFormat="1" applyFont="1"/>
    <xf numFmtId="0" fontId="75" fillId="0" borderId="114" xfId="42639" applyFont="1" applyBorder="1"/>
    <xf numFmtId="0" fontId="75" fillId="0" borderId="115" xfId="42639" applyFont="1" applyBorder="1"/>
    <xf numFmtId="0" fontId="75" fillId="0" borderId="27" xfId="42639" applyFont="1" applyBorder="1"/>
    <xf numFmtId="0" fontId="143" fillId="0" borderId="53" xfId="42639" applyFont="1" applyBorder="1" applyAlignment="1"/>
    <xf numFmtId="0" fontId="75" fillId="0" borderId="28" xfId="42639" applyFont="1" applyBorder="1"/>
    <xf numFmtId="0" fontId="75" fillId="0" borderId="29" xfId="42639" applyFont="1" applyBorder="1"/>
    <xf numFmtId="0" fontId="143" fillId="0" borderId="24" xfId="42639" applyFont="1" applyBorder="1" applyAlignment="1">
      <alignment horizontal="center"/>
    </xf>
    <xf numFmtId="0" fontId="143" fillId="0" borderId="49" xfId="42639" applyFont="1" applyBorder="1" applyAlignment="1">
      <alignment horizontal="center"/>
    </xf>
    <xf numFmtId="0" fontId="143" fillId="0" borderId="22" xfId="42639" applyFont="1" applyBorder="1" applyAlignment="1">
      <alignment horizontal="center"/>
    </xf>
    <xf numFmtId="0" fontId="75" fillId="0" borderId="70" xfId="42639" applyFont="1" applyBorder="1"/>
    <xf numFmtId="170" fontId="75" fillId="0" borderId="22" xfId="79" applyNumberFormat="1" applyFont="1" applyBorder="1"/>
    <xf numFmtId="0" fontId="71" fillId="0" borderId="69" xfId="0" applyFont="1" applyBorder="1"/>
    <xf numFmtId="0" fontId="75" fillId="0" borderId="176" xfId="42639" applyFont="1" applyBorder="1"/>
    <xf numFmtId="0" fontId="75" fillId="0" borderId="175" xfId="42639" applyFont="1" applyBorder="1"/>
    <xf numFmtId="0" fontId="75" fillId="0" borderId="24" xfId="42639" applyFont="1" applyBorder="1"/>
    <xf numFmtId="0" fontId="75" fillId="0" borderId="20" xfId="42639" applyFont="1" applyBorder="1"/>
    <xf numFmtId="0" fontId="75" fillId="0" borderId="0" xfId="42639" applyFont="1" applyBorder="1"/>
    <xf numFmtId="0" fontId="75" fillId="0" borderId="26" xfId="42639" applyFont="1" applyBorder="1"/>
    <xf numFmtId="170" fontId="75" fillId="0" borderId="0" xfId="79" applyNumberFormat="1" applyFont="1" applyBorder="1"/>
    <xf numFmtId="0" fontId="75" fillId="0" borderId="49" xfId="42639" applyFont="1" applyBorder="1"/>
    <xf numFmtId="0" fontId="143" fillId="0" borderId="114" xfId="42639" applyFont="1" applyBorder="1"/>
    <xf numFmtId="2" fontId="143" fillId="0" borderId="171" xfId="42639" applyNumberFormat="1" applyFont="1" applyBorder="1" applyAlignment="1">
      <alignment horizontal="center"/>
    </xf>
    <xf numFmtId="0" fontId="144" fillId="0" borderId="0" xfId="42639" applyFont="1"/>
    <xf numFmtId="0" fontId="145" fillId="0" borderId="0" xfId="42639" applyFont="1"/>
    <xf numFmtId="44" fontId="82" fillId="0" borderId="0" xfId="79" applyFont="1" applyFill="1" applyBorder="1"/>
    <xf numFmtId="170" fontId="82" fillId="0" borderId="0" xfId="79" applyNumberFormat="1" applyFont="1" applyFill="1" applyBorder="1"/>
    <xf numFmtId="170" fontId="82" fillId="0" borderId="0" xfId="305" applyNumberFormat="1" applyFont="1" applyFill="1" applyBorder="1"/>
    <xf numFmtId="196" fontId="76" fillId="0" borderId="0" xfId="147" applyNumberFormat="1" applyFont="1" applyFill="1" applyBorder="1"/>
    <xf numFmtId="197" fontId="74" fillId="0" borderId="0" xfId="79" applyNumberFormat="1" applyFont="1" applyFill="1" applyBorder="1"/>
    <xf numFmtId="167" fontId="25" fillId="0" borderId="0" xfId="0" applyNumberFormat="1" applyFont="1" applyFill="1" applyAlignment="1" applyProtection="1">
      <alignment horizontal="right"/>
      <protection locked="0"/>
    </xf>
    <xf numFmtId="167" fontId="25" fillId="0" borderId="0" xfId="0" applyNumberFormat="1" applyFont="1" applyAlignment="1" applyProtection="1">
      <alignment horizontal="right" vertical="center"/>
      <protection locked="0"/>
    </xf>
    <xf numFmtId="175" fontId="25" fillId="0" borderId="0" xfId="79" applyNumberFormat="1" applyFont="1" applyFill="1" applyBorder="1" applyAlignment="1" applyProtection="1">
      <protection locked="0"/>
    </xf>
    <xf numFmtId="175" fontId="25" fillId="0" borderId="0" xfId="0" applyNumberFormat="1" applyFont="1" applyFill="1" applyAlignment="1" applyProtection="1">
      <protection locked="0"/>
    </xf>
    <xf numFmtId="198" fontId="27" fillId="0" borderId="0" xfId="0" applyNumberFormat="1" applyFont="1" applyFill="1" applyAlignment="1" applyProtection="1">
      <protection locked="0"/>
    </xf>
    <xf numFmtId="167" fontId="27" fillId="0" borderId="0" xfId="0" applyNumberFormat="1" applyFont="1" applyAlignment="1" applyProtection="1">
      <alignment horizontal="right" vertical="center"/>
      <protection locked="0"/>
    </xf>
    <xf numFmtId="174" fontId="25" fillId="0" borderId="0" xfId="0" applyNumberFormat="1" applyFont="1" applyFill="1" applyBorder="1" applyAlignment="1" applyProtection="1">
      <alignment horizontal="center" vertical="center"/>
      <protection locked="0"/>
    </xf>
    <xf numFmtId="43" fontId="0" fillId="0" borderId="0" xfId="0" applyNumberFormat="1" applyFill="1"/>
    <xf numFmtId="167" fontId="25" fillId="0" borderId="0" xfId="0" applyNumberFormat="1" applyFont="1" applyFill="1" applyBorder="1" applyAlignment="1" applyProtection="1">
      <alignment horizontal="center" vertical="center"/>
      <protection locked="0"/>
    </xf>
    <xf numFmtId="170" fontId="72" fillId="0" borderId="171" xfId="79" applyNumberFormat="1" applyFont="1" applyFill="1" applyBorder="1"/>
    <xf numFmtId="170" fontId="72" fillId="0" borderId="115" xfId="79" applyNumberFormat="1" applyFont="1" applyFill="1" applyBorder="1"/>
    <xf numFmtId="170" fontId="89" fillId="0" borderId="171" xfId="79" applyNumberFormat="1" applyFont="1" applyFill="1" applyBorder="1"/>
    <xf numFmtId="170" fontId="72" fillId="0" borderId="26" xfId="79" applyNumberFormat="1" applyFont="1" applyBorder="1"/>
    <xf numFmtId="0" fontId="143" fillId="0" borderId="58" xfId="0" applyFont="1" applyBorder="1" applyAlignment="1">
      <alignment horizontal="center" wrapText="1"/>
    </xf>
    <xf numFmtId="170" fontId="71" fillId="0" borderId="18" xfId="79" applyNumberFormat="1" applyFont="1" applyBorder="1"/>
    <xf numFmtId="170" fontId="71" fillId="38" borderId="18" xfId="79" applyNumberFormat="1" applyFont="1" applyFill="1" applyBorder="1"/>
    <xf numFmtId="170" fontId="71" fillId="0" borderId="21" xfId="79" applyNumberFormat="1" applyFont="1" applyBorder="1"/>
    <xf numFmtId="170" fontId="75" fillId="0" borderId="104" xfId="42639" applyNumberFormat="1" applyFont="1" applyBorder="1"/>
    <xf numFmtId="170" fontId="75" fillId="0" borderId="0" xfId="42639" applyNumberFormat="1" applyFont="1"/>
    <xf numFmtId="0" fontId="146" fillId="0" borderId="22" xfId="0" applyFont="1" applyBorder="1" applyAlignment="1">
      <alignment horizontal="center" wrapText="1"/>
    </xf>
    <xf numFmtId="170" fontId="142" fillId="0" borderId="73" xfId="79" applyNumberFormat="1" applyFont="1" applyBorder="1"/>
    <xf numFmtId="170" fontId="147" fillId="0" borderId="46" xfId="42639" applyNumberFormat="1" applyFont="1" applyBorder="1"/>
    <xf numFmtId="0" fontId="71" fillId="0" borderId="24" xfId="41216" applyFont="1" applyFill="1" applyBorder="1"/>
    <xf numFmtId="39" fontId="140" fillId="0" borderId="0" xfId="41216" applyNumberFormat="1" applyFont="1" applyFill="1" applyBorder="1" applyAlignment="1">
      <alignment horizontal="center"/>
    </xf>
    <xf numFmtId="192" fontId="140" fillId="0" borderId="0" xfId="79" applyNumberFormat="1" applyFont="1" applyFill="1" applyBorder="1"/>
    <xf numFmtId="192" fontId="140" fillId="0" borderId="0" xfId="41216" applyNumberFormat="1" applyFont="1" applyFill="1" applyBorder="1"/>
    <xf numFmtId="192" fontId="140" fillId="0" borderId="0" xfId="41216" applyNumberFormat="1" applyFont="1" applyFill="1" applyBorder="1" applyAlignment="1"/>
    <xf numFmtId="192" fontId="140" fillId="0" borderId="0" xfId="71" applyNumberFormat="1" applyFont="1" applyFill="1" applyBorder="1" applyAlignment="1"/>
    <xf numFmtId="192" fontId="140" fillId="0" borderId="0" xfId="41219" applyNumberFormat="1" applyFont="1" applyFill="1" applyBorder="1" applyAlignment="1"/>
    <xf numFmtId="192" fontId="140" fillId="0" borderId="26" xfId="41216" applyNumberFormat="1" applyFont="1" applyFill="1" applyBorder="1"/>
    <xf numFmtId="39" fontId="89" fillId="0" borderId="171" xfId="41216" applyNumberFormat="1" applyFont="1" applyFill="1" applyBorder="1" applyAlignment="1">
      <alignment horizontal="center"/>
    </xf>
    <xf numFmtId="192" fontId="89" fillId="0" borderId="171" xfId="79" applyNumberFormat="1" applyFont="1" applyFill="1" applyBorder="1"/>
    <xf numFmtId="192" fontId="89" fillId="0" borderId="171" xfId="41219" applyNumberFormat="1" applyFont="1" applyFill="1" applyBorder="1" applyAlignment="1"/>
    <xf numFmtId="192" fontId="89" fillId="0" borderId="171" xfId="71" applyNumberFormat="1" applyFont="1" applyFill="1" applyBorder="1" applyAlignment="1"/>
    <xf numFmtId="192" fontId="89" fillId="0" borderId="171" xfId="41219" applyNumberFormat="1" applyFont="1" applyFill="1" applyBorder="1"/>
    <xf numFmtId="192" fontId="89" fillId="0" borderId="115" xfId="41219" applyNumberFormat="1" applyFont="1" applyFill="1" applyBorder="1"/>
    <xf numFmtId="10" fontId="74" fillId="0" borderId="0" xfId="147" applyNumberFormat="1" applyFont="1" applyFill="1"/>
    <xf numFmtId="170" fontId="74" fillId="0" borderId="178" xfId="79" applyNumberFormat="1" applyFont="1" applyBorder="1"/>
    <xf numFmtId="170" fontId="89" fillId="0" borderId="178" xfId="79" applyNumberFormat="1" applyFont="1" applyFill="1" applyBorder="1"/>
    <xf numFmtId="170" fontId="89" fillId="0" borderId="17" xfId="79" applyNumberFormat="1" applyFont="1" applyFill="1" applyBorder="1"/>
    <xf numFmtId="170" fontId="74" fillId="0" borderId="178" xfId="79" applyNumberFormat="1" applyFont="1" applyFill="1" applyBorder="1"/>
    <xf numFmtId="170" fontId="74" fillId="0" borderId="17" xfId="79" applyNumberFormat="1" applyFont="1" applyFill="1" applyBorder="1"/>
    <xf numFmtId="0" fontId="74" fillId="0" borderId="178" xfId="41216" applyFont="1" applyBorder="1"/>
    <xf numFmtId="0" fontId="74" fillId="0" borderId="17" xfId="41216" applyFont="1" applyBorder="1"/>
    <xf numFmtId="170" fontId="74" fillId="0" borderId="17" xfId="79" applyNumberFormat="1" applyFont="1" applyBorder="1"/>
    <xf numFmtId="0" fontId="71" fillId="0" borderId="178" xfId="41216" applyFont="1" applyBorder="1"/>
    <xf numFmtId="170" fontId="71" fillId="0" borderId="178" xfId="79" applyNumberFormat="1" applyFont="1" applyBorder="1"/>
    <xf numFmtId="170" fontId="72" fillId="0" borderId="17" xfId="79" applyNumberFormat="1" applyFont="1" applyBorder="1"/>
    <xf numFmtId="170" fontId="72" fillId="0" borderId="178" xfId="79" applyNumberFormat="1" applyFont="1" applyFill="1" applyBorder="1"/>
    <xf numFmtId="170" fontId="72" fillId="0" borderId="17" xfId="79" applyNumberFormat="1" applyFont="1" applyFill="1" applyBorder="1"/>
    <xf numFmtId="0" fontId="74" fillId="0" borderId="39" xfId="41216" applyFont="1" applyBorder="1"/>
    <xf numFmtId="0" fontId="74" fillId="0" borderId="180" xfId="41216" applyFont="1" applyBorder="1"/>
    <xf numFmtId="170" fontId="74" fillId="0" borderId="39" xfId="79" applyNumberFormat="1" applyFont="1" applyBorder="1"/>
    <xf numFmtId="170" fontId="74" fillId="0" borderId="180" xfId="79" applyNumberFormat="1" applyFont="1" applyBorder="1"/>
    <xf numFmtId="170" fontId="89" fillId="0" borderId="39" xfId="79" applyNumberFormat="1" applyFont="1" applyFill="1" applyBorder="1"/>
    <xf numFmtId="170" fontId="89" fillId="0" borderId="180" xfId="79" applyNumberFormat="1" applyFont="1" applyFill="1" applyBorder="1"/>
    <xf numFmtId="170" fontId="74" fillId="0" borderId="39" xfId="79" applyNumberFormat="1" applyFont="1" applyFill="1" applyBorder="1"/>
    <xf numFmtId="170" fontId="74" fillId="0" borderId="180" xfId="79" applyNumberFormat="1" applyFont="1" applyFill="1" applyBorder="1"/>
    <xf numFmtId="0" fontId="72" fillId="0" borderId="17" xfId="41216" applyFont="1" applyBorder="1"/>
    <xf numFmtId="0" fontId="89" fillId="0" borderId="73" xfId="41216" applyFont="1" applyBorder="1" applyAlignment="1">
      <alignment horizontal="center"/>
    </xf>
    <xf numFmtId="0" fontId="7" fillId="0" borderId="26" xfId="41217" applyFont="1" applyBorder="1"/>
    <xf numFmtId="170" fontId="72" fillId="0" borderId="51" xfId="79" applyNumberFormat="1" applyFont="1" applyBorder="1"/>
    <xf numFmtId="170" fontId="72" fillId="0" borderId="51" xfId="79" applyNumberFormat="1" applyFont="1" applyFill="1" applyBorder="1"/>
    <xf numFmtId="170" fontId="72" fillId="0" borderId="91" xfId="79" applyNumberFormat="1" applyFont="1" applyFill="1" applyBorder="1"/>
    <xf numFmtId="170" fontId="89" fillId="0" borderId="92" xfId="79" applyNumberFormat="1" applyFont="1" applyFill="1" applyBorder="1"/>
    <xf numFmtId="170" fontId="89" fillId="0" borderId="40" xfId="79" applyNumberFormat="1" applyFont="1" applyFill="1" applyBorder="1"/>
    <xf numFmtId="170" fontId="89" fillId="0" borderId="179" xfId="79" applyNumberFormat="1" applyFont="1" applyFill="1" applyBorder="1"/>
    <xf numFmtId="170" fontId="72" fillId="0" borderId="97" xfId="79" applyNumberFormat="1" applyFont="1" applyFill="1" applyBorder="1"/>
    <xf numFmtId="170" fontId="89" fillId="0" borderId="97" xfId="79" applyNumberFormat="1" applyFont="1" applyFill="1" applyBorder="1"/>
    <xf numFmtId="170" fontId="72" fillId="0" borderId="92" xfId="79" applyNumberFormat="1" applyFont="1" applyFill="1" applyBorder="1"/>
    <xf numFmtId="0" fontId="83" fillId="0" borderId="178" xfId="121" applyFont="1" applyFill="1" applyBorder="1" applyAlignment="1">
      <alignment horizontal="left"/>
    </xf>
    <xf numFmtId="0" fontId="94" fillId="0" borderId="22" xfId="41215" applyFont="1" applyFill="1" applyBorder="1" applyAlignment="1">
      <alignment horizontal="center" vertical="center" wrapText="1"/>
    </xf>
    <xf numFmtId="0" fontId="148" fillId="0" borderId="0" xfId="42639" applyFont="1"/>
    <xf numFmtId="196" fontId="71" fillId="0" borderId="17" xfId="147" applyNumberFormat="1" applyFont="1" applyBorder="1" applyAlignment="1">
      <alignment horizontal="right"/>
    </xf>
    <xf numFmtId="9" fontId="71" fillId="0" borderId="0" xfId="147" applyFont="1" applyBorder="1" applyAlignment="1">
      <alignment horizontal="right"/>
    </xf>
    <xf numFmtId="9" fontId="71" fillId="0" borderId="18" xfId="147" applyFont="1" applyBorder="1" applyAlignment="1">
      <alignment horizontal="right"/>
    </xf>
    <xf numFmtId="196" fontId="71" fillId="0" borderId="19" xfId="147" applyNumberFormat="1" applyFont="1" applyBorder="1" applyAlignment="1">
      <alignment horizontal="right"/>
    </xf>
    <xf numFmtId="196" fontId="75" fillId="0" borderId="171" xfId="42639" applyNumberFormat="1" applyFont="1" applyBorder="1" applyAlignment="1">
      <alignment horizontal="right"/>
    </xf>
    <xf numFmtId="1" fontId="25" fillId="0" borderId="0" xfId="0" applyNumberFormat="1" applyFont="1" applyFill="1" applyProtection="1">
      <protection locked="0"/>
    </xf>
    <xf numFmtId="165" fontId="0" fillId="0" borderId="0" xfId="0" applyNumberFormat="1" applyFont="1" applyFill="1" applyProtection="1">
      <protection locked="0"/>
    </xf>
    <xf numFmtId="2" fontId="25" fillId="0" borderId="0" xfId="0" applyNumberFormat="1" applyFont="1" applyFill="1" applyBorder="1" applyAlignment="1" applyProtection="1">
      <alignment horizontal="center" vertical="center"/>
      <protection locked="0"/>
    </xf>
    <xf numFmtId="169" fontId="25" fillId="0" borderId="0" xfId="79" applyNumberFormat="1" applyFont="1" applyBorder="1" applyAlignment="1" applyProtection="1">
      <alignment horizontal="center" vertical="center"/>
      <protection locked="0"/>
    </xf>
    <xf numFmtId="43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NumberFormat="1" applyFont="1" applyFill="1" applyAlignment="1" applyProtection="1">
      <alignment horizontal="center"/>
      <protection locked="0"/>
    </xf>
    <xf numFmtId="1" fontId="27" fillId="0" borderId="0" xfId="0" applyNumberFormat="1" applyFont="1" applyFill="1" applyAlignment="1" applyProtection="1">
      <alignment horizontal="center"/>
      <protection locked="0"/>
    </xf>
    <xf numFmtId="200" fontId="27" fillId="0" borderId="0" xfId="79" applyNumberFormat="1" applyFont="1" applyFill="1" applyBorder="1" applyAlignment="1" applyProtection="1">
      <protection locked="0"/>
    </xf>
    <xf numFmtId="9" fontId="25" fillId="40" borderId="0" xfId="147" applyFont="1" applyFill="1" applyBorder="1" applyAlignment="1">
      <alignment horizontal="center"/>
    </xf>
    <xf numFmtId="170" fontId="74" fillId="0" borderId="178" xfId="79" applyNumberFormat="1" applyFont="1" applyBorder="1" applyAlignment="1">
      <alignment horizontal="left"/>
    </xf>
    <xf numFmtId="0" fontId="74" fillId="0" borderId="51" xfId="41216" applyFont="1" applyBorder="1"/>
    <xf numFmtId="171" fontId="71" fillId="0" borderId="178" xfId="71" applyNumberFormat="1" applyFont="1" applyBorder="1"/>
    <xf numFmtId="196" fontId="71" fillId="0" borderId="178" xfId="147" applyNumberFormat="1" applyFont="1" applyBorder="1"/>
    <xf numFmtId="196" fontId="71" fillId="38" borderId="178" xfId="147" applyNumberFormat="1" applyFont="1" applyFill="1" applyBorder="1"/>
    <xf numFmtId="170" fontId="71" fillId="38" borderId="45" xfId="79" applyNumberFormat="1" applyFont="1" applyFill="1" applyBorder="1"/>
    <xf numFmtId="170" fontId="71" fillId="38" borderId="46" xfId="79" applyNumberFormat="1" applyFont="1" applyFill="1" applyBorder="1"/>
    <xf numFmtId="170" fontId="71" fillId="38" borderId="52" xfId="79" applyNumberFormat="1" applyFont="1" applyFill="1" applyBorder="1"/>
    <xf numFmtId="0" fontId="75" fillId="0" borderId="45" xfId="42639" applyFont="1" applyBorder="1"/>
    <xf numFmtId="0" fontId="75" fillId="0" borderId="46" xfId="42639" applyFont="1" applyBorder="1"/>
    <xf numFmtId="0" fontId="75" fillId="0" borderId="47" xfId="42639" applyFont="1" applyBorder="1"/>
    <xf numFmtId="170" fontId="76" fillId="0" borderId="22" xfId="79" applyNumberFormat="1" applyFont="1" applyFill="1" applyBorder="1" applyAlignment="1">
      <alignment horizontal="center"/>
    </xf>
    <xf numFmtId="170" fontId="76" fillId="0" borderId="22" xfId="305" applyNumberFormat="1" applyFont="1" applyFill="1" applyBorder="1"/>
    <xf numFmtId="170" fontId="82" fillId="0" borderId="22" xfId="305" applyNumberFormat="1" applyFont="1" applyFill="1" applyBorder="1"/>
    <xf numFmtId="0" fontId="82" fillId="0" borderId="18" xfId="41215" applyFont="1" applyFill="1" applyBorder="1" applyAlignment="1">
      <alignment horizontal="center" vertical="center" wrapText="1"/>
    </xf>
    <xf numFmtId="175" fontId="0" fillId="0" borderId="0" xfId="0" quotePrefix="1" applyNumberFormat="1" applyFont="1" applyFill="1" applyAlignment="1" applyProtection="1">
      <protection locked="0"/>
    </xf>
    <xf numFmtId="3" fontId="96" fillId="0" borderId="0" xfId="0" applyNumberFormat="1" applyFont="1" applyAlignment="1">
      <alignment horizontal="center"/>
    </xf>
    <xf numFmtId="0" fontId="27" fillId="0" borderId="73" xfId="0" applyFont="1" applyBorder="1"/>
    <xf numFmtId="0" fontId="27" fillId="0" borderId="80" xfId="0" applyFont="1" applyBorder="1"/>
    <xf numFmtId="166" fontId="27" fillId="0" borderId="0" xfId="0" applyNumberFormat="1" applyFont="1" applyAlignment="1">
      <alignment horizontal="center"/>
    </xf>
    <xf numFmtId="176" fontId="27" fillId="0" borderId="178" xfId="0" applyNumberFormat="1" applyFont="1" applyBorder="1"/>
    <xf numFmtId="176" fontId="27" fillId="0" borderId="0" xfId="0" applyNumberFormat="1" applyFont="1"/>
    <xf numFmtId="189" fontId="27" fillId="0" borderId="17" xfId="0" applyNumberFormat="1" applyFont="1" applyBorder="1" applyAlignment="1">
      <alignment horizontal="center"/>
    </xf>
    <xf numFmtId="10" fontId="27" fillId="0" borderId="0" xfId="0" applyNumberFormat="1" applyFont="1"/>
    <xf numFmtId="10" fontId="27" fillId="0" borderId="17" xfId="0" applyNumberFormat="1" applyFont="1" applyBorder="1"/>
    <xf numFmtId="0" fontId="27" fillId="0" borderId="0" xfId="0" applyFont="1"/>
    <xf numFmtId="0" fontId="27" fillId="0" borderId="17" xfId="0" applyFont="1" applyBorder="1"/>
    <xf numFmtId="0" fontId="0" fillId="0" borderId="0" xfId="0" applyFont="1"/>
    <xf numFmtId="166" fontId="0" fillId="0" borderId="0" xfId="0" applyNumberFormat="1" applyFont="1"/>
    <xf numFmtId="9" fontId="0" fillId="0" borderId="22" xfId="124" applyNumberFormat="1" applyFont="1" applyBorder="1"/>
    <xf numFmtId="9" fontId="0" fillId="0" borderId="19" xfId="124" applyNumberFormat="1" applyFont="1" applyBorder="1"/>
    <xf numFmtId="189" fontId="0" fillId="0" borderId="0" xfId="0" applyNumberFormat="1" applyFont="1"/>
    <xf numFmtId="166" fontId="27" fillId="0" borderId="22" xfId="0" applyNumberFormat="1" applyFont="1" applyBorder="1"/>
    <xf numFmtId="0" fontId="27" fillId="0" borderId="33" xfId="0" applyFont="1" applyBorder="1"/>
    <xf numFmtId="0" fontId="27" fillId="0" borderId="22" xfId="0" applyFont="1" applyBorder="1"/>
    <xf numFmtId="189" fontId="27" fillId="0" borderId="19" xfId="0" applyNumberFormat="1" applyFont="1" applyBorder="1"/>
    <xf numFmtId="0" fontId="27" fillId="0" borderId="19" xfId="0" applyFont="1" applyBorder="1"/>
    <xf numFmtId="166" fontId="27" fillId="0" borderId="0" xfId="0" applyNumberFormat="1" applyFont="1" applyBorder="1" applyAlignment="1">
      <alignment horizontal="center"/>
    </xf>
    <xf numFmtId="0" fontId="0" fillId="0" borderId="18" xfId="0" applyFont="1" applyBorder="1"/>
    <xf numFmtId="177" fontId="0" fillId="0" borderId="18" xfId="124" applyNumberFormat="1" applyFont="1" applyBorder="1"/>
    <xf numFmtId="177" fontId="0" fillId="0" borderId="21" xfId="124" applyNumberFormat="1" applyFont="1" applyBorder="1"/>
    <xf numFmtId="0" fontId="27" fillId="0" borderId="184" xfId="0" applyFont="1" applyFill="1" applyBorder="1" applyAlignment="1">
      <alignment vertical="center"/>
    </xf>
    <xf numFmtId="0" fontId="27" fillId="0" borderId="18" xfId="0" applyFont="1" applyFill="1" applyBorder="1" applyAlignment="1">
      <alignment vertical="center"/>
    </xf>
    <xf numFmtId="0" fontId="27" fillId="0" borderId="21" xfId="0" applyFont="1" applyFill="1" applyBorder="1" applyAlignment="1">
      <alignment vertical="center"/>
    </xf>
    <xf numFmtId="9" fontId="0" fillId="0" borderId="0" xfId="0" applyNumberFormat="1" applyFont="1" applyBorder="1"/>
    <xf numFmtId="9" fontId="0" fillId="0" borderId="0" xfId="0" applyNumberFormat="1" applyFont="1"/>
    <xf numFmtId="9" fontId="0" fillId="51" borderId="178" xfId="0" applyNumberFormat="1" applyFont="1" applyFill="1" applyBorder="1"/>
    <xf numFmtId="9" fontId="0" fillId="51" borderId="0" xfId="0" applyNumberFormat="1" applyFont="1" applyFill="1"/>
    <xf numFmtId="9" fontId="0" fillId="51" borderId="17" xfId="0" applyNumberFormat="1" applyFont="1" applyFill="1" applyBorder="1"/>
    <xf numFmtId="9" fontId="0" fillId="0" borderId="17" xfId="0" applyNumberFormat="1" applyFont="1" applyBorder="1"/>
    <xf numFmtId="9" fontId="0" fillId="0" borderId="0" xfId="147" applyNumberFormat="1" applyFont="1" applyBorder="1"/>
    <xf numFmtId="9" fontId="0" fillId="0" borderId="0" xfId="147" applyNumberFormat="1" applyFont="1"/>
    <xf numFmtId="9" fontId="0" fillId="51" borderId="17" xfId="124" applyNumberFormat="1" applyFont="1" applyFill="1" applyBorder="1"/>
    <xf numFmtId="9" fontId="0" fillId="0" borderId="0" xfId="124" applyNumberFormat="1" applyFont="1"/>
    <xf numFmtId="9" fontId="0" fillId="0" borderId="17" xfId="124" applyNumberFormat="1" applyFont="1" applyBorder="1"/>
    <xf numFmtId="9" fontId="0" fillId="0" borderId="22" xfId="147" applyNumberFormat="1" applyFont="1" applyBorder="1"/>
    <xf numFmtId="9" fontId="0" fillId="51" borderId="33" xfId="124" applyNumberFormat="1" applyFont="1" applyFill="1" applyBorder="1"/>
    <xf numFmtId="9" fontId="0" fillId="51" borderId="22" xfId="124" applyNumberFormat="1" applyFont="1" applyFill="1" applyBorder="1"/>
    <xf numFmtId="9" fontId="0" fillId="51" borderId="19" xfId="124" applyNumberFormat="1" applyFont="1" applyFill="1" applyBorder="1"/>
    <xf numFmtId="169" fontId="0" fillId="98" borderId="18" xfId="0" applyNumberFormat="1" applyFont="1" applyFill="1" applyBorder="1" applyAlignment="1">
      <alignment horizontal="center"/>
    </xf>
    <xf numFmtId="176" fontId="25" fillId="98" borderId="18" xfId="0" applyNumberFormat="1" applyFont="1" applyFill="1" applyBorder="1" applyAlignment="1" applyProtection="1">
      <alignment horizontal="center"/>
      <protection locked="0"/>
    </xf>
    <xf numFmtId="43" fontId="0" fillId="99" borderId="18" xfId="71" applyNumberFormat="1" applyFont="1" applyFill="1" applyBorder="1" applyProtection="1">
      <protection locked="0"/>
    </xf>
    <xf numFmtId="2" fontId="25" fillId="99" borderId="18" xfId="0" applyNumberFormat="1" applyFont="1" applyFill="1" applyBorder="1" applyAlignment="1" applyProtection="1">
      <alignment horizontal="right"/>
      <protection locked="0"/>
    </xf>
    <xf numFmtId="0" fontId="27" fillId="100" borderId="58" xfId="0" applyFont="1" applyFill="1" applyBorder="1" applyAlignment="1" applyProtection="1">
      <alignment horizontal="left" vertical="top" wrapText="1"/>
      <protection locked="0"/>
    </xf>
    <xf numFmtId="0" fontId="152" fillId="0" borderId="0" xfId="0" applyFont="1" applyAlignment="1" applyProtection="1">
      <alignment horizontal="left"/>
      <protection locked="0"/>
    </xf>
    <xf numFmtId="0" fontId="35" fillId="0" borderId="0" xfId="116"/>
    <xf numFmtId="0" fontId="154" fillId="0" borderId="0" xfId="116" applyFont="1"/>
    <xf numFmtId="0" fontId="109" fillId="51" borderId="178" xfId="116" applyFont="1" applyFill="1" applyBorder="1" applyAlignment="1">
      <alignment horizontal="left"/>
    </xf>
    <xf numFmtId="0" fontId="155" fillId="51" borderId="17" xfId="113" applyFont="1" applyFill="1" applyBorder="1"/>
    <xf numFmtId="0" fontId="155" fillId="51" borderId="0" xfId="113" applyFont="1" applyFill="1"/>
    <xf numFmtId="0" fontId="26" fillId="51" borderId="0" xfId="113" applyFill="1"/>
    <xf numFmtId="0" fontId="35" fillId="51" borderId="0" xfId="116" applyFill="1"/>
    <xf numFmtId="0" fontId="35" fillId="51" borderId="17" xfId="116" applyFill="1" applyBorder="1"/>
    <xf numFmtId="0" fontId="155" fillId="51" borderId="178" xfId="113" applyFont="1" applyFill="1" applyBorder="1"/>
    <xf numFmtId="0" fontId="109" fillId="51" borderId="33" xfId="116" applyFont="1" applyFill="1" applyBorder="1" applyAlignment="1">
      <alignment horizontal="left"/>
    </xf>
    <xf numFmtId="0" fontId="155" fillId="51" borderId="19" xfId="113" applyFont="1" applyFill="1" applyBorder="1"/>
    <xf numFmtId="0" fontId="155" fillId="51" borderId="22" xfId="113" applyFont="1" applyFill="1" applyBorder="1" applyAlignment="1">
      <alignment horizontal="center"/>
    </xf>
    <xf numFmtId="0" fontId="155" fillId="51" borderId="19" xfId="113" applyFont="1" applyFill="1" applyBorder="1" applyAlignment="1">
      <alignment horizontal="center"/>
    </xf>
    <xf numFmtId="0" fontId="155" fillId="51" borderId="33" xfId="113" applyFont="1" applyFill="1" applyBorder="1" applyAlignment="1">
      <alignment horizontal="center"/>
    </xf>
    <xf numFmtId="0" fontId="155" fillId="0" borderId="0" xfId="113" applyFont="1" applyAlignment="1">
      <alignment horizontal="center"/>
    </xf>
    <xf numFmtId="0" fontId="153" fillId="54" borderId="176" xfId="116" applyFont="1" applyFill="1" applyBorder="1"/>
    <xf numFmtId="0" fontId="153" fillId="54" borderId="170" xfId="116" applyFont="1" applyFill="1" applyBorder="1"/>
    <xf numFmtId="0" fontId="156" fillId="91" borderId="188" xfId="87" applyFont="1" applyFill="1" applyBorder="1"/>
    <xf numFmtId="0" fontId="156" fillId="91" borderId="189" xfId="87" applyFont="1" applyFill="1" applyBorder="1"/>
    <xf numFmtId="0" fontId="157" fillId="91" borderId="188" xfId="87" applyFont="1" applyFill="1" applyBorder="1" applyAlignment="1">
      <alignment horizontal="left"/>
    </xf>
    <xf numFmtId="0" fontId="156" fillId="91" borderId="190" xfId="87" applyFont="1" applyFill="1" applyBorder="1"/>
    <xf numFmtId="0" fontId="158" fillId="0" borderId="0" xfId="116" applyFont="1"/>
    <xf numFmtId="0" fontId="157" fillId="91" borderId="189" xfId="87" applyFont="1" applyFill="1" applyBorder="1"/>
    <xf numFmtId="0" fontId="157" fillId="91" borderId="190" xfId="87" applyFont="1" applyFill="1" applyBorder="1"/>
    <xf numFmtId="0" fontId="109" fillId="51" borderId="17" xfId="113" applyFont="1" applyFill="1" applyBorder="1"/>
    <xf numFmtId="43" fontId="84" fillId="51" borderId="0" xfId="74" applyFont="1" applyFill="1" applyAlignment="1">
      <alignment horizontal="center"/>
    </xf>
    <xf numFmtId="43" fontId="84" fillId="51" borderId="17" xfId="74" applyFont="1" applyFill="1" applyBorder="1" applyAlignment="1">
      <alignment horizontal="center"/>
    </xf>
    <xf numFmtId="0" fontId="1" fillId="0" borderId="0" xfId="116" applyFont="1"/>
    <xf numFmtId="43" fontId="84" fillId="55" borderId="178" xfId="74" applyFont="1" applyFill="1" applyBorder="1" applyAlignment="1">
      <alignment horizontal="center"/>
    </xf>
    <xf numFmtId="43" fontId="84" fillId="55" borderId="0" xfId="74" applyFont="1" applyFill="1" applyAlignment="1">
      <alignment horizontal="center"/>
    </xf>
    <xf numFmtId="43" fontId="84" fillId="55" borderId="17" xfId="74" applyFont="1" applyFill="1" applyBorder="1" applyAlignment="1">
      <alignment horizontal="center"/>
    </xf>
    <xf numFmtId="9" fontId="109" fillId="0" borderId="0" xfId="113" applyNumberFormat="1" applyFont="1" applyAlignment="1">
      <alignment horizontal="center"/>
    </xf>
    <xf numFmtId="0" fontId="109" fillId="51" borderId="19" xfId="113" applyFont="1" applyFill="1" applyBorder="1"/>
    <xf numFmtId="2" fontId="76" fillId="55" borderId="58" xfId="116" applyNumberFormat="1" applyFont="1" applyFill="1" applyBorder="1" applyAlignment="1">
      <alignment horizontal="center"/>
    </xf>
    <xf numFmtId="0" fontId="159" fillId="51" borderId="178" xfId="41434" applyFont="1" applyFill="1" applyBorder="1" applyAlignment="1">
      <alignment horizontal="left"/>
    </xf>
    <xf numFmtId="0" fontId="109" fillId="51" borderId="33" xfId="41434" applyFont="1" applyFill="1" applyBorder="1" applyAlignment="1">
      <alignment horizontal="left"/>
    </xf>
    <xf numFmtId="0" fontId="160" fillId="0" borderId="0" xfId="116" applyFont="1"/>
    <xf numFmtId="0" fontId="149" fillId="0" borderId="0" xfId="42645"/>
    <xf numFmtId="0" fontId="149" fillId="0" borderId="22" xfId="42645" applyBorder="1"/>
    <xf numFmtId="0" fontId="25" fillId="0" borderId="177" xfId="0" applyFont="1" applyBorder="1"/>
    <xf numFmtId="0" fontId="25" fillId="0" borderId="18" xfId="0" applyFont="1" applyBorder="1"/>
    <xf numFmtId="0" fontId="25" fillId="0" borderId="0" xfId="0" applyNumberFormat="1" applyFont="1" applyFill="1" applyAlignment="1" applyProtection="1">
      <alignment horizontal="right"/>
      <protection locked="0"/>
    </xf>
    <xf numFmtId="0" fontId="2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NumberFormat="1"/>
    <xf numFmtId="0" fontId="27" fillId="100" borderId="58" xfId="0" applyNumberFormat="1" applyFont="1" applyFill="1" applyBorder="1" applyAlignment="1" applyProtection="1">
      <alignment horizontal="left" vertical="top" wrapText="1"/>
      <protection locked="0"/>
    </xf>
    <xf numFmtId="0" fontId="25" fillId="0" borderId="0" xfId="0" applyNumberFormat="1" applyFont="1"/>
    <xf numFmtId="0" fontId="0" fillId="0" borderId="18" xfId="71" applyNumberFormat="1" applyFont="1" applyFill="1" applyBorder="1" applyAlignment="1" applyProtection="1">
      <alignment horizontal="left"/>
      <protection locked="0"/>
    </xf>
    <xf numFmtId="0" fontId="0" fillId="0" borderId="18" xfId="71" applyNumberFormat="1" applyFont="1" applyFill="1" applyBorder="1" applyAlignment="1" applyProtection="1">
      <alignment horizontal="right"/>
      <protection locked="0"/>
    </xf>
    <xf numFmtId="44" fontId="25" fillId="38" borderId="18" xfId="79" applyFont="1" applyFill="1" applyBorder="1" applyProtection="1">
      <protection locked="0"/>
    </xf>
    <xf numFmtId="9" fontId="0" fillId="0" borderId="18" xfId="147" applyFont="1" applyFill="1" applyBorder="1" applyAlignment="1" applyProtection="1">
      <alignment horizontal="right"/>
      <protection locked="0"/>
    </xf>
    <xf numFmtId="9" fontId="25" fillId="38" borderId="18" xfId="147" applyNumberFormat="1" applyFont="1" applyFill="1" applyBorder="1" applyAlignment="1" applyProtection="1">
      <alignment horizontal="right"/>
      <protection locked="0"/>
    </xf>
    <xf numFmtId="9" fontId="0" fillId="0" borderId="18" xfId="147" applyNumberFormat="1" applyFont="1" applyFill="1" applyBorder="1" applyAlignment="1" applyProtection="1">
      <alignment horizontal="right"/>
      <protection locked="0"/>
    </xf>
    <xf numFmtId="1" fontId="0" fillId="0" borderId="18" xfId="0" applyNumberFormat="1" applyFont="1" applyFill="1" applyBorder="1" applyAlignment="1" applyProtection="1">
      <alignment horizontal="center"/>
      <protection locked="0"/>
    </xf>
    <xf numFmtId="1" fontId="0" fillId="102" borderId="18" xfId="0" applyNumberFormat="1" applyFill="1" applyBorder="1" applyAlignment="1" applyProtection="1">
      <alignment horizontal="center"/>
    </xf>
    <xf numFmtId="44" fontId="0" fillId="50" borderId="18" xfId="79" quotePrefix="1" applyFont="1" applyFill="1" applyBorder="1"/>
    <xf numFmtId="165" fontId="27" fillId="102" borderId="18" xfId="0" applyNumberFormat="1" applyFont="1" applyFill="1" applyBorder="1" applyProtection="1"/>
    <xf numFmtId="44" fontId="27" fillId="102" borderId="18" xfId="79" applyFont="1" applyFill="1" applyBorder="1" applyProtection="1"/>
    <xf numFmtId="165" fontId="0" fillId="102" borderId="18" xfId="0" quotePrefix="1" applyNumberFormat="1" applyFill="1" applyBorder="1" applyProtection="1"/>
    <xf numFmtId="0" fontId="27" fillId="103" borderId="172" xfId="0" applyFont="1" applyFill="1" applyBorder="1" applyAlignment="1" applyProtection="1">
      <alignment horizontal="left" vertical="top" wrapText="1"/>
      <protection locked="0"/>
    </xf>
    <xf numFmtId="0" fontId="0" fillId="0" borderId="51" xfId="0" applyFill="1" applyBorder="1" applyProtection="1"/>
    <xf numFmtId="0" fontId="27" fillId="103" borderId="177" xfId="0" applyFont="1" applyFill="1" applyBorder="1" applyAlignment="1" applyProtection="1">
      <alignment horizontal="left" vertical="top" wrapText="1"/>
      <protection locked="0"/>
    </xf>
    <xf numFmtId="0" fontId="0" fillId="0" borderId="18" xfId="0" applyFill="1" applyBorder="1" applyProtection="1"/>
    <xf numFmtId="0" fontId="27" fillId="103" borderId="80" xfId="0" applyFont="1" applyFill="1" applyBorder="1" applyAlignment="1" applyProtection="1">
      <alignment horizontal="left" vertical="top" wrapText="1"/>
      <protection locked="0"/>
    </xf>
    <xf numFmtId="0" fontId="0" fillId="0" borderId="17" xfId="0" applyFill="1" applyBorder="1" applyProtection="1"/>
    <xf numFmtId="9" fontId="0" fillId="0" borderId="17" xfId="147" applyFont="1" applyFill="1" applyBorder="1" applyProtection="1"/>
    <xf numFmtId="171" fontId="80" fillId="0" borderId="0" xfId="71" applyNumberFormat="1" applyFont="1" applyFill="1" applyBorder="1" applyAlignment="1" applyProtection="1">
      <alignment wrapText="1"/>
    </xf>
    <xf numFmtId="0" fontId="133" fillId="92" borderId="176" xfId="0" applyFont="1" applyFill="1" applyBorder="1" applyAlignment="1" applyProtection="1">
      <alignment horizontal="center"/>
      <protection locked="0"/>
    </xf>
    <xf numFmtId="0" fontId="133" fillId="92" borderId="170" xfId="0" applyFont="1" applyFill="1" applyBorder="1" applyAlignment="1" applyProtection="1">
      <alignment horizontal="center"/>
      <protection locked="0"/>
    </xf>
    <xf numFmtId="0" fontId="161" fillId="51" borderId="59" xfId="0" applyFont="1" applyFill="1" applyBorder="1" applyAlignment="1" applyProtection="1">
      <protection locked="0"/>
    </xf>
    <xf numFmtId="0" fontId="161" fillId="51" borderId="170" xfId="0" applyFont="1" applyFill="1" applyBorder="1" applyAlignment="1" applyProtection="1">
      <protection locked="0"/>
    </xf>
    <xf numFmtId="0" fontId="132" fillId="50" borderId="184" xfId="0" applyFont="1" applyFill="1" applyBorder="1" applyAlignment="1" applyProtection="1">
      <alignment vertical="center"/>
      <protection locked="0"/>
    </xf>
    <xf numFmtId="0" fontId="132" fillId="50" borderId="73" xfId="0" applyFont="1" applyFill="1" applyBorder="1" applyAlignment="1" applyProtection="1">
      <alignment vertical="center"/>
      <protection locked="0"/>
    </xf>
    <xf numFmtId="0" fontId="76" fillId="0" borderId="0" xfId="0" applyFont="1"/>
    <xf numFmtId="0" fontId="82" fillId="0" borderId="21" xfId="0" applyFont="1" applyBorder="1" applyAlignment="1">
      <alignment horizontal="left" vertical="top"/>
    </xf>
    <xf numFmtId="0" fontId="82" fillId="0" borderId="22" xfId="0" applyFont="1" applyBorder="1" applyAlignment="1">
      <alignment horizontal="left" vertical="top"/>
    </xf>
    <xf numFmtId="0" fontId="82" fillId="0" borderId="19" xfId="0" applyFont="1" applyBorder="1" applyAlignment="1">
      <alignment horizontal="left" vertical="top"/>
    </xf>
    <xf numFmtId="0" fontId="76" fillId="0" borderId="0" xfId="0" applyFont="1" applyAlignment="1">
      <alignment horizontal="left" vertical="top" wrapText="1"/>
    </xf>
    <xf numFmtId="0" fontId="76" fillId="41" borderId="18" xfId="0" applyFont="1" applyFill="1" applyBorder="1" applyAlignment="1">
      <alignment vertical="center"/>
    </xf>
    <xf numFmtId="0" fontId="149" fillId="0" borderId="0" xfId="42645" applyFont="1"/>
    <xf numFmtId="0" fontId="76" fillId="41" borderId="0" xfId="0" applyFont="1" applyFill="1"/>
    <xf numFmtId="10" fontId="76" fillId="41" borderId="0" xfId="0" applyNumberFormat="1" applyFont="1" applyFill="1" applyAlignment="1">
      <alignment horizontal="left"/>
    </xf>
    <xf numFmtId="0" fontId="76" fillId="41" borderId="0" xfId="0" quotePrefix="1" applyFont="1" applyFill="1"/>
    <xf numFmtId="0" fontId="76" fillId="41" borderId="21" xfId="0" applyFont="1" applyFill="1" applyBorder="1" applyAlignment="1">
      <alignment vertical="center"/>
    </xf>
    <xf numFmtId="0" fontId="76" fillId="41" borderId="22" xfId="0" applyFont="1" applyFill="1" applyBorder="1"/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82" fillId="31" borderId="0" xfId="0" applyFont="1" applyFill="1" applyAlignment="1" applyProtection="1">
      <alignment horizontal="center" wrapText="1"/>
      <protection locked="0"/>
    </xf>
    <xf numFmtId="0" fontId="82" fillId="31" borderId="74" xfId="0" applyFont="1" applyFill="1" applyBorder="1" applyAlignment="1" applyProtection="1">
      <alignment horizontal="center" wrapText="1"/>
      <protection locked="0"/>
    </xf>
    <xf numFmtId="0" fontId="82" fillId="51" borderId="17" xfId="0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vertical="center"/>
      <protection locked="0"/>
    </xf>
    <xf numFmtId="0" fontId="82" fillId="51" borderId="178" xfId="0" applyFont="1" applyFill="1" applyBorder="1" applyAlignment="1">
      <alignment horizontal="center"/>
    </xf>
    <xf numFmtId="0" fontId="82" fillId="51" borderId="178" xfId="0" applyFont="1" applyFill="1" applyBorder="1" applyAlignment="1">
      <alignment horizontal="center" vertical="center"/>
    </xf>
    <xf numFmtId="0" fontId="82" fillId="72" borderId="178" xfId="0" applyFont="1" applyFill="1" applyBorder="1" applyAlignment="1" applyProtection="1">
      <alignment horizontal="center" vertical="center"/>
      <protection locked="0"/>
    </xf>
    <xf numFmtId="0" fontId="82" fillId="72" borderId="17" xfId="0" applyFont="1" applyFill="1" applyBorder="1" applyAlignment="1" applyProtection="1">
      <alignment horizontal="center" vertical="center"/>
      <protection locked="0"/>
    </xf>
    <xf numFmtId="0" fontId="82" fillId="42" borderId="0" xfId="0" applyFont="1" applyFill="1" applyAlignment="1">
      <alignment horizontal="center" wrapText="1"/>
    </xf>
    <xf numFmtId="0" fontId="82" fillId="42" borderId="17" xfId="0" applyFont="1" applyFill="1" applyBorder="1" applyAlignment="1">
      <alignment horizontal="center" wrapText="1"/>
    </xf>
    <xf numFmtId="0" fontId="76" fillId="51" borderId="17" xfId="0" applyFont="1" applyFill="1" applyBorder="1" applyAlignment="1" applyProtection="1">
      <alignment horizontal="left" vertical="center" wrapText="1"/>
      <protection locked="0"/>
    </xf>
    <xf numFmtId="0" fontId="27" fillId="51" borderId="178" xfId="0" applyFont="1" applyFill="1" applyBorder="1" applyAlignment="1">
      <alignment horizontal="center"/>
    </xf>
    <xf numFmtId="0" fontId="27" fillId="51" borderId="18" xfId="0" applyFont="1" applyFill="1" applyBorder="1" applyAlignment="1">
      <alignment horizontal="center"/>
    </xf>
    <xf numFmtId="0" fontId="163" fillId="51" borderId="178" xfId="0" applyFont="1" applyFill="1" applyBorder="1" applyAlignment="1">
      <alignment horizontal="center" wrapText="1"/>
    </xf>
    <xf numFmtId="0" fontId="163" fillId="51" borderId="18" xfId="0" applyFont="1" applyFill="1" applyBorder="1" applyAlignment="1">
      <alignment horizontal="center" wrapText="1"/>
    </xf>
    <xf numFmtId="0" fontId="164" fillId="51" borderId="176" xfId="0" applyFont="1" applyFill="1" applyBorder="1" applyAlignment="1" applyProtection="1">
      <alignment horizontal="center"/>
      <protection locked="0"/>
    </xf>
    <xf numFmtId="0" fontId="164" fillId="51" borderId="170" xfId="0" applyFont="1" applyFill="1" applyBorder="1" applyAlignment="1" applyProtection="1">
      <alignment vertical="center" wrapText="1"/>
      <protection locked="0"/>
    </xf>
    <xf numFmtId="0" fontId="161" fillId="51" borderId="176" xfId="0" applyFont="1" applyFill="1" applyBorder="1" applyProtection="1">
      <protection locked="0"/>
    </xf>
    <xf numFmtId="0" fontId="164" fillId="51" borderId="176" xfId="0" applyFont="1" applyFill="1" applyBorder="1" applyAlignment="1" applyProtection="1">
      <alignment vertical="center" wrapText="1"/>
      <protection locked="0"/>
    </xf>
    <xf numFmtId="0" fontId="164" fillId="0" borderId="0" xfId="0" applyFont="1" applyProtection="1">
      <protection locked="0"/>
    </xf>
    <xf numFmtId="0" fontId="161" fillId="72" borderId="59" xfId="0" applyFont="1" applyFill="1" applyBorder="1" applyAlignment="1" applyProtection="1">
      <protection locked="0"/>
    </xf>
    <xf numFmtId="0" fontId="164" fillId="72" borderId="176" xfId="0" applyFont="1" applyFill="1" applyBorder="1" applyAlignment="1" applyProtection="1">
      <alignment horizontal="center"/>
      <protection locked="0"/>
    </xf>
    <xf numFmtId="0" fontId="164" fillId="72" borderId="176" xfId="0" applyFont="1" applyFill="1" applyBorder="1" applyAlignment="1" applyProtection="1">
      <alignment vertical="center" wrapText="1"/>
      <protection locked="0"/>
    </xf>
    <xf numFmtId="0" fontId="164" fillId="72" borderId="170" xfId="0" applyFont="1" applyFill="1" applyBorder="1" applyAlignment="1" applyProtection="1">
      <alignment vertical="center" wrapText="1"/>
      <protection locked="0"/>
    </xf>
    <xf numFmtId="0" fontId="76" fillId="0" borderId="178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180" fontId="76" fillId="0" borderId="0" xfId="71" applyNumberFormat="1" applyFont="1" applyProtection="1">
      <protection locked="0"/>
    </xf>
    <xf numFmtId="180" fontId="76" fillId="0" borderId="17" xfId="71" applyNumberFormat="1" applyFont="1" applyBorder="1" applyProtection="1">
      <protection locked="0"/>
    </xf>
    <xf numFmtId="180" fontId="76" fillId="0" borderId="0" xfId="71" applyNumberFormat="1" applyFont="1"/>
    <xf numFmtId="0" fontId="76" fillId="0" borderId="17" xfId="71" applyNumberFormat="1" applyFont="1" applyBorder="1" applyProtection="1">
      <protection locked="0"/>
    </xf>
    <xf numFmtId="0" fontId="76" fillId="51" borderId="18" xfId="0" applyFont="1" applyFill="1" applyBorder="1" applyAlignment="1">
      <alignment horizontal="center"/>
    </xf>
    <xf numFmtId="178" fontId="76" fillId="55" borderId="178" xfId="0" applyNumberFormat="1" applyFont="1" applyFill="1" applyBorder="1" applyAlignment="1">
      <alignment horizontal="center"/>
    </xf>
    <xf numFmtId="178" fontId="76" fillId="41" borderId="178" xfId="0" applyNumberFormat="1" applyFont="1" applyFill="1" applyBorder="1" applyAlignment="1">
      <alignment horizontal="center"/>
    </xf>
    <xf numFmtId="180" fontId="76" fillId="41" borderId="178" xfId="71" applyNumberFormat="1" applyFont="1" applyFill="1" applyBorder="1" applyAlignment="1">
      <alignment horizontal="center"/>
    </xf>
    <xf numFmtId="178" fontId="76" fillId="51" borderId="18" xfId="0" applyNumberFormat="1" applyFont="1" applyFill="1" applyBorder="1" applyAlignment="1">
      <alignment horizontal="center"/>
    </xf>
    <xf numFmtId="0" fontId="76" fillId="51" borderId="21" xfId="0" applyFont="1" applyFill="1" applyBorder="1" applyAlignment="1">
      <alignment horizontal="center"/>
    </xf>
    <xf numFmtId="178" fontId="76" fillId="55" borderId="33" xfId="0" applyNumberFormat="1" applyFont="1" applyFill="1" applyBorder="1" applyAlignment="1">
      <alignment horizontal="center"/>
    </xf>
    <xf numFmtId="178" fontId="76" fillId="41" borderId="33" xfId="0" applyNumberFormat="1" applyFont="1" applyFill="1" applyBorder="1" applyAlignment="1">
      <alignment horizontal="center"/>
    </xf>
    <xf numFmtId="180" fontId="76" fillId="41" borderId="21" xfId="71" applyNumberFormat="1" applyFont="1" applyFill="1" applyBorder="1" applyAlignment="1">
      <alignment horizontal="center"/>
    </xf>
    <xf numFmtId="178" fontId="76" fillId="51" borderId="21" xfId="0" applyNumberFormat="1" applyFont="1" applyFill="1" applyBorder="1" applyAlignment="1">
      <alignment horizontal="center"/>
    </xf>
    <xf numFmtId="180" fontId="76" fillId="0" borderId="0" xfId="71" applyNumberFormat="1" applyFont="1" applyBorder="1"/>
    <xf numFmtId="180" fontId="76" fillId="0" borderId="22" xfId="71" applyNumberFormat="1" applyFont="1" applyBorder="1"/>
    <xf numFmtId="0" fontId="76" fillId="0" borderId="19" xfId="71" applyNumberFormat="1" applyFont="1" applyBorder="1" applyProtection="1">
      <protection locked="0"/>
    </xf>
    <xf numFmtId="0" fontId="76" fillId="0" borderId="0" xfId="0" applyFont="1" applyAlignment="1" applyProtection="1">
      <alignment horizontal="left" vertical="top"/>
      <protection locked="0"/>
    </xf>
    <xf numFmtId="0" fontId="82" fillId="51" borderId="184" xfId="0" applyFont="1" applyFill="1" applyBorder="1" applyAlignment="1">
      <alignment horizontal="center"/>
    </xf>
    <xf numFmtId="0" fontId="82" fillId="51" borderId="184" xfId="0" applyFont="1" applyFill="1" applyBorder="1" applyAlignment="1">
      <alignment horizontal="center" vertical="center"/>
    </xf>
    <xf numFmtId="0" fontId="163" fillId="51" borderId="33" xfId="0" applyFont="1" applyFill="1" applyBorder="1" applyAlignment="1">
      <alignment horizontal="center" wrapText="1"/>
    </xf>
    <xf numFmtId="0" fontId="163" fillId="51" borderId="21" xfId="0" applyFont="1" applyFill="1" applyBorder="1" applyAlignment="1">
      <alignment horizontal="center" wrapText="1"/>
    </xf>
    <xf numFmtId="178" fontId="76" fillId="51" borderId="177" xfId="0" applyNumberFormat="1" applyFont="1" applyFill="1" applyBorder="1" applyAlignment="1">
      <alignment horizontal="center"/>
    </xf>
    <xf numFmtId="180" fontId="76" fillId="41" borderId="33" xfId="71" applyNumberFormat="1" applyFont="1" applyFill="1" applyBorder="1" applyAlignment="1">
      <alignment horizontal="center"/>
    </xf>
    <xf numFmtId="0" fontId="76" fillId="0" borderId="33" xfId="0" applyFont="1" applyBorder="1" applyAlignment="1">
      <alignment horizontal="center"/>
    </xf>
    <xf numFmtId="180" fontId="76" fillId="41" borderId="177" xfId="71" applyNumberFormat="1" applyFont="1" applyFill="1" applyBorder="1" applyAlignment="1">
      <alignment horizontal="center"/>
    </xf>
    <xf numFmtId="180" fontId="76" fillId="41" borderId="18" xfId="71" applyNumberFormat="1" applyFont="1" applyFill="1" applyBorder="1" applyAlignment="1">
      <alignment horizontal="center"/>
    </xf>
    <xf numFmtId="0" fontId="165" fillId="92" borderId="59" xfId="0" applyFont="1" applyFill="1" applyBorder="1" applyAlignment="1" applyProtection="1">
      <protection locked="0"/>
    </xf>
    <xf numFmtId="0" fontId="165" fillId="92" borderId="61" xfId="0" applyFont="1" applyFill="1" applyBorder="1" applyAlignment="1" applyProtection="1">
      <protection locked="0"/>
    </xf>
    <xf numFmtId="0" fontId="166" fillId="92" borderId="176" xfId="0" applyFont="1" applyFill="1" applyBorder="1" applyAlignment="1" applyProtection="1">
      <alignment horizontal="center"/>
      <protection locked="0"/>
    </xf>
    <xf numFmtId="0" fontId="166" fillId="92" borderId="170" xfId="0" applyFont="1" applyFill="1" applyBorder="1" applyAlignment="1" applyProtection="1">
      <alignment horizontal="center"/>
      <protection locked="0"/>
    </xf>
    <xf numFmtId="0" fontId="165" fillId="92" borderId="176" xfId="0" applyFont="1" applyFill="1" applyBorder="1" applyAlignment="1" applyProtection="1">
      <alignment horizontal="left"/>
      <protection locked="0"/>
    </xf>
    <xf numFmtId="0" fontId="56" fillId="51" borderId="176" xfId="0" applyFont="1" applyFill="1" applyBorder="1" applyProtection="1">
      <protection locked="0"/>
    </xf>
    <xf numFmtId="180" fontId="134" fillId="51" borderId="170" xfId="71" applyNumberFormat="1" applyFont="1" applyFill="1" applyBorder="1" applyAlignment="1" applyProtection="1">
      <alignment vertical="center" wrapText="1"/>
      <protection locked="0"/>
    </xf>
    <xf numFmtId="180" fontId="134" fillId="51" borderId="176" xfId="71" applyNumberFormat="1" applyFont="1" applyFill="1" applyBorder="1" applyAlignment="1" applyProtection="1">
      <alignment vertical="center" wrapText="1"/>
      <protection locked="0"/>
    </xf>
    <xf numFmtId="180" fontId="76" fillId="0" borderId="184" xfId="71" applyNumberFormat="1" applyFont="1" applyBorder="1" applyProtection="1">
      <protection locked="0"/>
    </xf>
    <xf numFmtId="180" fontId="76" fillId="0" borderId="178" xfId="71" applyNumberFormat="1" applyFont="1" applyBorder="1" applyProtection="1">
      <protection locked="0"/>
    </xf>
    <xf numFmtId="180" fontId="76" fillId="0" borderId="33" xfId="71" applyNumberFormat="1" applyFont="1" applyBorder="1" applyProtection="1">
      <protection locked="0"/>
    </xf>
    <xf numFmtId="180" fontId="76" fillId="0" borderId="19" xfId="71" applyNumberFormat="1" applyFont="1" applyBorder="1" applyProtection="1">
      <protection locked="0"/>
    </xf>
    <xf numFmtId="0" fontId="76" fillId="0" borderId="19" xfId="0" applyFont="1" applyBorder="1" applyAlignment="1">
      <alignment horizontal="center"/>
    </xf>
    <xf numFmtId="180" fontId="76" fillId="0" borderId="33" xfId="71" applyNumberFormat="1" applyFont="1" applyBorder="1"/>
    <xf numFmtId="180" fontId="76" fillId="0" borderId="184" xfId="71" applyNumberFormat="1" applyFont="1" applyBorder="1"/>
    <xf numFmtId="180" fontId="76" fillId="0" borderId="73" xfId="71" applyNumberFormat="1" applyFont="1" applyBorder="1"/>
    <xf numFmtId="180" fontId="76" fillId="0" borderId="178" xfId="71" applyNumberFormat="1" applyFont="1" applyBorder="1"/>
    <xf numFmtId="0" fontId="82" fillId="31" borderId="0" xfId="0" applyFont="1" applyFill="1" applyAlignment="1" applyProtection="1">
      <alignment horizontal="center" vertical="top" wrapText="1"/>
      <protection locked="0"/>
    </xf>
    <xf numFmtId="0" fontId="82" fillId="31" borderId="17" xfId="0" applyFont="1" applyFill="1" applyBorder="1" applyAlignment="1" applyProtection="1">
      <alignment horizontal="center" vertical="top" wrapText="1"/>
      <protection locked="0"/>
    </xf>
    <xf numFmtId="0" fontId="82" fillId="51" borderId="17" xfId="0" applyFont="1" applyFill="1" applyBorder="1" applyAlignment="1" applyProtection="1">
      <alignment horizontal="center" vertical="top" wrapText="1"/>
      <protection locked="0"/>
    </xf>
    <xf numFmtId="0" fontId="76" fillId="0" borderId="0" xfId="0" applyFont="1" applyAlignment="1" applyProtection="1">
      <alignment vertical="top"/>
      <protection locked="0"/>
    </xf>
    <xf numFmtId="0" fontId="56" fillId="51" borderId="22" xfId="0" applyFont="1" applyFill="1" applyBorder="1" applyProtection="1">
      <protection locked="0"/>
    </xf>
    <xf numFmtId="180" fontId="134" fillId="51" borderId="22" xfId="71" applyNumberFormat="1" applyFont="1" applyFill="1" applyBorder="1" applyAlignment="1" applyProtection="1">
      <alignment vertical="center" wrapText="1"/>
      <protection locked="0"/>
    </xf>
    <xf numFmtId="178" fontId="76" fillId="55" borderId="184" xfId="0" applyNumberFormat="1" applyFont="1" applyFill="1" applyBorder="1" applyAlignment="1">
      <alignment horizontal="center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0" fillId="0" borderId="21" xfId="0" applyFont="1" applyFill="1" applyBorder="1" applyProtection="1">
      <protection locked="0"/>
    </xf>
    <xf numFmtId="3" fontId="0" fillId="0" borderId="21" xfId="71" applyNumberFormat="1" applyFont="1" applyFill="1" applyBorder="1" applyAlignment="1" applyProtection="1">
      <alignment horizontal="center" vertical="center"/>
      <protection locked="0"/>
    </xf>
    <xf numFmtId="1" fontId="0" fillId="0" borderId="21" xfId="0" applyNumberFormat="1" applyFont="1" applyFill="1" applyBorder="1" applyAlignment="1" applyProtection="1">
      <alignment horizontal="center"/>
      <protection locked="0"/>
    </xf>
    <xf numFmtId="44" fontId="0" fillId="0" borderId="21" xfId="79" applyFont="1" applyFill="1" applyBorder="1" applyAlignment="1" applyProtection="1">
      <alignment horizontal="center" vertical="center"/>
      <protection locked="0"/>
    </xf>
    <xf numFmtId="44" fontId="25" fillId="38" borderId="21" xfId="79" applyFont="1" applyFill="1" applyBorder="1" applyProtection="1">
      <protection locked="0"/>
    </xf>
    <xf numFmtId="9" fontId="0" fillId="0" borderId="21" xfId="147" applyNumberFormat="1" applyFont="1" applyFill="1" applyBorder="1" applyAlignment="1" applyProtection="1">
      <alignment horizontal="right"/>
      <protection locked="0"/>
    </xf>
    <xf numFmtId="9" fontId="25" fillId="38" borderId="21" xfId="147" applyNumberFormat="1" applyFont="1" applyFill="1" applyBorder="1" applyAlignment="1" applyProtection="1">
      <alignment horizontal="right"/>
      <protection locked="0"/>
    </xf>
    <xf numFmtId="43" fontId="0" fillId="99" borderId="21" xfId="71" applyNumberFormat="1" applyFont="1" applyFill="1" applyBorder="1" applyProtection="1">
      <protection locked="0"/>
    </xf>
    <xf numFmtId="0" fontId="0" fillId="0" borderId="21" xfId="0" applyNumberFormat="1" applyFont="1" applyFill="1" applyBorder="1"/>
    <xf numFmtId="169" fontId="0" fillId="98" borderId="21" xfId="0" applyNumberFormat="1" applyFont="1" applyFill="1" applyBorder="1" applyAlignment="1">
      <alignment horizontal="center"/>
    </xf>
    <xf numFmtId="176" fontId="25" fillId="98" borderId="21" xfId="0" applyNumberFormat="1" applyFont="1" applyFill="1" applyBorder="1" applyAlignment="1" applyProtection="1">
      <alignment horizontal="center"/>
      <protection locked="0"/>
    </xf>
    <xf numFmtId="2" fontId="25" fillId="99" borderId="21" xfId="0" applyNumberFormat="1" applyFont="1" applyFill="1" applyBorder="1" applyAlignment="1" applyProtection="1">
      <alignment horizontal="right"/>
      <protection locked="0"/>
    </xf>
    <xf numFmtId="2" fontId="0" fillId="0" borderId="21" xfId="0" applyNumberFormat="1" applyFont="1" applyFill="1" applyBorder="1" applyAlignment="1" applyProtection="1">
      <alignment horizontal="right"/>
      <protection locked="0"/>
    </xf>
    <xf numFmtId="171" fontId="0" fillId="0" borderId="21" xfId="71" applyNumberFormat="1" applyFont="1" applyFill="1" applyBorder="1" applyAlignment="1" applyProtection="1">
      <alignment horizontal="right"/>
      <protection locked="0"/>
    </xf>
    <xf numFmtId="0" fontId="0" fillId="0" borderId="21" xfId="71" applyNumberFormat="1" applyFont="1" applyFill="1" applyBorder="1" applyAlignment="1" applyProtection="1">
      <alignment horizontal="left"/>
      <protection locked="0"/>
    </xf>
    <xf numFmtId="0" fontId="25" fillId="0" borderId="21" xfId="0" applyFont="1" applyBorder="1"/>
    <xf numFmtId="9" fontId="0" fillId="0" borderId="21" xfId="147" applyFont="1" applyFill="1" applyBorder="1" applyAlignment="1" applyProtection="1">
      <alignment horizontal="right"/>
      <protection locked="0"/>
    </xf>
    <xf numFmtId="170" fontId="76" fillId="99" borderId="0" xfId="79" applyNumberFormat="1" applyFont="1" applyFill="1" applyBorder="1"/>
    <xf numFmtId="0" fontId="84" fillId="0" borderId="22" xfId="201" applyFont="1" applyBorder="1"/>
    <xf numFmtId="170" fontId="76" fillId="99" borderId="22" xfId="79" applyNumberFormat="1" applyFont="1" applyFill="1" applyBorder="1"/>
    <xf numFmtId="44" fontId="76" fillId="47" borderId="0" xfId="202" applyNumberFormat="1" applyFont="1" applyFill="1" applyBorder="1"/>
    <xf numFmtId="170" fontId="76" fillId="99" borderId="22" xfId="79" applyNumberFormat="1" applyFont="1" applyFill="1" applyBorder="1" applyAlignment="1">
      <alignment horizontal="left"/>
    </xf>
    <xf numFmtId="3" fontId="92" fillId="0" borderId="0" xfId="41216" applyNumberFormat="1" applyFont="1" applyFill="1" applyAlignment="1">
      <alignment horizontal="right"/>
    </xf>
    <xf numFmtId="0" fontId="83" fillId="0" borderId="184" xfId="121" applyFont="1" applyFill="1" applyBorder="1" applyAlignment="1">
      <alignment horizontal="left"/>
    </xf>
    <xf numFmtId="0" fontId="71" fillId="0" borderId="0" xfId="41216" applyFont="1" applyAlignment="1">
      <alignment horizontal="right"/>
    </xf>
    <xf numFmtId="0" fontId="71" fillId="0" borderId="0" xfId="41216" applyFont="1" applyAlignment="1">
      <alignment horizontal="center"/>
    </xf>
    <xf numFmtId="192" fontId="71" fillId="0" borderId="0" xfId="41216" applyNumberFormat="1" applyFont="1" applyFill="1" applyAlignment="1">
      <alignment horizontal="center"/>
    </xf>
    <xf numFmtId="192" fontId="71" fillId="0" borderId="0" xfId="41216" applyNumberFormat="1" applyFont="1" applyAlignment="1">
      <alignment horizontal="center"/>
    </xf>
    <xf numFmtId="0" fontId="75" fillId="0" borderId="0" xfId="41217" applyFont="1" applyAlignment="1">
      <alignment horizontal="center"/>
    </xf>
    <xf numFmtId="192" fontId="72" fillId="0" borderId="0" xfId="41219" applyNumberFormat="1" applyFont="1" applyFill="1" applyBorder="1"/>
    <xf numFmtId="192" fontId="72" fillId="0" borderId="26" xfId="41219" applyNumberFormat="1" applyFont="1" applyFill="1" applyBorder="1"/>
    <xf numFmtId="0" fontId="167" fillId="0" borderId="0" xfId="41217" applyFont="1" applyAlignment="1">
      <alignment horizontal="right"/>
    </xf>
    <xf numFmtId="0" fontId="89" fillId="0" borderId="178" xfId="41216" applyFont="1" applyBorder="1" applyAlignment="1">
      <alignment horizontal="center" vertical="center" wrapText="1"/>
    </xf>
    <xf numFmtId="0" fontId="89" fillId="0" borderId="0" xfId="41216" applyFont="1" applyBorder="1" applyAlignment="1">
      <alignment horizontal="center" vertical="center" wrapText="1"/>
    </xf>
    <xf numFmtId="0" fontId="89" fillId="0" borderId="39" xfId="41216" applyFont="1" applyBorder="1" applyAlignment="1">
      <alignment horizontal="center" vertical="center" wrapText="1"/>
    </xf>
    <xf numFmtId="0" fontId="89" fillId="0" borderId="180" xfId="41216" applyFont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26" xfId="41216" applyFont="1" applyBorder="1" applyAlignment="1">
      <alignment horizontal="center" wrapText="1"/>
    </xf>
    <xf numFmtId="0" fontId="74" fillId="0" borderId="0" xfId="41216" applyFont="1" applyFill="1" applyAlignment="1">
      <alignment horizontal="center"/>
    </xf>
    <xf numFmtId="0" fontId="71" fillId="0" borderId="0" xfId="41216" applyFont="1" applyFill="1" applyAlignment="1">
      <alignment horizontal="center"/>
    </xf>
    <xf numFmtId="0" fontId="7" fillId="0" borderId="0" xfId="41217" applyFont="1" applyFill="1" applyAlignment="1">
      <alignment horizontal="center"/>
    </xf>
    <xf numFmtId="188" fontId="12" fillId="0" borderId="0" xfId="41217" applyNumberFormat="1" applyFill="1" applyAlignment="1">
      <alignment horizontal="center"/>
    </xf>
    <xf numFmtId="44" fontId="12" fillId="0" borderId="0" xfId="41217" applyNumberFormat="1" applyFill="1" applyAlignment="1">
      <alignment horizontal="center"/>
    </xf>
    <xf numFmtId="0" fontId="12" fillId="0" borderId="0" xfId="41217" applyFill="1" applyAlignment="1">
      <alignment horizontal="center"/>
    </xf>
    <xf numFmtId="0" fontId="143" fillId="48" borderId="14" xfId="42639" applyFont="1" applyFill="1" applyBorder="1"/>
    <xf numFmtId="0" fontId="143" fillId="48" borderId="15" xfId="42639" applyFont="1" applyFill="1" applyBorder="1"/>
    <xf numFmtId="196" fontId="143" fillId="48" borderId="15" xfId="147" applyNumberFormat="1" applyFont="1" applyFill="1" applyBorder="1"/>
    <xf numFmtId="0" fontId="143" fillId="48" borderId="16" xfId="42639" applyFont="1" applyFill="1" applyBorder="1"/>
    <xf numFmtId="0" fontId="89" fillId="48" borderId="14" xfId="41216" applyFont="1" applyFill="1" applyBorder="1" applyAlignment="1">
      <alignment horizontal="center" wrapText="1"/>
    </xf>
    <xf numFmtId="0" fontId="88" fillId="48" borderId="15" xfId="41216" applyFont="1" applyFill="1" applyBorder="1" applyAlignment="1">
      <alignment horizontal="center" vertical="center" wrapText="1"/>
    </xf>
    <xf numFmtId="0" fontId="89" fillId="48" borderId="15" xfId="41216" applyFont="1" applyFill="1" applyBorder="1" applyAlignment="1">
      <alignment horizontal="center" vertical="center" wrapText="1"/>
    </xf>
    <xf numFmtId="0" fontId="72" fillId="48" borderId="15" xfId="41216" applyFont="1" applyFill="1" applyBorder="1" applyAlignment="1">
      <alignment horizontal="center" vertical="center" wrapText="1"/>
    </xf>
    <xf numFmtId="0" fontId="97" fillId="48" borderId="15" xfId="41216" applyFont="1" applyFill="1" applyBorder="1" applyAlignment="1">
      <alignment horizontal="center" vertical="center" wrapText="1"/>
    </xf>
    <xf numFmtId="0" fontId="97" fillId="48" borderId="16" xfId="41216" applyFont="1" applyFill="1" applyBorder="1" applyAlignment="1">
      <alignment horizontal="center" vertical="center" wrapText="1"/>
    </xf>
    <xf numFmtId="0" fontId="72" fillId="48" borderId="14" xfId="41216" applyFont="1" applyFill="1" applyBorder="1" applyAlignment="1">
      <alignment horizontal="center"/>
    </xf>
    <xf numFmtId="0" fontId="71" fillId="48" borderId="15" xfId="41216" applyFont="1" applyFill="1" applyBorder="1"/>
    <xf numFmtId="43" fontId="72" fillId="48" borderId="15" xfId="41216" applyNumberFormat="1" applyFont="1" applyFill="1" applyBorder="1" applyAlignment="1">
      <alignment horizontal="centerContinuous"/>
    </xf>
    <xf numFmtId="192" fontId="92" fillId="48" borderId="15" xfId="41216" applyNumberFormat="1" applyFont="1" applyFill="1" applyBorder="1" applyAlignment="1">
      <alignment horizontal="centerContinuous"/>
    </xf>
    <xf numFmtId="0" fontId="72" fillId="48" borderId="15" xfId="41216" applyFont="1" applyFill="1" applyBorder="1" applyAlignment="1">
      <alignment horizontal="centerContinuous"/>
    </xf>
    <xf numFmtId="192" fontId="71" fillId="48" borderId="15" xfId="41216" applyNumberFormat="1" applyFont="1" applyFill="1" applyBorder="1"/>
    <xf numFmtId="192" fontId="71" fillId="48" borderId="16" xfId="41216" applyNumberFormat="1" applyFont="1" applyFill="1" applyBorder="1"/>
    <xf numFmtId="10" fontId="128" fillId="0" borderId="0" xfId="305" applyNumberFormat="1" applyFont="1" applyFill="1" applyBorder="1"/>
    <xf numFmtId="0" fontId="134" fillId="51" borderId="176" xfId="0" applyFont="1" applyFill="1" applyBorder="1" applyAlignment="1" applyProtection="1">
      <alignment horizontal="center"/>
      <protection locked="0"/>
    </xf>
    <xf numFmtId="174" fontId="0" fillId="0" borderId="178" xfId="0" applyNumberFormat="1" applyFont="1" applyFill="1" applyBorder="1" applyProtection="1">
      <protection locked="0"/>
    </xf>
    <xf numFmtId="0" fontId="0" fillId="51" borderId="176" xfId="0" applyFont="1" applyFill="1" applyBorder="1" applyAlignment="1" applyProtection="1">
      <alignment horizontal="left" vertical="center"/>
      <protection locked="0"/>
    </xf>
    <xf numFmtId="0" fontId="76" fillId="36" borderId="178" xfId="0" applyFont="1" applyFill="1" applyBorder="1" applyAlignment="1" applyProtection="1">
      <alignment horizontal="left" vertical="top" wrapText="1"/>
      <protection locked="0"/>
    </xf>
    <xf numFmtId="0" fontId="76" fillId="36" borderId="0" xfId="0" applyFont="1" applyFill="1" applyAlignment="1" applyProtection="1">
      <alignment horizontal="left" vertical="top" wrapText="1"/>
      <protection locked="0"/>
    </xf>
    <xf numFmtId="0" fontId="76" fillId="36" borderId="17" xfId="0" applyFont="1" applyFill="1" applyBorder="1" applyAlignment="1" applyProtection="1">
      <alignment horizontal="left" vertical="top" wrapText="1"/>
      <protection locked="0"/>
    </xf>
    <xf numFmtId="174" fontId="0" fillId="0" borderId="184" xfId="0" applyNumberFormat="1" applyFont="1" applyFill="1" applyBorder="1" applyProtection="1">
      <protection locked="0"/>
    </xf>
    <xf numFmtId="0" fontId="76" fillId="36" borderId="0" xfId="0" applyFont="1" applyFill="1" applyBorder="1" applyAlignment="1" applyProtection="1">
      <alignment horizontal="left" vertical="top" wrapText="1"/>
      <protection locked="0"/>
    </xf>
    <xf numFmtId="165" fontId="0" fillId="0" borderId="74" xfId="0" applyNumberFormat="1" applyFont="1" applyFill="1" applyBorder="1" applyProtection="1"/>
    <xf numFmtId="165" fontId="0" fillId="0" borderId="74" xfId="0" applyNumberFormat="1" applyFont="1" applyFill="1" applyBorder="1" applyProtection="1">
      <protection locked="0"/>
    </xf>
    <xf numFmtId="165" fontId="0" fillId="0" borderId="17" xfId="0" applyNumberFormat="1" applyFont="1" applyBorder="1" applyProtection="1">
      <protection locked="0"/>
    </xf>
    <xf numFmtId="165" fontId="0" fillId="0" borderId="19" xfId="0" applyNumberFormat="1" applyFont="1" applyBorder="1" applyProtection="1">
      <protection locked="0"/>
    </xf>
    <xf numFmtId="165" fontId="0" fillId="97" borderId="74" xfId="0" applyNumberFormat="1" applyFont="1" applyFill="1" applyBorder="1" applyProtection="1">
      <protection locked="0"/>
    </xf>
    <xf numFmtId="165" fontId="0" fillId="97" borderId="17" xfId="0" applyNumberFormat="1" applyFont="1" applyFill="1" applyBorder="1" applyProtection="1">
      <protection locked="0"/>
    </xf>
    <xf numFmtId="165" fontId="0" fillId="97" borderId="19" xfId="0" applyNumberFormat="1" applyFont="1" applyFill="1" applyBorder="1" applyProtection="1">
      <protection locked="0"/>
    </xf>
    <xf numFmtId="165" fontId="0" fillId="97" borderId="74" xfId="0" applyNumberFormat="1" applyFont="1" applyFill="1" applyBorder="1" applyProtection="1"/>
    <xf numFmtId="165" fontId="0" fillId="97" borderId="17" xfId="0" applyNumberFormat="1" applyFont="1" applyFill="1" applyBorder="1" applyProtection="1"/>
    <xf numFmtId="165" fontId="0" fillId="97" borderId="19" xfId="0" applyNumberFormat="1" applyFont="1" applyFill="1" applyBorder="1" applyProtection="1"/>
    <xf numFmtId="165" fontId="0" fillId="0" borderId="178" xfId="0" applyNumberFormat="1" applyFont="1" applyFill="1" applyBorder="1" applyProtection="1">
      <protection locked="0"/>
    </xf>
    <xf numFmtId="165" fontId="76" fillId="51" borderId="176" xfId="0" applyNumberFormat="1" applyFont="1" applyFill="1" applyBorder="1" applyAlignment="1" applyProtection="1">
      <alignment horizontal="left"/>
      <protection locked="0"/>
    </xf>
    <xf numFmtId="165" fontId="0" fillId="0" borderId="178" xfId="0" applyNumberFormat="1" applyFont="1" applyFill="1" applyBorder="1" applyProtection="1"/>
    <xf numFmtId="165" fontId="0" fillId="0" borderId="178" xfId="0" applyNumberFormat="1" applyFont="1" applyBorder="1" applyProtection="1"/>
    <xf numFmtId="165" fontId="134" fillId="51" borderId="176" xfId="0" applyNumberFormat="1" applyFont="1" applyFill="1" applyBorder="1" applyAlignment="1" applyProtection="1">
      <alignment horizontal="center"/>
      <protection locked="0"/>
    </xf>
    <xf numFmtId="0" fontId="27" fillId="97" borderId="32" xfId="0" applyFont="1" applyFill="1" applyBorder="1" applyAlignment="1" applyProtection="1">
      <alignment horizontal="center" vertical="center" wrapText="1"/>
    </xf>
    <xf numFmtId="0" fontId="27" fillId="97" borderId="43" xfId="0" applyFont="1" applyFill="1" applyBorder="1" applyAlignment="1" applyProtection="1">
      <alignment horizontal="center" vertical="center" wrapText="1"/>
    </xf>
    <xf numFmtId="0" fontId="27" fillId="97" borderId="82" xfId="0" applyFont="1" applyFill="1" applyBorder="1" applyAlignment="1" applyProtection="1">
      <alignment horizontal="center" vertical="center" wrapText="1"/>
    </xf>
    <xf numFmtId="0" fontId="27" fillId="97" borderId="32" xfId="0" applyFont="1" applyFill="1" applyBorder="1" applyAlignment="1" applyProtection="1">
      <alignment horizontal="center" wrapText="1"/>
    </xf>
    <xf numFmtId="0" fontId="27" fillId="97" borderId="43" xfId="0" applyFont="1" applyFill="1" applyBorder="1" applyAlignment="1" applyProtection="1">
      <alignment horizontal="center" wrapText="1"/>
    </xf>
    <xf numFmtId="0" fontId="27" fillId="97" borderId="44" xfId="0" applyFont="1" applyFill="1" applyBorder="1" applyAlignment="1" applyProtection="1">
      <alignment horizontal="center" wrapText="1"/>
    </xf>
    <xf numFmtId="168" fontId="78" fillId="55" borderId="93" xfId="0" applyNumberFormat="1" applyFont="1" applyFill="1" applyBorder="1" applyAlignment="1" applyProtection="1">
      <alignment horizontal="center"/>
    </xf>
    <xf numFmtId="168" fontId="0" fillId="55" borderId="21" xfId="0" applyNumberFormat="1" applyFont="1" applyFill="1" applyBorder="1" applyAlignment="1" applyProtection="1">
      <alignment horizontal="center"/>
    </xf>
    <xf numFmtId="168" fontId="0" fillId="55" borderId="58" xfId="0" applyNumberFormat="1" applyFont="1" applyFill="1" applyBorder="1" applyAlignment="1" applyProtection="1">
      <alignment horizontal="center"/>
    </xf>
    <xf numFmtId="168" fontId="0" fillId="55" borderId="122" xfId="0" applyNumberFormat="1" applyFont="1" applyFill="1" applyBorder="1" applyAlignment="1" applyProtection="1">
      <alignment horizontal="center"/>
    </xf>
    <xf numFmtId="171" fontId="25" fillId="102" borderId="0" xfId="71" applyNumberFormat="1" applyFont="1" applyFill="1" applyBorder="1" applyAlignment="1" applyProtection="1">
      <alignment wrapText="1"/>
    </xf>
    <xf numFmtId="171" fontId="0" fillId="0" borderId="0" xfId="0" applyNumberFormat="1" applyFont="1" applyBorder="1" applyProtection="1"/>
    <xf numFmtId="0" fontId="27" fillId="103" borderId="51" xfId="0" applyFont="1" applyFill="1" applyBorder="1" applyAlignment="1" applyProtection="1">
      <alignment horizontal="left" vertical="top" wrapText="1"/>
      <protection locked="0"/>
    </xf>
    <xf numFmtId="0" fontId="27" fillId="103" borderId="18" xfId="0" applyFont="1" applyFill="1" applyBorder="1" applyAlignment="1" applyProtection="1">
      <alignment horizontal="left" vertical="top" wrapText="1"/>
      <protection locked="0"/>
    </xf>
    <xf numFmtId="0" fontId="27" fillId="103" borderId="17" xfId="0" applyFont="1" applyFill="1" applyBorder="1" applyAlignment="1" applyProtection="1">
      <alignment horizontal="left" vertical="top" wrapText="1"/>
      <protection locked="0"/>
    </xf>
    <xf numFmtId="0" fontId="76" fillId="41" borderId="0" xfId="0" applyFont="1" applyFill="1" applyBorder="1"/>
    <xf numFmtId="0" fontId="132" fillId="50" borderId="74" xfId="0" applyFont="1" applyFill="1" applyBorder="1" applyAlignment="1" applyProtection="1">
      <alignment vertical="center"/>
      <protection locked="0"/>
    </xf>
    <xf numFmtId="0" fontId="76" fillId="0" borderId="0" xfId="0" applyFont="1" applyAlignment="1"/>
    <xf numFmtId="0" fontId="76" fillId="0" borderId="0" xfId="0" applyFont="1" applyAlignment="1">
      <alignment horizontal="left" vertical="top"/>
    </xf>
    <xf numFmtId="166" fontId="76" fillId="0" borderId="17" xfId="147" applyNumberFormat="1" applyFont="1" applyFill="1" applyBorder="1"/>
    <xf numFmtId="166" fontId="76" fillId="0" borderId="19" xfId="147" applyNumberFormat="1" applyFont="1" applyFill="1" applyBorder="1"/>
    <xf numFmtId="166" fontId="0" fillId="0" borderId="18" xfId="147" applyNumberFormat="1" applyFont="1" applyFill="1" applyBorder="1" applyProtection="1"/>
    <xf numFmtId="0" fontId="25" fillId="39" borderId="0" xfId="71" applyNumberFormat="1" applyFont="1" applyFill="1" applyBorder="1" applyAlignment="1" applyProtection="1">
      <alignment wrapText="1"/>
    </xf>
    <xf numFmtId="0" fontId="0" fillId="39" borderId="0" xfId="0" applyNumberFormat="1" applyFill="1" applyAlignment="1" applyProtection="1">
      <alignment vertical="top"/>
    </xf>
    <xf numFmtId="180" fontId="76" fillId="0" borderId="80" xfId="71" applyNumberFormat="1" applyFont="1" applyBorder="1" applyProtection="1">
      <protection locked="0"/>
    </xf>
    <xf numFmtId="170" fontId="74" fillId="0" borderId="178" xfId="79" applyNumberFormat="1" applyFont="1" applyFill="1" applyBorder="1" applyAlignment="1">
      <alignment horizontal="left"/>
    </xf>
    <xf numFmtId="170" fontId="71" fillId="0" borderId="178" xfId="79" applyNumberFormat="1" applyFont="1" applyFill="1" applyBorder="1"/>
    <xf numFmtId="10" fontId="25" fillId="39" borderId="0" xfId="41222" applyNumberFormat="1" applyFont="1" applyFill="1" applyBorder="1" applyAlignment="1">
      <alignment horizontal="center"/>
    </xf>
    <xf numFmtId="171" fontId="25" fillId="40" borderId="74" xfId="71" applyNumberFormat="1" applyFont="1" applyFill="1" applyBorder="1" applyAlignment="1">
      <alignment horizontal="left"/>
    </xf>
    <xf numFmtId="171" fontId="25" fillId="40" borderId="17" xfId="71" applyNumberFormat="1" applyFont="1" applyFill="1" applyBorder="1" applyAlignment="1">
      <alignment horizontal="left"/>
    </xf>
    <xf numFmtId="171" fontId="25" fillId="0" borderId="17" xfId="71" applyNumberFormat="1" applyFont="1" applyFill="1" applyBorder="1" applyAlignment="1">
      <alignment horizontal="left"/>
    </xf>
    <xf numFmtId="171" fontId="25" fillId="0" borderId="19" xfId="71" applyNumberFormat="1" applyFont="1" applyFill="1" applyBorder="1" applyAlignment="1" applyProtection="1">
      <alignment horizontal="left" wrapText="1"/>
      <protection locked="0"/>
    </xf>
    <xf numFmtId="174" fontId="0" fillId="97" borderId="178" xfId="0" applyNumberFormat="1" applyFont="1" applyFill="1" applyBorder="1" applyProtection="1">
      <protection locked="0"/>
    </xf>
    <xf numFmtId="174" fontId="76" fillId="51" borderId="176" xfId="0" applyNumberFormat="1" applyFont="1" applyFill="1" applyBorder="1" applyAlignment="1" applyProtection="1">
      <alignment horizontal="left"/>
      <protection locked="0"/>
    </xf>
    <xf numFmtId="174" fontId="0" fillId="97" borderId="184" xfId="0" applyNumberFormat="1" applyFont="1" applyFill="1" applyBorder="1" applyProtection="1">
      <protection locked="0"/>
    </xf>
    <xf numFmtId="0" fontId="76" fillId="51" borderId="176" xfId="0" applyFont="1" applyFill="1" applyBorder="1" applyAlignment="1" applyProtection="1">
      <alignment horizontal="left"/>
      <protection locked="0"/>
    </xf>
    <xf numFmtId="173" fontId="0" fillId="97" borderId="177" xfId="0" applyNumberFormat="1" applyFont="1" applyFill="1" applyBorder="1" applyProtection="1">
      <protection locked="0"/>
    </xf>
    <xf numFmtId="3" fontId="74" fillId="0" borderId="26" xfId="41216" applyNumberFormat="1" applyFont="1" applyFill="1" applyBorder="1"/>
    <xf numFmtId="41" fontId="74" fillId="0" borderId="26" xfId="41219" applyNumberFormat="1" applyFont="1" applyFill="1" applyBorder="1"/>
    <xf numFmtId="41" fontId="89" fillId="0" borderId="26" xfId="41219" applyNumberFormat="1" applyFont="1" applyFill="1" applyBorder="1" applyAlignment="1">
      <alignment horizontal="center"/>
    </xf>
    <xf numFmtId="41" fontId="140" fillId="0" borderId="26" xfId="41219" applyNumberFormat="1" applyFont="1" applyFill="1" applyBorder="1" applyAlignment="1">
      <alignment horizontal="center"/>
    </xf>
    <xf numFmtId="41" fontId="74" fillId="0" borderId="26" xfId="41219" applyNumberFormat="1" applyFont="1" applyFill="1" applyBorder="1" applyAlignment="1">
      <alignment horizontal="center"/>
    </xf>
    <xf numFmtId="41" fontId="89" fillId="0" borderId="26" xfId="41219" applyNumberFormat="1" applyFont="1" applyFill="1" applyBorder="1"/>
    <xf numFmtId="41" fontId="89" fillId="0" borderId="115" xfId="41219" applyNumberFormat="1" applyFont="1" applyFill="1" applyBorder="1"/>
    <xf numFmtId="44" fontId="73" fillId="104" borderId="69" xfId="79" applyFont="1" applyFill="1" applyBorder="1" applyAlignment="1">
      <alignment horizontal="center" vertical="top" wrapText="1"/>
    </xf>
    <xf numFmtId="0" fontId="69" fillId="104" borderId="41" xfId="0" applyFont="1" applyFill="1" applyBorder="1" applyAlignment="1">
      <alignment horizontal="center"/>
    </xf>
    <xf numFmtId="0" fontId="69" fillId="105" borderId="38" xfId="0" applyFont="1" applyFill="1" applyBorder="1" applyAlignment="1">
      <alignment horizontal="center"/>
    </xf>
    <xf numFmtId="44" fontId="73" fillId="105" borderId="175" xfId="79" applyFont="1" applyFill="1" applyBorder="1" applyAlignment="1">
      <alignment horizontal="center" vertical="top" wrapText="1"/>
    </xf>
    <xf numFmtId="0" fontId="69" fillId="67" borderId="48" xfId="0" applyFont="1" applyFill="1" applyBorder="1" applyAlignment="1">
      <alignment horizontal="center"/>
    </xf>
    <xf numFmtId="0" fontId="69" fillId="105" borderId="48" xfId="0" applyFont="1" applyFill="1" applyBorder="1" applyAlignment="1">
      <alignment horizontal="center"/>
    </xf>
    <xf numFmtId="44" fontId="73" fillId="67" borderId="70" xfId="79" applyFont="1" applyFill="1" applyBorder="1" applyAlignment="1">
      <alignment horizontal="center" vertical="top" wrapText="1"/>
    </xf>
    <xf numFmtId="44" fontId="73" fillId="105" borderId="70" xfId="79" applyFont="1" applyFill="1" applyBorder="1" applyAlignment="1">
      <alignment horizontal="center" vertical="top" wrapText="1"/>
    </xf>
    <xf numFmtId="44" fontId="27" fillId="0" borderId="25" xfId="79" applyFont="1" applyFill="1" applyBorder="1" applyProtection="1"/>
    <xf numFmtId="0" fontId="0" fillId="0" borderId="177" xfId="335" applyFont="1" applyFill="1" applyBorder="1"/>
    <xf numFmtId="0" fontId="0" fillId="0" borderId="21" xfId="335" applyFont="1" applyFill="1" applyBorder="1"/>
    <xf numFmtId="0" fontId="0" fillId="0" borderId="177" xfId="0" applyFont="1" applyFill="1" applyBorder="1" applyProtection="1">
      <protection locked="0"/>
    </xf>
    <xf numFmtId="44" fontId="0" fillId="0" borderId="177" xfId="79" applyFont="1" applyFill="1" applyBorder="1" applyAlignment="1" applyProtection="1">
      <alignment horizontal="center" vertical="center"/>
      <protection locked="0"/>
    </xf>
    <xf numFmtId="44" fontId="25" fillId="38" borderId="177" xfId="79" applyFont="1" applyFill="1" applyBorder="1" applyProtection="1">
      <protection locked="0"/>
    </xf>
    <xf numFmtId="9" fontId="0" fillId="0" borderId="177" xfId="147" applyNumberFormat="1" applyFont="1" applyFill="1" applyBorder="1" applyAlignment="1" applyProtection="1">
      <alignment horizontal="right"/>
      <protection locked="0"/>
    </xf>
    <xf numFmtId="9" fontId="25" fillId="38" borderId="177" xfId="147" applyNumberFormat="1" applyFont="1" applyFill="1" applyBorder="1" applyAlignment="1" applyProtection="1">
      <alignment horizontal="right"/>
      <protection locked="0"/>
    </xf>
    <xf numFmtId="43" fontId="0" fillId="99" borderId="177" xfId="71" applyNumberFormat="1" applyFont="1" applyFill="1" applyBorder="1" applyProtection="1">
      <protection locked="0"/>
    </xf>
    <xf numFmtId="0" fontId="0" fillId="0" borderId="177" xfId="0" applyNumberFormat="1" applyFont="1" applyFill="1" applyBorder="1"/>
    <xf numFmtId="169" fontId="0" fillId="98" borderId="177" xfId="0" applyNumberFormat="1" applyFont="1" applyFill="1" applyBorder="1" applyAlignment="1">
      <alignment horizontal="center"/>
    </xf>
    <xf numFmtId="176" fontId="25" fillId="98" borderId="177" xfId="0" applyNumberFormat="1" applyFont="1" applyFill="1" applyBorder="1" applyAlignment="1" applyProtection="1">
      <alignment horizontal="center"/>
      <protection locked="0"/>
    </xf>
    <xf numFmtId="2" fontId="25" fillId="99" borderId="177" xfId="0" applyNumberFormat="1" applyFont="1" applyFill="1" applyBorder="1" applyAlignment="1" applyProtection="1">
      <alignment horizontal="right"/>
      <protection locked="0"/>
    </xf>
    <xf numFmtId="2" fontId="0" fillId="0" borderId="177" xfId="0" applyNumberFormat="1" applyFont="1" applyFill="1" applyBorder="1" applyAlignment="1" applyProtection="1">
      <alignment horizontal="right"/>
      <protection locked="0"/>
    </xf>
    <xf numFmtId="171" fontId="0" fillId="0" borderId="177" xfId="71" applyNumberFormat="1" applyFont="1" applyFill="1" applyBorder="1" applyAlignment="1" applyProtection="1">
      <alignment horizontal="right"/>
      <protection locked="0"/>
    </xf>
    <xf numFmtId="0" fontId="0" fillId="0" borderId="177" xfId="71" applyNumberFormat="1" applyFont="1" applyFill="1" applyBorder="1" applyAlignment="1" applyProtection="1">
      <alignment horizontal="left"/>
      <protection locked="0"/>
    </xf>
    <xf numFmtId="9" fontId="0" fillId="0" borderId="177" xfId="147" applyFont="1" applyFill="1" applyBorder="1" applyAlignment="1" applyProtection="1">
      <alignment horizontal="right"/>
      <protection locked="0"/>
    </xf>
    <xf numFmtId="0" fontId="96" fillId="0" borderId="73" xfId="0" applyFont="1" applyFill="1" applyBorder="1"/>
    <xf numFmtId="0" fontId="0" fillId="0" borderId="73" xfId="0" applyFill="1" applyBorder="1"/>
    <xf numFmtId="43" fontId="0" fillId="0" borderId="73" xfId="0" applyNumberFormat="1" applyFill="1" applyBorder="1"/>
    <xf numFmtId="171" fontId="138" fillId="0" borderId="73" xfId="71" applyNumberFormat="1" applyFont="1" applyBorder="1"/>
    <xf numFmtId="171" fontId="138" fillId="0" borderId="0" xfId="71" applyNumberFormat="1" applyFont="1" applyBorder="1" applyAlignment="1">
      <alignment horizontal="left" vertical="top" wrapText="1"/>
    </xf>
    <xf numFmtId="171" fontId="76" fillId="43" borderId="0" xfId="71" applyNumberFormat="1" applyFont="1" applyFill="1" applyBorder="1"/>
    <xf numFmtId="171" fontId="76" fillId="44" borderId="0" xfId="0" applyNumberFormat="1" applyFont="1" applyFill="1" applyBorder="1"/>
    <xf numFmtId="0" fontId="72" fillId="0" borderId="51" xfId="41216" applyFont="1" applyBorder="1" applyAlignment="1">
      <alignment horizontal="center" wrapText="1"/>
    </xf>
    <xf numFmtId="0" fontId="89" fillId="0" borderId="15" xfId="41216" applyFont="1" applyBorder="1" applyAlignment="1">
      <alignment horizontal="center" vertical="center" wrapText="1"/>
    </xf>
    <xf numFmtId="172" fontId="89" fillId="0" borderId="15" xfId="71" applyNumberFormat="1" applyFont="1" applyBorder="1" applyAlignment="1">
      <alignment horizontal="center" vertical="center" wrapText="1"/>
    </xf>
    <xf numFmtId="0" fontId="89" fillId="0" borderId="15" xfId="41216" applyFont="1" applyFill="1" applyBorder="1" applyAlignment="1">
      <alignment horizontal="center" vertical="center" wrapText="1"/>
    </xf>
    <xf numFmtId="0" fontId="89" fillId="0" borderId="16" xfId="41216" applyFont="1" applyFill="1" applyBorder="1" applyAlignment="1">
      <alignment horizontal="center" vertical="center" wrapText="1"/>
    </xf>
    <xf numFmtId="0" fontId="109" fillId="51" borderId="17" xfId="335" applyFont="1" applyFill="1" applyBorder="1"/>
    <xf numFmtId="0" fontId="109" fillId="51" borderId="19" xfId="335" applyFont="1" applyFill="1" applyBorder="1"/>
    <xf numFmtId="0" fontId="72" fillId="106" borderId="15" xfId="41216" applyFont="1" applyFill="1" applyBorder="1" applyAlignment="1">
      <alignment horizontal="center" vertical="center" wrapText="1"/>
    </xf>
    <xf numFmtId="0" fontId="72" fillId="0" borderId="15" xfId="41216" applyFont="1" applyBorder="1" applyAlignment="1">
      <alignment horizontal="center" wrapText="1"/>
    </xf>
    <xf numFmtId="0" fontId="169" fillId="106" borderId="0" xfId="41216" applyFont="1" applyFill="1" applyBorder="1" applyAlignment="1">
      <alignment horizontal="left"/>
    </xf>
    <xf numFmtId="2" fontId="71" fillId="0" borderId="0" xfId="147" applyNumberFormat="1" applyFont="1" applyBorder="1"/>
    <xf numFmtId="0" fontId="92" fillId="0" borderId="0" xfId="41217" applyFont="1"/>
    <xf numFmtId="2" fontId="75" fillId="0" borderId="0" xfId="41217" applyNumberFormat="1" applyFont="1"/>
    <xf numFmtId="44" fontId="76" fillId="0" borderId="0" xfId="0" applyNumberFormat="1" applyFont="1" applyFill="1" applyBorder="1"/>
    <xf numFmtId="43" fontId="138" fillId="0" borderId="0" xfId="0" applyNumberFormat="1" applyFont="1" applyBorder="1" applyAlignment="1">
      <alignment horizontal="left" vertical="top" wrapText="1"/>
    </xf>
    <xf numFmtId="0" fontId="168" fillId="0" borderId="73" xfId="0" applyFont="1" applyBorder="1" applyAlignment="1" applyProtection="1">
      <alignment horizontal="left" vertical="center" wrapText="1"/>
      <protection locked="0"/>
    </xf>
    <xf numFmtId="0" fontId="168" fillId="0" borderId="0" xfId="0" applyFont="1" applyAlignment="1" applyProtection="1">
      <alignment horizontal="left" vertical="center" wrapText="1"/>
      <protection locked="0"/>
    </xf>
    <xf numFmtId="0" fontId="58" fillId="0" borderId="0" xfId="335" applyFont="1" applyFill="1" applyBorder="1" applyAlignment="1">
      <alignment horizontal="left" vertical="top" wrapText="1"/>
    </xf>
    <xf numFmtId="0" fontId="0" fillId="0" borderId="173" xfId="335" applyFont="1" applyFill="1" applyBorder="1" applyAlignment="1">
      <alignment horizontal="left" vertical="top" wrapText="1"/>
    </xf>
    <xf numFmtId="0" fontId="0" fillId="0" borderId="174" xfId="335" applyFont="1" applyFill="1" applyBorder="1" applyAlignment="1">
      <alignment horizontal="left" vertical="top" wrapText="1"/>
    </xf>
    <xf numFmtId="0" fontId="25" fillId="0" borderId="183" xfId="335" applyFont="1" applyFill="1" applyBorder="1" applyAlignment="1">
      <alignment horizontal="left" vertical="top" wrapText="1"/>
    </xf>
    <xf numFmtId="0" fontId="25" fillId="0" borderId="173" xfId="335" applyFont="1" applyFill="1" applyBorder="1" applyAlignment="1">
      <alignment horizontal="left" vertical="top" wrapText="1"/>
    </xf>
    <xf numFmtId="0" fontId="96" fillId="0" borderId="0" xfId="0" applyFont="1" applyFill="1" applyAlignment="1">
      <alignment horizontal="center"/>
    </xf>
    <xf numFmtId="199" fontId="25" fillId="0" borderId="0" xfId="79" applyNumberFormat="1" applyFont="1" applyFill="1" applyAlignment="1" applyProtection="1">
      <alignment horizontal="center"/>
      <protection locked="0"/>
    </xf>
    <xf numFmtId="199" fontId="25" fillId="0" borderId="22" xfId="79" applyNumberFormat="1" applyFont="1" applyBorder="1" applyAlignment="1" applyProtection="1">
      <alignment horizontal="center" vertical="center"/>
      <protection locked="0"/>
    </xf>
    <xf numFmtId="165" fontId="27" fillId="35" borderId="58" xfId="0" applyNumberFormat="1" applyFont="1" applyFill="1" applyBorder="1" applyAlignment="1" applyProtection="1">
      <alignment horizontal="center" vertical="center"/>
      <protection locked="0"/>
    </xf>
    <xf numFmtId="0" fontId="27" fillId="32" borderId="58" xfId="0" applyFont="1" applyFill="1" applyBorder="1" applyAlignment="1" applyProtection="1">
      <alignment horizontal="center" vertical="center"/>
      <protection locked="0"/>
    </xf>
    <xf numFmtId="2" fontId="27" fillId="33" borderId="84" xfId="0" applyNumberFormat="1" applyFont="1" applyFill="1" applyBorder="1" applyAlignment="1" applyProtection="1">
      <alignment horizontal="center" vertical="center" wrapText="1"/>
      <protection locked="0"/>
    </xf>
    <xf numFmtId="1" fontId="27" fillId="48" borderId="58" xfId="0" applyNumberFormat="1" applyFont="1" applyFill="1" applyBorder="1" applyAlignment="1" applyProtection="1">
      <alignment horizontal="center" vertical="center"/>
      <protection locked="0"/>
    </xf>
    <xf numFmtId="174" fontId="69" fillId="56" borderId="36" xfId="113" applyNumberFormat="1" applyFont="1" applyFill="1" applyBorder="1" applyAlignment="1" applyProtection="1">
      <alignment horizontal="center"/>
    </xf>
    <xf numFmtId="174" fontId="69" fillId="56" borderId="35" xfId="113" applyNumberFormat="1" applyFont="1" applyFill="1" applyBorder="1" applyAlignment="1" applyProtection="1">
      <alignment horizontal="center"/>
    </xf>
    <xf numFmtId="174" fontId="69" fillId="56" borderId="37" xfId="113" applyNumberFormat="1" applyFont="1" applyFill="1" applyBorder="1" applyAlignment="1" applyProtection="1">
      <alignment horizontal="center"/>
    </xf>
    <xf numFmtId="0" fontId="69" fillId="53" borderId="36" xfId="0" applyFont="1" applyFill="1" applyBorder="1" applyAlignment="1">
      <alignment horizontal="center"/>
    </xf>
    <xf numFmtId="0" fontId="69" fillId="53" borderId="35" xfId="0" applyFont="1" applyFill="1" applyBorder="1" applyAlignment="1">
      <alignment horizontal="center"/>
    </xf>
    <xf numFmtId="0" fontId="69" fillId="53" borderId="37" xfId="0" applyFont="1" applyFill="1" applyBorder="1" applyAlignment="1">
      <alignment horizontal="center"/>
    </xf>
    <xf numFmtId="167" fontId="69" fillId="61" borderId="36" xfId="113" applyNumberFormat="1" applyFont="1" applyFill="1" applyBorder="1" applyAlignment="1" applyProtection="1">
      <alignment horizontal="center" wrapText="1"/>
    </xf>
    <xf numFmtId="167" fontId="69" fillId="61" borderId="35" xfId="113" applyNumberFormat="1" applyFont="1" applyFill="1" applyBorder="1" applyAlignment="1" applyProtection="1">
      <alignment horizontal="center" wrapText="1"/>
    </xf>
    <xf numFmtId="167" fontId="69" fillId="61" borderId="37" xfId="113" applyNumberFormat="1" applyFont="1" applyFill="1" applyBorder="1" applyAlignment="1" applyProtection="1">
      <alignment horizontal="center" wrapText="1"/>
    </xf>
    <xf numFmtId="167" fontId="69" fillId="62" borderId="31" xfId="113" applyNumberFormat="1" applyFont="1" applyFill="1" applyBorder="1" applyAlignment="1" applyProtection="1">
      <alignment horizontal="center" wrapText="1"/>
    </xf>
    <xf numFmtId="167" fontId="69" fillId="54" borderId="36" xfId="113" applyNumberFormat="1" applyFont="1" applyFill="1" applyBorder="1" applyAlignment="1" applyProtection="1">
      <alignment horizontal="center" wrapText="1"/>
    </xf>
    <xf numFmtId="167" fontId="69" fillId="54" borderId="35" xfId="113" applyNumberFormat="1" applyFont="1" applyFill="1" applyBorder="1" applyAlignment="1" applyProtection="1">
      <alignment horizontal="center" wrapText="1"/>
    </xf>
    <xf numFmtId="167" fontId="69" fillId="54" borderId="37" xfId="113" applyNumberFormat="1" applyFont="1" applyFill="1" applyBorder="1" applyAlignment="1" applyProtection="1">
      <alignment horizontal="center" wrapText="1"/>
    </xf>
    <xf numFmtId="0" fontId="27" fillId="100" borderId="59" xfId="0" applyFont="1" applyFill="1" applyBorder="1" applyAlignment="1">
      <alignment horizontal="center"/>
    </xf>
    <xf numFmtId="0" fontId="27" fillId="100" borderId="176" xfId="0" applyFont="1" applyFill="1" applyBorder="1" applyAlignment="1">
      <alignment horizontal="center"/>
    </xf>
    <xf numFmtId="0" fontId="27" fillId="100" borderId="170" xfId="0" applyFont="1" applyFill="1" applyBorder="1" applyAlignment="1">
      <alignment horizontal="center"/>
    </xf>
    <xf numFmtId="180" fontId="69" fillId="54" borderId="36" xfId="0" applyNumberFormat="1" applyFont="1" applyFill="1" applyBorder="1" applyAlignment="1" applyProtection="1">
      <alignment horizontal="center" vertical="center" wrapText="1"/>
    </xf>
    <xf numFmtId="180" fontId="69" fillId="54" borderId="35" xfId="0" applyNumberFormat="1" applyFont="1" applyFill="1" applyBorder="1" applyAlignment="1" applyProtection="1">
      <alignment horizontal="center" vertical="center" wrapText="1"/>
    </xf>
    <xf numFmtId="180" fontId="69" fillId="54" borderId="37" xfId="0" applyNumberFormat="1" applyFont="1" applyFill="1" applyBorder="1" applyAlignment="1" applyProtection="1">
      <alignment horizontal="center" vertical="center" wrapText="1"/>
    </xf>
    <xf numFmtId="0" fontId="27" fillId="0" borderId="30" xfId="0" applyFont="1" applyFill="1" applyBorder="1" applyAlignment="1" applyProtection="1">
      <alignment horizontal="center"/>
    </xf>
    <xf numFmtId="0" fontId="27" fillId="0" borderId="31" xfId="0" applyFont="1" applyFill="1" applyBorder="1" applyAlignment="1" applyProtection="1">
      <alignment horizontal="center"/>
    </xf>
    <xf numFmtId="0" fontId="68" fillId="50" borderId="31" xfId="0" applyFont="1" applyFill="1" applyBorder="1" applyAlignment="1" applyProtection="1">
      <alignment horizontal="center"/>
    </xf>
    <xf numFmtId="0" fontId="69" fillId="69" borderId="36" xfId="0" applyFont="1" applyFill="1" applyBorder="1" applyAlignment="1">
      <alignment horizontal="center"/>
    </xf>
    <xf numFmtId="0" fontId="69" fillId="69" borderId="35" xfId="0" applyFont="1" applyFill="1" applyBorder="1" applyAlignment="1">
      <alignment horizontal="center"/>
    </xf>
    <xf numFmtId="0" fontId="69" fillId="69" borderId="37" xfId="0" applyFont="1" applyFill="1" applyBorder="1" applyAlignment="1">
      <alignment horizontal="center"/>
    </xf>
    <xf numFmtId="0" fontId="69" fillId="53" borderId="31" xfId="0" applyFont="1" applyFill="1" applyBorder="1" applyAlignment="1">
      <alignment horizontal="center"/>
    </xf>
    <xf numFmtId="180" fontId="69" fillId="70" borderId="36" xfId="0" applyNumberFormat="1" applyFont="1" applyFill="1" applyBorder="1" applyAlignment="1" applyProtection="1">
      <alignment horizontal="center" vertical="center" wrapText="1"/>
    </xf>
    <xf numFmtId="180" fontId="69" fillId="70" borderId="35" xfId="0" applyNumberFormat="1" applyFont="1" applyFill="1" applyBorder="1" applyAlignment="1" applyProtection="1">
      <alignment horizontal="center" vertical="center" wrapText="1"/>
    </xf>
    <xf numFmtId="180" fontId="69" fillId="70" borderId="37" xfId="0" applyNumberFormat="1" applyFont="1" applyFill="1" applyBorder="1" applyAlignment="1" applyProtection="1">
      <alignment horizontal="center" vertical="center" wrapText="1"/>
    </xf>
    <xf numFmtId="0" fontId="69" fillId="63" borderId="31" xfId="0" applyFont="1" applyFill="1" applyBorder="1" applyAlignment="1">
      <alignment horizontal="center"/>
    </xf>
    <xf numFmtId="174" fontId="69" fillId="50" borderId="36" xfId="113" applyNumberFormat="1" applyFont="1" applyFill="1" applyBorder="1" applyAlignment="1" applyProtection="1">
      <alignment horizontal="center"/>
    </xf>
    <xf numFmtId="174" fontId="69" fillId="50" borderId="35" xfId="113" applyNumberFormat="1" applyFont="1" applyFill="1" applyBorder="1" applyAlignment="1" applyProtection="1">
      <alignment horizontal="center"/>
    </xf>
    <xf numFmtId="174" fontId="69" fillId="50" borderId="37" xfId="113" applyNumberFormat="1" applyFont="1" applyFill="1" applyBorder="1" applyAlignment="1" applyProtection="1">
      <alignment horizontal="center"/>
    </xf>
    <xf numFmtId="174" fontId="69" fillId="52" borderId="36" xfId="113" applyNumberFormat="1" applyFont="1" applyFill="1" applyBorder="1" applyAlignment="1" applyProtection="1">
      <alignment horizontal="center"/>
    </xf>
    <xf numFmtId="174" fontId="69" fillId="52" borderId="35" xfId="113" applyNumberFormat="1" applyFont="1" applyFill="1" applyBorder="1" applyAlignment="1" applyProtection="1">
      <alignment horizontal="center"/>
    </xf>
    <xf numFmtId="174" fontId="69" fillId="52" borderId="37" xfId="113" applyNumberFormat="1" applyFont="1" applyFill="1" applyBorder="1" applyAlignment="1" applyProtection="1">
      <alignment horizontal="center"/>
    </xf>
    <xf numFmtId="0" fontId="27" fillId="51" borderId="34" xfId="0" applyFont="1" applyFill="1" applyBorder="1" applyAlignment="1">
      <alignment horizontal="center"/>
    </xf>
    <xf numFmtId="0" fontId="27" fillId="51" borderId="35" xfId="0" applyFont="1" applyFill="1" applyBorder="1" applyAlignment="1">
      <alignment horizontal="center"/>
    </xf>
    <xf numFmtId="0" fontId="27" fillId="51" borderId="37" xfId="0" applyFont="1" applyFill="1" applyBorder="1" applyAlignment="1">
      <alignment horizontal="center"/>
    </xf>
    <xf numFmtId="0" fontId="27" fillId="51" borderId="36" xfId="0" applyFont="1" applyFill="1" applyBorder="1" applyAlignment="1">
      <alignment horizontal="center"/>
    </xf>
    <xf numFmtId="0" fontId="27" fillId="51" borderId="107" xfId="0" applyFont="1" applyFill="1" applyBorder="1" applyAlignment="1">
      <alignment horizontal="center" wrapText="1"/>
    </xf>
    <xf numFmtId="0" fontId="27" fillId="51" borderId="83" xfId="0" applyFont="1" applyFill="1" applyBorder="1" applyAlignment="1">
      <alignment horizontal="center" wrapText="1"/>
    </xf>
    <xf numFmtId="0" fontId="108" fillId="51" borderId="153" xfId="0" applyFont="1" applyFill="1" applyBorder="1" applyAlignment="1">
      <alignment horizontal="center" vertical="center" wrapText="1"/>
    </xf>
    <xf numFmtId="0" fontId="108" fillId="51" borderId="154" xfId="0" applyFont="1" applyFill="1" applyBorder="1" applyAlignment="1">
      <alignment horizontal="center" vertical="center" wrapText="1"/>
    </xf>
    <xf numFmtId="0" fontId="108" fillId="51" borderId="151" xfId="0" applyFont="1" applyFill="1" applyBorder="1" applyAlignment="1">
      <alignment horizontal="center" vertical="center" wrapText="1"/>
    </xf>
    <xf numFmtId="0" fontId="108" fillId="51" borderId="156" xfId="0" applyFont="1" applyFill="1" applyBorder="1" applyAlignment="1">
      <alignment horizontal="center" vertical="center" wrapText="1"/>
    </xf>
    <xf numFmtId="0" fontId="112" fillId="51" borderId="87" xfId="0" applyFont="1" applyFill="1" applyBorder="1" applyAlignment="1">
      <alignment horizontal="center" vertical="center" wrapText="1"/>
    </xf>
    <xf numFmtId="0" fontId="112" fillId="51" borderId="73" xfId="0" applyFont="1" applyFill="1" applyBorder="1" applyAlignment="1">
      <alignment horizontal="center" vertical="center" wrapText="1"/>
    </xf>
    <xf numFmtId="0" fontId="112" fillId="51" borderId="74" xfId="0" applyFont="1" applyFill="1" applyBorder="1" applyAlignment="1">
      <alignment horizontal="center" vertical="center" wrapText="1"/>
    </xf>
    <xf numFmtId="0" fontId="112" fillId="51" borderId="20" xfId="0" applyFont="1" applyFill="1" applyBorder="1" applyAlignment="1">
      <alignment horizontal="center" vertical="center" wrapText="1"/>
    </xf>
    <xf numFmtId="0" fontId="112" fillId="51" borderId="0" xfId="0" applyFont="1" applyFill="1" applyBorder="1" applyAlignment="1">
      <alignment horizontal="center" vertical="center" wrapText="1"/>
    </xf>
    <xf numFmtId="0" fontId="112" fillId="51" borderId="17" xfId="0" applyFont="1" applyFill="1" applyBorder="1" applyAlignment="1">
      <alignment horizontal="center" vertical="center" wrapText="1"/>
    </xf>
    <xf numFmtId="0" fontId="112" fillId="51" borderId="90" xfId="0" applyFont="1" applyFill="1" applyBorder="1" applyAlignment="1">
      <alignment horizontal="center" vertical="center" wrapText="1"/>
    </xf>
    <xf numFmtId="0" fontId="112" fillId="51" borderId="26" xfId="0" applyFont="1" applyFill="1" applyBorder="1" applyAlignment="1">
      <alignment horizontal="center" vertical="center" wrapText="1"/>
    </xf>
    <xf numFmtId="0" fontId="112" fillId="51" borderId="92" xfId="0" applyFont="1" applyFill="1" applyBorder="1" applyAlignment="1">
      <alignment horizontal="center" vertical="center" wrapText="1"/>
    </xf>
    <xf numFmtId="0" fontId="112" fillId="51" borderId="81" xfId="0" applyFont="1" applyFill="1" applyBorder="1" applyAlignment="1">
      <alignment horizontal="center" vertical="center" wrapText="1"/>
    </xf>
    <xf numFmtId="0" fontId="112" fillId="51" borderId="115" xfId="0" applyFont="1" applyFill="1" applyBorder="1" applyAlignment="1">
      <alignment horizontal="center" vertical="center" wrapText="1"/>
    </xf>
    <xf numFmtId="0" fontId="113" fillId="51" borderId="28" xfId="0" applyFont="1" applyFill="1" applyBorder="1" applyAlignment="1">
      <alignment horizontal="center" vertical="center" wrapText="1"/>
    </xf>
    <xf numFmtId="0" fontId="113" fillId="51" borderId="96" xfId="0" applyFont="1" applyFill="1" applyBorder="1" applyAlignment="1">
      <alignment horizontal="center" vertical="center" wrapText="1"/>
    </xf>
    <xf numFmtId="0" fontId="113" fillId="51" borderId="5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94" fillId="51" borderId="48" xfId="0" applyFont="1" applyFill="1" applyBorder="1" applyAlignment="1">
      <alignment horizontal="center"/>
    </xf>
    <xf numFmtId="0" fontId="94" fillId="51" borderId="54" xfId="0" applyFont="1" applyFill="1" applyBorder="1" applyAlignment="1">
      <alignment horizontal="center"/>
    </xf>
    <xf numFmtId="0" fontId="94" fillId="51" borderId="96" xfId="0" applyFont="1" applyFill="1" applyBorder="1" applyAlignment="1">
      <alignment horizontal="center"/>
    </xf>
    <xf numFmtId="0" fontId="94" fillId="51" borderId="98" xfId="0" applyFont="1" applyFill="1" applyBorder="1" applyAlignment="1">
      <alignment horizontal="center"/>
    </xf>
    <xf numFmtId="0" fontId="94" fillId="51" borderId="155" xfId="0" applyFont="1" applyFill="1" applyBorder="1" applyAlignment="1">
      <alignment horizontal="center"/>
    </xf>
    <xf numFmtId="0" fontId="0" fillId="51" borderId="24" xfId="0" applyFont="1" applyFill="1" applyBorder="1" applyAlignment="1">
      <alignment horizontal="center"/>
    </xf>
    <xf numFmtId="0" fontId="0" fillId="51" borderId="0" xfId="0" applyFont="1" applyFill="1" applyBorder="1" applyAlignment="1">
      <alignment horizontal="center"/>
    </xf>
    <xf numFmtId="0" fontId="0" fillId="51" borderId="141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0" fontId="56" fillId="51" borderId="59" xfId="0" applyFont="1" applyFill="1" applyBorder="1" applyAlignment="1" applyProtection="1">
      <alignment horizontal="center"/>
      <protection locked="0"/>
    </xf>
    <xf numFmtId="0" fontId="56" fillId="51" borderId="61" xfId="0" applyFont="1" applyFill="1" applyBorder="1" applyAlignment="1" applyProtection="1">
      <alignment horizontal="center"/>
      <protection locked="0"/>
    </xf>
    <xf numFmtId="0" fontId="27" fillId="51" borderId="23" xfId="0" applyFont="1" applyFill="1" applyBorder="1" applyAlignment="1" applyProtection="1">
      <alignment horizontal="center" vertical="center" wrapText="1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89" xfId="0" applyFont="1" applyFill="1" applyBorder="1" applyAlignment="1" applyProtection="1">
      <alignment horizontal="center" vertical="center" wrapText="1"/>
    </xf>
    <xf numFmtId="0" fontId="27" fillId="51" borderId="27" xfId="0" applyFont="1" applyFill="1" applyBorder="1" applyAlignment="1" applyProtection="1">
      <alignment horizontal="center" vertical="center" wrapText="1"/>
    </xf>
    <xf numFmtId="0" fontId="0" fillId="51" borderId="28" xfId="0" applyFont="1" applyFill="1" applyBorder="1" applyAlignment="1">
      <alignment horizontal="center" vertical="center" wrapText="1"/>
    </xf>
    <xf numFmtId="0" fontId="0" fillId="51" borderId="29" xfId="0" applyFont="1" applyFill="1" applyBorder="1" applyAlignment="1">
      <alignment horizontal="center" vertical="center" wrapText="1"/>
    </xf>
    <xf numFmtId="0" fontId="0" fillId="51" borderId="24" xfId="0" applyFont="1" applyFill="1" applyBorder="1" applyAlignment="1">
      <alignment horizontal="center" vertical="center" wrapText="1"/>
    </xf>
    <xf numFmtId="0" fontId="0" fillId="51" borderId="0" xfId="0" applyFont="1" applyFill="1" applyBorder="1" applyAlignment="1">
      <alignment horizontal="center" vertical="center" wrapText="1"/>
    </xf>
    <xf numFmtId="0" fontId="0" fillId="51" borderId="26" xfId="0" applyFont="1" applyFill="1" applyBorder="1" applyAlignment="1">
      <alignment horizontal="center" vertical="center" wrapText="1"/>
    </xf>
    <xf numFmtId="0" fontId="0" fillId="51" borderId="49" xfId="0" applyFont="1" applyFill="1" applyBorder="1" applyAlignment="1">
      <alignment horizontal="center" vertical="center" wrapText="1"/>
    </xf>
    <xf numFmtId="0" fontId="0" fillId="51" borderId="22" xfId="0" applyFont="1" applyFill="1" applyBorder="1" applyAlignment="1">
      <alignment horizontal="center" vertical="center" wrapText="1"/>
    </xf>
    <xf numFmtId="0" fontId="0" fillId="51" borderId="50" xfId="0" applyFont="1" applyFill="1" applyBorder="1" applyAlignment="1">
      <alignment horizontal="center" vertical="center" wrapText="1"/>
    </xf>
    <xf numFmtId="0" fontId="27" fillId="51" borderId="29" xfId="0" applyFont="1" applyFill="1" applyBorder="1" applyAlignment="1" applyProtection="1">
      <alignment horizontal="center" vertical="center" wrapText="1"/>
    </xf>
    <xf numFmtId="0" fontId="27" fillId="51" borderId="24" xfId="0" applyFont="1" applyFill="1" applyBorder="1" applyAlignment="1" applyProtection="1">
      <alignment horizontal="center" vertical="center" wrapText="1"/>
    </xf>
    <xf numFmtId="0" fontId="27" fillId="51" borderId="26" xfId="0" applyFont="1" applyFill="1" applyBorder="1" applyAlignment="1" applyProtection="1">
      <alignment horizontal="center" vertical="center" wrapText="1"/>
    </xf>
    <xf numFmtId="0" fontId="27" fillId="51" borderId="49" xfId="0" applyFont="1" applyFill="1" applyBorder="1" applyAlignment="1" applyProtection="1">
      <alignment horizontal="center" vertical="center" wrapText="1"/>
    </xf>
    <xf numFmtId="0" fontId="27" fillId="51" borderId="50" xfId="0" applyFont="1" applyFill="1" applyBorder="1" applyAlignment="1" applyProtection="1">
      <alignment horizontal="center" vertical="center" wrapText="1"/>
    </xf>
    <xf numFmtId="0" fontId="27" fillId="51" borderId="28" xfId="0" applyFont="1" applyFill="1" applyBorder="1" applyAlignment="1" applyProtection="1">
      <alignment horizontal="center" vertical="center" wrapText="1"/>
    </xf>
    <xf numFmtId="0" fontId="27" fillId="51" borderId="0" xfId="0" applyFont="1" applyFill="1" applyBorder="1" applyAlignment="1" applyProtection="1">
      <alignment horizontal="center" vertical="center" wrapText="1"/>
    </xf>
    <xf numFmtId="0" fontId="27" fillId="51" borderId="22" xfId="0" applyFont="1" applyFill="1" applyBorder="1" applyAlignment="1" applyProtection="1">
      <alignment horizontal="center" vertical="center" wrapText="1"/>
    </xf>
    <xf numFmtId="0" fontId="82" fillId="31" borderId="87" xfId="0" applyFont="1" applyFill="1" applyBorder="1" applyAlignment="1" applyProtection="1">
      <alignment horizontal="center" vertical="top" wrapText="1"/>
      <protection locked="0"/>
    </xf>
    <xf numFmtId="0" fontId="82" fillId="31" borderId="33" xfId="0" applyFont="1" applyFill="1" applyBorder="1" applyAlignment="1" applyProtection="1">
      <alignment horizontal="center" vertical="top" wrapText="1"/>
      <protection locked="0"/>
    </xf>
    <xf numFmtId="0" fontId="82" fillId="88" borderId="87" xfId="0" applyFont="1" applyFill="1" applyBorder="1" applyAlignment="1" applyProtection="1">
      <alignment horizontal="center" vertical="center" wrapText="1"/>
      <protection locked="0"/>
    </xf>
    <xf numFmtId="0" fontId="82" fillId="88" borderId="73" xfId="0" applyFont="1" applyFill="1" applyBorder="1" applyAlignment="1" applyProtection="1">
      <alignment horizontal="center" vertical="center" wrapText="1"/>
      <protection locked="0"/>
    </xf>
    <xf numFmtId="0" fontId="82" fillId="88" borderId="80" xfId="0" applyFont="1" applyFill="1" applyBorder="1" applyAlignment="1" applyProtection="1">
      <alignment horizontal="center" vertical="center" wrapText="1"/>
      <protection locked="0"/>
    </xf>
    <xf numFmtId="0" fontId="82" fillId="90" borderId="87" xfId="0" applyFont="1" applyFill="1" applyBorder="1" applyAlignment="1" applyProtection="1">
      <alignment horizontal="center" vertical="center" wrapText="1"/>
      <protection locked="0"/>
    </xf>
    <xf numFmtId="0" fontId="82" fillId="90" borderId="73" xfId="0" applyFont="1" applyFill="1" applyBorder="1" applyAlignment="1" applyProtection="1">
      <alignment horizontal="center" vertical="center" wrapText="1"/>
      <protection locked="0"/>
    </xf>
    <xf numFmtId="0" fontId="82" fillId="34" borderId="87" xfId="0" applyFont="1" applyFill="1" applyBorder="1" applyAlignment="1" applyProtection="1">
      <alignment horizontal="center" vertical="center" wrapText="1"/>
      <protection locked="0"/>
    </xf>
    <xf numFmtId="0" fontId="82" fillId="34" borderId="73" xfId="0" applyFont="1" applyFill="1" applyBorder="1" applyAlignment="1" applyProtection="1">
      <alignment horizontal="center" vertical="center" wrapText="1"/>
      <protection locked="0"/>
    </xf>
    <xf numFmtId="0" fontId="82" fillId="34" borderId="74" xfId="0" applyFont="1" applyFill="1" applyBorder="1" applyAlignment="1" applyProtection="1">
      <alignment horizontal="center" vertical="center" wrapText="1"/>
      <protection locked="0"/>
    </xf>
    <xf numFmtId="0" fontId="82" fillId="89" borderId="87" xfId="0" applyFont="1" applyFill="1" applyBorder="1" applyAlignment="1" applyProtection="1">
      <alignment horizontal="center" vertical="top" wrapText="1"/>
      <protection locked="0"/>
    </xf>
    <xf numFmtId="0" fontId="82" fillId="89" borderId="74" xfId="0" applyFont="1" applyFill="1" applyBorder="1" applyAlignment="1" applyProtection="1">
      <alignment horizontal="center" vertical="top" wrapText="1"/>
      <protection locked="0"/>
    </xf>
    <xf numFmtId="0" fontId="82" fillId="36" borderId="178" xfId="0" applyFont="1" applyFill="1" applyBorder="1" applyAlignment="1" applyProtection="1">
      <alignment horizontal="center" vertical="center" wrapText="1"/>
      <protection locked="0"/>
    </xf>
    <xf numFmtId="0" fontId="82" fillId="36" borderId="0" xfId="0" applyFont="1" applyFill="1" applyAlignment="1" applyProtection="1">
      <alignment horizontal="center" vertical="center" wrapText="1"/>
      <protection locked="0"/>
    </xf>
    <xf numFmtId="0" fontId="82" fillId="36" borderId="17" xfId="0" applyFont="1" applyFill="1" applyBorder="1" applyAlignment="1" applyProtection="1">
      <alignment horizontal="center" vertical="center" wrapText="1"/>
      <protection locked="0"/>
    </xf>
    <xf numFmtId="0" fontId="82" fillId="36" borderId="87" xfId="0" applyFont="1" applyFill="1" applyBorder="1" applyAlignment="1" applyProtection="1">
      <alignment horizontal="center" vertical="center" wrapText="1"/>
      <protection locked="0"/>
    </xf>
    <xf numFmtId="0" fontId="82" fillId="36" borderId="73" xfId="0" applyFont="1" applyFill="1" applyBorder="1" applyAlignment="1" applyProtection="1">
      <alignment horizontal="center" vertical="center" wrapText="1"/>
      <protection locked="0"/>
    </xf>
    <xf numFmtId="0" fontId="82" fillId="36" borderId="80" xfId="0" applyFont="1" applyFill="1" applyBorder="1" applyAlignment="1" applyProtection="1">
      <alignment horizontal="center" vertical="center" wrapText="1"/>
      <protection locked="0"/>
    </xf>
    <xf numFmtId="0" fontId="27" fillId="51" borderId="59" xfId="0" applyFont="1" applyFill="1" applyBorder="1" applyAlignment="1">
      <alignment horizontal="center"/>
    </xf>
    <xf numFmtId="0" fontId="27" fillId="51" borderId="61" xfId="0" applyFont="1" applyFill="1" applyBorder="1" applyAlignment="1">
      <alignment horizontal="center"/>
    </xf>
    <xf numFmtId="0" fontId="27" fillId="51" borderId="72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 wrapText="1"/>
    </xf>
    <xf numFmtId="0" fontId="27" fillId="51" borderId="24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/>
    </xf>
    <xf numFmtId="0" fontId="51" fillId="51" borderId="14" xfId="0" applyFont="1" applyFill="1" applyBorder="1" applyAlignment="1" applyProtection="1">
      <alignment horizontal="center" vertical="center"/>
    </xf>
    <xf numFmtId="0" fontId="51" fillId="51" borderId="15" xfId="0" applyFont="1" applyFill="1" applyBorder="1" applyAlignment="1" applyProtection="1">
      <alignment horizontal="center" vertical="center"/>
    </xf>
    <xf numFmtId="0" fontId="51" fillId="51" borderId="16" xfId="0" applyFont="1" applyFill="1" applyBorder="1" applyAlignment="1" applyProtection="1">
      <alignment horizontal="center" vertical="center"/>
    </xf>
    <xf numFmtId="0" fontId="27" fillId="51" borderId="34" xfId="0" applyFont="1" applyFill="1" applyBorder="1" applyAlignment="1" applyProtection="1">
      <alignment horizontal="center" vertical="center" wrapText="1"/>
    </xf>
    <xf numFmtId="0" fontId="27" fillId="51" borderId="35" xfId="0" applyFont="1" applyFill="1" applyBorder="1" applyAlignment="1" applyProtection="1">
      <alignment horizontal="center" vertical="center" wrapText="1"/>
    </xf>
    <xf numFmtId="0" fontId="27" fillId="51" borderId="38" xfId="0" applyFont="1" applyFill="1" applyBorder="1" applyAlignment="1" applyProtection="1">
      <alignment horizontal="center" vertical="center" wrapText="1"/>
    </xf>
    <xf numFmtId="0" fontId="27" fillId="51" borderId="33" xfId="0" applyFont="1" applyFill="1" applyBorder="1" applyAlignment="1">
      <alignment horizontal="center"/>
    </xf>
    <xf numFmtId="0" fontId="27" fillId="51" borderId="22" xfId="0" applyFont="1" applyFill="1" applyBorder="1" applyAlignment="1">
      <alignment horizontal="center"/>
    </xf>
    <xf numFmtId="0" fontId="27" fillId="51" borderId="19" xfId="0" applyFont="1" applyFill="1" applyBorder="1" applyAlignment="1">
      <alignment horizontal="center"/>
    </xf>
    <xf numFmtId="0" fontId="27" fillId="51" borderId="82" xfId="0" applyFont="1" applyFill="1" applyBorder="1" applyAlignment="1">
      <alignment horizontal="center" wrapText="1"/>
    </xf>
    <xf numFmtId="0" fontId="27" fillId="39" borderId="87" xfId="0" applyFont="1" applyFill="1" applyBorder="1" applyAlignment="1" applyProtection="1">
      <alignment horizontal="left" vertical="top" wrapText="1"/>
      <protection locked="0"/>
    </xf>
    <xf numFmtId="0" fontId="27" fillId="39" borderId="73" xfId="0" applyFont="1" applyFill="1" applyBorder="1" applyAlignment="1" applyProtection="1">
      <alignment horizontal="left" vertical="top" wrapText="1"/>
      <protection locked="0"/>
    </xf>
    <xf numFmtId="0" fontId="27" fillId="39" borderId="74" xfId="0" applyFont="1" applyFill="1" applyBorder="1" applyAlignment="1" applyProtection="1">
      <alignment horizontal="left" vertical="top" wrapText="1"/>
      <protection locked="0"/>
    </xf>
    <xf numFmtId="0" fontId="27" fillId="39" borderId="33" xfId="0" applyFont="1" applyFill="1" applyBorder="1" applyAlignment="1" applyProtection="1">
      <alignment horizontal="left" vertical="top" wrapText="1"/>
      <protection locked="0"/>
    </xf>
    <xf numFmtId="0" fontId="27" fillId="39" borderId="22" xfId="0" applyFont="1" applyFill="1" applyBorder="1" applyAlignment="1" applyProtection="1">
      <alignment horizontal="left" vertical="top" wrapText="1"/>
      <protection locked="0"/>
    </xf>
    <xf numFmtId="0" fontId="27" fillId="39" borderId="19" xfId="0" applyFont="1" applyFill="1" applyBorder="1" applyAlignment="1" applyProtection="1">
      <alignment horizontal="left" vertical="top" wrapText="1"/>
      <protection locked="0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4" xfId="0" applyFont="1" applyFill="1" applyBorder="1" applyAlignment="1" applyProtection="1">
      <alignment horizontal="center" vertical="center" wrapText="1"/>
    </xf>
    <xf numFmtId="0" fontId="126" fillId="51" borderId="35" xfId="0" applyFont="1" applyFill="1" applyBorder="1" applyAlignment="1" applyProtection="1">
      <alignment horizontal="center" vertical="center" wrapText="1"/>
    </xf>
    <xf numFmtId="0" fontId="126" fillId="51" borderId="38" xfId="0" applyFont="1" applyFill="1" applyBorder="1" applyAlignment="1" applyProtection="1">
      <alignment horizontal="center" vertical="center" wrapText="1"/>
    </xf>
    <xf numFmtId="0" fontId="27" fillId="51" borderId="14" xfId="0" applyFont="1" applyFill="1" applyBorder="1" applyAlignment="1" applyProtection="1">
      <alignment horizontal="center" vertical="center"/>
    </xf>
    <xf numFmtId="0" fontId="27" fillId="51" borderId="15" xfId="0" applyFont="1" applyFill="1" applyBorder="1" applyAlignment="1" applyProtection="1">
      <alignment horizontal="center" vertical="center"/>
    </xf>
    <xf numFmtId="0" fontId="27" fillId="51" borderId="16" xfId="0" applyFont="1" applyFill="1" applyBorder="1" applyAlignment="1" applyProtection="1">
      <alignment horizontal="center" vertical="center"/>
    </xf>
    <xf numFmtId="0" fontId="82" fillId="72" borderId="87" xfId="0" applyFont="1" applyFill="1" applyBorder="1" applyAlignment="1" applyProtection="1">
      <alignment horizontal="center" vertical="top"/>
      <protection locked="0"/>
    </xf>
    <xf numFmtId="0" fontId="82" fillId="72" borderId="73" xfId="0" applyFont="1" applyFill="1" applyBorder="1" applyAlignment="1" applyProtection="1">
      <alignment horizontal="center" vertical="top"/>
      <protection locked="0"/>
    </xf>
    <xf numFmtId="0" fontId="82" fillId="72" borderId="33" xfId="0" applyFont="1" applyFill="1" applyBorder="1" applyAlignment="1" applyProtection="1">
      <alignment horizontal="center" vertical="top"/>
      <protection locked="0"/>
    </xf>
    <xf numFmtId="0" fontId="82" fillId="72" borderId="22" xfId="0" applyFont="1" applyFill="1" applyBorder="1" applyAlignment="1" applyProtection="1">
      <alignment horizontal="center" vertical="top"/>
      <protection locked="0"/>
    </xf>
    <xf numFmtId="0" fontId="82" fillId="31" borderId="87" xfId="0" applyFont="1" applyFill="1" applyBorder="1" applyAlignment="1" applyProtection="1">
      <alignment horizontal="center" vertical="center" wrapText="1"/>
      <protection locked="0"/>
    </xf>
    <xf numFmtId="0" fontId="82" fillId="31" borderId="73" xfId="0" applyFont="1" applyFill="1" applyBorder="1" applyAlignment="1" applyProtection="1">
      <alignment horizontal="center" vertical="center" wrapText="1"/>
      <protection locked="0"/>
    </xf>
    <xf numFmtId="0" fontId="82" fillId="31" borderId="80" xfId="0" applyFont="1" applyFill="1" applyBorder="1" applyAlignment="1" applyProtection="1">
      <alignment horizontal="center" vertical="center" wrapText="1"/>
      <protection locked="0"/>
    </xf>
    <xf numFmtId="0" fontId="126" fillId="51" borderId="14" xfId="0" applyFont="1" applyFill="1" applyBorder="1" applyAlignment="1" applyProtection="1">
      <alignment horizontal="center" vertical="center"/>
    </xf>
    <xf numFmtId="0" fontId="126" fillId="51" borderId="15" xfId="0" applyFont="1" applyFill="1" applyBorder="1" applyAlignment="1" applyProtection="1">
      <alignment horizontal="center" vertical="center"/>
    </xf>
    <xf numFmtId="0" fontId="126" fillId="51" borderId="16" xfId="0" applyFont="1" applyFill="1" applyBorder="1" applyAlignment="1" applyProtection="1">
      <alignment horizontal="center" vertical="center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0" fillId="51" borderId="28" xfId="0" applyFont="1" applyFill="1" applyBorder="1" applyAlignment="1">
      <alignment wrapText="1"/>
    </xf>
    <xf numFmtId="0" fontId="0" fillId="51" borderId="29" xfId="0" applyFont="1" applyFill="1" applyBorder="1" applyAlignment="1">
      <alignment wrapText="1"/>
    </xf>
    <xf numFmtId="0" fontId="0" fillId="51" borderId="24" xfId="0" applyFont="1" applyFill="1" applyBorder="1" applyAlignment="1">
      <alignment wrapText="1"/>
    </xf>
    <xf numFmtId="0" fontId="0" fillId="51" borderId="0" xfId="0" applyFont="1" applyFill="1" applyBorder="1" applyAlignment="1">
      <alignment wrapText="1"/>
    </xf>
    <xf numFmtId="0" fontId="0" fillId="51" borderId="26" xfId="0" applyFont="1" applyFill="1" applyBorder="1" applyAlignment="1">
      <alignment wrapText="1"/>
    </xf>
    <xf numFmtId="0" fontId="0" fillId="51" borderId="49" xfId="0" applyFont="1" applyFill="1" applyBorder="1" applyAlignment="1">
      <alignment wrapText="1"/>
    </xf>
    <xf numFmtId="0" fontId="0" fillId="51" borderId="22" xfId="0" applyFont="1" applyFill="1" applyBorder="1" applyAlignment="1">
      <alignment wrapText="1"/>
    </xf>
    <xf numFmtId="0" fontId="0" fillId="51" borderId="50" xfId="0" applyFont="1" applyFill="1" applyBorder="1" applyAlignment="1">
      <alignment wrapText="1"/>
    </xf>
    <xf numFmtId="0" fontId="27" fillId="97" borderId="14" xfId="0" applyFont="1" applyFill="1" applyBorder="1" applyAlignment="1" applyProtection="1">
      <alignment horizontal="center" vertical="center" wrapText="1"/>
    </xf>
    <xf numFmtId="0" fontId="27" fillId="97" borderId="15" xfId="0" applyFont="1" applyFill="1" applyBorder="1" applyAlignment="1" applyProtection="1">
      <alignment horizontal="center" vertical="center" wrapText="1"/>
    </xf>
    <xf numFmtId="0" fontId="27" fillId="97" borderId="16" xfId="0" applyFont="1" applyFill="1" applyBorder="1" applyAlignment="1" applyProtection="1">
      <alignment horizontal="center" vertical="center" wrapText="1"/>
    </xf>
    <xf numFmtId="0" fontId="27" fillId="97" borderId="27" xfId="0" applyFont="1" applyFill="1" applyBorder="1" applyAlignment="1" applyProtection="1">
      <alignment horizontal="center" vertical="center" wrapText="1"/>
    </xf>
    <xf numFmtId="0" fontId="27" fillId="97" borderId="28" xfId="0" applyFont="1" applyFill="1" applyBorder="1" applyAlignment="1" applyProtection="1">
      <alignment horizontal="center" vertical="center" wrapText="1"/>
    </xf>
    <xf numFmtId="0" fontId="27" fillId="97" borderId="29" xfId="0" applyFont="1" applyFill="1" applyBorder="1" applyAlignment="1" applyProtection="1">
      <alignment horizontal="center" vertical="center" wrapText="1"/>
    </xf>
    <xf numFmtId="0" fontId="27" fillId="97" borderId="114" xfId="0" applyFont="1" applyFill="1" applyBorder="1" applyAlignment="1" applyProtection="1">
      <alignment horizontal="center" vertical="center" wrapText="1"/>
    </xf>
    <xf numFmtId="0" fontId="27" fillId="97" borderId="81" xfId="0" applyFont="1" applyFill="1" applyBorder="1" applyAlignment="1" applyProtection="1">
      <alignment horizontal="center" vertical="center" wrapText="1"/>
    </xf>
    <xf numFmtId="0" fontId="27" fillId="97" borderId="115" xfId="0" applyFont="1" applyFill="1" applyBorder="1" applyAlignment="1" applyProtection="1">
      <alignment horizontal="center" vertical="center" wrapText="1"/>
    </xf>
    <xf numFmtId="0" fontId="139" fillId="97" borderId="0" xfId="0" applyFont="1" applyFill="1" applyBorder="1" applyAlignment="1">
      <alignment horizontal="center" vertical="center" wrapText="1"/>
    </xf>
    <xf numFmtId="0" fontId="27" fillId="97" borderId="24" xfId="0" applyFont="1" applyFill="1" applyBorder="1" applyAlignment="1" applyProtection="1">
      <alignment horizontal="center" vertical="center" wrapText="1"/>
    </xf>
    <xf numFmtId="0" fontId="27" fillId="97" borderId="26" xfId="0" applyFont="1" applyFill="1" applyBorder="1" applyAlignment="1" applyProtection="1">
      <alignment horizontal="center" vertical="center" wrapText="1"/>
    </xf>
    <xf numFmtId="0" fontId="27" fillId="97" borderId="49" xfId="0" applyFont="1" applyFill="1" applyBorder="1" applyAlignment="1" applyProtection="1">
      <alignment horizontal="center" vertical="center" wrapText="1"/>
    </xf>
    <xf numFmtId="0" fontId="27" fillId="97" borderId="50" xfId="0" applyFont="1" applyFill="1" applyBorder="1" applyAlignment="1" applyProtection="1">
      <alignment horizontal="center" vertical="center" wrapText="1"/>
    </xf>
    <xf numFmtId="0" fontId="0" fillId="38" borderId="84" xfId="0" applyFont="1" applyFill="1" applyBorder="1" applyAlignment="1" applyProtection="1">
      <alignment horizontal="center" vertical="center" wrapText="1"/>
      <protection locked="0"/>
    </xf>
    <xf numFmtId="0" fontId="0" fillId="38" borderId="21" xfId="0" applyFont="1" applyFill="1" applyBorder="1" applyAlignment="1" applyProtection="1">
      <alignment horizontal="center" vertical="center" wrapText="1"/>
      <protection locked="0"/>
    </xf>
    <xf numFmtId="0" fontId="82" fillId="91" borderId="87" xfId="0" applyFont="1" applyFill="1" applyBorder="1" applyAlignment="1" applyProtection="1">
      <alignment horizontal="center" vertical="center" wrapText="1"/>
      <protection locked="0"/>
    </xf>
    <xf numFmtId="0" fontId="82" fillId="91" borderId="80" xfId="0" applyFont="1" applyFill="1" applyBorder="1" applyAlignment="1" applyProtection="1">
      <alignment horizontal="center" vertical="center" wrapText="1"/>
      <protection locked="0"/>
    </xf>
    <xf numFmtId="0" fontId="82" fillId="38" borderId="87" xfId="0" applyFont="1" applyFill="1" applyBorder="1" applyAlignment="1" applyProtection="1">
      <alignment horizontal="center" vertical="center" wrapText="1"/>
      <protection locked="0"/>
    </xf>
    <xf numFmtId="0" fontId="82" fillId="38" borderId="73" xfId="0" applyFont="1" applyFill="1" applyBorder="1" applyAlignment="1" applyProtection="1">
      <alignment horizontal="center" vertical="center" wrapText="1"/>
      <protection locked="0"/>
    </xf>
    <xf numFmtId="0" fontId="82" fillId="38" borderId="80" xfId="0" applyFont="1" applyFill="1" applyBorder="1" applyAlignment="1" applyProtection="1">
      <alignment horizontal="center" vertical="center" wrapText="1"/>
      <protection locked="0"/>
    </xf>
    <xf numFmtId="0" fontId="27" fillId="97" borderId="171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51" borderId="14" xfId="0" applyFont="1" applyFill="1" applyBorder="1" applyAlignment="1" applyProtection="1">
      <alignment horizontal="center" vertical="center" wrapText="1"/>
    </xf>
    <xf numFmtId="0" fontId="27" fillId="51" borderId="16" xfId="0" applyFont="1" applyFill="1" applyBorder="1" applyAlignment="1" applyProtection="1">
      <alignment horizontal="center" vertical="center" wrapText="1"/>
    </xf>
    <xf numFmtId="0" fontId="27" fillId="51" borderId="115" xfId="0" applyFont="1" applyFill="1" applyBorder="1" applyAlignment="1" applyProtection="1">
      <alignment horizontal="center" vertical="center" wrapText="1"/>
    </xf>
    <xf numFmtId="0" fontId="27" fillId="51" borderId="15" xfId="0" applyFont="1" applyFill="1" applyBorder="1" applyAlignment="1" applyProtection="1">
      <alignment horizontal="center" vertical="center" wrapText="1"/>
    </xf>
    <xf numFmtId="0" fontId="27" fillId="51" borderId="114" xfId="0" applyFont="1" applyFill="1" applyBorder="1" applyAlignment="1" applyProtection="1">
      <alignment horizontal="center" vertical="center" wrapText="1"/>
    </xf>
    <xf numFmtId="0" fontId="27" fillId="51" borderId="81" xfId="0" applyFont="1" applyFill="1" applyBorder="1" applyAlignment="1" applyProtection="1">
      <alignment horizontal="center" vertical="center" wrapText="1"/>
    </xf>
    <xf numFmtId="166" fontId="27" fillId="0" borderId="184" xfId="0" applyNumberFormat="1" applyFont="1" applyBorder="1" applyAlignment="1">
      <alignment horizontal="center"/>
    </xf>
    <xf numFmtId="166" fontId="27" fillId="0" borderId="73" xfId="0" applyNumberFormat="1" applyFont="1" applyBorder="1" applyAlignment="1">
      <alignment horizontal="center"/>
    </xf>
    <xf numFmtId="0" fontId="27" fillId="0" borderId="59" xfId="0" applyFont="1" applyBorder="1" applyAlignment="1">
      <alignment horizontal="center"/>
    </xf>
    <xf numFmtId="0" fontId="27" fillId="0" borderId="176" xfId="0" applyFont="1" applyBorder="1" applyAlignment="1">
      <alignment horizontal="center"/>
    </xf>
    <xf numFmtId="0" fontId="27" fillId="0" borderId="170" xfId="0" applyFont="1" applyBorder="1" applyAlignment="1">
      <alignment horizontal="center"/>
    </xf>
    <xf numFmtId="0" fontId="153" fillId="92" borderId="185" xfId="116" applyFont="1" applyFill="1" applyBorder="1" applyAlignment="1">
      <alignment horizontal="center"/>
    </xf>
    <xf numFmtId="0" fontId="153" fillId="92" borderId="186" xfId="116" applyFont="1" applyFill="1" applyBorder="1" applyAlignment="1">
      <alignment horizontal="center"/>
    </xf>
    <xf numFmtId="0" fontId="153" fillId="92" borderId="187" xfId="116" applyFont="1" applyFill="1" applyBorder="1" applyAlignment="1">
      <alignment horizontal="center"/>
    </xf>
    <xf numFmtId="0" fontId="153" fillId="54" borderId="59" xfId="116" applyFont="1" applyFill="1" applyBorder="1" applyAlignment="1">
      <alignment horizontal="center"/>
    </xf>
    <xf numFmtId="0" fontId="153" fillId="54" borderId="176" xfId="116" applyFont="1" applyFill="1" applyBorder="1" applyAlignment="1">
      <alignment horizontal="center"/>
    </xf>
    <xf numFmtId="0" fontId="82" fillId="41" borderId="184" xfId="0" applyFont="1" applyFill="1" applyBorder="1" applyAlignment="1">
      <alignment horizontal="left" vertical="top" wrapText="1"/>
    </xf>
    <xf numFmtId="0" fontId="82" fillId="41" borderId="73" xfId="0" applyFont="1" applyFill="1" applyBorder="1" applyAlignment="1">
      <alignment horizontal="left" vertical="top" wrapText="1"/>
    </xf>
    <xf numFmtId="0" fontId="82" fillId="41" borderId="80" xfId="0" applyFont="1" applyFill="1" applyBorder="1" applyAlignment="1">
      <alignment horizontal="left" vertical="top" wrapText="1"/>
    </xf>
    <xf numFmtId="0" fontId="82" fillId="41" borderId="33" xfId="0" applyFont="1" applyFill="1" applyBorder="1" applyAlignment="1">
      <alignment horizontal="left" vertical="top" wrapText="1"/>
    </xf>
    <xf numFmtId="0" fontId="82" fillId="41" borderId="22" xfId="0" applyFont="1" applyFill="1" applyBorder="1" applyAlignment="1">
      <alignment horizontal="left" vertical="top" wrapText="1"/>
    </xf>
    <xf numFmtId="0" fontId="82" fillId="41" borderId="19" xfId="0" applyFont="1" applyFill="1" applyBorder="1" applyAlignment="1">
      <alignment horizontal="left" vertical="top" wrapText="1"/>
    </xf>
    <xf numFmtId="0" fontId="82" fillId="51" borderId="18" xfId="0" applyFont="1" applyFill="1" applyBorder="1" applyAlignment="1">
      <alignment horizontal="center" vertical="center"/>
    </xf>
    <xf numFmtId="0" fontId="82" fillId="51" borderId="18" xfId="0" applyFont="1" applyFill="1" applyBorder="1" applyAlignment="1">
      <alignment horizontal="center" vertical="top" wrapText="1"/>
    </xf>
    <xf numFmtId="0" fontId="82" fillId="72" borderId="184" xfId="0" applyFont="1" applyFill="1" applyBorder="1" applyAlignment="1" applyProtection="1">
      <alignment horizontal="center" vertical="center"/>
      <protection locked="0"/>
    </xf>
    <xf numFmtId="0" fontId="82" fillId="72" borderId="74" xfId="0" applyFont="1" applyFill="1" applyBorder="1" applyAlignment="1" applyProtection="1">
      <alignment horizontal="center" vertical="center"/>
      <protection locked="0"/>
    </xf>
    <xf numFmtId="0" fontId="162" fillId="101" borderId="59" xfId="0" applyFont="1" applyFill="1" applyBorder="1" applyAlignment="1">
      <alignment horizontal="center"/>
    </xf>
    <xf numFmtId="0" fontId="162" fillId="101" borderId="176" xfId="0" applyFont="1" applyFill="1" applyBorder="1" applyAlignment="1">
      <alignment horizontal="center"/>
    </xf>
    <xf numFmtId="0" fontId="162" fillId="101" borderId="170" xfId="0" applyFont="1" applyFill="1" applyBorder="1" applyAlignment="1">
      <alignment horizontal="center"/>
    </xf>
    <xf numFmtId="0" fontId="82" fillId="72" borderId="178" xfId="0" applyFont="1" applyFill="1" applyBorder="1" applyAlignment="1" applyProtection="1">
      <alignment horizontal="center" vertical="top"/>
      <protection locked="0"/>
    </xf>
    <xf numFmtId="0" fontId="82" fillId="72" borderId="17" xfId="0" applyFont="1" applyFill="1" applyBorder="1" applyAlignment="1" applyProtection="1">
      <alignment horizontal="center" vertical="top"/>
      <protection locked="0"/>
    </xf>
    <xf numFmtId="0" fontId="82" fillId="51" borderId="21" xfId="0" applyFont="1" applyFill="1" applyBorder="1" applyAlignment="1">
      <alignment horizontal="center" vertical="center"/>
    </xf>
    <xf numFmtId="0" fontId="82" fillId="51" borderId="21" xfId="0" applyFont="1" applyFill="1" applyBorder="1" applyAlignment="1">
      <alignment horizontal="center" vertical="top" wrapText="1"/>
    </xf>
    <xf numFmtId="0" fontId="82" fillId="51" borderId="177" xfId="0" applyFont="1" applyFill="1" applyBorder="1" applyAlignment="1">
      <alignment horizontal="center" vertical="center"/>
    </xf>
    <xf numFmtId="0" fontId="82" fillId="51" borderId="177" xfId="0" applyFont="1" applyFill="1" applyBorder="1" applyAlignment="1">
      <alignment horizontal="center" vertical="top" wrapText="1"/>
    </xf>
    <xf numFmtId="0" fontId="88" fillId="0" borderId="0" xfId="41216" applyFont="1" applyFill="1" applyAlignment="1">
      <alignment horizontal="center"/>
    </xf>
    <xf numFmtId="0" fontId="88" fillId="0" borderId="95" xfId="41216" applyFont="1" applyBorder="1" applyAlignment="1">
      <alignment horizontal="center" vertical="center" wrapText="1"/>
    </xf>
    <xf numFmtId="0" fontId="88" fillId="0" borderId="51" xfId="41216" applyFont="1" applyBorder="1" applyAlignment="1">
      <alignment horizontal="center" vertical="center" wrapText="1"/>
    </xf>
    <xf numFmtId="0" fontId="72" fillId="0" borderId="73" xfId="41216" applyFont="1" applyFill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87" xfId="41216" applyFont="1" applyBorder="1" applyAlignment="1">
      <alignment horizontal="center"/>
    </xf>
    <xf numFmtId="0" fontId="89" fillId="0" borderId="73" xfId="41216" applyFont="1" applyBorder="1" applyAlignment="1">
      <alignment horizontal="center"/>
    </xf>
    <xf numFmtId="0" fontId="89" fillId="0" borderId="181" xfId="41216" applyFont="1" applyBorder="1" applyAlignment="1">
      <alignment horizontal="center"/>
    </xf>
    <xf numFmtId="0" fontId="89" fillId="0" borderId="182" xfId="41216" applyFont="1" applyBorder="1" applyAlignment="1">
      <alignment horizontal="center"/>
    </xf>
    <xf numFmtId="0" fontId="97" fillId="0" borderId="178" xfId="41216" applyFont="1" applyBorder="1" applyAlignment="1">
      <alignment horizontal="center"/>
    </xf>
    <xf numFmtId="0" fontId="97" fillId="0" borderId="0" xfId="41216" applyFont="1" applyBorder="1" applyAlignment="1">
      <alignment horizontal="center"/>
    </xf>
    <xf numFmtId="0" fontId="97" fillId="0" borderId="17" xfId="41216" applyFont="1" applyBorder="1" applyAlignment="1">
      <alignment horizontal="center"/>
    </xf>
    <xf numFmtId="0" fontId="88" fillId="0" borderId="36" xfId="41216" applyFont="1" applyBorder="1" applyAlignment="1">
      <alignment horizontal="center"/>
    </xf>
    <xf numFmtId="0" fontId="88" fillId="0" borderId="35" xfId="41216" applyFont="1" applyBorder="1" applyAlignment="1">
      <alignment horizontal="center"/>
    </xf>
    <xf numFmtId="0" fontId="88" fillId="0" borderId="37" xfId="41216" applyFont="1" applyBorder="1" applyAlignment="1">
      <alignment horizontal="center"/>
    </xf>
    <xf numFmtId="0" fontId="88" fillId="0" borderId="53" xfId="41216" applyFont="1" applyBorder="1" applyAlignment="1">
      <alignment horizontal="center"/>
    </xf>
    <xf numFmtId="0" fontId="88" fillId="0" borderId="28" xfId="41216" applyFont="1" applyBorder="1" applyAlignment="1">
      <alignment horizontal="center"/>
    </xf>
    <xf numFmtId="0" fontId="88" fillId="0" borderId="29" xfId="41216" applyFont="1" applyBorder="1" applyAlignment="1">
      <alignment horizontal="center"/>
    </xf>
    <xf numFmtId="0" fontId="97" fillId="0" borderId="90" xfId="41216" applyFont="1" applyFill="1" applyBorder="1" applyAlignment="1">
      <alignment horizontal="center" vertical="center" wrapText="1"/>
    </xf>
    <xf numFmtId="0" fontId="97" fillId="0" borderId="26" xfId="41216" applyFont="1" applyFill="1" applyBorder="1" applyAlignment="1">
      <alignment horizontal="center" vertical="center" wrapText="1"/>
    </xf>
    <xf numFmtId="0" fontId="97" fillId="0" borderId="177" xfId="41216" applyFont="1" applyFill="1" applyBorder="1" applyAlignment="1">
      <alignment horizontal="center" vertical="center" wrapText="1"/>
    </xf>
    <xf numFmtId="0" fontId="97" fillId="0" borderId="18" xfId="41216" applyFont="1" applyFill="1" applyBorder="1" applyAlignment="1">
      <alignment horizontal="center" vertical="center" wrapText="1"/>
    </xf>
    <xf numFmtId="0" fontId="72" fillId="0" borderId="87" xfId="41216" applyFont="1" applyFill="1" applyBorder="1" applyAlignment="1">
      <alignment horizontal="center" vertical="center" wrapText="1"/>
    </xf>
    <xf numFmtId="0" fontId="72" fillId="0" borderId="178" xfId="41216" applyFont="1" applyFill="1" applyBorder="1" applyAlignment="1">
      <alignment horizontal="center" vertical="center" wrapText="1"/>
    </xf>
    <xf numFmtId="0" fontId="72" fillId="0" borderId="74" xfId="41216" applyFont="1" applyFill="1" applyBorder="1" applyAlignment="1">
      <alignment horizontal="center" vertical="center" wrapText="1"/>
    </xf>
    <xf numFmtId="0" fontId="72" fillId="0" borderId="17" xfId="41216" applyFont="1" applyFill="1" applyBorder="1" applyAlignment="1">
      <alignment horizontal="center" vertical="center" wrapText="1"/>
    </xf>
    <xf numFmtId="0" fontId="97" fillId="0" borderId="74" xfId="41216" applyFont="1" applyFill="1" applyBorder="1" applyAlignment="1">
      <alignment horizontal="center" vertical="center" wrapText="1"/>
    </xf>
    <xf numFmtId="0" fontId="97" fillId="0" borderId="17" xfId="41216" applyFont="1" applyFill="1" applyBorder="1" applyAlignment="1">
      <alignment horizontal="center" vertical="center" wrapText="1"/>
    </xf>
    <xf numFmtId="0" fontId="143" fillId="0" borderId="34" xfId="42639" applyFont="1" applyBorder="1" applyAlignment="1">
      <alignment horizontal="center"/>
    </xf>
    <xf numFmtId="0" fontId="143" fillId="0" borderId="35" xfId="42639" applyFont="1" applyBorder="1" applyAlignment="1">
      <alignment horizontal="center"/>
    </xf>
    <xf numFmtId="0" fontId="143" fillId="0" borderId="38" xfId="42639" applyFont="1" applyBorder="1" applyAlignment="1">
      <alignment horizontal="center"/>
    </xf>
    <xf numFmtId="0" fontId="143" fillId="0" borderId="27" xfId="42639" applyFont="1" applyBorder="1" applyAlignment="1">
      <alignment horizontal="center"/>
    </xf>
    <xf numFmtId="0" fontId="143" fillId="0" borderId="28" xfId="42639" applyFont="1" applyBorder="1" applyAlignment="1">
      <alignment horizontal="center"/>
    </xf>
    <xf numFmtId="0" fontId="143" fillId="0" borderId="33" xfId="0" applyFont="1" applyBorder="1" applyAlignment="1">
      <alignment horizontal="left" wrapText="1"/>
    </xf>
    <xf numFmtId="0" fontId="143" fillId="0" borderId="22" xfId="0" applyFont="1" applyBorder="1" applyAlignment="1">
      <alignment horizontal="left" wrapText="1"/>
    </xf>
    <xf numFmtId="0" fontId="143" fillId="0" borderId="50" xfId="0" applyFont="1" applyBorder="1" applyAlignment="1">
      <alignment horizontal="left" wrapText="1"/>
    </xf>
  </cellXfs>
  <cellStyles count="42646">
    <cellStyle name="$/kW" xfId="1"/>
    <cellStyle name="$/kW 2" xfId="342"/>
    <cellStyle name="$/kWh" xfId="2"/>
    <cellStyle name="$/kWh 2" xfId="343"/>
    <cellStyle name="$/kW-yr" xfId="3"/>
    <cellStyle name="$/kW-yr 2" xfId="344"/>
    <cellStyle name="$/MWh" xfId="4"/>
    <cellStyle name="$/MWh 2" xfId="345"/>
    <cellStyle name="$M" xfId="5"/>
    <cellStyle name="$M 2" xfId="346"/>
    <cellStyle name="(000's)" xfId="41241"/>
    <cellStyle name="(000's) 2" xfId="42484"/>
    <cellStyle name="20% - Accent1" xfId="6" builtinId="30" customBuiltin="1"/>
    <cellStyle name="20% - Accent1 2" xfId="7"/>
    <cellStyle name="20% - Accent1 2 2" xfId="169"/>
    <cellStyle name="20% - Accent1 2 2 2" xfId="41242"/>
    <cellStyle name="20% - Accent1 2 2 2 2" xfId="41657"/>
    <cellStyle name="20% - Accent1 2 2 3" xfId="41658"/>
    <cellStyle name="20% - Accent1 2 2 3 2" xfId="41659"/>
    <cellStyle name="20% - Accent1 2 2 4" xfId="41660"/>
    <cellStyle name="20% - Accent1 3" xfId="204"/>
    <cellStyle name="20% - Accent1 4" xfId="205"/>
    <cellStyle name="20% - Accent1 5" xfId="449"/>
    <cellStyle name="20% - Accent1 6" xfId="11402"/>
    <cellStyle name="20% - Accent2" xfId="8" builtinId="34" customBuiltin="1"/>
    <cellStyle name="20% - Accent2 2" xfId="9"/>
    <cellStyle name="20% - Accent2 2 2" xfId="170"/>
    <cellStyle name="20% - Accent2 2 2 2" xfId="41243"/>
    <cellStyle name="20% - Accent2 2 2 2 2" xfId="41661"/>
    <cellStyle name="20% - Accent2 2 2 3" xfId="41662"/>
    <cellStyle name="20% - Accent2 2 2 3 2" xfId="41663"/>
    <cellStyle name="20% - Accent2 2 2 4" xfId="41664"/>
    <cellStyle name="20% - Accent2 3" xfId="206"/>
    <cellStyle name="20% - Accent2 4" xfId="207"/>
    <cellStyle name="20% - Accent2 5" xfId="450"/>
    <cellStyle name="20% - Accent2 6" xfId="11403"/>
    <cellStyle name="20% - Accent3" xfId="10" builtinId="38" customBuiltin="1"/>
    <cellStyle name="20% - Accent3 2" xfId="11"/>
    <cellStyle name="20% - Accent3 2 2" xfId="171"/>
    <cellStyle name="20% - Accent3 2 2 2" xfId="41244"/>
    <cellStyle name="20% - Accent3 2 2 2 2" xfId="41665"/>
    <cellStyle name="20% - Accent3 2 2 3" xfId="41666"/>
    <cellStyle name="20% - Accent3 2 2 3 2" xfId="41667"/>
    <cellStyle name="20% - Accent3 2 2 4" xfId="41668"/>
    <cellStyle name="20% - Accent3 3" xfId="208"/>
    <cellStyle name="20% - Accent3 4" xfId="209"/>
    <cellStyle name="20% - Accent3 5" xfId="451"/>
    <cellStyle name="20% - Accent3 6" xfId="11404"/>
    <cellStyle name="20% - Accent4" xfId="12" builtinId="42" customBuiltin="1"/>
    <cellStyle name="20% - Accent4 2" xfId="13"/>
    <cellStyle name="20% - Accent4 2 2" xfId="172"/>
    <cellStyle name="20% - Accent4 2 2 2" xfId="41245"/>
    <cellStyle name="20% - Accent4 2 2 2 2" xfId="41669"/>
    <cellStyle name="20% - Accent4 2 2 3" xfId="41670"/>
    <cellStyle name="20% - Accent4 2 2 3 2" xfId="41671"/>
    <cellStyle name="20% - Accent4 2 2 4" xfId="41672"/>
    <cellStyle name="20% - Accent4 3" xfId="210"/>
    <cellStyle name="20% - Accent4 4" xfId="211"/>
    <cellStyle name="20% - Accent4 5" xfId="452"/>
    <cellStyle name="20% - Accent4 6" xfId="11405"/>
    <cellStyle name="20% - Accent5" xfId="14" builtinId="46" customBuiltin="1"/>
    <cellStyle name="20% - Accent5 2" xfId="15"/>
    <cellStyle name="20% - Accent5 2 2" xfId="41246"/>
    <cellStyle name="20% - Accent5 2 2 2" xfId="41514"/>
    <cellStyle name="20% - Accent5 2 2 2 2" xfId="41673"/>
    <cellStyle name="20% - Accent5 2 2 3" xfId="41674"/>
    <cellStyle name="20% - Accent5 2 2 3 2" xfId="41675"/>
    <cellStyle name="20% - Accent5 2 2 4" xfId="41676"/>
    <cellStyle name="20% - Accent5 2 3" xfId="41247"/>
    <cellStyle name="20% - Accent5 3" xfId="212"/>
    <cellStyle name="20% - Accent5 4" xfId="453"/>
    <cellStyle name="20% - Accent5 5" xfId="11406"/>
    <cellStyle name="20% - Accent6" xfId="16" builtinId="50" customBuiltin="1"/>
    <cellStyle name="20% - Accent6 2" xfId="17"/>
    <cellStyle name="20% - Accent6 2 2" xfId="41248"/>
    <cellStyle name="20% - Accent6 2 2 2" xfId="41515"/>
    <cellStyle name="20% - Accent6 2 2 2 2" xfId="41677"/>
    <cellStyle name="20% - Accent6 2 2 3" xfId="41678"/>
    <cellStyle name="20% - Accent6 2 2 3 2" xfId="41679"/>
    <cellStyle name="20% - Accent6 2 2 4" xfId="41680"/>
    <cellStyle name="20% - Accent6 2 3" xfId="41249"/>
    <cellStyle name="20% - Accent6 3" xfId="213"/>
    <cellStyle name="20% - Accent6 3 2" xfId="41250"/>
    <cellStyle name="20% - Accent6 4" xfId="454"/>
    <cellStyle name="20% - Accent6 5" xfId="11407"/>
    <cellStyle name="40% - Accent1" xfId="18" builtinId="31" customBuiltin="1"/>
    <cellStyle name="40% - Accent1 2" xfId="19"/>
    <cellStyle name="40% - Accent1 2 2" xfId="173"/>
    <cellStyle name="40% - Accent1 2 2 2" xfId="41251"/>
    <cellStyle name="40% - Accent1 2 2 2 2" xfId="41681"/>
    <cellStyle name="40% - Accent1 2 2 3" xfId="41682"/>
    <cellStyle name="40% - Accent1 2 2 3 2" xfId="41683"/>
    <cellStyle name="40% - Accent1 2 2 4" xfId="41684"/>
    <cellStyle name="40% - Accent1 3" xfId="214"/>
    <cellStyle name="40% - Accent1 4" xfId="215"/>
    <cellStyle name="40% - Accent1 5" xfId="455"/>
    <cellStyle name="40% - Accent1 6" xfId="11408"/>
    <cellStyle name="40% - Accent2" xfId="20" builtinId="35" customBuiltin="1"/>
    <cellStyle name="40% - Accent2 2" xfId="21"/>
    <cellStyle name="40% - Accent2 2 2" xfId="41252"/>
    <cellStyle name="40% - Accent2 2 2 2" xfId="41516"/>
    <cellStyle name="40% - Accent2 2 2 2 2" xfId="41685"/>
    <cellStyle name="40% - Accent2 2 2 3" xfId="41686"/>
    <cellStyle name="40% - Accent2 2 2 3 2" xfId="41687"/>
    <cellStyle name="40% - Accent2 2 2 4" xfId="41688"/>
    <cellStyle name="40% - Accent2 2 3" xfId="41253"/>
    <cellStyle name="40% - Accent2 3" xfId="216"/>
    <cellStyle name="40% - Accent2 4" xfId="456"/>
    <cellStyle name="40% - Accent2 5" xfId="11409"/>
    <cellStyle name="40% - Accent3" xfId="22" builtinId="39" customBuiltin="1"/>
    <cellStyle name="40% - Accent3 2" xfId="23"/>
    <cellStyle name="40% - Accent3 2 2" xfId="174"/>
    <cellStyle name="40% - Accent3 2 2 2" xfId="41254"/>
    <cellStyle name="40% - Accent3 2 2 2 2" xfId="41689"/>
    <cellStyle name="40% - Accent3 2 2 3" xfId="41690"/>
    <cellStyle name="40% - Accent3 2 2 3 2" xfId="41691"/>
    <cellStyle name="40% - Accent3 2 2 4" xfId="41692"/>
    <cellStyle name="40% - Accent3 3" xfId="217"/>
    <cellStyle name="40% - Accent3 4" xfId="218"/>
    <cellStyle name="40% - Accent3 5" xfId="457"/>
    <cellStyle name="40% - Accent3 6" xfId="11410"/>
    <cellStyle name="40% - Accent4" xfId="24" builtinId="43" customBuiltin="1"/>
    <cellStyle name="40% - Accent4 2" xfId="25"/>
    <cellStyle name="40% - Accent4 2 2" xfId="175"/>
    <cellStyle name="40% - Accent4 2 2 2" xfId="41255"/>
    <cellStyle name="40% - Accent4 2 2 2 2" xfId="41693"/>
    <cellStyle name="40% - Accent4 2 2 3" xfId="41694"/>
    <cellStyle name="40% - Accent4 2 2 3 2" xfId="41695"/>
    <cellStyle name="40% - Accent4 2 2 4" xfId="41696"/>
    <cellStyle name="40% - Accent4 3" xfId="219"/>
    <cellStyle name="40% - Accent4 4" xfId="220"/>
    <cellStyle name="40% - Accent4 5" xfId="458"/>
    <cellStyle name="40% - Accent4 6" xfId="11411"/>
    <cellStyle name="40% - Accent5" xfId="26" builtinId="47" customBuiltin="1"/>
    <cellStyle name="40% - Accent5 2" xfId="27"/>
    <cellStyle name="40% - Accent5 2 2" xfId="41256"/>
    <cellStyle name="40% - Accent5 2 2 2" xfId="41517"/>
    <cellStyle name="40% - Accent5 2 2 2 2" xfId="41697"/>
    <cellStyle name="40% - Accent5 2 2 3" xfId="41698"/>
    <cellStyle name="40% - Accent5 2 2 3 2" xfId="41699"/>
    <cellStyle name="40% - Accent5 2 2 4" xfId="41700"/>
    <cellStyle name="40% - Accent5 2 3" xfId="41257"/>
    <cellStyle name="40% - Accent5 3" xfId="221"/>
    <cellStyle name="40% - Accent5 4" xfId="459"/>
    <cellStyle name="40% - Accent5 5" xfId="11412"/>
    <cellStyle name="40% - Accent6" xfId="28" builtinId="51" customBuiltin="1"/>
    <cellStyle name="40% - Accent6 2" xfId="29"/>
    <cellStyle name="40% - Accent6 2 2" xfId="176"/>
    <cellStyle name="40% - Accent6 2 2 2" xfId="41258"/>
    <cellStyle name="40% - Accent6 2 2 2 2" xfId="41701"/>
    <cellStyle name="40% - Accent6 2 2 3" xfId="41702"/>
    <cellStyle name="40% - Accent6 2 2 3 2" xfId="41703"/>
    <cellStyle name="40% - Accent6 2 2 4" xfId="41704"/>
    <cellStyle name="40% - Accent6 3" xfId="222"/>
    <cellStyle name="40% - Accent6 4" xfId="223"/>
    <cellStyle name="40% - Accent6 5" xfId="460"/>
    <cellStyle name="40% - Accent6 6" xfId="11413"/>
    <cellStyle name="60% - Accent1" xfId="30" builtinId="32" customBuiltin="1"/>
    <cellStyle name="60% - Accent1 2" xfId="31"/>
    <cellStyle name="60% - Accent1 2 2" xfId="177"/>
    <cellStyle name="60% - Accent1 3" xfId="224"/>
    <cellStyle name="60% - Accent1 4" xfId="225"/>
    <cellStyle name="60% - Accent1 5" xfId="461"/>
    <cellStyle name="60% - Accent1 6" xfId="11414"/>
    <cellStyle name="60% - Accent2" xfId="32" builtinId="36" customBuiltin="1"/>
    <cellStyle name="60% - Accent2 2" xfId="33"/>
    <cellStyle name="60% - Accent2 2 2" xfId="41259"/>
    <cellStyle name="60% - Accent2 3" xfId="226"/>
    <cellStyle name="60% - Accent2 4" xfId="462"/>
    <cellStyle name="60% - Accent2 5" xfId="11415"/>
    <cellStyle name="60% - Accent3" xfId="34" builtinId="40" customBuiltin="1"/>
    <cellStyle name="60% - Accent3 2" xfId="35"/>
    <cellStyle name="60% - Accent3 2 2" xfId="178"/>
    <cellStyle name="60% - Accent3 3" xfId="227"/>
    <cellStyle name="60% - Accent3 4" xfId="228"/>
    <cellStyle name="60% - Accent3 5" xfId="463"/>
    <cellStyle name="60% - Accent3 6" xfId="11416"/>
    <cellStyle name="60% - Accent4" xfId="36" builtinId="44" customBuiltin="1"/>
    <cellStyle name="60% - Accent4 2" xfId="37"/>
    <cellStyle name="60% - Accent4 2 2" xfId="179"/>
    <cellStyle name="60% - Accent4 3" xfId="229"/>
    <cellStyle name="60% - Accent4 4" xfId="230"/>
    <cellStyle name="60% - Accent4 5" xfId="464"/>
    <cellStyle name="60% - Accent4 6" xfId="11417"/>
    <cellStyle name="60% - Accent5" xfId="38" builtinId="48" customBuiltin="1"/>
    <cellStyle name="60% - Accent5 2" xfId="39"/>
    <cellStyle name="60% - Accent5 2 2" xfId="41260"/>
    <cellStyle name="60% - Accent5 3" xfId="231"/>
    <cellStyle name="60% - Accent5 4" xfId="465"/>
    <cellStyle name="60% - Accent5 5" xfId="11418"/>
    <cellStyle name="60% - Accent6" xfId="40" builtinId="52" customBuiltin="1"/>
    <cellStyle name="60% - Accent6 2" xfId="41"/>
    <cellStyle name="60% - Accent6 2 2" xfId="180"/>
    <cellStyle name="60% - Accent6 3" xfId="232"/>
    <cellStyle name="60% - Accent6 4" xfId="233"/>
    <cellStyle name="60% - Accent6 5" xfId="466"/>
    <cellStyle name="60% - Accent6 6" xfId="11419"/>
    <cellStyle name="Accent1" xfId="42" builtinId="29" customBuiltin="1"/>
    <cellStyle name="Accent1 2" xfId="43"/>
    <cellStyle name="Accent1 2 2" xfId="181"/>
    <cellStyle name="Accent1 3" xfId="234"/>
    <cellStyle name="Accent1 4" xfId="235"/>
    <cellStyle name="Accent1 5" xfId="467"/>
    <cellStyle name="Accent1 6" xfId="11420"/>
    <cellStyle name="Accent2" xfId="44" builtinId="33" customBuiltin="1"/>
    <cellStyle name="Accent2 2" xfId="45"/>
    <cellStyle name="Accent2 2 2" xfId="182"/>
    <cellStyle name="Accent2 3" xfId="236"/>
    <cellStyle name="Accent2 4" xfId="237"/>
    <cellStyle name="Accent2 5" xfId="468"/>
    <cellStyle name="Accent2 6" xfId="11421"/>
    <cellStyle name="Accent3" xfId="46" builtinId="37" customBuiltin="1"/>
    <cellStyle name="Accent3 2" xfId="47"/>
    <cellStyle name="Accent3 2 2" xfId="183"/>
    <cellStyle name="Accent3 3" xfId="238"/>
    <cellStyle name="Accent3 4" xfId="239"/>
    <cellStyle name="Accent3 5" xfId="469"/>
    <cellStyle name="Accent3 6" xfId="11422"/>
    <cellStyle name="Accent4" xfId="48" builtinId="41" customBuiltin="1"/>
    <cellStyle name="Accent4 2" xfId="49"/>
    <cellStyle name="Accent4 2 2" xfId="184"/>
    <cellStyle name="Accent4 3" xfId="240"/>
    <cellStyle name="Accent4 4" xfId="241"/>
    <cellStyle name="Accent4 5" xfId="470"/>
    <cellStyle name="Accent4 6" xfId="11423"/>
    <cellStyle name="Accent5" xfId="50" builtinId="45" customBuiltin="1"/>
    <cellStyle name="Accent5 2" xfId="51"/>
    <cellStyle name="Accent5 2 2" xfId="41261"/>
    <cellStyle name="Accent5 3" xfId="242"/>
    <cellStyle name="Accent5 4" xfId="471"/>
    <cellStyle name="Accent5 5" xfId="11424"/>
    <cellStyle name="Accent6" xfId="52" builtinId="49" customBuiltin="1"/>
    <cellStyle name="Accent6 2" xfId="53"/>
    <cellStyle name="Accent6 2 2" xfId="41262"/>
    <cellStyle name="Accent6 3" xfId="243"/>
    <cellStyle name="Accent6 4" xfId="472"/>
    <cellStyle name="Accent6 5" xfId="11425"/>
    <cellStyle name="Bad" xfId="54" builtinId="27" customBuiltin="1"/>
    <cellStyle name="Bad 2" xfId="55"/>
    <cellStyle name="Bad 3" xfId="244"/>
    <cellStyle name="Bad 4" xfId="245"/>
    <cellStyle name="Bad 5" xfId="473"/>
    <cellStyle name="Bad 6" xfId="11426"/>
    <cellStyle name="Calculation" xfId="56" builtinId="22" customBuiltin="1"/>
    <cellStyle name="Calculation 10" xfId="11427"/>
    <cellStyle name="Calculation 2" xfId="57"/>
    <cellStyle name="Calculation 2 10" xfId="536"/>
    <cellStyle name="Calculation 2 10 10" xfId="19546"/>
    <cellStyle name="Calculation 2 10 11" xfId="30391"/>
    <cellStyle name="Calculation 2 10 12" xfId="11610"/>
    <cellStyle name="Calculation 2 10 2" xfId="1142"/>
    <cellStyle name="Calculation 2 10 2 2" xfId="3995"/>
    <cellStyle name="Calculation 2 10 2 2 2" xfId="22967"/>
    <cellStyle name="Calculation 2 10 2 2 3" xfId="33812"/>
    <cellStyle name="Calculation 2 10 2 2 4" xfId="14087"/>
    <cellStyle name="Calculation 2 10 2 3" xfId="6668"/>
    <cellStyle name="Calculation 2 10 2 3 2" xfId="25640"/>
    <cellStyle name="Calculation 2 10 2 3 3" xfId="36485"/>
    <cellStyle name="Calculation 2 10 2 3 4" xfId="16002"/>
    <cellStyle name="Calculation 2 10 2 4" xfId="9327"/>
    <cellStyle name="Calculation 2 10 2 4 2" xfId="28299"/>
    <cellStyle name="Calculation 2 10 2 4 3" xfId="39144"/>
    <cellStyle name="Calculation 2 10 2 4 4" xfId="17906"/>
    <cellStyle name="Calculation 2 10 2 5" xfId="20123"/>
    <cellStyle name="Calculation 2 10 2 6" xfId="30968"/>
    <cellStyle name="Calculation 2 10 2 7" xfId="12052"/>
    <cellStyle name="Calculation 2 10 3" xfId="1539"/>
    <cellStyle name="Calculation 2 10 3 2" xfId="4392"/>
    <cellStyle name="Calculation 2 10 3 2 2" xfId="23364"/>
    <cellStyle name="Calculation 2 10 3 2 3" xfId="34209"/>
    <cellStyle name="Calculation 2 10 3 2 4" xfId="14373"/>
    <cellStyle name="Calculation 2 10 3 3" xfId="7064"/>
    <cellStyle name="Calculation 2 10 3 3 2" xfId="26036"/>
    <cellStyle name="Calculation 2 10 3 3 3" xfId="36881"/>
    <cellStyle name="Calculation 2 10 3 3 4" xfId="16287"/>
    <cellStyle name="Calculation 2 10 3 4" xfId="9723"/>
    <cellStyle name="Calculation 2 10 3 4 2" xfId="28695"/>
    <cellStyle name="Calculation 2 10 3 4 3" xfId="39540"/>
    <cellStyle name="Calculation 2 10 3 4 4" xfId="18191"/>
    <cellStyle name="Calculation 2 10 3 5" xfId="20519"/>
    <cellStyle name="Calculation 2 10 3 6" xfId="31364"/>
    <cellStyle name="Calculation 2 10 3 7" xfId="12337"/>
    <cellStyle name="Calculation 2 10 4" xfId="1943"/>
    <cellStyle name="Calculation 2 10 4 2" xfId="4796"/>
    <cellStyle name="Calculation 2 10 4 2 2" xfId="23768"/>
    <cellStyle name="Calculation 2 10 4 2 3" xfId="34613"/>
    <cellStyle name="Calculation 2 10 4 2 4" xfId="14661"/>
    <cellStyle name="Calculation 2 10 4 3" xfId="7468"/>
    <cellStyle name="Calculation 2 10 4 3 2" xfId="26440"/>
    <cellStyle name="Calculation 2 10 4 3 3" xfId="37285"/>
    <cellStyle name="Calculation 2 10 4 3 4" xfId="16575"/>
    <cellStyle name="Calculation 2 10 4 4" xfId="10127"/>
    <cellStyle name="Calculation 2 10 4 4 2" xfId="29099"/>
    <cellStyle name="Calculation 2 10 4 4 3" xfId="39944"/>
    <cellStyle name="Calculation 2 10 4 4 4" xfId="18479"/>
    <cellStyle name="Calculation 2 10 4 5" xfId="20923"/>
    <cellStyle name="Calculation 2 10 4 6" xfId="31768"/>
    <cellStyle name="Calculation 2 10 4 7" xfId="12625"/>
    <cellStyle name="Calculation 2 10 5" xfId="2335"/>
    <cellStyle name="Calculation 2 10 5 2" xfId="5188"/>
    <cellStyle name="Calculation 2 10 5 2 2" xfId="24160"/>
    <cellStyle name="Calculation 2 10 5 2 3" xfId="35005"/>
    <cellStyle name="Calculation 2 10 5 2 4" xfId="14942"/>
    <cellStyle name="Calculation 2 10 5 3" xfId="7859"/>
    <cellStyle name="Calculation 2 10 5 3 2" xfId="26831"/>
    <cellStyle name="Calculation 2 10 5 3 3" xfId="37676"/>
    <cellStyle name="Calculation 2 10 5 3 4" xfId="16855"/>
    <cellStyle name="Calculation 2 10 5 4" xfId="10518"/>
    <cellStyle name="Calculation 2 10 5 4 2" xfId="29490"/>
    <cellStyle name="Calculation 2 10 5 4 3" xfId="40335"/>
    <cellStyle name="Calculation 2 10 5 4 4" xfId="18759"/>
    <cellStyle name="Calculation 2 10 5 5" xfId="21314"/>
    <cellStyle name="Calculation 2 10 5 6" xfId="32159"/>
    <cellStyle name="Calculation 2 10 5 7" xfId="12905"/>
    <cellStyle name="Calculation 2 10 6" xfId="2724"/>
    <cellStyle name="Calculation 2 10 6 2" xfId="5576"/>
    <cellStyle name="Calculation 2 10 6 2 2" xfId="24548"/>
    <cellStyle name="Calculation 2 10 6 2 3" xfId="35393"/>
    <cellStyle name="Calculation 2 10 6 2 4" xfId="15220"/>
    <cellStyle name="Calculation 2 10 6 3" xfId="8247"/>
    <cellStyle name="Calculation 2 10 6 3 2" xfId="27219"/>
    <cellStyle name="Calculation 2 10 6 3 3" xfId="38064"/>
    <cellStyle name="Calculation 2 10 6 3 4" xfId="17133"/>
    <cellStyle name="Calculation 2 10 6 4" xfId="10906"/>
    <cellStyle name="Calculation 2 10 6 4 2" xfId="29878"/>
    <cellStyle name="Calculation 2 10 6 4 3" xfId="40723"/>
    <cellStyle name="Calculation 2 10 6 4 4" xfId="19037"/>
    <cellStyle name="Calculation 2 10 6 5" xfId="21702"/>
    <cellStyle name="Calculation 2 10 6 6" xfId="32547"/>
    <cellStyle name="Calculation 2 10 6 7" xfId="13183"/>
    <cellStyle name="Calculation 2 10 7" xfId="3415"/>
    <cellStyle name="Calculation 2 10 7 2" xfId="22387"/>
    <cellStyle name="Calculation 2 10 7 3" xfId="33232"/>
    <cellStyle name="Calculation 2 10 7 4" xfId="13665"/>
    <cellStyle name="Calculation 2 10 8" xfId="6091"/>
    <cellStyle name="Calculation 2 10 8 2" xfId="25063"/>
    <cellStyle name="Calculation 2 10 8 3" xfId="35908"/>
    <cellStyle name="Calculation 2 10 8 4" xfId="15582"/>
    <cellStyle name="Calculation 2 10 9" xfId="8750"/>
    <cellStyle name="Calculation 2 10 9 2" xfId="27722"/>
    <cellStyle name="Calculation 2 10 9 3" xfId="38567"/>
    <cellStyle name="Calculation 2 10 9 4" xfId="17486"/>
    <cellStyle name="Calculation 2 11" xfId="11428"/>
    <cellStyle name="Calculation 2 2" xfId="58"/>
    <cellStyle name="Calculation 2 2 2" xfId="349"/>
    <cellStyle name="Calculation 2 2 2 10" xfId="2033"/>
    <cellStyle name="Calculation 2 2 2 10 2" xfId="4886"/>
    <cellStyle name="Calculation 2 2 2 10 2 2" xfId="23858"/>
    <cellStyle name="Calculation 2 2 2 10 2 3" xfId="34703"/>
    <cellStyle name="Calculation 2 2 2 10 2 4" xfId="14731"/>
    <cellStyle name="Calculation 2 2 2 10 3" xfId="7558"/>
    <cellStyle name="Calculation 2 2 2 10 3 2" xfId="26530"/>
    <cellStyle name="Calculation 2 2 2 10 3 3" xfId="37375"/>
    <cellStyle name="Calculation 2 2 2 10 3 4" xfId="16645"/>
    <cellStyle name="Calculation 2 2 2 10 4" xfId="10217"/>
    <cellStyle name="Calculation 2 2 2 10 4 2" xfId="29189"/>
    <cellStyle name="Calculation 2 2 2 10 4 3" xfId="40034"/>
    <cellStyle name="Calculation 2 2 2 10 4 4" xfId="18549"/>
    <cellStyle name="Calculation 2 2 2 10 5" xfId="21013"/>
    <cellStyle name="Calculation 2 2 2 10 6" xfId="31858"/>
    <cellStyle name="Calculation 2 2 2 10 7" xfId="12695"/>
    <cellStyle name="Calculation 2 2 2 11" xfId="2424"/>
    <cellStyle name="Calculation 2 2 2 11 2" xfId="5277"/>
    <cellStyle name="Calculation 2 2 2 11 2 2" xfId="24249"/>
    <cellStyle name="Calculation 2 2 2 11 2 3" xfId="35094"/>
    <cellStyle name="Calculation 2 2 2 11 2 4" xfId="15011"/>
    <cellStyle name="Calculation 2 2 2 11 3" xfId="7948"/>
    <cellStyle name="Calculation 2 2 2 11 3 2" xfId="26920"/>
    <cellStyle name="Calculation 2 2 2 11 3 3" xfId="37765"/>
    <cellStyle name="Calculation 2 2 2 11 3 4" xfId="16924"/>
    <cellStyle name="Calculation 2 2 2 11 4" xfId="10607"/>
    <cellStyle name="Calculation 2 2 2 11 4 2" xfId="29579"/>
    <cellStyle name="Calculation 2 2 2 11 4 3" xfId="40424"/>
    <cellStyle name="Calculation 2 2 2 11 4 4" xfId="18828"/>
    <cellStyle name="Calculation 2 2 2 11 5" xfId="21403"/>
    <cellStyle name="Calculation 2 2 2 11 6" xfId="32248"/>
    <cellStyle name="Calculation 2 2 2 11 7" xfId="12974"/>
    <cellStyle name="Calculation 2 2 2 12" xfId="2420"/>
    <cellStyle name="Calculation 2 2 2 12 2" xfId="5273"/>
    <cellStyle name="Calculation 2 2 2 12 2 2" xfId="24245"/>
    <cellStyle name="Calculation 2 2 2 12 2 3" xfId="35090"/>
    <cellStyle name="Calculation 2 2 2 12 2 4" xfId="15008"/>
    <cellStyle name="Calculation 2 2 2 12 3" xfId="7944"/>
    <cellStyle name="Calculation 2 2 2 12 3 2" xfId="26916"/>
    <cellStyle name="Calculation 2 2 2 12 3 3" xfId="37761"/>
    <cellStyle name="Calculation 2 2 2 12 3 4" xfId="16921"/>
    <cellStyle name="Calculation 2 2 2 12 4" xfId="10603"/>
    <cellStyle name="Calculation 2 2 2 12 4 2" xfId="29575"/>
    <cellStyle name="Calculation 2 2 2 12 4 3" xfId="40420"/>
    <cellStyle name="Calculation 2 2 2 12 4 4" xfId="18825"/>
    <cellStyle name="Calculation 2 2 2 12 5" xfId="21399"/>
    <cellStyle name="Calculation 2 2 2 12 6" xfId="32244"/>
    <cellStyle name="Calculation 2 2 2 12 7" xfId="12971"/>
    <cellStyle name="Calculation 2 2 2 13" xfId="2809"/>
    <cellStyle name="Calculation 2 2 2 13 2" xfId="5661"/>
    <cellStyle name="Calculation 2 2 2 13 2 2" xfId="24633"/>
    <cellStyle name="Calculation 2 2 2 13 2 3" xfId="35478"/>
    <cellStyle name="Calculation 2 2 2 13 2 4" xfId="15286"/>
    <cellStyle name="Calculation 2 2 2 13 3" xfId="8332"/>
    <cellStyle name="Calculation 2 2 2 13 3 2" xfId="27304"/>
    <cellStyle name="Calculation 2 2 2 13 3 3" xfId="38149"/>
    <cellStyle name="Calculation 2 2 2 13 3 4" xfId="17199"/>
    <cellStyle name="Calculation 2 2 2 13 4" xfId="10991"/>
    <cellStyle name="Calculation 2 2 2 13 4 2" xfId="29963"/>
    <cellStyle name="Calculation 2 2 2 13 4 3" xfId="40808"/>
    <cellStyle name="Calculation 2 2 2 13 4 4" xfId="19103"/>
    <cellStyle name="Calculation 2 2 2 13 5" xfId="21787"/>
    <cellStyle name="Calculation 2 2 2 13 6" xfId="32632"/>
    <cellStyle name="Calculation 2 2 2 13 7" xfId="13249"/>
    <cellStyle name="Calculation 2 2 2 14" xfId="3311"/>
    <cellStyle name="Calculation 2 2 2 14 2" xfId="22285"/>
    <cellStyle name="Calculation 2 2 2 14 3" xfId="33130"/>
    <cellStyle name="Calculation 2 2 2 14 4" xfId="13595"/>
    <cellStyle name="Calculation 2 2 2 15" xfId="3399"/>
    <cellStyle name="Calculation 2 2 2 15 2" xfId="22371"/>
    <cellStyle name="Calculation 2 2 2 15 3" xfId="33216"/>
    <cellStyle name="Calculation 2 2 2 15 4" xfId="13652"/>
    <cellStyle name="Calculation 2 2 2 16" xfId="514"/>
    <cellStyle name="Calculation 2 2 2 16 2" xfId="19536"/>
    <cellStyle name="Calculation 2 2 2 16 3" xfId="30381"/>
    <cellStyle name="Calculation 2 2 2 16 4" xfId="11590"/>
    <cellStyle name="Calculation 2 2 2 17" xfId="19446"/>
    <cellStyle name="Calculation 2 2 2 18" xfId="19420"/>
    <cellStyle name="Calculation 2 2 2 19" xfId="11505"/>
    <cellStyle name="Calculation 2 2 2 2" xfId="657"/>
    <cellStyle name="Calculation 2 2 2 2 10" xfId="19642"/>
    <cellStyle name="Calculation 2 2 2 2 11" xfId="30487"/>
    <cellStyle name="Calculation 2 2 2 2 12" xfId="11709"/>
    <cellStyle name="Calculation 2 2 2 2 2" xfId="1244"/>
    <cellStyle name="Calculation 2 2 2 2 2 2" xfId="4097"/>
    <cellStyle name="Calculation 2 2 2 2 2 2 2" xfId="23069"/>
    <cellStyle name="Calculation 2 2 2 2 2 2 3" xfId="33914"/>
    <cellStyle name="Calculation 2 2 2 2 2 2 4" xfId="14170"/>
    <cellStyle name="Calculation 2 2 2 2 2 3" xfId="6770"/>
    <cellStyle name="Calculation 2 2 2 2 2 3 2" xfId="25742"/>
    <cellStyle name="Calculation 2 2 2 2 2 3 3" xfId="36587"/>
    <cellStyle name="Calculation 2 2 2 2 2 3 4" xfId="16085"/>
    <cellStyle name="Calculation 2 2 2 2 2 4" xfId="9429"/>
    <cellStyle name="Calculation 2 2 2 2 2 4 2" xfId="28401"/>
    <cellStyle name="Calculation 2 2 2 2 2 4 3" xfId="39246"/>
    <cellStyle name="Calculation 2 2 2 2 2 4 4" xfId="17989"/>
    <cellStyle name="Calculation 2 2 2 2 2 5" xfId="20225"/>
    <cellStyle name="Calculation 2 2 2 2 2 6" xfId="31070"/>
    <cellStyle name="Calculation 2 2 2 2 2 7" xfId="12135"/>
    <cellStyle name="Calculation 2 2 2 2 3" xfId="1643"/>
    <cellStyle name="Calculation 2 2 2 2 3 2" xfId="4496"/>
    <cellStyle name="Calculation 2 2 2 2 3 2 2" xfId="23468"/>
    <cellStyle name="Calculation 2 2 2 2 3 2 3" xfId="34313"/>
    <cellStyle name="Calculation 2 2 2 2 3 2 4" xfId="14457"/>
    <cellStyle name="Calculation 2 2 2 2 3 3" xfId="7168"/>
    <cellStyle name="Calculation 2 2 2 2 3 3 2" xfId="26140"/>
    <cellStyle name="Calculation 2 2 2 2 3 3 3" xfId="36985"/>
    <cellStyle name="Calculation 2 2 2 2 3 3 4" xfId="16371"/>
    <cellStyle name="Calculation 2 2 2 2 3 4" xfId="9827"/>
    <cellStyle name="Calculation 2 2 2 2 3 4 2" xfId="28799"/>
    <cellStyle name="Calculation 2 2 2 2 3 4 3" xfId="39644"/>
    <cellStyle name="Calculation 2 2 2 2 3 4 4" xfId="18275"/>
    <cellStyle name="Calculation 2 2 2 2 3 5" xfId="20623"/>
    <cellStyle name="Calculation 2 2 2 2 3 6" xfId="31468"/>
    <cellStyle name="Calculation 2 2 2 2 3 7" xfId="12421"/>
    <cellStyle name="Calculation 2 2 2 2 4" xfId="2047"/>
    <cellStyle name="Calculation 2 2 2 2 4 2" xfId="4900"/>
    <cellStyle name="Calculation 2 2 2 2 4 2 2" xfId="23872"/>
    <cellStyle name="Calculation 2 2 2 2 4 2 3" xfId="34717"/>
    <cellStyle name="Calculation 2 2 2 2 4 2 4" xfId="14744"/>
    <cellStyle name="Calculation 2 2 2 2 4 3" xfId="7571"/>
    <cellStyle name="Calculation 2 2 2 2 4 3 2" xfId="26543"/>
    <cellStyle name="Calculation 2 2 2 2 4 3 3" xfId="37388"/>
    <cellStyle name="Calculation 2 2 2 2 4 3 4" xfId="16657"/>
    <cellStyle name="Calculation 2 2 2 2 4 4" xfId="10230"/>
    <cellStyle name="Calculation 2 2 2 2 4 4 2" xfId="29202"/>
    <cellStyle name="Calculation 2 2 2 2 4 4 3" xfId="40047"/>
    <cellStyle name="Calculation 2 2 2 2 4 4 4" xfId="18561"/>
    <cellStyle name="Calculation 2 2 2 2 4 5" xfId="21026"/>
    <cellStyle name="Calculation 2 2 2 2 4 6" xfId="31871"/>
    <cellStyle name="Calculation 2 2 2 2 4 7" xfId="12707"/>
    <cellStyle name="Calculation 2 2 2 2 5" xfId="2437"/>
    <cellStyle name="Calculation 2 2 2 2 5 2" xfId="5289"/>
    <cellStyle name="Calculation 2 2 2 2 5 2 2" xfId="24261"/>
    <cellStyle name="Calculation 2 2 2 2 5 2 3" xfId="35106"/>
    <cellStyle name="Calculation 2 2 2 2 5 2 4" xfId="15023"/>
    <cellStyle name="Calculation 2 2 2 2 5 3" xfId="7960"/>
    <cellStyle name="Calculation 2 2 2 2 5 3 2" xfId="26932"/>
    <cellStyle name="Calculation 2 2 2 2 5 3 3" xfId="37777"/>
    <cellStyle name="Calculation 2 2 2 2 5 3 4" xfId="16936"/>
    <cellStyle name="Calculation 2 2 2 2 5 4" xfId="10619"/>
    <cellStyle name="Calculation 2 2 2 2 5 4 2" xfId="29591"/>
    <cellStyle name="Calculation 2 2 2 2 5 4 3" xfId="40436"/>
    <cellStyle name="Calculation 2 2 2 2 5 4 4" xfId="18840"/>
    <cellStyle name="Calculation 2 2 2 2 5 5" xfId="21415"/>
    <cellStyle name="Calculation 2 2 2 2 5 6" xfId="32260"/>
    <cellStyle name="Calculation 2 2 2 2 5 7" xfId="12986"/>
    <cellStyle name="Calculation 2 2 2 2 6" xfId="2823"/>
    <cellStyle name="Calculation 2 2 2 2 6 2" xfId="5674"/>
    <cellStyle name="Calculation 2 2 2 2 6 2 2" xfId="24646"/>
    <cellStyle name="Calculation 2 2 2 2 6 2 3" xfId="35491"/>
    <cellStyle name="Calculation 2 2 2 2 6 2 4" xfId="15299"/>
    <cellStyle name="Calculation 2 2 2 2 6 3" xfId="8345"/>
    <cellStyle name="Calculation 2 2 2 2 6 3 2" xfId="27317"/>
    <cellStyle name="Calculation 2 2 2 2 6 3 3" xfId="38162"/>
    <cellStyle name="Calculation 2 2 2 2 6 3 4" xfId="17212"/>
    <cellStyle name="Calculation 2 2 2 2 6 4" xfId="11004"/>
    <cellStyle name="Calculation 2 2 2 2 6 4 2" xfId="29976"/>
    <cellStyle name="Calculation 2 2 2 2 6 4 3" xfId="40821"/>
    <cellStyle name="Calculation 2 2 2 2 6 4 4" xfId="19116"/>
    <cellStyle name="Calculation 2 2 2 2 6 5" xfId="21800"/>
    <cellStyle name="Calculation 2 2 2 2 6 6" xfId="32645"/>
    <cellStyle name="Calculation 2 2 2 2 6 7" xfId="13262"/>
    <cellStyle name="Calculation 2 2 2 2 7" xfId="3512"/>
    <cellStyle name="Calculation 2 2 2 2 7 2" xfId="22484"/>
    <cellStyle name="Calculation 2 2 2 2 7 3" xfId="33329"/>
    <cellStyle name="Calculation 2 2 2 2 7 4" xfId="13743"/>
    <cellStyle name="Calculation 2 2 2 2 8" xfId="6187"/>
    <cellStyle name="Calculation 2 2 2 2 8 2" xfId="25159"/>
    <cellStyle name="Calculation 2 2 2 2 8 3" xfId="36004"/>
    <cellStyle name="Calculation 2 2 2 2 8 4" xfId="15659"/>
    <cellStyle name="Calculation 2 2 2 2 9" xfId="8846"/>
    <cellStyle name="Calculation 2 2 2 2 9 2" xfId="27818"/>
    <cellStyle name="Calculation 2 2 2 2 9 3" xfId="38663"/>
    <cellStyle name="Calculation 2 2 2 2 9 4" xfId="17563"/>
    <cellStyle name="Calculation 2 2 2 3" xfId="639"/>
    <cellStyle name="Calculation 2 2 2 3 10" xfId="19635"/>
    <cellStyle name="Calculation 2 2 2 3 11" xfId="30480"/>
    <cellStyle name="Calculation 2 2 2 3 12" xfId="11691"/>
    <cellStyle name="Calculation 2 2 2 3 2" xfId="1234"/>
    <cellStyle name="Calculation 2 2 2 3 2 2" xfId="4087"/>
    <cellStyle name="Calculation 2 2 2 3 2 2 2" xfId="23059"/>
    <cellStyle name="Calculation 2 2 2 3 2 2 3" xfId="33904"/>
    <cellStyle name="Calculation 2 2 2 3 2 2 4" xfId="14160"/>
    <cellStyle name="Calculation 2 2 2 3 2 3" xfId="6760"/>
    <cellStyle name="Calculation 2 2 2 3 2 3 2" xfId="25732"/>
    <cellStyle name="Calculation 2 2 2 3 2 3 3" xfId="36577"/>
    <cellStyle name="Calculation 2 2 2 3 2 3 4" xfId="16075"/>
    <cellStyle name="Calculation 2 2 2 3 2 4" xfId="9419"/>
    <cellStyle name="Calculation 2 2 2 3 2 4 2" xfId="28391"/>
    <cellStyle name="Calculation 2 2 2 3 2 4 3" xfId="39236"/>
    <cellStyle name="Calculation 2 2 2 3 2 4 4" xfId="17979"/>
    <cellStyle name="Calculation 2 2 2 3 2 5" xfId="20215"/>
    <cellStyle name="Calculation 2 2 2 3 2 6" xfId="31060"/>
    <cellStyle name="Calculation 2 2 2 3 2 7" xfId="12125"/>
    <cellStyle name="Calculation 2 2 2 3 3" xfId="1633"/>
    <cellStyle name="Calculation 2 2 2 3 3 2" xfId="4486"/>
    <cellStyle name="Calculation 2 2 2 3 3 2 2" xfId="23458"/>
    <cellStyle name="Calculation 2 2 2 3 3 2 3" xfId="34303"/>
    <cellStyle name="Calculation 2 2 2 3 3 2 4" xfId="14448"/>
    <cellStyle name="Calculation 2 2 2 3 3 3" xfId="7158"/>
    <cellStyle name="Calculation 2 2 2 3 3 3 2" xfId="26130"/>
    <cellStyle name="Calculation 2 2 2 3 3 3 3" xfId="36975"/>
    <cellStyle name="Calculation 2 2 2 3 3 3 4" xfId="16362"/>
    <cellStyle name="Calculation 2 2 2 3 3 4" xfId="9817"/>
    <cellStyle name="Calculation 2 2 2 3 3 4 2" xfId="28789"/>
    <cellStyle name="Calculation 2 2 2 3 3 4 3" xfId="39634"/>
    <cellStyle name="Calculation 2 2 2 3 3 4 4" xfId="18266"/>
    <cellStyle name="Calculation 2 2 2 3 3 5" xfId="20613"/>
    <cellStyle name="Calculation 2 2 2 3 3 6" xfId="31458"/>
    <cellStyle name="Calculation 2 2 2 3 3 7" xfId="12412"/>
    <cellStyle name="Calculation 2 2 2 3 4" xfId="2037"/>
    <cellStyle name="Calculation 2 2 2 3 4 2" xfId="4890"/>
    <cellStyle name="Calculation 2 2 2 3 4 2 2" xfId="23862"/>
    <cellStyle name="Calculation 2 2 2 3 4 2 3" xfId="34707"/>
    <cellStyle name="Calculation 2 2 2 3 4 2 4" xfId="14735"/>
    <cellStyle name="Calculation 2 2 2 3 4 3" xfId="7562"/>
    <cellStyle name="Calculation 2 2 2 3 4 3 2" xfId="26534"/>
    <cellStyle name="Calculation 2 2 2 3 4 3 3" xfId="37379"/>
    <cellStyle name="Calculation 2 2 2 3 4 3 4" xfId="16649"/>
    <cellStyle name="Calculation 2 2 2 3 4 4" xfId="10221"/>
    <cellStyle name="Calculation 2 2 2 3 4 4 2" xfId="29193"/>
    <cellStyle name="Calculation 2 2 2 3 4 4 3" xfId="40038"/>
    <cellStyle name="Calculation 2 2 2 3 4 4 4" xfId="18553"/>
    <cellStyle name="Calculation 2 2 2 3 4 5" xfId="21017"/>
    <cellStyle name="Calculation 2 2 2 3 4 6" xfId="31862"/>
    <cellStyle name="Calculation 2 2 2 3 4 7" xfId="12699"/>
    <cellStyle name="Calculation 2 2 2 3 5" xfId="2428"/>
    <cellStyle name="Calculation 2 2 2 3 5 2" xfId="5281"/>
    <cellStyle name="Calculation 2 2 2 3 5 2 2" xfId="24253"/>
    <cellStyle name="Calculation 2 2 2 3 5 2 3" xfId="35098"/>
    <cellStyle name="Calculation 2 2 2 3 5 2 4" xfId="15015"/>
    <cellStyle name="Calculation 2 2 2 3 5 3" xfId="7952"/>
    <cellStyle name="Calculation 2 2 2 3 5 3 2" xfId="26924"/>
    <cellStyle name="Calculation 2 2 2 3 5 3 3" xfId="37769"/>
    <cellStyle name="Calculation 2 2 2 3 5 3 4" xfId="16928"/>
    <cellStyle name="Calculation 2 2 2 3 5 4" xfId="10611"/>
    <cellStyle name="Calculation 2 2 2 3 5 4 2" xfId="29583"/>
    <cellStyle name="Calculation 2 2 2 3 5 4 3" xfId="40428"/>
    <cellStyle name="Calculation 2 2 2 3 5 4 4" xfId="18832"/>
    <cellStyle name="Calculation 2 2 2 3 5 5" xfId="21407"/>
    <cellStyle name="Calculation 2 2 2 3 5 6" xfId="32252"/>
    <cellStyle name="Calculation 2 2 2 3 5 7" xfId="12978"/>
    <cellStyle name="Calculation 2 2 2 3 6" xfId="2815"/>
    <cellStyle name="Calculation 2 2 2 3 6 2" xfId="5667"/>
    <cellStyle name="Calculation 2 2 2 3 6 2 2" xfId="24639"/>
    <cellStyle name="Calculation 2 2 2 3 6 2 3" xfId="35484"/>
    <cellStyle name="Calculation 2 2 2 3 6 2 4" xfId="15292"/>
    <cellStyle name="Calculation 2 2 2 3 6 3" xfId="8338"/>
    <cellStyle name="Calculation 2 2 2 3 6 3 2" xfId="27310"/>
    <cellStyle name="Calculation 2 2 2 3 6 3 3" xfId="38155"/>
    <cellStyle name="Calculation 2 2 2 3 6 3 4" xfId="17205"/>
    <cellStyle name="Calculation 2 2 2 3 6 4" xfId="10997"/>
    <cellStyle name="Calculation 2 2 2 3 6 4 2" xfId="29969"/>
    <cellStyle name="Calculation 2 2 2 3 6 4 3" xfId="40814"/>
    <cellStyle name="Calculation 2 2 2 3 6 4 4" xfId="19109"/>
    <cellStyle name="Calculation 2 2 2 3 6 5" xfId="21793"/>
    <cellStyle name="Calculation 2 2 2 3 6 6" xfId="32638"/>
    <cellStyle name="Calculation 2 2 2 3 6 7" xfId="13255"/>
    <cellStyle name="Calculation 2 2 2 3 7" xfId="3505"/>
    <cellStyle name="Calculation 2 2 2 3 7 2" xfId="22477"/>
    <cellStyle name="Calculation 2 2 2 3 7 3" xfId="33322"/>
    <cellStyle name="Calculation 2 2 2 3 7 4" xfId="13736"/>
    <cellStyle name="Calculation 2 2 2 3 8" xfId="6180"/>
    <cellStyle name="Calculation 2 2 2 3 8 2" xfId="25152"/>
    <cellStyle name="Calculation 2 2 2 3 8 3" xfId="35997"/>
    <cellStyle name="Calculation 2 2 2 3 8 4" xfId="15652"/>
    <cellStyle name="Calculation 2 2 2 3 9" xfId="8839"/>
    <cellStyle name="Calculation 2 2 2 3 9 2" xfId="27811"/>
    <cellStyle name="Calculation 2 2 2 3 9 3" xfId="38656"/>
    <cellStyle name="Calculation 2 2 2 3 9 4" xfId="17556"/>
    <cellStyle name="Calculation 2 2 2 4" xfId="600"/>
    <cellStyle name="Calculation 2 2 2 4 10" xfId="19607"/>
    <cellStyle name="Calculation 2 2 2 4 11" xfId="30452"/>
    <cellStyle name="Calculation 2 2 2 4 12" xfId="11662"/>
    <cellStyle name="Calculation 2 2 2 4 2" xfId="1204"/>
    <cellStyle name="Calculation 2 2 2 4 2 2" xfId="4057"/>
    <cellStyle name="Calculation 2 2 2 4 2 2 2" xfId="23029"/>
    <cellStyle name="Calculation 2 2 2 4 2 2 3" xfId="33874"/>
    <cellStyle name="Calculation 2 2 2 4 2 2 4" xfId="14137"/>
    <cellStyle name="Calculation 2 2 2 4 2 3" xfId="6730"/>
    <cellStyle name="Calculation 2 2 2 4 2 3 2" xfId="25702"/>
    <cellStyle name="Calculation 2 2 2 4 2 3 3" xfId="36547"/>
    <cellStyle name="Calculation 2 2 2 4 2 3 4" xfId="16052"/>
    <cellStyle name="Calculation 2 2 2 4 2 4" xfId="9389"/>
    <cellStyle name="Calculation 2 2 2 4 2 4 2" xfId="28361"/>
    <cellStyle name="Calculation 2 2 2 4 2 4 3" xfId="39206"/>
    <cellStyle name="Calculation 2 2 2 4 2 4 4" xfId="17956"/>
    <cellStyle name="Calculation 2 2 2 4 2 5" xfId="20185"/>
    <cellStyle name="Calculation 2 2 2 4 2 6" xfId="31030"/>
    <cellStyle name="Calculation 2 2 2 4 2 7" xfId="12102"/>
    <cellStyle name="Calculation 2 2 2 4 3" xfId="1602"/>
    <cellStyle name="Calculation 2 2 2 4 3 2" xfId="4455"/>
    <cellStyle name="Calculation 2 2 2 4 3 2 2" xfId="23427"/>
    <cellStyle name="Calculation 2 2 2 4 3 2 3" xfId="34272"/>
    <cellStyle name="Calculation 2 2 2 4 3 2 4" xfId="14424"/>
    <cellStyle name="Calculation 2 2 2 4 3 3" xfId="7127"/>
    <cellStyle name="Calculation 2 2 2 4 3 3 2" xfId="26099"/>
    <cellStyle name="Calculation 2 2 2 4 3 3 3" xfId="36944"/>
    <cellStyle name="Calculation 2 2 2 4 3 3 4" xfId="16338"/>
    <cellStyle name="Calculation 2 2 2 4 3 4" xfId="9786"/>
    <cellStyle name="Calculation 2 2 2 4 3 4 2" xfId="28758"/>
    <cellStyle name="Calculation 2 2 2 4 3 4 3" xfId="39603"/>
    <cellStyle name="Calculation 2 2 2 4 3 4 4" xfId="18242"/>
    <cellStyle name="Calculation 2 2 2 4 3 5" xfId="20582"/>
    <cellStyle name="Calculation 2 2 2 4 3 6" xfId="31427"/>
    <cellStyle name="Calculation 2 2 2 4 3 7" xfId="12388"/>
    <cellStyle name="Calculation 2 2 2 4 4" xfId="2004"/>
    <cellStyle name="Calculation 2 2 2 4 4 2" xfId="4857"/>
    <cellStyle name="Calculation 2 2 2 4 4 2 2" xfId="23829"/>
    <cellStyle name="Calculation 2 2 2 4 4 2 3" xfId="34674"/>
    <cellStyle name="Calculation 2 2 2 4 4 2 4" xfId="14710"/>
    <cellStyle name="Calculation 2 2 2 4 4 3" xfId="7529"/>
    <cellStyle name="Calculation 2 2 2 4 4 3 2" xfId="26501"/>
    <cellStyle name="Calculation 2 2 2 4 4 3 3" xfId="37346"/>
    <cellStyle name="Calculation 2 2 2 4 4 3 4" xfId="16624"/>
    <cellStyle name="Calculation 2 2 2 4 4 4" xfId="10188"/>
    <cellStyle name="Calculation 2 2 2 4 4 4 2" xfId="29160"/>
    <cellStyle name="Calculation 2 2 2 4 4 4 3" xfId="40005"/>
    <cellStyle name="Calculation 2 2 2 4 4 4 4" xfId="18528"/>
    <cellStyle name="Calculation 2 2 2 4 4 5" xfId="20984"/>
    <cellStyle name="Calculation 2 2 2 4 4 6" xfId="31829"/>
    <cellStyle name="Calculation 2 2 2 4 4 7" xfId="12674"/>
    <cellStyle name="Calculation 2 2 2 4 5" xfId="2396"/>
    <cellStyle name="Calculation 2 2 2 4 5 2" xfId="5249"/>
    <cellStyle name="Calculation 2 2 2 4 5 2 2" xfId="24221"/>
    <cellStyle name="Calculation 2 2 2 4 5 2 3" xfId="35066"/>
    <cellStyle name="Calculation 2 2 2 4 5 2 4" xfId="14991"/>
    <cellStyle name="Calculation 2 2 2 4 5 3" xfId="7920"/>
    <cellStyle name="Calculation 2 2 2 4 5 3 2" xfId="26892"/>
    <cellStyle name="Calculation 2 2 2 4 5 3 3" xfId="37737"/>
    <cellStyle name="Calculation 2 2 2 4 5 3 4" xfId="16904"/>
    <cellStyle name="Calculation 2 2 2 4 5 4" xfId="10579"/>
    <cellStyle name="Calculation 2 2 2 4 5 4 2" xfId="29551"/>
    <cellStyle name="Calculation 2 2 2 4 5 4 3" xfId="40396"/>
    <cellStyle name="Calculation 2 2 2 4 5 4 4" xfId="18808"/>
    <cellStyle name="Calculation 2 2 2 4 5 5" xfId="21375"/>
    <cellStyle name="Calculation 2 2 2 4 5 6" xfId="32220"/>
    <cellStyle name="Calculation 2 2 2 4 5 7" xfId="12954"/>
    <cellStyle name="Calculation 2 2 2 4 6" xfId="2785"/>
    <cellStyle name="Calculation 2 2 2 4 6 2" xfId="5637"/>
    <cellStyle name="Calculation 2 2 2 4 6 2 2" xfId="24609"/>
    <cellStyle name="Calculation 2 2 2 4 6 2 3" xfId="35454"/>
    <cellStyle name="Calculation 2 2 2 4 6 2 4" xfId="15269"/>
    <cellStyle name="Calculation 2 2 2 4 6 3" xfId="8308"/>
    <cellStyle name="Calculation 2 2 2 4 6 3 2" xfId="27280"/>
    <cellStyle name="Calculation 2 2 2 4 6 3 3" xfId="38125"/>
    <cellStyle name="Calculation 2 2 2 4 6 3 4" xfId="17182"/>
    <cellStyle name="Calculation 2 2 2 4 6 4" xfId="10967"/>
    <cellStyle name="Calculation 2 2 2 4 6 4 2" xfId="29939"/>
    <cellStyle name="Calculation 2 2 2 4 6 4 3" xfId="40784"/>
    <cellStyle name="Calculation 2 2 2 4 6 4 4" xfId="19086"/>
    <cellStyle name="Calculation 2 2 2 4 6 5" xfId="21763"/>
    <cellStyle name="Calculation 2 2 2 4 6 6" xfId="32608"/>
    <cellStyle name="Calculation 2 2 2 4 6 7" xfId="13232"/>
    <cellStyle name="Calculation 2 2 2 4 7" xfId="3476"/>
    <cellStyle name="Calculation 2 2 2 4 7 2" xfId="22448"/>
    <cellStyle name="Calculation 2 2 2 4 7 3" xfId="33293"/>
    <cellStyle name="Calculation 2 2 2 4 7 4" xfId="13714"/>
    <cellStyle name="Calculation 2 2 2 4 8" xfId="6152"/>
    <cellStyle name="Calculation 2 2 2 4 8 2" xfId="25124"/>
    <cellStyle name="Calculation 2 2 2 4 8 3" xfId="35969"/>
    <cellStyle name="Calculation 2 2 2 4 8 4" xfId="15631"/>
    <cellStyle name="Calculation 2 2 2 4 9" xfId="8811"/>
    <cellStyle name="Calculation 2 2 2 4 9 2" xfId="27783"/>
    <cellStyle name="Calculation 2 2 2 4 9 3" xfId="38628"/>
    <cellStyle name="Calculation 2 2 2 4 9 4" xfId="17535"/>
    <cellStyle name="Calculation 2 2 2 5" xfId="593"/>
    <cellStyle name="Calculation 2 2 2 5 10" xfId="19603"/>
    <cellStyle name="Calculation 2 2 2 5 11" xfId="30448"/>
    <cellStyle name="Calculation 2 2 2 5 12" xfId="11657"/>
    <cellStyle name="Calculation 2 2 2 5 2" xfId="1199"/>
    <cellStyle name="Calculation 2 2 2 5 2 2" xfId="4052"/>
    <cellStyle name="Calculation 2 2 2 5 2 2 2" xfId="23024"/>
    <cellStyle name="Calculation 2 2 2 5 2 2 3" xfId="33869"/>
    <cellStyle name="Calculation 2 2 2 5 2 2 4" xfId="14134"/>
    <cellStyle name="Calculation 2 2 2 5 2 3" xfId="6725"/>
    <cellStyle name="Calculation 2 2 2 5 2 3 2" xfId="25697"/>
    <cellStyle name="Calculation 2 2 2 5 2 3 3" xfId="36542"/>
    <cellStyle name="Calculation 2 2 2 5 2 3 4" xfId="16049"/>
    <cellStyle name="Calculation 2 2 2 5 2 4" xfId="9384"/>
    <cellStyle name="Calculation 2 2 2 5 2 4 2" xfId="28356"/>
    <cellStyle name="Calculation 2 2 2 5 2 4 3" xfId="39201"/>
    <cellStyle name="Calculation 2 2 2 5 2 4 4" xfId="17953"/>
    <cellStyle name="Calculation 2 2 2 5 2 5" xfId="20180"/>
    <cellStyle name="Calculation 2 2 2 5 2 6" xfId="31025"/>
    <cellStyle name="Calculation 2 2 2 5 2 7" xfId="12099"/>
    <cellStyle name="Calculation 2 2 2 5 3" xfId="1596"/>
    <cellStyle name="Calculation 2 2 2 5 3 2" xfId="4449"/>
    <cellStyle name="Calculation 2 2 2 5 3 2 2" xfId="23421"/>
    <cellStyle name="Calculation 2 2 2 5 3 2 3" xfId="34266"/>
    <cellStyle name="Calculation 2 2 2 5 3 2 4" xfId="14420"/>
    <cellStyle name="Calculation 2 2 2 5 3 3" xfId="7121"/>
    <cellStyle name="Calculation 2 2 2 5 3 3 2" xfId="26093"/>
    <cellStyle name="Calculation 2 2 2 5 3 3 3" xfId="36938"/>
    <cellStyle name="Calculation 2 2 2 5 3 3 4" xfId="16334"/>
    <cellStyle name="Calculation 2 2 2 5 3 4" xfId="9780"/>
    <cellStyle name="Calculation 2 2 2 5 3 4 2" xfId="28752"/>
    <cellStyle name="Calculation 2 2 2 5 3 4 3" xfId="39597"/>
    <cellStyle name="Calculation 2 2 2 5 3 4 4" xfId="18238"/>
    <cellStyle name="Calculation 2 2 2 5 3 5" xfId="20576"/>
    <cellStyle name="Calculation 2 2 2 5 3 6" xfId="31421"/>
    <cellStyle name="Calculation 2 2 2 5 3 7" xfId="12384"/>
    <cellStyle name="Calculation 2 2 2 5 4" xfId="2000"/>
    <cellStyle name="Calculation 2 2 2 5 4 2" xfId="4853"/>
    <cellStyle name="Calculation 2 2 2 5 4 2 2" xfId="23825"/>
    <cellStyle name="Calculation 2 2 2 5 4 2 3" xfId="34670"/>
    <cellStyle name="Calculation 2 2 2 5 4 2 4" xfId="14708"/>
    <cellStyle name="Calculation 2 2 2 5 4 3" xfId="7525"/>
    <cellStyle name="Calculation 2 2 2 5 4 3 2" xfId="26497"/>
    <cellStyle name="Calculation 2 2 2 5 4 3 3" xfId="37342"/>
    <cellStyle name="Calculation 2 2 2 5 4 3 4" xfId="16622"/>
    <cellStyle name="Calculation 2 2 2 5 4 4" xfId="10184"/>
    <cellStyle name="Calculation 2 2 2 5 4 4 2" xfId="29156"/>
    <cellStyle name="Calculation 2 2 2 5 4 4 3" xfId="40001"/>
    <cellStyle name="Calculation 2 2 2 5 4 4 4" xfId="18526"/>
    <cellStyle name="Calculation 2 2 2 5 4 5" xfId="20980"/>
    <cellStyle name="Calculation 2 2 2 5 4 6" xfId="31825"/>
    <cellStyle name="Calculation 2 2 2 5 4 7" xfId="12672"/>
    <cellStyle name="Calculation 2 2 2 5 5" xfId="2392"/>
    <cellStyle name="Calculation 2 2 2 5 5 2" xfId="5245"/>
    <cellStyle name="Calculation 2 2 2 5 5 2 2" xfId="24217"/>
    <cellStyle name="Calculation 2 2 2 5 5 2 3" xfId="35062"/>
    <cellStyle name="Calculation 2 2 2 5 5 2 4" xfId="14989"/>
    <cellStyle name="Calculation 2 2 2 5 5 3" xfId="7916"/>
    <cellStyle name="Calculation 2 2 2 5 5 3 2" xfId="26888"/>
    <cellStyle name="Calculation 2 2 2 5 5 3 3" xfId="37733"/>
    <cellStyle name="Calculation 2 2 2 5 5 3 4" xfId="16902"/>
    <cellStyle name="Calculation 2 2 2 5 5 4" xfId="10575"/>
    <cellStyle name="Calculation 2 2 2 5 5 4 2" xfId="29547"/>
    <cellStyle name="Calculation 2 2 2 5 5 4 3" xfId="40392"/>
    <cellStyle name="Calculation 2 2 2 5 5 4 4" xfId="18806"/>
    <cellStyle name="Calculation 2 2 2 5 5 5" xfId="21371"/>
    <cellStyle name="Calculation 2 2 2 5 5 6" xfId="32216"/>
    <cellStyle name="Calculation 2 2 2 5 5 7" xfId="12952"/>
    <cellStyle name="Calculation 2 2 2 5 6" xfId="2781"/>
    <cellStyle name="Calculation 2 2 2 5 6 2" xfId="5633"/>
    <cellStyle name="Calculation 2 2 2 5 6 2 2" xfId="24605"/>
    <cellStyle name="Calculation 2 2 2 5 6 2 3" xfId="35450"/>
    <cellStyle name="Calculation 2 2 2 5 6 2 4" xfId="15267"/>
    <cellStyle name="Calculation 2 2 2 5 6 3" xfId="8304"/>
    <cellStyle name="Calculation 2 2 2 5 6 3 2" xfId="27276"/>
    <cellStyle name="Calculation 2 2 2 5 6 3 3" xfId="38121"/>
    <cellStyle name="Calculation 2 2 2 5 6 3 4" xfId="17180"/>
    <cellStyle name="Calculation 2 2 2 5 6 4" xfId="10963"/>
    <cellStyle name="Calculation 2 2 2 5 6 4 2" xfId="29935"/>
    <cellStyle name="Calculation 2 2 2 5 6 4 3" xfId="40780"/>
    <cellStyle name="Calculation 2 2 2 5 6 4 4" xfId="19084"/>
    <cellStyle name="Calculation 2 2 2 5 6 5" xfId="21759"/>
    <cellStyle name="Calculation 2 2 2 5 6 6" xfId="32604"/>
    <cellStyle name="Calculation 2 2 2 5 6 7" xfId="13230"/>
    <cellStyle name="Calculation 2 2 2 5 7" xfId="3472"/>
    <cellStyle name="Calculation 2 2 2 5 7 2" xfId="22444"/>
    <cellStyle name="Calculation 2 2 2 5 7 3" xfId="33289"/>
    <cellStyle name="Calculation 2 2 2 5 7 4" xfId="13712"/>
    <cellStyle name="Calculation 2 2 2 5 8" xfId="6148"/>
    <cellStyle name="Calculation 2 2 2 5 8 2" xfId="25120"/>
    <cellStyle name="Calculation 2 2 2 5 8 3" xfId="35965"/>
    <cellStyle name="Calculation 2 2 2 5 8 4" xfId="15629"/>
    <cellStyle name="Calculation 2 2 2 5 9" xfId="8807"/>
    <cellStyle name="Calculation 2 2 2 5 9 2" xfId="27779"/>
    <cellStyle name="Calculation 2 2 2 5 9 3" xfId="38624"/>
    <cellStyle name="Calculation 2 2 2 5 9 4" xfId="17533"/>
    <cellStyle name="Calculation 2 2 2 6" xfId="1055"/>
    <cellStyle name="Calculation 2 2 2 6 2" xfId="3908"/>
    <cellStyle name="Calculation 2 2 2 6 2 2" xfId="22880"/>
    <cellStyle name="Calculation 2 2 2 6 2 3" xfId="33725"/>
    <cellStyle name="Calculation 2 2 2 6 2 4" xfId="14021"/>
    <cellStyle name="Calculation 2 2 2 6 3" xfId="6582"/>
    <cellStyle name="Calculation 2 2 2 6 3 2" xfId="25554"/>
    <cellStyle name="Calculation 2 2 2 6 3 3" xfId="36399"/>
    <cellStyle name="Calculation 2 2 2 6 3 4" xfId="15937"/>
    <cellStyle name="Calculation 2 2 2 6 4" xfId="9241"/>
    <cellStyle name="Calculation 2 2 2 6 4 2" xfId="28213"/>
    <cellStyle name="Calculation 2 2 2 6 4 3" xfId="39058"/>
    <cellStyle name="Calculation 2 2 2 6 4 4" xfId="17841"/>
    <cellStyle name="Calculation 2 2 2 6 5" xfId="20037"/>
    <cellStyle name="Calculation 2 2 2 6 6" xfId="30882"/>
    <cellStyle name="Calculation 2 2 2 6 7" xfId="11987"/>
    <cellStyle name="Calculation 2 2 2 7" xfId="921"/>
    <cellStyle name="Calculation 2 2 2 7 2" xfId="3776"/>
    <cellStyle name="Calculation 2 2 2 7 2 2" xfId="22748"/>
    <cellStyle name="Calculation 2 2 2 7 2 3" xfId="33593"/>
    <cellStyle name="Calculation 2 2 2 7 2 4" xfId="13922"/>
    <cellStyle name="Calculation 2 2 2 7 3" xfId="6451"/>
    <cellStyle name="Calculation 2 2 2 7 3 2" xfId="25423"/>
    <cellStyle name="Calculation 2 2 2 7 3 3" xfId="36268"/>
    <cellStyle name="Calculation 2 2 2 7 3 4" xfId="15838"/>
    <cellStyle name="Calculation 2 2 2 7 4" xfId="9110"/>
    <cellStyle name="Calculation 2 2 2 7 4 2" xfId="28082"/>
    <cellStyle name="Calculation 2 2 2 7 4 3" xfId="38927"/>
    <cellStyle name="Calculation 2 2 2 7 4 4" xfId="17742"/>
    <cellStyle name="Calculation 2 2 2 7 5" xfId="19906"/>
    <cellStyle name="Calculation 2 2 2 7 6" xfId="30751"/>
    <cellStyle name="Calculation 2 2 2 7 7" xfId="11888"/>
    <cellStyle name="Calculation 2 2 2 8" xfId="1028"/>
    <cellStyle name="Calculation 2 2 2 8 2" xfId="3881"/>
    <cellStyle name="Calculation 2 2 2 8 2 2" xfId="22853"/>
    <cellStyle name="Calculation 2 2 2 8 2 3" xfId="33698"/>
    <cellStyle name="Calculation 2 2 2 8 2 4" xfId="14001"/>
    <cellStyle name="Calculation 2 2 2 8 3" xfId="6555"/>
    <cellStyle name="Calculation 2 2 2 8 3 2" xfId="25527"/>
    <cellStyle name="Calculation 2 2 2 8 3 3" xfId="36372"/>
    <cellStyle name="Calculation 2 2 2 8 3 4" xfId="15917"/>
    <cellStyle name="Calculation 2 2 2 8 4" xfId="9214"/>
    <cellStyle name="Calculation 2 2 2 8 4 2" xfId="28186"/>
    <cellStyle name="Calculation 2 2 2 8 4 3" xfId="39031"/>
    <cellStyle name="Calculation 2 2 2 8 4 4" xfId="17821"/>
    <cellStyle name="Calculation 2 2 2 8 5" xfId="20010"/>
    <cellStyle name="Calculation 2 2 2 8 6" xfId="30855"/>
    <cellStyle name="Calculation 2 2 2 8 7" xfId="11967"/>
    <cellStyle name="Calculation 2 2 2 9" xfId="955"/>
    <cellStyle name="Calculation 2 2 2 9 2" xfId="3808"/>
    <cellStyle name="Calculation 2 2 2 9 2 2" xfId="22780"/>
    <cellStyle name="Calculation 2 2 2 9 2 3" xfId="33625"/>
    <cellStyle name="Calculation 2 2 2 9 2 4" xfId="13951"/>
    <cellStyle name="Calculation 2 2 2 9 3" xfId="6483"/>
    <cellStyle name="Calculation 2 2 2 9 3 2" xfId="25455"/>
    <cellStyle name="Calculation 2 2 2 9 3 3" xfId="36300"/>
    <cellStyle name="Calculation 2 2 2 9 3 4" xfId="15867"/>
    <cellStyle name="Calculation 2 2 2 9 4" xfId="9142"/>
    <cellStyle name="Calculation 2 2 2 9 4 2" xfId="28114"/>
    <cellStyle name="Calculation 2 2 2 9 4 3" xfId="38959"/>
    <cellStyle name="Calculation 2 2 2 9 4 4" xfId="17771"/>
    <cellStyle name="Calculation 2 2 2 9 5" xfId="19938"/>
    <cellStyle name="Calculation 2 2 2 9 6" xfId="30783"/>
    <cellStyle name="Calculation 2 2 2 9 7" xfId="11917"/>
    <cellStyle name="Calculation 2 2 3" xfId="537"/>
    <cellStyle name="Calculation 2 2 3 10" xfId="19547"/>
    <cellStyle name="Calculation 2 2 3 11" xfId="30392"/>
    <cellStyle name="Calculation 2 2 3 12" xfId="11611"/>
    <cellStyle name="Calculation 2 2 3 2" xfId="1143"/>
    <cellStyle name="Calculation 2 2 3 2 2" xfId="3996"/>
    <cellStyle name="Calculation 2 2 3 2 2 2" xfId="22968"/>
    <cellStyle name="Calculation 2 2 3 2 2 3" xfId="33813"/>
    <cellStyle name="Calculation 2 2 3 2 2 4" xfId="14088"/>
    <cellStyle name="Calculation 2 2 3 2 3" xfId="6669"/>
    <cellStyle name="Calculation 2 2 3 2 3 2" xfId="25641"/>
    <cellStyle name="Calculation 2 2 3 2 3 3" xfId="36486"/>
    <cellStyle name="Calculation 2 2 3 2 3 4" xfId="16003"/>
    <cellStyle name="Calculation 2 2 3 2 4" xfId="9328"/>
    <cellStyle name="Calculation 2 2 3 2 4 2" xfId="28300"/>
    <cellStyle name="Calculation 2 2 3 2 4 3" xfId="39145"/>
    <cellStyle name="Calculation 2 2 3 2 4 4" xfId="17907"/>
    <cellStyle name="Calculation 2 2 3 2 5" xfId="20124"/>
    <cellStyle name="Calculation 2 2 3 2 6" xfId="30969"/>
    <cellStyle name="Calculation 2 2 3 2 7" xfId="12053"/>
    <cellStyle name="Calculation 2 2 3 3" xfId="1540"/>
    <cellStyle name="Calculation 2 2 3 3 2" xfId="4393"/>
    <cellStyle name="Calculation 2 2 3 3 2 2" xfId="23365"/>
    <cellStyle name="Calculation 2 2 3 3 2 3" xfId="34210"/>
    <cellStyle name="Calculation 2 2 3 3 2 4" xfId="14374"/>
    <cellStyle name="Calculation 2 2 3 3 3" xfId="7065"/>
    <cellStyle name="Calculation 2 2 3 3 3 2" xfId="26037"/>
    <cellStyle name="Calculation 2 2 3 3 3 3" xfId="36882"/>
    <cellStyle name="Calculation 2 2 3 3 3 4" xfId="16288"/>
    <cellStyle name="Calculation 2 2 3 3 4" xfId="9724"/>
    <cellStyle name="Calculation 2 2 3 3 4 2" xfId="28696"/>
    <cellStyle name="Calculation 2 2 3 3 4 3" xfId="39541"/>
    <cellStyle name="Calculation 2 2 3 3 4 4" xfId="18192"/>
    <cellStyle name="Calculation 2 2 3 3 5" xfId="20520"/>
    <cellStyle name="Calculation 2 2 3 3 6" xfId="31365"/>
    <cellStyle name="Calculation 2 2 3 3 7" xfId="12338"/>
    <cellStyle name="Calculation 2 2 3 4" xfId="1944"/>
    <cellStyle name="Calculation 2 2 3 4 2" xfId="4797"/>
    <cellStyle name="Calculation 2 2 3 4 2 2" xfId="23769"/>
    <cellStyle name="Calculation 2 2 3 4 2 3" xfId="34614"/>
    <cellStyle name="Calculation 2 2 3 4 2 4" xfId="14662"/>
    <cellStyle name="Calculation 2 2 3 4 3" xfId="7469"/>
    <cellStyle name="Calculation 2 2 3 4 3 2" xfId="26441"/>
    <cellStyle name="Calculation 2 2 3 4 3 3" xfId="37286"/>
    <cellStyle name="Calculation 2 2 3 4 3 4" xfId="16576"/>
    <cellStyle name="Calculation 2 2 3 4 4" xfId="10128"/>
    <cellStyle name="Calculation 2 2 3 4 4 2" xfId="29100"/>
    <cellStyle name="Calculation 2 2 3 4 4 3" xfId="39945"/>
    <cellStyle name="Calculation 2 2 3 4 4 4" xfId="18480"/>
    <cellStyle name="Calculation 2 2 3 4 5" xfId="20924"/>
    <cellStyle name="Calculation 2 2 3 4 6" xfId="31769"/>
    <cellStyle name="Calculation 2 2 3 4 7" xfId="12626"/>
    <cellStyle name="Calculation 2 2 3 5" xfId="2336"/>
    <cellStyle name="Calculation 2 2 3 5 2" xfId="5189"/>
    <cellStyle name="Calculation 2 2 3 5 2 2" xfId="24161"/>
    <cellStyle name="Calculation 2 2 3 5 2 3" xfId="35006"/>
    <cellStyle name="Calculation 2 2 3 5 2 4" xfId="14943"/>
    <cellStyle name="Calculation 2 2 3 5 3" xfId="7860"/>
    <cellStyle name="Calculation 2 2 3 5 3 2" xfId="26832"/>
    <cellStyle name="Calculation 2 2 3 5 3 3" xfId="37677"/>
    <cellStyle name="Calculation 2 2 3 5 3 4" xfId="16856"/>
    <cellStyle name="Calculation 2 2 3 5 4" xfId="10519"/>
    <cellStyle name="Calculation 2 2 3 5 4 2" xfId="29491"/>
    <cellStyle name="Calculation 2 2 3 5 4 3" xfId="40336"/>
    <cellStyle name="Calculation 2 2 3 5 4 4" xfId="18760"/>
    <cellStyle name="Calculation 2 2 3 5 5" xfId="21315"/>
    <cellStyle name="Calculation 2 2 3 5 6" xfId="32160"/>
    <cellStyle name="Calculation 2 2 3 5 7" xfId="12906"/>
    <cellStyle name="Calculation 2 2 3 6" xfId="2725"/>
    <cellStyle name="Calculation 2 2 3 6 2" xfId="5577"/>
    <cellStyle name="Calculation 2 2 3 6 2 2" xfId="24549"/>
    <cellStyle name="Calculation 2 2 3 6 2 3" xfId="35394"/>
    <cellStyle name="Calculation 2 2 3 6 2 4" xfId="15221"/>
    <cellStyle name="Calculation 2 2 3 6 3" xfId="8248"/>
    <cellStyle name="Calculation 2 2 3 6 3 2" xfId="27220"/>
    <cellStyle name="Calculation 2 2 3 6 3 3" xfId="38065"/>
    <cellStyle name="Calculation 2 2 3 6 3 4" xfId="17134"/>
    <cellStyle name="Calculation 2 2 3 6 4" xfId="10907"/>
    <cellStyle name="Calculation 2 2 3 6 4 2" xfId="29879"/>
    <cellStyle name="Calculation 2 2 3 6 4 3" xfId="40724"/>
    <cellStyle name="Calculation 2 2 3 6 4 4" xfId="19038"/>
    <cellStyle name="Calculation 2 2 3 6 5" xfId="21703"/>
    <cellStyle name="Calculation 2 2 3 6 6" xfId="32548"/>
    <cellStyle name="Calculation 2 2 3 6 7" xfId="13184"/>
    <cellStyle name="Calculation 2 2 3 7" xfId="3416"/>
    <cellStyle name="Calculation 2 2 3 7 2" xfId="22388"/>
    <cellStyle name="Calculation 2 2 3 7 3" xfId="33233"/>
    <cellStyle name="Calculation 2 2 3 7 4" xfId="13666"/>
    <cellStyle name="Calculation 2 2 3 8" xfId="6092"/>
    <cellStyle name="Calculation 2 2 3 8 2" xfId="25064"/>
    <cellStyle name="Calculation 2 2 3 8 3" xfId="35909"/>
    <cellStyle name="Calculation 2 2 3 8 4" xfId="15583"/>
    <cellStyle name="Calculation 2 2 3 9" xfId="8751"/>
    <cellStyle name="Calculation 2 2 3 9 2" xfId="27723"/>
    <cellStyle name="Calculation 2 2 3 9 3" xfId="38568"/>
    <cellStyle name="Calculation 2 2 3 9 4" xfId="17487"/>
    <cellStyle name="Calculation 2 2 4" xfId="11429"/>
    <cellStyle name="Calculation 2 3" xfId="59"/>
    <cellStyle name="Calculation 2 3 2" xfId="350"/>
    <cellStyle name="Calculation 2 3 2 10" xfId="1014"/>
    <cellStyle name="Calculation 2 3 2 10 2" xfId="3867"/>
    <cellStyle name="Calculation 2 3 2 10 2 2" xfId="22839"/>
    <cellStyle name="Calculation 2 3 2 10 2 3" xfId="33684"/>
    <cellStyle name="Calculation 2 3 2 10 2 4" xfId="13991"/>
    <cellStyle name="Calculation 2 3 2 10 3" xfId="6541"/>
    <cellStyle name="Calculation 2 3 2 10 3 2" xfId="25513"/>
    <cellStyle name="Calculation 2 3 2 10 3 3" xfId="36358"/>
    <cellStyle name="Calculation 2 3 2 10 3 4" xfId="15907"/>
    <cellStyle name="Calculation 2 3 2 10 4" xfId="9200"/>
    <cellStyle name="Calculation 2 3 2 10 4 2" xfId="28172"/>
    <cellStyle name="Calculation 2 3 2 10 4 3" xfId="39017"/>
    <cellStyle name="Calculation 2 3 2 10 4 4" xfId="17811"/>
    <cellStyle name="Calculation 2 3 2 10 5" xfId="19996"/>
    <cellStyle name="Calculation 2 3 2 10 6" xfId="30841"/>
    <cellStyle name="Calculation 2 3 2 10 7" xfId="11957"/>
    <cellStyle name="Calculation 2 3 2 11" xfId="964"/>
    <cellStyle name="Calculation 2 3 2 11 2" xfId="3817"/>
    <cellStyle name="Calculation 2 3 2 11 2 2" xfId="22789"/>
    <cellStyle name="Calculation 2 3 2 11 2 3" xfId="33634"/>
    <cellStyle name="Calculation 2 3 2 11 2 4" xfId="13958"/>
    <cellStyle name="Calculation 2 3 2 11 3" xfId="6492"/>
    <cellStyle name="Calculation 2 3 2 11 3 2" xfId="25464"/>
    <cellStyle name="Calculation 2 3 2 11 3 3" xfId="36309"/>
    <cellStyle name="Calculation 2 3 2 11 3 4" xfId="15874"/>
    <cellStyle name="Calculation 2 3 2 11 4" xfId="9151"/>
    <cellStyle name="Calculation 2 3 2 11 4 2" xfId="28123"/>
    <cellStyle name="Calculation 2 3 2 11 4 3" xfId="38968"/>
    <cellStyle name="Calculation 2 3 2 11 4 4" xfId="17778"/>
    <cellStyle name="Calculation 2 3 2 11 5" xfId="19947"/>
    <cellStyle name="Calculation 2 3 2 11 6" xfId="30792"/>
    <cellStyle name="Calculation 2 3 2 11 7" xfId="11924"/>
    <cellStyle name="Calculation 2 3 2 12" xfId="2029"/>
    <cellStyle name="Calculation 2 3 2 12 2" xfId="4882"/>
    <cellStyle name="Calculation 2 3 2 12 2 2" xfId="23854"/>
    <cellStyle name="Calculation 2 3 2 12 2 3" xfId="34699"/>
    <cellStyle name="Calculation 2 3 2 12 2 4" xfId="14728"/>
    <cellStyle name="Calculation 2 3 2 12 3" xfId="7554"/>
    <cellStyle name="Calculation 2 3 2 12 3 2" xfId="26526"/>
    <cellStyle name="Calculation 2 3 2 12 3 3" xfId="37371"/>
    <cellStyle name="Calculation 2 3 2 12 3 4" xfId="16642"/>
    <cellStyle name="Calculation 2 3 2 12 4" xfId="10213"/>
    <cellStyle name="Calculation 2 3 2 12 4 2" xfId="29185"/>
    <cellStyle name="Calculation 2 3 2 12 4 3" xfId="40030"/>
    <cellStyle name="Calculation 2 3 2 12 4 4" xfId="18546"/>
    <cellStyle name="Calculation 2 3 2 12 5" xfId="21009"/>
    <cellStyle name="Calculation 2 3 2 12 6" xfId="31854"/>
    <cellStyle name="Calculation 2 3 2 12 7" xfId="12692"/>
    <cellStyle name="Calculation 2 3 2 13" xfId="2421"/>
    <cellStyle name="Calculation 2 3 2 13 2" xfId="5274"/>
    <cellStyle name="Calculation 2 3 2 13 2 2" xfId="24246"/>
    <cellStyle name="Calculation 2 3 2 13 2 3" xfId="35091"/>
    <cellStyle name="Calculation 2 3 2 13 2 4" xfId="15009"/>
    <cellStyle name="Calculation 2 3 2 13 3" xfId="7945"/>
    <cellStyle name="Calculation 2 3 2 13 3 2" xfId="26917"/>
    <cellStyle name="Calculation 2 3 2 13 3 3" xfId="37762"/>
    <cellStyle name="Calculation 2 3 2 13 3 4" xfId="16922"/>
    <cellStyle name="Calculation 2 3 2 13 4" xfId="10604"/>
    <cellStyle name="Calculation 2 3 2 13 4 2" xfId="29576"/>
    <cellStyle name="Calculation 2 3 2 13 4 3" xfId="40421"/>
    <cellStyle name="Calculation 2 3 2 13 4 4" xfId="18826"/>
    <cellStyle name="Calculation 2 3 2 13 5" xfId="21400"/>
    <cellStyle name="Calculation 2 3 2 13 6" xfId="32245"/>
    <cellStyle name="Calculation 2 3 2 13 7" xfId="12972"/>
    <cellStyle name="Calculation 2 3 2 14" xfId="3235"/>
    <cellStyle name="Calculation 2 3 2 14 2" xfId="22212"/>
    <cellStyle name="Calculation 2 3 2 14 3" xfId="33057"/>
    <cellStyle name="Calculation 2 3 2 14 4" xfId="13540"/>
    <cellStyle name="Calculation 2 3 2 15" xfId="3232"/>
    <cellStyle name="Calculation 2 3 2 15 2" xfId="22209"/>
    <cellStyle name="Calculation 2 3 2 15 3" xfId="33054"/>
    <cellStyle name="Calculation 2 3 2 15 4" xfId="13537"/>
    <cellStyle name="Calculation 2 3 2 16" xfId="3300"/>
    <cellStyle name="Calculation 2 3 2 16 2" xfId="22274"/>
    <cellStyle name="Calculation 2 3 2 16 3" xfId="33119"/>
    <cellStyle name="Calculation 2 3 2 16 4" xfId="13587"/>
    <cellStyle name="Calculation 2 3 2 17" xfId="19447"/>
    <cellStyle name="Calculation 2 3 2 18" xfId="19407"/>
    <cellStyle name="Calculation 2 3 2 19" xfId="11506"/>
    <cellStyle name="Calculation 2 3 2 2" xfId="658"/>
    <cellStyle name="Calculation 2 3 2 2 10" xfId="19643"/>
    <cellStyle name="Calculation 2 3 2 2 11" xfId="30488"/>
    <cellStyle name="Calculation 2 3 2 2 12" xfId="11710"/>
    <cellStyle name="Calculation 2 3 2 2 2" xfId="1245"/>
    <cellStyle name="Calculation 2 3 2 2 2 2" xfId="4098"/>
    <cellStyle name="Calculation 2 3 2 2 2 2 2" xfId="23070"/>
    <cellStyle name="Calculation 2 3 2 2 2 2 3" xfId="33915"/>
    <cellStyle name="Calculation 2 3 2 2 2 2 4" xfId="14171"/>
    <cellStyle name="Calculation 2 3 2 2 2 3" xfId="6771"/>
    <cellStyle name="Calculation 2 3 2 2 2 3 2" xfId="25743"/>
    <cellStyle name="Calculation 2 3 2 2 2 3 3" xfId="36588"/>
    <cellStyle name="Calculation 2 3 2 2 2 3 4" xfId="16086"/>
    <cellStyle name="Calculation 2 3 2 2 2 4" xfId="9430"/>
    <cellStyle name="Calculation 2 3 2 2 2 4 2" xfId="28402"/>
    <cellStyle name="Calculation 2 3 2 2 2 4 3" xfId="39247"/>
    <cellStyle name="Calculation 2 3 2 2 2 4 4" xfId="17990"/>
    <cellStyle name="Calculation 2 3 2 2 2 5" xfId="20226"/>
    <cellStyle name="Calculation 2 3 2 2 2 6" xfId="31071"/>
    <cellStyle name="Calculation 2 3 2 2 2 7" xfId="12136"/>
    <cellStyle name="Calculation 2 3 2 2 3" xfId="1644"/>
    <cellStyle name="Calculation 2 3 2 2 3 2" xfId="4497"/>
    <cellStyle name="Calculation 2 3 2 2 3 2 2" xfId="23469"/>
    <cellStyle name="Calculation 2 3 2 2 3 2 3" xfId="34314"/>
    <cellStyle name="Calculation 2 3 2 2 3 2 4" xfId="14458"/>
    <cellStyle name="Calculation 2 3 2 2 3 3" xfId="7169"/>
    <cellStyle name="Calculation 2 3 2 2 3 3 2" xfId="26141"/>
    <cellStyle name="Calculation 2 3 2 2 3 3 3" xfId="36986"/>
    <cellStyle name="Calculation 2 3 2 2 3 3 4" xfId="16372"/>
    <cellStyle name="Calculation 2 3 2 2 3 4" xfId="9828"/>
    <cellStyle name="Calculation 2 3 2 2 3 4 2" xfId="28800"/>
    <cellStyle name="Calculation 2 3 2 2 3 4 3" xfId="39645"/>
    <cellStyle name="Calculation 2 3 2 2 3 4 4" xfId="18276"/>
    <cellStyle name="Calculation 2 3 2 2 3 5" xfId="20624"/>
    <cellStyle name="Calculation 2 3 2 2 3 6" xfId="31469"/>
    <cellStyle name="Calculation 2 3 2 2 3 7" xfId="12422"/>
    <cellStyle name="Calculation 2 3 2 2 4" xfId="2048"/>
    <cellStyle name="Calculation 2 3 2 2 4 2" xfId="4901"/>
    <cellStyle name="Calculation 2 3 2 2 4 2 2" xfId="23873"/>
    <cellStyle name="Calculation 2 3 2 2 4 2 3" xfId="34718"/>
    <cellStyle name="Calculation 2 3 2 2 4 2 4" xfId="14745"/>
    <cellStyle name="Calculation 2 3 2 2 4 3" xfId="7572"/>
    <cellStyle name="Calculation 2 3 2 2 4 3 2" xfId="26544"/>
    <cellStyle name="Calculation 2 3 2 2 4 3 3" xfId="37389"/>
    <cellStyle name="Calculation 2 3 2 2 4 3 4" xfId="16658"/>
    <cellStyle name="Calculation 2 3 2 2 4 4" xfId="10231"/>
    <cellStyle name="Calculation 2 3 2 2 4 4 2" xfId="29203"/>
    <cellStyle name="Calculation 2 3 2 2 4 4 3" xfId="40048"/>
    <cellStyle name="Calculation 2 3 2 2 4 4 4" xfId="18562"/>
    <cellStyle name="Calculation 2 3 2 2 4 5" xfId="21027"/>
    <cellStyle name="Calculation 2 3 2 2 4 6" xfId="31872"/>
    <cellStyle name="Calculation 2 3 2 2 4 7" xfId="12708"/>
    <cellStyle name="Calculation 2 3 2 2 5" xfId="2438"/>
    <cellStyle name="Calculation 2 3 2 2 5 2" xfId="5290"/>
    <cellStyle name="Calculation 2 3 2 2 5 2 2" xfId="24262"/>
    <cellStyle name="Calculation 2 3 2 2 5 2 3" xfId="35107"/>
    <cellStyle name="Calculation 2 3 2 2 5 2 4" xfId="15024"/>
    <cellStyle name="Calculation 2 3 2 2 5 3" xfId="7961"/>
    <cellStyle name="Calculation 2 3 2 2 5 3 2" xfId="26933"/>
    <cellStyle name="Calculation 2 3 2 2 5 3 3" xfId="37778"/>
    <cellStyle name="Calculation 2 3 2 2 5 3 4" xfId="16937"/>
    <cellStyle name="Calculation 2 3 2 2 5 4" xfId="10620"/>
    <cellStyle name="Calculation 2 3 2 2 5 4 2" xfId="29592"/>
    <cellStyle name="Calculation 2 3 2 2 5 4 3" xfId="40437"/>
    <cellStyle name="Calculation 2 3 2 2 5 4 4" xfId="18841"/>
    <cellStyle name="Calculation 2 3 2 2 5 5" xfId="21416"/>
    <cellStyle name="Calculation 2 3 2 2 5 6" xfId="32261"/>
    <cellStyle name="Calculation 2 3 2 2 5 7" xfId="12987"/>
    <cellStyle name="Calculation 2 3 2 2 6" xfId="2824"/>
    <cellStyle name="Calculation 2 3 2 2 6 2" xfId="5675"/>
    <cellStyle name="Calculation 2 3 2 2 6 2 2" xfId="24647"/>
    <cellStyle name="Calculation 2 3 2 2 6 2 3" xfId="35492"/>
    <cellStyle name="Calculation 2 3 2 2 6 2 4" xfId="15300"/>
    <cellStyle name="Calculation 2 3 2 2 6 3" xfId="8346"/>
    <cellStyle name="Calculation 2 3 2 2 6 3 2" xfId="27318"/>
    <cellStyle name="Calculation 2 3 2 2 6 3 3" xfId="38163"/>
    <cellStyle name="Calculation 2 3 2 2 6 3 4" xfId="17213"/>
    <cellStyle name="Calculation 2 3 2 2 6 4" xfId="11005"/>
    <cellStyle name="Calculation 2 3 2 2 6 4 2" xfId="29977"/>
    <cellStyle name="Calculation 2 3 2 2 6 4 3" xfId="40822"/>
    <cellStyle name="Calculation 2 3 2 2 6 4 4" xfId="19117"/>
    <cellStyle name="Calculation 2 3 2 2 6 5" xfId="21801"/>
    <cellStyle name="Calculation 2 3 2 2 6 6" xfId="32646"/>
    <cellStyle name="Calculation 2 3 2 2 6 7" xfId="13263"/>
    <cellStyle name="Calculation 2 3 2 2 7" xfId="3513"/>
    <cellStyle name="Calculation 2 3 2 2 7 2" xfId="22485"/>
    <cellStyle name="Calculation 2 3 2 2 7 3" xfId="33330"/>
    <cellStyle name="Calculation 2 3 2 2 7 4" xfId="13744"/>
    <cellStyle name="Calculation 2 3 2 2 8" xfId="6188"/>
    <cellStyle name="Calculation 2 3 2 2 8 2" xfId="25160"/>
    <cellStyle name="Calculation 2 3 2 2 8 3" xfId="36005"/>
    <cellStyle name="Calculation 2 3 2 2 8 4" xfId="15660"/>
    <cellStyle name="Calculation 2 3 2 2 9" xfId="8847"/>
    <cellStyle name="Calculation 2 3 2 2 9 2" xfId="27819"/>
    <cellStyle name="Calculation 2 3 2 2 9 3" xfId="38664"/>
    <cellStyle name="Calculation 2 3 2 2 9 4" xfId="17564"/>
    <cellStyle name="Calculation 2 3 2 3" xfId="636"/>
    <cellStyle name="Calculation 2 3 2 3 10" xfId="19632"/>
    <cellStyle name="Calculation 2 3 2 3 11" xfId="30477"/>
    <cellStyle name="Calculation 2 3 2 3 12" xfId="11688"/>
    <cellStyle name="Calculation 2 3 2 3 2" xfId="1231"/>
    <cellStyle name="Calculation 2 3 2 3 2 2" xfId="4084"/>
    <cellStyle name="Calculation 2 3 2 3 2 2 2" xfId="23056"/>
    <cellStyle name="Calculation 2 3 2 3 2 2 3" xfId="33901"/>
    <cellStyle name="Calculation 2 3 2 3 2 2 4" xfId="14157"/>
    <cellStyle name="Calculation 2 3 2 3 2 3" xfId="6757"/>
    <cellStyle name="Calculation 2 3 2 3 2 3 2" xfId="25729"/>
    <cellStyle name="Calculation 2 3 2 3 2 3 3" xfId="36574"/>
    <cellStyle name="Calculation 2 3 2 3 2 3 4" xfId="16072"/>
    <cellStyle name="Calculation 2 3 2 3 2 4" xfId="9416"/>
    <cellStyle name="Calculation 2 3 2 3 2 4 2" xfId="28388"/>
    <cellStyle name="Calculation 2 3 2 3 2 4 3" xfId="39233"/>
    <cellStyle name="Calculation 2 3 2 3 2 4 4" xfId="17976"/>
    <cellStyle name="Calculation 2 3 2 3 2 5" xfId="20212"/>
    <cellStyle name="Calculation 2 3 2 3 2 6" xfId="31057"/>
    <cellStyle name="Calculation 2 3 2 3 2 7" xfId="12122"/>
    <cellStyle name="Calculation 2 3 2 3 3" xfId="1630"/>
    <cellStyle name="Calculation 2 3 2 3 3 2" xfId="4483"/>
    <cellStyle name="Calculation 2 3 2 3 3 2 2" xfId="23455"/>
    <cellStyle name="Calculation 2 3 2 3 3 2 3" xfId="34300"/>
    <cellStyle name="Calculation 2 3 2 3 3 2 4" xfId="14445"/>
    <cellStyle name="Calculation 2 3 2 3 3 3" xfId="7155"/>
    <cellStyle name="Calculation 2 3 2 3 3 3 2" xfId="26127"/>
    <cellStyle name="Calculation 2 3 2 3 3 3 3" xfId="36972"/>
    <cellStyle name="Calculation 2 3 2 3 3 3 4" xfId="16359"/>
    <cellStyle name="Calculation 2 3 2 3 3 4" xfId="9814"/>
    <cellStyle name="Calculation 2 3 2 3 3 4 2" xfId="28786"/>
    <cellStyle name="Calculation 2 3 2 3 3 4 3" xfId="39631"/>
    <cellStyle name="Calculation 2 3 2 3 3 4 4" xfId="18263"/>
    <cellStyle name="Calculation 2 3 2 3 3 5" xfId="20610"/>
    <cellStyle name="Calculation 2 3 2 3 3 6" xfId="31455"/>
    <cellStyle name="Calculation 2 3 2 3 3 7" xfId="12409"/>
    <cellStyle name="Calculation 2 3 2 3 4" xfId="2034"/>
    <cellStyle name="Calculation 2 3 2 3 4 2" xfId="4887"/>
    <cellStyle name="Calculation 2 3 2 3 4 2 2" xfId="23859"/>
    <cellStyle name="Calculation 2 3 2 3 4 2 3" xfId="34704"/>
    <cellStyle name="Calculation 2 3 2 3 4 2 4" xfId="14732"/>
    <cellStyle name="Calculation 2 3 2 3 4 3" xfId="7559"/>
    <cellStyle name="Calculation 2 3 2 3 4 3 2" xfId="26531"/>
    <cellStyle name="Calculation 2 3 2 3 4 3 3" xfId="37376"/>
    <cellStyle name="Calculation 2 3 2 3 4 3 4" xfId="16646"/>
    <cellStyle name="Calculation 2 3 2 3 4 4" xfId="10218"/>
    <cellStyle name="Calculation 2 3 2 3 4 4 2" xfId="29190"/>
    <cellStyle name="Calculation 2 3 2 3 4 4 3" xfId="40035"/>
    <cellStyle name="Calculation 2 3 2 3 4 4 4" xfId="18550"/>
    <cellStyle name="Calculation 2 3 2 3 4 5" xfId="21014"/>
    <cellStyle name="Calculation 2 3 2 3 4 6" xfId="31859"/>
    <cellStyle name="Calculation 2 3 2 3 4 7" xfId="12696"/>
    <cellStyle name="Calculation 2 3 2 3 5" xfId="2425"/>
    <cellStyle name="Calculation 2 3 2 3 5 2" xfId="5278"/>
    <cellStyle name="Calculation 2 3 2 3 5 2 2" xfId="24250"/>
    <cellStyle name="Calculation 2 3 2 3 5 2 3" xfId="35095"/>
    <cellStyle name="Calculation 2 3 2 3 5 2 4" xfId="15012"/>
    <cellStyle name="Calculation 2 3 2 3 5 3" xfId="7949"/>
    <cellStyle name="Calculation 2 3 2 3 5 3 2" xfId="26921"/>
    <cellStyle name="Calculation 2 3 2 3 5 3 3" xfId="37766"/>
    <cellStyle name="Calculation 2 3 2 3 5 3 4" xfId="16925"/>
    <cellStyle name="Calculation 2 3 2 3 5 4" xfId="10608"/>
    <cellStyle name="Calculation 2 3 2 3 5 4 2" xfId="29580"/>
    <cellStyle name="Calculation 2 3 2 3 5 4 3" xfId="40425"/>
    <cellStyle name="Calculation 2 3 2 3 5 4 4" xfId="18829"/>
    <cellStyle name="Calculation 2 3 2 3 5 5" xfId="21404"/>
    <cellStyle name="Calculation 2 3 2 3 5 6" xfId="32249"/>
    <cellStyle name="Calculation 2 3 2 3 5 7" xfId="12975"/>
    <cellStyle name="Calculation 2 3 2 3 6" xfId="2812"/>
    <cellStyle name="Calculation 2 3 2 3 6 2" xfId="5664"/>
    <cellStyle name="Calculation 2 3 2 3 6 2 2" xfId="24636"/>
    <cellStyle name="Calculation 2 3 2 3 6 2 3" xfId="35481"/>
    <cellStyle name="Calculation 2 3 2 3 6 2 4" xfId="15289"/>
    <cellStyle name="Calculation 2 3 2 3 6 3" xfId="8335"/>
    <cellStyle name="Calculation 2 3 2 3 6 3 2" xfId="27307"/>
    <cellStyle name="Calculation 2 3 2 3 6 3 3" xfId="38152"/>
    <cellStyle name="Calculation 2 3 2 3 6 3 4" xfId="17202"/>
    <cellStyle name="Calculation 2 3 2 3 6 4" xfId="10994"/>
    <cellStyle name="Calculation 2 3 2 3 6 4 2" xfId="29966"/>
    <cellStyle name="Calculation 2 3 2 3 6 4 3" xfId="40811"/>
    <cellStyle name="Calculation 2 3 2 3 6 4 4" xfId="19106"/>
    <cellStyle name="Calculation 2 3 2 3 6 5" xfId="21790"/>
    <cellStyle name="Calculation 2 3 2 3 6 6" xfId="32635"/>
    <cellStyle name="Calculation 2 3 2 3 6 7" xfId="13252"/>
    <cellStyle name="Calculation 2 3 2 3 7" xfId="3502"/>
    <cellStyle name="Calculation 2 3 2 3 7 2" xfId="22474"/>
    <cellStyle name="Calculation 2 3 2 3 7 3" xfId="33319"/>
    <cellStyle name="Calculation 2 3 2 3 7 4" xfId="13733"/>
    <cellStyle name="Calculation 2 3 2 3 8" xfId="6177"/>
    <cellStyle name="Calculation 2 3 2 3 8 2" xfId="25149"/>
    <cellStyle name="Calculation 2 3 2 3 8 3" xfId="35994"/>
    <cellStyle name="Calculation 2 3 2 3 8 4" xfId="15649"/>
    <cellStyle name="Calculation 2 3 2 3 9" xfId="8836"/>
    <cellStyle name="Calculation 2 3 2 3 9 2" xfId="27808"/>
    <cellStyle name="Calculation 2 3 2 3 9 3" xfId="38653"/>
    <cellStyle name="Calculation 2 3 2 3 9 4" xfId="17553"/>
    <cellStyle name="Calculation 2 3 2 4" xfId="608"/>
    <cellStyle name="Calculation 2 3 2 4 10" xfId="19615"/>
    <cellStyle name="Calculation 2 3 2 4 11" xfId="30460"/>
    <cellStyle name="Calculation 2 3 2 4 12" xfId="11670"/>
    <cellStyle name="Calculation 2 3 2 4 2" xfId="1212"/>
    <cellStyle name="Calculation 2 3 2 4 2 2" xfId="4065"/>
    <cellStyle name="Calculation 2 3 2 4 2 2 2" xfId="23037"/>
    <cellStyle name="Calculation 2 3 2 4 2 2 3" xfId="33882"/>
    <cellStyle name="Calculation 2 3 2 4 2 2 4" xfId="14145"/>
    <cellStyle name="Calculation 2 3 2 4 2 3" xfId="6738"/>
    <cellStyle name="Calculation 2 3 2 4 2 3 2" xfId="25710"/>
    <cellStyle name="Calculation 2 3 2 4 2 3 3" xfId="36555"/>
    <cellStyle name="Calculation 2 3 2 4 2 3 4" xfId="16060"/>
    <cellStyle name="Calculation 2 3 2 4 2 4" xfId="9397"/>
    <cellStyle name="Calculation 2 3 2 4 2 4 2" xfId="28369"/>
    <cellStyle name="Calculation 2 3 2 4 2 4 3" xfId="39214"/>
    <cellStyle name="Calculation 2 3 2 4 2 4 4" xfId="17964"/>
    <cellStyle name="Calculation 2 3 2 4 2 5" xfId="20193"/>
    <cellStyle name="Calculation 2 3 2 4 2 6" xfId="31038"/>
    <cellStyle name="Calculation 2 3 2 4 2 7" xfId="12110"/>
    <cellStyle name="Calculation 2 3 2 4 3" xfId="1610"/>
    <cellStyle name="Calculation 2 3 2 4 3 2" xfId="4463"/>
    <cellStyle name="Calculation 2 3 2 4 3 2 2" xfId="23435"/>
    <cellStyle name="Calculation 2 3 2 4 3 2 3" xfId="34280"/>
    <cellStyle name="Calculation 2 3 2 4 3 2 4" xfId="14432"/>
    <cellStyle name="Calculation 2 3 2 4 3 3" xfId="7135"/>
    <cellStyle name="Calculation 2 3 2 4 3 3 2" xfId="26107"/>
    <cellStyle name="Calculation 2 3 2 4 3 3 3" xfId="36952"/>
    <cellStyle name="Calculation 2 3 2 4 3 3 4" xfId="16346"/>
    <cellStyle name="Calculation 2 3 2 4 3 4" xfId="9794"/>
    <cellStyle name="Calculation 2 3 2 4 3 4 2" xfId="28766"/>
    <cellStyle name="Calculation 2 3 2 4 3 4 3" xfId="39611"/>
    <cellStyle name="Calculation 2 3 2 4 3 4 4" xfId="18250"/>
    <cellStyle name="Calculation 2 3 2 4 3 5" xfId="20590"/>
    <cellStyle name="Calculation 2 3 2 4 3 6" xfId="31435"/>
    <cellStyle name="Calculation 2 3 2 4 3 7" xfId="12396"/>
    <cellStyle name="Calculation 2 3 2 4 4" xfId="2012"/>
    <cellStyle name="Calculation 2 3 2 4 4 2" xfId="4865"/>
    <cellStyle name="Calculation 2 3 2 4 4 2 2" xfId="23837"/>
    <cellStyle name="Calculation 2 3 2 4 4 2 3" xfId="34682"/>
    <cellStyle name="Calculation 2 3 2 4 4 2 4" xfId="14718"/>
    <cellStyle name="Calculation 2 3 2 4 4 3" xfId="7537"/>
    <cellStyle name="Calculation 2 3 2 4 4 3 2" xfId="26509"/>
    <cellStyle name="Calculation 2 3 2 4 4 3 3" xfId="37354"/>
    <cellStyle name="Calculation 2 3 2 4 4 3 4" xfId="16632"/>
    <cellStyle name="Calculation 2 3 2 4 4 4" xfId="10196"/>
    <cellStyle name="Calculation 2 3 2 4 4 4 2" xfId="29168"/>
    <cellStyle name="Calculation 2 3 2 4 4 4 3" xfId="40013"/>
    <cellStyle name="Calculation 2 3 2 4 4 4 4" xfId="18536"/>
    <cellStyle name="Calculation 2 3 2 4 4 5" xfId="20992"/>
    <cellStyle name="Calculation 2 3 2 4 4 6" xfId="31837"/>
    <cellStyle name="Calculation 2 3 2 4 4 7" xfId="12682"/>
    <cellStyle name="Calculation 2 3 2 4 5" xfId="2404"/>
    <cellStyle name="Calculation 2 3 2 4 5 2" xfId="5257"/>
    <cellStyle name="Calculation 2 3 2 4 5 2 2" xfId="24229"/>
    <cellStyle name="Calculation 2 3 2 4 5 2 3" xfId="35074"/>
    <cellStyle name="Calculation 2 3 2 4 5 2 4" xfId="14999"/>
    <cellStyle name="Calculation 2 3 2 4 5 3" xfId="7928"/>
    <cellStyle name="Calculation 2 3 2 4 5 3 2" xfId="26900"/>
    <cellStyle name="Calculation 2 3 2 4 5 3 3" xfId="37745"/>
    <cellStyle name="Calculation 2 3 2 4 5 3 4" xfId="16912"/>
    <cellStyle name="Calculation 2 3 2 4 5 4" xfId="10587"/>
    <cellStyle name="Calculation 2 3 2 4 5 4 2" xfId="29559"/>
    <cellStyle name="Calculation 2 3 2 4 5 4 3" xfId="40404"/>
    <cellStyle name="Calculation 2 3 2 4 5 4 4" xfId="18816"/>
    <cellStyle name="Calculation 2 3 2 4 5 5" xfId="21383"/>
    <cellStyle name="Calculation 2 3 2 4 5 6" xfId="32228"/>
    <cellStyle name="Calculation 2 3 2 4 5 7" xfId="12962"/>
    <cellStyle name="Calculation 2 3 2 4 6" xfId="2793"/>
    <cellStyle name="Calculation 2 3 2 4 6 2" xfId="5645"/>
    <cellStyle name="Calculation 2 3 2 4 6 2 2" xfId="24617"/>
    <cellStyle name="Calculation 2 3 2 4 6 2 3" xfId="35462"/>
    <cellStyle name="Calculation 2 3 2 4 6 2 4" xfId="15277"/>
    <cellStyle name="Calculation 2 3 2 4 6 3" xfId="8316"/>
    <cellStyle name="Calculation 2 3 2 4 6 3 2" xfId="27288"/>
    <cellStyle name="Calculation 2 3 2 4 6 3 3" xfId="38133"/>
    <cellStyle name="Calculation 2 3 2 4 6 3 4" xfId="17190"/>
    <cellStyle name="Calculation 2 3 2 4 6 4" xfId="10975"/>
    <cellStyle name="Calculation 2 3 2 4 6 4 2" xfId="29947"/>
    <cellStyle name="Calculation 2 3 2 4 6 4 3" xfId="40792"/>
    <cellStyle name="Calculation 2 3 2 4 6 4 4" xfId="19094"/>
    <cellStyle name="Calculation 2 3 2 4 6 5" xfId="21771"/>
    <cellStyle name="Calculation 2 3 2 4 6 6" xfId="32616"/>
    <cellStyle name="Calculation 2 3 2 4 6 7" xfId="13240"/>
    <cellStyle name="Calculation 2 3 2 4 7" xfId="3484"/>
    <cellStyle name="Calculation 2 3 2 4 7 2" xfId="22456"/>
    <cellStyle name="Calculation 2 3 2 4 7 3" xfId="33301"/>
    <cellStyle name="Calculation 2 3 2 4 7 4" xfId="13722"/>
    <cellStyle name="Calculation 2 3 2 4 8" xfId="6160"/>
    <cellStyle name="Calculation 2 3 2 4 8 2" xfId="25132"/>
    <cellStyle name="Calculation 2 3 2 4 8 3" xfId="35977"/>
    <cellStyle name="Calculation 2 3 2 4 8 4" xfId="15639"/>
    <cellStyle name="Calculation 2 3 2 4 9" xfId="8819"/>
    <cellStyle name="Calculation 2 3 2 4 9 2" xfId="27791"/>
    <cellStyle name="Calculation 2 3 2 4 9 3" xfId="38636"/>
    <cellStyle name="Calculation 2 3 2 4 9 4" xfId="17543"/>
    <cellStyle name="Calculation 2 3 2 5" xfId="604"/>
    <cellStyle name="Calculation 2 3 2 5 10" xfId="19611"/>
    <cellStyle name="Calculation 2 3 2 5 11" xfId="30456"/>
    <cellStyle name="Calculation 2 3 2 5 12" xfId="11666"/>
    <cellStyle name="Calculation 2 3 2 5 2" xfId="1208"/>
    <cellStyle name="Calculation 2 3 2 5 2 2" xfId="4061"/>
    <cellStyle name="Calculation 2 3 2 5 2 2 2" xfId="23033"/>
    <cellStyle name="Calculation 2 3 2 5 2 2 3" xfId="33878"/>
    <cellStyle name="Calculation 2 3 2 5 2 2 4" xfId="14141"/>
    <cellStyle name="Calculation 2 3 2 5 2 3" xfId="6734"/>
    <cellStyle name="Calculation 2 3 2 5 2 3 2" xfId="25706"/>
    <cellStyle name="Calculation 2 3 2 5 2 3 3" xfId="36551"/>
    <cellStyle name="Calculation 2 3 2 5 2 3 4" xfId="16056"/>
    <cellStyle name="Calculation 2 3 2 5 2 4" xfId="9393"/>
    <cellStyle name="Calculation 2 3 2 5 2 4 2" xfId="28365"/>
    <cellStyle name="Calculation 2 3 2 5 2 4 3" xfId="39210"/>
    <cellStyle name="Calculation 2 3 2 5 2 4 4" xfId="17960"/>
    <cellStyle name="Calculation 2 3 2 5 2 5" xfId="20189"/>
    <cellStyle name="Calculation 2 3 2 5 2 6" xfId="31034"/>
    <cellStyle name="Calculation 2 3 2 5 2 7" xfId="12106"/>
    <cellStyle name="Calculation 2 3 2 5 3" xfId="1606"/>
    <cellStyle name="Calculation 2 3 2 5 3 2" xfId="4459"/>
    <cellStyle name="Calculation 2 3 2 5 3 2 2" xfId="23431"/>
    <cellStyle name="Calculation 2 3 2 5 3 2 3" xfId="34276"/>
    <cellStyle name="Calculation 2 3 2 5 3 2 4" xfId="14428"/>
    <cellStyle name="Calculation 2 3 2 5 3 3" xfId="7131"/>
    <cellStyle name="Calculation 2 3 2 5 3 3 2" xfId="26103"/>
    <cellStyle name="Calculation 2 3 2 5 3 3 3" xfId="36948"/>
    <cellStyle name="Calculation 2 3 2 5 3 3 4" xfId="16342"/>
    <cellStyle name="Calculation 2 3 2 5 3 4" xfId="9790"/>
    <cellStyle name="Calculation 2 3 2 5 3 4 2" xfId="28762"/>
    <cellStyle name="Calculation 2 3 2 5 3 4 3" xfId="39607"/>
    <cellStyle name="Calculation 2 3 2 5 3 4 4" xfId="18246"/>
    <cellStyle name="Calculation 2 3 2 5 3 5" xfId="20586"/>
    <cellStyle name="Calculation 2 3 2 5 3 6" xfId="31431"/>
    <cellStyle name="Calculation 2 3 2 5 3 7" xfId="12392"/>
    <cellStyle name="Calculation 2 3 2 5 4" xfId="2008"/>
    <cellStyle name="Calculation 2 3 2 5 4 2" xfId="4861"/>
    <cellStyle name="Calculation 2 3 2 5 4 2 2" xfId="23833"/>
    <cellStyle name="Calculation 2 3 2 5 4 2 3" xfId="34678"/>
    <cellStyle name="Calculation 2 3 2 5 4 2 4" xfId="14714"/>
    <cellStyle name="Calculation 2 3 2 5 4 3" xfId="7533"/>
    <cellStyle name="Calculation 2 3 2 5 4 3 2" xfId="26505"/>
    <cellStyle name="Calculation 2 3 2 5 4 3 3" xfId="37350"/>
    <cellStyle name="Calculation 2 3 2 5 4 3 4" xfId="16628"/>
    <cellStyle name="Calculation 2 3 2 5 4 4" xfId="10192"/>
    <cellStyle name="Calculation 2 3 2 5 4 4 2" xfId="29164"/>
    <cellStyle name="Calculation 2 3 2 5 4 4 3" xfId="40009"/>
    <cellStyle name="Calculation 2 3 2 5 4 4 4" xfId="18532"/>
    <cellStyle name="Calculation 2 3 2 5 4 5" xfId="20988"/>
    <cellStyle name="Calculation 2 3 2 5 4 6" xfId="31833"/>
    <cellStyle name="Calculation 2 3 2 5 4 7" xfId="12678"/>
    <cellStyle name="Calculation 2 3 2 5 5" xfId="2400"/>
    <cellStyle name="Calculation 2 3 2 5 5 2" xfId="5253"/>
    <cellStyle name="Calculation 2 3 2 5 5 2 2" xfId="24225"/>
    <cellStyle name="Calculation 2 3 2 5 5 2 3" xfId="35070"/>
    <cellStyle name="Calculation 2 3 2 5 5 2 4" xfId="14995"/>
    <cellStyle name="Calculation 2 3 2 5 5 3" xfId="7924"/>
    <cellStyle name="Calculation 2 3 2 5 5 3 2" xfId="26896"/>
    <cellStyle name="Calculation 2 3 2 5 5 3 3" xfId="37741"/>
    <cellStyle name="Calculation 2 3 2 5 5 3 4" xfId="16908"/>
    <cellStyle name="Calculation 2 3 2 5 5 4" xfId="10583"/>
    <cellStyle name="Calculation 2 3 2 5 5 4 2" xfId="29555"/>
    <cellStyle name="Calculation 2 3 2 5 5 4 3" xfId="40400"/>
    <cellStyle name="Calculation 2 3 2 5 5 4 4" xfId="18812"/>
    <cellStyle name="Calculation 2 3 2 5 5 5" xfId="21379"/>
    <cellStyle name="Calculation 2 3 2 5 5 6" xfId="32224"/>
    <cellStyle name="Calculation 2 3 2 5 5 7" xfId="12958"/>
    <cellStyle name="Calculation 2 3 2 5 6" xfId="2789"/>
    <cellStyle name="Calculation 2 3 2 5 6 2" xfId="5641"/>
    <cellStyle name="Calculation 2 3 2 5 6 2 2" xfId="24613"/>
    <cellStyle name="Calculation 2 3 2 5 6 2 3" xfId="35458"/>
    <cellStyle name="Calculation 2 3 2 5 6 2 4" xfId="15273"/>
    <cellStyle name="Calculation 2 3 2 5 6 3" xfId="8312"/>
    <cellStyle name="Calculation 2 3 2 5 6 3 2" xfId="27284"/>
    <cellStyle name="Calculation 2 3 2 5 6 3 3" xfId="38129"/>
    <cellStyle name="Calculation 2 3 2 5 6 3 4" xfId="17186"/>
    <cellStyle name="Calculation 2 3 2 5 6 4" xfId="10971"/>
    <cellStyle name="Calculation 2 3 2 5 6 4 2" xfId="29943"/>
    <cellStyle name="Calculation 2 3 2 5 6 4 3" xfId="40788"/>
    <cellStyle name="Calculation 2 3 2 5 6 4 4" xfId="19090"/>
    <cellStyle name="Calculation 2 3 2 5 6 5" xfId="21767"/>
    <cellStyle name="Calculation 2 3 2 5 6 6" xfId="32612"/>
    <cellStyle name="Calculation 2 3 2 5 6 7" xfId="13236"/>
    <cellStyle name="Calculation 2 3 2 5 7" xfId="3480"/>
    <cellStyle name="Calculation 2 3 2 5 7 2" xfId="22452"/>
    <cellStyle name="Calculation 2 3 2 5 7 3" xfId="33297"/>
    <cellStyle name="Calculation 2 3 2 5 7 4" xfId="13718"/>
    <cellStyle name="Calculation 2 3 2 5 8" xfId="6156"/>
    <cellStyle name="Calculation 2 3 2 5 8 2" xfId="25128"/>
    <cellStyle name="Calculation 2 3 2 5 8 3" xfId="35973"/>
    <cellStyle name="Calculation 2 3 2 5 8 4" xfId="15635"/>
    <cellStyle name="Calculation 2 3 2 5 9" xfId="8815"/>
    <cellStyle name="Calculation 2 3 2 5 9 2" xfId="27787"/>
    <cellStyle name="Calculation 2 3 2 5 9 3" xfId="38632"/>
    <cellStyle name="Calculation 2 3 2 5 9 4" xfId="17539"/>
    <cellStyle name="Calculation 2 3 2 6" xfId="1056"/>
    <cellStyle name="Calculation 2 3 2 6 2" xfId="3909"/>
    <cellStyle name="Calculation 2 3 2 6 2 2" xfId="22881"/>
    <cellStyle name="Calculation 2 3 2 6 2 3" xfId="33726"/>
    <cellStyle name="Calculation 2 3 2 6 2 4" xfId="14022"/>
    <cellStyle name="Calculation 2 3 2 6 3" xfId="6583"/>
    <cellStyle name="Calculation 2 3 2 6 3 2" xfId="25555"/>
    <cellStyle name="Calculation 2 3 2 6 3 3" xfId="36400"/>
    <cellStyle name="Calculation 2 3 2 6 3 4" xfId="15938"/>
    <cellStyle name="Calculation 2 3 2 6 4" xfId="9242"/>
    <cellStyle name="Calculation 2 3 2 6 4 2" xfId="28214"/>
    <cellStyle name="Calculation 2 3 2 6 4 3" xfId="39059"/>
    <cellStyle name="Calculation 2 3 2 6 4 4" xfId="17842"/>
    <cellStyle name="Calculation 2 3 2 6 5" xfId="20038"/>
    <cellStyle name="Calculation 2 3 2 6 6" xfId="30883"/>
    <cellStyle name="Calculation 2 3 2 6 7" xfId="11988"/>
    <cellStyle name="Calculation 2 3 2 7" xfId="1005"/>
    <cellStyle name="Calculation 2 3 2 7 2" xfId="3858"/>
    <cellStyle name="Calculation 2 3 2 7 2 2" xfId="22830"/>
    <cellStyle name="Calculation 2 3 2 7 2 3" xfId="33675"/>
    <cellStyle name="Calculation 2 3 2 7 2 4" xfId="13986"/>
    <cellStyle name="Calculation 2 3 2 7 3" xfId="6532"/>
    <cellStyle name="Calculation 2 3 2 7 3 2" xfId="25504"/>
    <cellStyle name="Calculation 2 3 2 7 3 3" xfId="36349"/>
    <cellStyle name="Calculation 2 3 2 7 3 4" xfId="15902"/>
    <cellStyle name="Calculation 2 3 2 7 4" xfId="9191"/>
    <cellStyle name="Calculation 2 3 2 7 4 2" xfId="28163"/>
    <cellStyle name="Calculation 2 3 2 7 4 3" xfId="39008"/>
    <cellStyle name="Calculation 2 3 2 7 4 4" xfId="17806"/>
    <cellStyle name="Calculation 2 3 2 7 5" xfId="19987"/>
    <cellStyle name="Calculation 2 3 2 7 6" xfId="30832"/>
    <cellStyle name="Calculation 2 3 2 7 7" xfId="11952"/>
    <cellStyle name="Calculation 2 3 2 8" xfId="971"/>
    <cellStyle name="Calculation 2 3 2 8 2" xfId="3824"/>
    <cellStyle name="Calculation 2 3 2 8 2 2" xfId="22796"/>
    <cellStyle name="Calculation 2 3 2 8 2 3" xfId="33641"/>
    <cellStyle name="Calculation 2 3 2 8 2 4" xfId="13962"/>
    <cellStyle name="Calculation 2 3 2 8 3" xfId="6499"/>
    <cellStyle name="Calculation 2 3 2 8 3 2" xfId="25471"/>
    <cellStyle name="Calculation 2 3 2 8 3 3" xfId="36316"/>
    <cellStyle name="Calculation 2 3 2 8 3 4" xfId="15878"/>
    <cellStyle name="Calculation 2 3 2 8 4" xfId="9158"/>
    <cellStyle name="Calculation 2 3 2 8 4 2" xfId="28130"/>
    <cellStyle name="Calculation 2 3 2 8 4 3" xfId="38975"/>
    <cellStyle name="Calculation 2 3 2 8 4 4" xfId="17782"/>
    <cellStyle name="Calculation 2 3 2 8 5" xfId="19954"/>
    <cellStyle name="Calculation 2 3 2 8 6" xfId="30799"/>
    <cellStyle name="Calculation 2 3 2 8 7" xfId="11928"/>
    <cellStyle name="Calculation 2 3 2 9" xfId="954"/>
    <cellStyle name="Calculation 2 3 2 9 2" xfId="3807"/>
    <cellStyle name="Calculation 2 3 2 9 2 2" xfId="22779"/>
    <cellStyle name="Calculation 2 3 2 9 2 3" xfId="33624"/>
    <cellStyle name="Calculation 2 3 2 9 2 4" xfId="13950"/>
    <cellStyle name="Calculation 2 3 2 9 3" xfId="6482"/>
    <cellStyle name="Calculation 2 3 2 9 3 2" xfId="25454"/>
    <cellStyle name="Calculation 2 3 2 9 3 3" xfId="36299"/>
    <cellStyle name="Calculation 2 3 2 9 3 4" xfId="15866"/>
    <cellStyle name="Calculation 2 3 2 9 4" xfId="9141"/>
    <cellStyle name="Calculation 2 3 2 9 4 2" xfId="28113"/>
    <cellStyle name="Calculation 2 3 2 9 4 3" xfId="38958"/>
    <cellStyle name="Calculation 2 3 2 9 4 4" xfId="17770"/>
    <cellStyle name="Calculation 2 3 2 9 5" xfId="19937"/>
    <cellStyle name="Calculation 2 3 2 9 6" xfId="30782"/>
    <cellStyle name="Calculation 2 3 2 9 7" xfId="11916"/>
    <cellStyle name="Calculation 2 3 3" xfId="538"/>
    <cellStyle name="Calculation 2 3 3 10" xfId="19548"/>
    <cellStyle name="Calculation 2 3 3 11" xfId="30393"/>
    <cellStyle name="Calculation 2 3 3 12" xfId="11612"/>
    <cellStyle name="Calculation 2 3 3 2" xfId="1144"/>
    <cellStyle name="Calculation 2 3 3 2 2" xfId="3997"/>
    <cellStyle name="Calculation 2 3 3 2 2 2" xfId="22969"/>
    <cellStyle name="Calculation 2 3 3 2 2 3" xfId="33814"/>
    <cellStyle name="Calculation 2 3 3 2 2 4" xfId="14089"/>
    <cellStyle name="Calculation 2 3 3 2 3" xfId="6670"/>
    <cellStyle name="Calculation 2 3 3 2 3 2" xfId="25642"/>
    <cellStyle name="Calculation 2 3 3 2 3 3" xfId="36487"/>
    <cellStyle name="Calculation 2 3 3 2 3 4" xfId="16004"/>
    <cellStyle name="Calculation 2 3 3 2 4" xfId="9329"/>
    <cellStyle name="Calculation 2 3 3 2 4 2" xfId="28301"/>
    <cellStyle name="Calculation 2 3 3 2 4 3" xfId="39146"/>
    <cellStyle name="Calculation 2 3 3 2 4 4" xfId="17908"/>
    <cellStyle name="Calculation 2 3 3 2 5" xfId="20125"/>
    <cellStyle name="Calculation 2 3 3 2 6" xfId="30970"/>
    <cellStyle name="Calculation 2 3 3 2 7" xfId="12054"/>
    <cellStyle name="Calculation 2 3 3 3" xfId="1541"/>
    <cellStyle name="Calculation 2 3 3 3 2" xfId="4394"/>
    <cellStyle name="Calculation 2 3 3 3 2 2" xfId="23366"/>
    <cellStyle name="Calculation 2 3 3 3 2 3" xfId="34211"/>
    <cellStyle name="Calculation 2 3 3 3 2 4" xfId="14375"/>
    <cellStyle name="Calculation 2 3 3 3 3" xfId="7066"/>
    <cellStyle name="Calculation 2 3 3 3 3 2" xfId="26038"/>
    <cellStyle name="Calculation 2 3 3 3 3 3" xfId="36883"/>
    <cellStyle name="Calculation 2 3 3 3 3 4" xfId="16289"/>
    <cellStyle name="Calculation 2 3 3 3 4" xfId="9725"/>
    <cellStyle name="Calculation 2 3 3 3 4 2" xfId="28697"/>
    <cellStyle name="Calculation 2 3 3 3 4 3" xfId="39542"/>
    <cellStyle name="Calculation 2 3 3 3 4 4" xfId="18193"/>
    <cellStyle name="Calculation 2 3 3 3 5" xfId="20521"/>
    <cellStyle name="Calculation 2 3 3 3 6" xfId="31366"/>
    <cellStyle name="Calculation 2 3 3 3 7" xfId="12339"/>
    <cellStyle name="Calculation 2 3 3 4" xfId="1945"/>
    <cellStyle name="Calculation 2 3 3 4 2" xfId="4798"/>
    <cellStyle name="Calculation 2 3 3 4 2 2" xfId="23770"/>
    <cellStyle name="Calculation 2 3 3 4 2 3" xfId="34615"/>
    <cellStyle name="Calculation 2 3 3 4 2 4" xfId="14663"/>
    <cellStyle name="Calculation 2 3 3 4 3" xfId="7470"/>
    <cellStyle name="Calculation 2 3 3 4 3 2" xfId="26442"/>
    <cellStyle name="Calculation 2 3 3 4 3 3" xfId="37287"/>
    <cellStyle name="Calculation 2 3 3 4 3 4" xfId="16577"/>
    <cellStyle name="Calculation 2 3 3 4 4" xfId="10129"/>
    <cellStyle name="Calculation 2 3 3 4 4 2" xfId="29101"/>
    <cellStyle name="Calculation 2 3 3 4 4 3" xfId="39946"/>
    <cellStyle name="Calculation 2 3 3 4 4 4" xfId="18481"/>
    <cellStyle name="Calculation 2 3 3 4 5" xfId="20925"/>
    <cellStyle name="Calculation 2 3 3 4 6" xfId="31770"/>
    <cellStyle name="Calculation 2 3 3 4 7" xfId="12627"/>
    <cellStyle name="Calculation 2 3 3 5" xfId="2337"/>
    <cellStyle name="Calculation 2 3 3 5 2" xfId="5190"/>
    <cellStyle name="Calculation 2 3 3 5 2 2" xfId="24162"/>
    <cellStyle name="Calculation 2 3 3 5 2 3" xfId="35007"/>
    <cellStyle name="Calculation 2 3 3 5 2 4" xfId="14944"/>
    <cellStyle name="Calculation 2 3 3 5 3" xfId="7861"/>
    <cellStyle name="Calculation 2 3 3 5 3 2" xfId="26833"/>
    <cellStyle name="Calculation 2 3 3 5 3 3" xfId="37678"/>
    <cellStyle name="Calculation 2 3 3 5 3 4" xfId="16857"/>
    <cellStyle name="Calculation 2 3 3 5 4" xfId="10520"/>
    <cellStyle name="Calculation 2 3 3 5 4 2" xfId="29492"/>
    <cellStyle name="Calculation 2 3 3 5 4 3" xfId="40337"/>
    <cellStyle name="Calculation 2 3 3 5 4 4" xfId="18761"/>
    <cellStyle name="Calculation 2 3 3 5 5" xfId="21316"/>
    <cellStyle name="Calculation 2 3 3 5 6" xfId="32161"/>
    <cellStyle name="Calculation 2 3 3 5 7" xfId="12907"/>
    <cellStyle name="Calculation 2 3 3 6" xfId="2726"/>
    <cellStyle name="Calculation 2 3 3 6 2" xfId="5578"/>
    <cellStyle name="Calculation 2 3 3 6 2 2" xfId="24550"/>
    <cellStyle name="Calculation 2 3 3 6 2 3" xfId="35395"/>
    <cellStyle name="Calculation 2 3 3 6 2 4" xfId="15222"/>
    <cellStyle name="Calculation 2 3 3 6 3" xfId="8249"/>
    <cellStyle name="Calculation 2 3 3 6 3 2" xfId="27221"/>
    <cellStyle name="Calculation 2 3 3 6 3 3" xfId="38066"/>
    <cellStyle name="Calculation 2 3 3 6 3 4" xfId="17135"/>
    <cellStyle name="Calculation 2 3 3 6 4" xfId="10908"/>
    <cellStyle name="Calculation 2 3 3 6 4 2" xfId="29880"/>
    <cellStyle name="Calculation 2 3 3 6 4 3" xfId="40725"/>
    <cellStyle name="Calculation 2 3 3 6 4 4" xfId="19039"/>
    <cellStyle name="Calculation 2 3 3 6 5" xfId="21704"/>
    <cellStyle name="Calculation 2 3 3 6 6" xfId="32549"/>
    <cellStyle name="Calculation 2 3 3 6 7" xfId="13185"/>
    <cellStyle name="Calculation 2 3 3 7" xfId="3417"/>
    <cellStyle name="Calculation 2 3 3 7 2" xfId="22389"/>
    <cellStyle name="Calculation 2 3 3 7 3" xfId="33234"/>
    <cellStyle name="Calculation 2 3 3 7 4" xfId="13667"/>
    <cellStyle name="Calculation 2 3 3 8" xfId="6093"/>
    <cellStyle name="Calculation 2 3 3 8 2" xfId="25065"/>
    <cellStyle name="Calculation 2 3 3 8 3" xfId="35910"/>
    <cellStyle name="Calculation 2 3 3 8 4" xfId="15584"/>
    <cellStyle name="Calculation 2 3 3 9" xfId="8752"/>
    <cellStyle name="Calculation 2 3 3 9 2" xfId="27724"/>
    <cellStyle name="Calculation 2 3 3 9 3" xfId="38569"/>
    <cellStyle name="Calculation 2 3 3 9 4" xfId="17488"/>
    <cellStyle name="Calculation 2 3 4" xfId="11430"/>
    <cellStyle name="Calculation 2 4" xfId="60"/>
    <cellStyle name="Calculation 2 4 2" xfId="351"/>
    <cellStyle name="Calculation 2 4 2 10" xfId="1108"/>
    <cellStyle name="Calculation 2 4 2 10 2" xfId="3961"/>
    <cellStyle name="Calculation 2 4 2 10 2 2" xfId="22933"/>
    <cellStyle name="Calculation 2 4 2 10 2 3" xfId="33778"/>
    <cellStyle name="Calculation 2 4 2 10 2 4" xfId="14064"/>
    <cellStyle name="Calculation 2 4 2 10 3" xfId="6635"/>
    <cellStyle name="Calculation 2 4 2 10 3 2" xfId="25607"/>
    <cellStyle name="Calculation 2 4 2 10 3 3" xfId="36452"/>
    <cellStyle name="Calculation 2 4 2 10 3 4" xfId="15980"/>
    <cellStyle name="Calculation 2 4 2 10 4" xfId="9294"/>
    <cellStyle name="Calculation 2 4 2 10 4 2" xfId="28266"/>
    <cellStyle name="Calculation 2 4 2 10 4 3" xfId="39111"/>
    <cellStyle name="Calculation 2 4 2 10 4 4" xfId="17884"/>
    <cellStyle name="Calculation 2 4 2 10 5" xfId="20090"/>
    <cellStyle name="Calculation 2 4 2 10 6" xfId="30935"/>
    <cellStyle name="Calculation 2 4 2 10 7" xfId="12030"/>
    <cellStyle name="Calculation 2 4 2 11" xfId="1019"/>
    <cellStyle name="Calculation 2 4 2 11 2" xfId="3872"/>
    <cellStyle name="Calculation 2 4 2 11 2 2" xfId="22844"/>
    <cellStyle name="Calculation 2 4 2 11 2 3" xfId="33689"/>
    <cellStyle name="Calculation 2 4 2 11 2 4" xfId="13995"/>
    <cellStyle name="Calculation 2 4 2 11 3" xfId="6546"/>
    <cellStyle name="Calculation 2 4 2 11 3 2" xfId="25518"/>
    <cellStyle name="Calculation 2 4 2 11 3 3" xfId="36363"/>
    <cellStyle name="Calculation 2 4 2 11 3 4" xfId="15911"/>
    <cellStyle name="Calculation 2 4 2 11 4" xfId="9205"/>
    <cellStyle name="Calculation 2 4 2 11 4 2" xfId="28177"/>
    <cellStyle name="Calculation 2 4 2 11 4 3" xfId="39022"/>
    <cellStyle name="Calculation 2 4 2 11 4 4" xfId="17815"/>
    <cellStyle name="Calculation 2 4 2 11 5" xfId="20001"/>
    <cellStyle name="Calculation 2 4 2 11 6" xfId="30846"/>
    <cellStyle name="Calculation 2 4 2 11 7" xfId="11961"/>
    <cellStyle name="Calculation 2 4 2 12" xfId="944"/>
    <cellStyle name="Calculation 2 4 2 12 2" xfId="3797"/>
    <cellStyle name="Calculation 2 4 2 12 2 2" xfId="22769"/>
    <cellStyle name="Calculation 2 4 2 12 2 3" xfId="33614"/>
    <cellStyle name="Calculation 2 4 2 12 2 4" xfId="13942"/>
    <cellStyle name="Calculation 2 4 2 12 3" xfId="6472"/>
    <cellStyle name="Calculation 2 4 2 12 3 2" xfId="25444"/>
    <cellStyle name="Calculation 2 4 2 12 3 3" xfId="36289"/>
    <cellStyle name="Calculation 2 4 2 12 3 4" xfId="15858"/>
    <cellStyle name="Calculation 2 4 2 12 4" xfId="9131"/>
    <cellStyle name="Calculation 2 4 2 12 4 2" xfId="28103"/>
    <cellStyle name="Calculation 2 4 2 12 4 3" xfId="38948"/>
    <cellStyle name="Calculation 2 4 2 12 4 4" xfId="17762"/>
    <cellStyle name="Calculation 2 4 2 12 5" xfId="19927"/>
    <cellStyle name="Calculation 2 4 2 12 6" xfId="30772"/>
    <cellStyle name="Calculation 2 4 2 12 7" xfId="11908"/>
    <cellStyle name="Calculation 2 4 2 13" xfId="961"/>
    <cellStyle name="Calculation 2 4 2 13 2" xfId="3814"/>
    <cellStyle name="Calculation 2 4 2 13 2 2" xfId="22786"/>
    <cellStyle name="Calculation 2 4 2 13 2 3" xfId="33631"/>
    <cellStyle name="Calculation 2 4 2 13 2 4" xfId="13955"/>
    <cellStyle name="Calculation 2 4 2 13 3" xfId="6489"/>
    <cellStyle name="Calculation 2 4 2 13 3 2" xfId="25461"/>
    <cellStyle name="Calculation 2 4 2 13 3 3" xfId="36306"/>
    <cellStyle name="Calculation 2 4 2 13 3 4" xfId="15871"/>
    <cellStyle name="Calculation 2 4 2 13 4" xfId="9148"/>
    <cellStyle name="Calculation 2 4 2 13 4 2" xfId="28120"/>
    <cellStyle name="Calculation 2 4 2 13 4 3" xfId="38965"/>
    <cellStyle name="Calculation 2 4 2 13 4 4" xfId="17775"/>
    <cellStyle name="Calculation 2 4 2 13 5" xfId="19944"/>
    <cellStyle name="Calculation 2 4 2 13 6" xfId="30789"/>
    <cellStyle name="Calculation 2 4 2 13 7" xfId="11921"/>
    <cellStyle name="Calculation 2 4 2 14" xfId="499"/>
    <cellStyle name="Calculation 2 4 2 14 2" xfId="19532"/>
    <cellStyle name="Calculation 2 4 2 14 3" xfId="30377"/>
    <cellStyle name="Calculation 2 4 2 14 4" xfId="11578"/>
    <cellStyle name="Calculation 2 4 2 15" xfId="3303"/>
    <cellStyle name="Calculation 2 4 2 15 2" xfId="22277"/>
    <cellStyle name="Calculation 2 4 2 15 3" xfId="33122"/>
    <cellStyle name="Calculation 2 4 2 15 4" xfId="13589"/>
    <cellStyle name="Calculation 2 4 2 16" xfId="3259"/>
    <cellStyle name="Calculation 2 4 2 16 2" xfId="22234"/>
    <cellStyle name="Calculation 2 4 2 16 3" xfId="33079"/>
    <cellStyle name="Calculation 2 4 2 16 4" xfId="13560"/>
    <cellStyle name="Calculation 2 4 2 17" xfId="19448"/>
    <cellStyle name="Calculation 2 4 2 18" xfId="19406"/>
    <cellStyle name="Calculation 2 4 2 19" xfId="11507"/>
    <cellStyle name="Calculation 2 4 2 2" xfId="659"/>
    <cellStyle name="Calculation 2 4 2 2 10" xfId="19644"/>
    <cellStyle name="Calculation 2 4 2 2 11" xfId="30489"/>
    <cellStyle name="Calculation 2 4 2 2 12" xfId="11711"/>
    <cellStyle name="Calculation 2 4 2 2 2" xfId="1246"/>
    <cellStyle name="Calculation 2 4 2 2 2 2" xfId="4099"/>
    <cellStyle name="Calculation 2 4 2 2 2 2 2" xfId="23071"/>
    <cellStyle name="Calculation 2 4 2 2 2 2 3" xfId="33916"/>
    <cellStyle name="Calculation 2 4 2 2 2 2 4" xfId="14172"/>
    <cellStyle name="Calculation 2 4 2 2 2 3" xfId="6772"/>
    <cellStyle name="Calculation 2 4 2 2 2 3 2" xfId="25744"/>
    <cellStyle name="Calculation 2 4 2 2 2 3 3" xfId="36589"/>
    <cellStyle name="Calculation 2 4 2 2 2 3 4" xfId="16087"/>
    <cellStyle name="Calculation 2 4 2 2 2 4" xfId="9431"/>
    <cellStyle name="Calculation 2 4 2 2 2 4 2" xfId="28403"/>
    <cellStyle name="Calculation 2 4 2 2 2 4 3" xfId="39248"/>
    <cellStyle name="Calculation 2 4 2 2 2 4 4" xfId="17991"/>
    <cellStyle name="Calculation 2 4 2 2 2 5" xfId="20227"/>
    <cellStyle name="Calculation 2 4 2 2 2 6" xfId="31072"/>
    <cellStyle name="Calculation 2 4 2 2 2 7" xfId="12137"/>
    <cellStyle name="Calculation 2 4 2 2 3" xfId="1645"/>
    <cellStyle name="Calculation 2 4 2 2 3 2" xfId="4498"/>
    <cellStyle name="Calculation 2 4 2 2 3 2 2" xfId="23470"/>
    <cellStyle name="Calculation 2 4 2 2 3 2 3" xfId="34315"/>
    <cellStyle name="Calculation 2 4 2 2 3 2 4" xfId="14459"/>
    <cellStyle name="Calculation 2 4 2 2 3 3" xfId="7170"/>
    <cellStyle name="Calculation 2 4 2 2 3 3 2" xfId="26142"/>
    <cellStyle name="Calculation 2 4 2 2 3 3 3" xfId="36987"/>
    <cellStyle name="Calculation 2 4 2 2 3 3 4" xfId="16373"/>
    <cellStyle name="Calculation 2 4 2 2 3 4" xfId="9829"/>
    <cellStyle name="Calculation 2 4 2 2 3 4 2" xfId="28801"/>
    <cellStyle name="Calculation 2 4 2 2 3 4 3" xfId="39646"/>
    <cellStyle name="Calculation 2 4 2 2 3 4 4" xfId="18277"/>
    <cellStyle name="Calculation 2 4 2 2 3 5" xfId="20625"/>
    <cellStyle name="Calculation 2 4 2 2 3 6" xfId="31470"/>
    <cellStyle name="Calculation 2 4 2 2 3 7" xfId="12423"/>
    <cellStyle name="Calculation 2 4 2 2 4" xfId="2049"/>
    <cellStyle name="Calculation 2 4 2 2 4 2" xfId="4902"/>
    <cellStyle name="Calculation 2 4 2 2 4 2 2" xfId="23874"/>
    <cellStyle name="Calculation 2 4 2 2 4 2 3" xfId="34719"/>
    <cellStyle name="Calculation 2 4 2 2 4 2 4" xfId="14746"/>
    <cellStyle name="Calculation 2 4 2 2 4 3" xfId="7573"/>
    <cellStyle name="Calculation 2 4 2 2 4 3 2" xfId="26545"/>
    <cellStyle name="Calculation 2 4 2 2 4 3 3" xfId="37390"/>
    <cellStyle name="Calculation 2 4 2 2 4 3 4" xfId="16659"/>
    <cellStyle name="Calculation 2 4 2 2 4 4" xfId="10232"/>
    <cellStyle name="Calculation 2 4 2 2 4 4 2" xfId="29204"/>
    <cellStyle name="Calculation 2 4 2 2 4 4 3" xfId="40049"/>
    <cellStyle name="Calculation 2 4 2 2 4 4 4" xfId="18563"/>
    <cellStyle name="Calculation 2 4 2 2 4 5" xfId="21028"/>
    <cellStyle name="Calculation 2 4 2 2 4 6" xfId="31873"/>
    <cellStyle name="Calculation 2 4 2 2 4 7" xfId="12709"/>
    <cellStyle name="Calculation 2 4 2 2 5" xfId="2439"/>
    <cellStyle name="Calculation 2 4 2 2 5 2" xfId="5291"/>
    <cellStyle name="Calculation 2 4 2 2 5 2 2" xfId="24263"/>
    <cellStyle name="Calculation 2 4 2 2 5 2 3" xfId="35108"/>
    <cellStyle name="Calculation 2 4 2 2 5 2 4" xfId="15025"/>
    <cellStyle name="Calculation 2 4 2 2 5 3" xfId="7962"/>
    <cellStyle name="Calculation 2 4 2 2 5 3 2" xfId="26934"/>
    <cellStyle name="Calculation 2 4 2 2 5 3 3" xfId="37779"/>
    <cellStyle name="Calculation 2 4 2 2 5 3 4" xfId="16938"/>
    <cellStyle name="Calculation 2 4 2 2 5 4" xfId="10621"/>
    <cellStyle name="Calculation 2 4 2 2 5 4 2" xfId="29593"/>
    <cellStyle name="Calculation 2 4 2 2 5 4 3" xfId="40438"/>
    <cellStyle name="Calculation 2 4 2 2 5 4 4" xfId="18842"/>
    <cellStyle name="Calculation 2 4 2 2 5 5" xfId="21417"/>
    <cellStyle name="Calculation 2 4 2 2 5 6" xfId="32262"/>
    <cellStyle name="Calculation 2 4 2 2 5 7" xfId="12988"/>
    <cellStyle name="Calculation 2 4 2 2 6" xfId="2825"/>
    <cellStyle name="Calculation 2 4 2 2 6 2" xfId="5676"/>
    <cellStyle name="Calculation 2 4 2 2 6 2 2" xfId="24648"/>
    <cellStyle name="Calculation 2 4 2 2 6 2 3" xfId="35493"/>
    <cellStyle name="Calculation 2 4 2 2 6 2 4" xfId="15301"/>
    <cellStyle name="Calculation 2 4 2 2 6 3" xfId="8347"/>
    <cellStyle name="Calculation 2 4 2 2 6 3 2" xfId="27319"/>
    <cellStyle name="Calculation 2 4 2 2 6 3 3" xfId="38164"/>
    <cellStyle name="Calculation 2 4 2 2 6 3 4" xfId="17214"/>
    <cellStyle name="Calculation 2 4 2 2 6 4" xfId="11006"/>
    <cellStyle name="Calculation 2 4 2 2 6 4 2" xfId="29978"/>
    <cellStyle name="Calculation 2 4 2 2 6 4 3" xfId="40823"/>
    <cellStyle name="Calculation 2 4 2 2 6 4 4" xfId="19118"/>
    <cellStyle name="Calculation 2 4 2 2 6 5" xfId="21802"/>
    <cellStyle name="Calculation 2 4 2 2 6 6" xfId="32647"/>
    <cellStyle name="Calculation 2 4 2 2 6 7" xfId="13264"/>
    <cellStyle name="Calculation 2 4 2 2 7" xfId="3514"/>
    <cellStyle name="Calculation 2 4 2 2 7 2" xfId="22486"/>
    <cellStyle name="Calculation 2 4 2 2 7 3" xfId="33331"/>
    <cellStyle name="Calculation 2 4 2 2 7 4" xfId="13745"/>
    <cellStyle name="Calculation 2 4 2 2 8" xfId="6189"/>
    <cellStyle name="Calculation 2 4 2 2 8 2" xfId="25161"/>
    <cellStyle name="Calculation 2 4 2 2 8 3" xfId="36006"/>
    <cellStyle name="Calculation 2 4 2 2 8 4" xfId="15661"/>
    <cellStyle name="Calculation 2 4 2 2 9" xfId="8848"/>
    <cellStyle name="Calculation 2 4 2 2 9 2" xfId="27820"/>
    <cellStyle name="Calculation 2 4 2 2 9 3" xfId="38665"/>
    <cellStyle name="Calculation 2 4 2 2 9 4" xfId="17565"/>
    <cellStyle name="Calculation 2 4 2 3" xfId="603"/>
    <cellStyle name="Calculation 2 4 2 3 10" xfId="19610"/>
    <cellStyle name="Calculation 2 4 2 3 11" xfId="30455"/>
    <cellStyle name="Calculation 2 4 2 3 12" xfId="11665"/>
    <cellStyle name="Calculation 2 4 2 3 2" xfId="1207"/>
    <cellStyle name="Calculation 2 4 2 3 2 2" xfId="4060"/>
    <cellStyle name="Calculation 2 4 2 3 2 2 2" xfId="23032"/>
    <cellStyle name="Calculation 2 4 2 3 2 2 3" xfId="33877"/>
    <cellStyle name="Calculation 2 4 2 3 2 2 4" xfId="14140"/>
    <cellStyle name="Calculation 2 4 2 3 2 3" xfId="6733"/>
    <cellStyle name="Calculation 2 4 2 3 2 3 2" xfId="25705"/>
    <cellStyle name="Calculation 2 4 2 3 2 3 3" xfId="36550"/>
    <cellStyle name="Calculation 2 4 2 3 2 3 4" xfId="16055"/>
    <cellStyle name="Calculation 2 4 2 3 2 4" xfId="9392"/>
    <cellStyle name="Calculation 2 4 2 3 2 4 2" xfId="28364"/>
    <cellStyle name="Calculation 2 4 2 3 2 4 3" xfId="39209"/>
    <cellStyle name="Calculation 2 4 2 3 2 4 4" xfId="17959"/>
    <cellStyle name="Calculation 2 4 2 3 2 5" xfId="20188"/>
    <cellStyle name="Calculation 2 4 2 3 2 6" xfId="31033"/>
    <cellStyle name="Calculation 2 4 2 3 2 7" xfId="12105"/>
    <cellStyle name="Calculation 2 4 2 3 3" xfId="1605"/>
    <cellStyle name="Calculation 2 4 2 3 3 2" xfId="4458"/>
    <cellStyle name="Calculation 2 4 2 3 3 2 2" xfId="23430"/>
    <cellStyle name="Calculation 2 4 2 3 3 2 3" xfId="34275"/>
    <cellStyle name="Calculation 2 4 2 3 3 2 4" xfId="14427"/>
    <cellStyle name="Calculation 2 4 2 3 3 3" xfId="7130"/>
    <cellStyle name="Calculation 2 4 2 3 3 3 2" xfId="26102"/>
    <cellStyle name="Calculation 2 4 2 3 3 3 3" xfId="36947"/>
    <cellStyle name="Calculation 2 4 2 3 3 3 4" xfId="16341"/>
    <cellStyle name="Calculation 2 4 2 3 3 4" xfId="9789"/>
    <cellStyle name="Calculation 2 4 2 3 3 4 2" xfId="28761"/>
    <cellStyle name="Calculation 2 4 2 3 3 4 3" xfId="39606"/>
    <cellStyle name="Calculation 2 4 2 3 3 4 4" xfId="18245"/>
    <cellStyle name="Calculation 2 4 2 3 3 5" xfId="20585"/>
    <cellStyle name="Calculation 2 4 2 3 3 6" xfId="31430"/>
    <cellStyle name="Calculation 2 4 2 3 3 7" xfId="12391"/>
    <cellStyle name="Calculation 2 4 2 3 4" xfId="2007"/>
    <cellStyle name="Calculation 2 4 2 3 4 2" xfId="4860"/>
    <cellStyle name="Calculation 2 4 2 3 4 2 2" xfId="23832"/>
    <cellStyle name="Calculation 2 4 2 3 4 2 3" xfId="34677"/>
    <cellStyle name="Calculation 2 4 2 3 4 2 4" xfId="14713"/>
    <cellStyle name="Calculation 2 4 2 3 4 3" xfId="7532"/>
    <cellStyle name="Calculation 2 4 2 3 4 3 2" xfId="26504"/>
    <cellStyle name="Calculation 2 4 2 3 4 3 3" xfId="37349"/>
    <cellStyle name="Calculation 2 4 2 3 4 3 4" xfId="16627"/>
    <cellStyle name="Calculation 2 4 2 3 4 4" xfId="10191"/>
    <cellStyle name="Calculation 2 4 2 3 4 4 2" xfId="29163"/>
    <cellStyle name="Calculation 2 4 2 3 4 4 3" xfId="40008"/>
    <cellStyle name="Calculation 2 4 2 3 4 4 4" xfId="18531"/>
    <cellStyle name="Calculation 2 4 2 3 4 5" xfId="20987"/>
    <cellStyle name="Calculation 2 4 2 3 4 6" xfId="31832"/>
    <cellStyle name="Calculation 2 4 2 3 4 7" xfId="12677"/>
    <cellStyle name="Calculation 2 4 2 3 5" xfId="2399"/>
    <cellStyle name="Calculation 2 4 2 3 5 2" xfId="5252"/>
    <cellStyle name="Calculation 2 4 2 3 5 2 2" xfId="24224"/>
    <cellStyle name="Calculation 2 4 2 3 5 2 3" xfId="35069"/>
    <cellStyle name="Calculation 2 4 2 3 5 2 4" xfId="14994"/>
    <cellStyle name="Calculation 2 4 2 3 5 3" xfId="7923"/>
    <cellStyle name="Calculation 2 4 2 3 5 3 2" xfId="26895"/>
    <cellStyle name="Calculation 2 4 2 3 5 3 3" xfId="37740"/>
    <cellStyle name="Calculation 2 4 2 3 5 3 4" xfId="16907"/>
    <cellStyle name="Calculation 2 4 2 3 5 4" xfId="10582"/>
    <cellStyle name="Calculation 2 4 2 3 5 4 2" xfId="29554"/>
    <cellStyle name="Calculation 2 4 2 3 5 4 3" xfId="40399"/>
    <cellStyle name="Calculation 2 4 2 3 5 4 4" xfId="18811"/>
    <cellStyle name="Calculation 2 4 2 3 5 5" xfId="21378"/>
    <cellStyle name="Calculation 2 4 2 3 5 6" xfId="32223"/>
    <cellStyle name="Calculation 2 4 2 3 5 7" xfId="12957"/>
    <cellStyle name="Calculation 2 4 2 3 6" xfId="2788"/>
    <cellStyle name="Calculation 2 4 2 3 6 2" xfId="5640"/>
    <cellStyle name="Calculation 2 4 2 3 6 2 2" xfId="24612"/>
    <cellStyle name="Calculation 2 4 2 3 6 2 3" xfId="35457"/>
    <cellStyle name="Calculation 2 4 2 3 6 2 4" xfId="15272"/>
    <cellStyle name="Calculation 2 4 2 3 6 3" xfId="8311"/>
    <cellStyle name="Calculation 2 4 2 3 6 3 2" xfId="27283"/>
    <cellStyle name="Calculation 2 4 2 3 6 3 3" xfId="38128"/>
    <cellStyle name="Calculation 2 4 2 3 6 3 4" xfId="17185"/>
    <cellStyle name="Calculation 2 4 2 3 6 4" xfId="10970"/>
    <cellStyle name="Calculation 2 4 2 3 6 4 2" xfId="29942"/>
    <cellStyle name="Calculation 2 4 2 3 6 4 3" xfId="40787"/>
    <cellStyle name="Calculation 2 4 2 3 6 4 4" xfId="19089"/>
    <cellStyle name="Calculation 2 4 2 3 6 5" xfId="21766"/>
    <cellStyle name="Calculation 2 4 2 3 6 6" xfId="32611"/>
    <cellStyle name="Calculation 2 4 2 3 6 7" xfId="13235"/>
    <cellStyle name="Calculation 2 4 2 3 7" xfId="3479"/>
    <cellStyle name="Calculation 2 4 2 3 7 2" xfId="22451"/>
    <cellStyle name="Calculation 2 4 2 3 7 3" xfId="33296"/>
    <cellStyle name="Calculation 2 4 2 3 7 4" xfId="13717"/>
    <cellStyle name="Calculation 2 4 2 3 8" xfId="6155"/>
    <cellStyle name="Calculation 2 4 2 3 8 2" xfId="25127"/>
    <cellStyle name="Calculation 2 4 2 3 8 3" xfId="35972"/>
    <cellStyle name="Calculation 2 4 2 3 8 4" xfId="15634"/>
    <cellStyle name="Calculation 2 4 2 3 9" xfId="8814"/>
    <cellStyle name="Calculation 2 4 2 3 9 2" xfId="27786"/>
    <cellStyle name="Calculation 2 4 2 3 9 3" xfId="38631"/>
    <cellStyle name="Calculation 2 4 2 3 9 4" xfId="17538"/>
    <cellStyle name="Calculation 2 4 2 4" xfId="633"/>
    <cellStyle name="Calculation 2 4 2 4 10" xfId="19631"/>
    <cellStyle name="Calculation 2 4 2 4 11" xfId="30476"/>
    <cellStyle name="Calculation 2 4 2 4 12" xfId="11687"/>
    <cellStyle name="Calculation 2 4 2 4 2" xfId="1230"/>
    <cellStyle name="Calculation 2 4 2 4 2 2" xfId="4083"/>
    <cellStyle name="Calculation 2 4 2 4 2 2 2" xfId="23055"/>
    <cellStyle name="Calculation 2 4 2 4 2 2 3" xfId="33900"/>
    <cellStyle name="Calculation 2 4 2 4 2 2 4" xfId="14156"/>
    <cellStyle name="Calculation 2 4 2 4 2 3" xfId="6756"/>
    <cellStyle name="Calculation 2 4 2 4 2 3 2" xfId="25728"/>
    <cellStyle name="Calculation 2 4 2 4 2 3 3" xfId="36573"/>
    <cellStyle name="Calculation 2 4 2 4 2 3 4" xfId="16071"/>
    <cellStyle name="Calculation 2 4 2 4 2 4" xfId="9415"/>
    <cellStyle name="Calculation 2 4 2 4 2 4 2" xfId="28387"/>
    <cellStyle name="Calculation 2 4 2 4 2 4 3" xfId="39232"/>
    <cellStyle name="Calculation 2 4 2 4 2 4 4" xfId="17975"/>
    <cellStyle name="Calculation 2 4 2 4 2 5" xfId="20211"/>
    <cellStyle name="Calculation 2 4 2 4 2 6" xfId="31056"/>
    <cellStyle name="Calculation 2 4 2 4 2 7" xfId="12121"/>
    <cellStyle name="Calculation 2 4 2 4 3" xfId="1628"/>
    <cellStyle name="Calculation 2 4 2 4 3 2" xfId="4481"/>
    <cellStyle name="Calculation 2 4 2 4 3 2 2" xfId="23453"/>
    <cellStyle name="Calculation 2 4 2 4 3 2 3" xfId="34298"/>
    <cellStyle name="Calculation 2 4 2 4 3 2 4" xfId="14443"/>
    <cellStyle name="Calculation 2 4 2 4 3 3" xfId="7153"/>
    <cellStyle name="Calculation 2 4 2 4 3 3 2" xfId="26125"/>
    <cellStyle name="Calculation 2 4 2 4 3 3 3" xfId="36970"/>
    <cellStyle name="Calculation 2 4 2 4 3 3 4" xfId="16357"/>
    <cellStyle name="Calculation 2 4 2 4 3 4" xfId="9812"/>
    <cellStyle name="Calculation 2 4 2 4 3 4 2" xfId="28784"/>
    <cellStyle name="Calculation 2 4 2 4 3 4 3" xfId="39629"/>
    <cellStyle name="Calculation 2 4 2 4 3 4 4" xfId="18261"/>
    <cellStyle name="Calculation 2 4 2 4 3 5" xfId="20608"/>
    <cellStyle name="Calculation 2 4 2 4 3 6" xfId="31453"/>
    <cellStyle name="Calculation 2 4 2 4 3 7" xfId="12407"/>
    <cellStyle name="Calculation 2 4 2 4 4" xfId="2032"/>
    <cellStyle name="Calculation 2 4 2 4 4 2" xfId="4885"/>
    <cellStyle name="Calculation 2 4 2 4 4 2 2" xfId="23857"/>
    <cellStyle name="Calculation 2 4 2 4 4 2 3" xfId="34702"/>
    <cellStyle name="Calculation 2 4 2 4 4 2 4" xfId="14730"/>
    <cellStyle name="Calculation 2 4 2 4 4 3" xfId="7557"/>
    <cellStyle name="Calculation 2 4 2 4 4 3 2" xfId="26529"/>
    <cellStyle name="Calculation 2 4 2 4 4 3 3" xfId="37374"/>
    <cellStyle name="Calculation 2 4 2 4 4 3 4" xfId="16644"/>
    <cellStyle name="Calculation 2 4 2 4 4 4" xfId="10216"/>
    <cellStyle name="Calculation 2 4 2 4 4 4 2" xfId="29188"/>
    <cellStyle name="Calculation 2 4 2 4 4 4 3" xfId="40033"/>
    <cellStyle name="Calculation 2 4 2 4 4 4 4" xfId="18548"/>
    <cellStyle name="Calculation 2 4 2 4 4 5" xfId="21012"/>
    <cellStyle name="Calculation 2 4 2 4 4 6" xfId="31857"/>
    <cellStyle name="Calculation 2 4 2 4 4 7" xfId="12694"/>
    <cellStyle name="Calculation 2 4 2 4 5" xfId="2423"/>
    <cellStyle name="Calculation 2 4 2 4 5 2" xfId="5276"/>
    <cellStyle name="Calculation 2 4 2 4 5 2 2" xfId="24248"/>
    <cellStyle name="Calculation 2 4 2 4 5 2 3" xfId="35093"/>
    <cellStyle name="Calculation 2 4 2 4 5 2 4" xfId="15010"/>
    <cellStyle name="Calculation 2 4 2 4 5 3" xfId="7947"/>
    <cellStyle name="Calculation 2 4 2 4 5 3 2" xfId="26919"/>
    <cellStyle name="Calculation 2 4 2 4 5 3 3" xfId="37764"/>
    <cellStyle name="Calculation 2 4 2 4 5 3 4" xfId="16923"/>
    <cellStyle name="Calculation 2 4 2 4 5 4" xfId="10606"/>
    <cellStyle name="Calculation 2 4 2 4 5 4 2" xfId="29578"/>
    <cellStyle name="Calculation 2 4 2 4 5 4 3" xfId="40423"/>
    <cellStyle name="Calculation 2 4 2 4 5 4 4" xfId="18827"/>
    <cellStyle name="Calculation 2 4 2 4 5 5" xfId="21402"/>
    <cellStyle name="Calculation 2 4 2 4 5 6" xfId="32247"/>
    <cellStyle name="Calculation 2 4 2 4 5 7" xfId="12973"/>
    <cellStyle name="Calculation 2 4 2 4 6" xfId="2811"/>
    <cellStyle name="Calculation 2 4 2 4 6 2" xfId="5663"/>
    <cellStyle name="Calculation 2 4 2 4 6 2 2" xfId="24635"/>
    <cellStyle name="Calculation 2 4 2 4 6 2 3" xfId="35480"/>
    <cellStyle name="Calculation 2 4 2 4 6 2 4" xfId="15288"/>
    <cellStyle name="Calculation 2 4 2 4 6 3" xfId="8334"/>
    <cellStyle name="Calculation 2 4 2 4 6 3 2" xfId="27306"/>
    <cellStyle name="Calculation 2 4 2 4 6 3 3" xfId="38151"/>
    <cellStyle name="Calculation 2 4 2 4 6 3 4" xfId="17201"/>
    <cellStyle name="Calculation 2 4 2 4 6 4" xfId="10993"/>
    <cellStyle name="Calculation 2 4 2 4 6 4 2" xfId="29965"/>
    <cellStyle name="Calculation 2 4 2 4 6 4 3" xfId="40810"/>
    <cellStyle name="Calculation 2 4 2 4 6 4 4" xfId="19105"/>
    <cellStyle name="Calculation 2 4 2 4 6 5" xfId="21789"/>
    <cellStyle name="Calculation 2 4 2 4 6 6" xfId="32634"/>
    <cellStyle name="Calculation 2 4 2 4 6 7" xfId="13251"/>
    <cellStyle name="Calculation 2 4 2 4 7" xfId="3501"/>
    <cellStyle name="Calculation 2 4 2 4 7 2" xfId="22473"/>
    <cellStyle name="Calculation 2 4 2 4 7 3" xfId="33318"/>
    <cellStyle name="Calculation 2 4 2 4 7 4" xfId="13732"/>
    <cellStyle name="Calculation 2 4 2 4 8" xfId="6176"/>
    <cellStyle name="Calculation 2 4 2 4 8 2" xfId="25148"/>
    <cellStyle name="Calculation 2 4 2 4 8 3" xfId="35993"/>
    <cellStyle name="Calculation 2 4 2 4 8 4" xfId="15648"/>
    <cellStyle name="Calculation 2 4 2 4 9" xfId="8835"/>
    <cellStyle name="Calculation 2 4 2 4 9 2" xfId="27807"/>
    <cellStyle name="Calculation 2 4 2 4 9 3" xfId="38652"/>
    <cellStyle name="Calculation 2 4 2 4 9 4" xfId="17552"/>
    <cellStyle name="Calculation 2 4 2 5" xfId="770"/>
    <cellStyle name="Calculation 2 4 2 5 10" xfId="19755"/>
    <cellStyle name="Calculation 2 4 2 5 11" xfId="30600"/>
    <cellStyle name="Calculation 2 4 2 5 12" xfId="11789"/>
    <cellStyle name="Calculation 2 4 2 5 2" xfId="1357"/>
    <cellStyle name="Calculation 2 4 2 5 2 2" xfId="4210"/>
    <cellStyle name="Calculation 2 4 2 5 2 2 2" xfId="23182"/>
    <cellStyle name="Calculation 2 4 2 5 2 2 3" xfId="34027"/>
    <cellStyle name="Calculation 2 4 2 5 2 2 4" xfId="14250"/>
    <cellStyle name="Calculation 2 4 2 5 2 3" xfId="6883"/>
    <cellStyle name="Calculation 2 4 2 5 2 3 2" xfId="25855"/>
    <cellStyle name="Calculation 2 4 2 5 2 3 3" xfId="36700"/>
    <cellStyle name="Calculation 2 4 2 5 2 3 4" xfId="16165"/>
    <cellStyle name="Calculation 2 4 2 5 2 4" xfId="9542"/>
    <cellStyle name="Calculation 2 4 2 5 2 4 2" xfId="28514"/>
    <cellStyle name="Calculation 2 4 2 5 2 4 3" xfId="39359"/>
    <cellStyle name="Calculation 2 4 2 5 2 4 4" xfId="18069"/>
    <cellStyle name="Calculation 2 4 2 5 2 5" xfId="20338"/>
    <cellStyle name="Calculation 2 4 2 5 2 6" xfId="31183"/>
    <cellStyle name="Calculation 2 4 2 5 2 7" xfId="12215"/>
    <cellStyle name="Calculation 2 4 2 5 3" xfId="1756"/>
    <cellStyle name="Calculation 2 4 2 5 3 2" xfId="4609"/>
    <cellStyle name="Calculation 2 4 2 5 3 2 2" xfId="23581"/>
    <cellStyle name="Calculation 2 4 2 5 3 2 3" xfId="34426"/>
    <cellStyle name="Calculation 2 4 2 5 3 2 4" xfId="14537"/>
    <cellStyle name="Calculation 2 4 2 5 3 3" xfId="7281"/>
    <cellStyle name="Calculation 2 4 2 5 3 3 2" xfId="26253"/>
    <cellStyle name="Calculation 2 4 2 5 3 3 3" xfId="37098"/>
    <cellStyle name="Calculation 2 4 2 5 3 3 4" xfId="16451"/>
    <cellStyle name="Calculation 2 4 2 5 3 4" xfId="9940"/>
    <cellStyle name="Calculation 2 4 2 5 3 4 2" xfId="28912"/>
    <cellStyle name="Calculation 2 4 2 5 3 4 3" xfId="39757"/>
    <cellStyle name="Calculation 2 4 2 5 3 4 4" xfId="18355"/>
    <cellStyle name="Calculation 2 4 2 5 3 5" xfId="20736"/>
    <cellStyle name="Calculation 2 4 2 5 3 6" xfId="31581"/>
    <cellStyle name="Calculation 2 4 2 5 3 7" xfId="12501"/>
    <cellStyle name="Calculation 2 4 2 5 4" xfId="2160"/>
    <cellStyle name="Calculation 2 4 2 5 4 2" xfId="5013"/>
    <cellStyle name="Calculation 2 4 2 5 4 2 2" xfId="23985"/>
    <cellStyle name="Calculation 2 4 2 5 4 2 3" xfId="34830"/>
    <cellStyle name="Calculation 2 4 2 5 4 2 4" xfId="14824"/>
    <cellStyle name="Calculation 2 4 2 5 4 3" xfId="7684"/>
    <cellStyle name="Calculation 2 4 2 5 4 3 2" xfId="26656"/>
    <cellStyle name="Calculation 2 4 2 5 4 3 3" xfId="37501"/>
    <cellStyle name="Calculation 2 4 2 5 4 3 4" xfId="16737"/>
    <cellStyle name="Calculation 2 4 2 5 4 4" xfId="10343"/>
    <cellStyle name="Calculation 2 4 2 5 4 4 2" xfId="29315"/>
    <cellStyle name="Calculation 2 4 2 5 4 4 3" xfId="40160"/>
    <cellStyle name="Calculation 2 4 2 5 4 4 4" xfId="18641"/>
    <cellStyle name="Calculation 2 4 2 5 4 5" xfId="21139"/>
    <cellStyle name="Calculation 2 4 2 5 4 6" xfId="31984"/>
    <cellStyle name="Calculation 2 4 2 5 4 7" xfId="12787"/>
    <cellStyle name="Calculation 2 4 2 5 5" xfId="2550"/>
    <cellStyle name="Calculation 2 4 2 5 5 2" xfId="5402"/>
    <cellStyle name="Calculation 2 4 2 5 5 2 2" xfId="24374"/>
    <cellStyle name="Calculation 2 4 2 5 5 2 3" xfId="35219"/>
    <cellStyle name="Calculation 2 4 2 5 5 2 4" xfId="15103"/>
    <cellStyle name="Calculation 2 4 2 5 5 3" xfId="8073"/>
    <cellStyle name="Calculation 2 4 2 5 5 3 2" xfId="27045"/>
    <cellStyle name="Calculation 2 4 2 5 5 3 3" xfId="37890"/>
    <cellStyle name="Calculation 2 4 2 5 5 3 4" xfId="17016"/>
    <cellStyle name="Calculation 2 4 2 5 5 4" xfId="10732"/>
    <cellStyle name="Calculation 2 4 2 5 5 4 2" xfId="29704"/>
    <cellStyle name="Calculation 2 4 2 5 5 4 3" xfId="40549"/>
    <cellStyle name="Calculation 2 4 2 5 5 4 4" xfId="18920"/>
    <cellStyle name="Calculation 2 4 2 5 5 5" xfId="21528"/>
    <cellStyle name="Calculation 2 4 2 5 5 6" xfId="32373"/>
    <cellStyle name="Calculation 2 4 2 5 5 7" xfId="13066"/>
    <cellStyle name="Calculation 2 4 2 5 6" xfId="2936"/>
    <cellStyle name="Calculation 2 4 2 5 6 2" xfId="5787"/>
    <cellStyle name="Calculation 2 4 2 5 6 2 2" xfId="24759"/>
    <cellStyle name="Calculation 2 4 2 5 6 2 3" xfId="35604"/>
    <cellStyle name="Calculation 2 4 2 5 6 2 4" xfId="15379"/>
    <cellStyle name="Calculation 2 4 2 5 6 3" xfId="8458"/>
    <cellStyle name="Calculation 2 4 2 5 6 3 2" xfId="27430"/>
    <cellStyle name="Calculation 2 4 2 5 6 3 3" xfId="38275"/>
    <cellStyle name="Calculation 2 4 2 5 6 3 4" xfId="17292"/>
    <cellStyle name="Calculation 2 4 2 5 6 4" xfId="11117"/>
    <cellStyle name="Calculation 2 4 2 5 6 4 2" xfId="30089"/>
    <cellStyle name="Calculation 2 4 2 5 6 4 3" xfId="40934"/>
    <cellStyle name="Calculation 2 4 2 5 6 4 4" xfId="19196"/>
    <cellStyle name="Calculation 2 4 2 5 6 5" xfId="21913"/>
    <cellStyle name="Calculation 2 4 2 5 6 6" xfId="32758"/>
    <cellStyle name="Calculation 2 4 2 5 6 7" xfId="13342"/>
    <cellStyle name="Calculation 2 4 2 5 7" xfId="3625"/>
    <cellStyle name="Calculation 2 4 2 5 7 2" xfId="22597"/>
    <cellStyle name="Calculation 2 4 2 5 7 3" xfId="33442"/>
    <cellStyle name="Calculation 2 4 2 5 7 4" xfId="13823"/>
    <cellStyle name="Calculation 2 4 2 5 8" xfId="6300"/>
    <cellStyle name="Calculation 2 4 2 5 8 2" xfId="25272"/>
    <cellStyle name="Calculation 2 4 2 5 8 3" xfId="36117"/>
    <cellStyle name="Calculation 2 4 2 5 8 4" xfId="15739"/>
    <cellStyle name="Calculation 2 4 2 5 9" xfId="8959"/>
    <cellStyle name="Calculation 2 4 2 5 9 2" xfId="27931"/>
    <cellStyle name="Calculation 2 4 2 5 9 3" xfId="38776"/>
    <cellStyle name="Calculation 2 4 2 5 9 4" xfId="17643"/>
    <cellStyle name="Calculation 2 4 2 6" xfId="1057"/>
    <cellStyle name="Calculation 2 4 2 6 2" xfId="3910"/>
    <cellStyle name="Calculation 2 4 2 6 2 2" xfId="22882"/>
    <cellStyle name="Calculation 2 4 2 6 2 3" xfId="33727"/>
    <cellStyle name="Calculation 2 4 2 6 2 4" xfId="14023"/>
    <cellStyle name="Calculation 2 4 2 6 3" xfId="6584"/>
    <cellStyle name="Calculation 2 4 2 6 3 2" xfId="25556"/>
    <cellStyle name="Calculation 2 4 2 6 3 3" xfId="36401"/>
    <cellStyle name="Calculation 2 4 2 6 3 4" xfId="15939"/>
    <cellStyle name="Calculation 2 4 2 6 4" xfId="9243"/>
    <cellStyle name="Calculation 2 4 2 6 4 2" xfId="28215"/>
    <cellStyle name="Calculation 2 4 2 6 4 3" xfId="39060"/>
    <cellStyle name="Calculation 2 4 2 6 4 4" xfId="17843"/>
    <cellStyle name="Calculation 2 4 2 6 5" xfId="20039"/>
    <cellStyle name="Calculation 2 4 2 6 6" xfId="30884"/>
    <cellStyle name="Calculation 2 4 2 6 7" xfId="11989"/>
    <cellStyle name="Calculation 2 4 2 7" xfId="1004"/>
    <cellStyle name="Calculation 2 4 2 7 2" xfId="3857"/>
    <cellStyle name="Calculation 2 4 2 7 2 2" xfId="22829"/>
    <cellStyle name="Calculation 2 4 2 7 2 3" xfId="33674"/>
    <cellStyle name="Calculation 2 4 2 7 2 4" xfId="13985"/>
    <cellStyle name="Calculation 2 4 2 7 3" xfId="6531"/>
    <cellStyle name="Calculation 2 4 2 7 3 2" xfId="25503"/>
    <cellStyle name="Calculation 2 4 2 7 3 3" xfId="36348"/>
    <cellStyle name="Calculation 2 4 2 7 3 4" xfId="15901"/>
    <cellStyle name="Calculation 2 4 2 7 4" xfId="9190"/>
    <cellStyle name="Calculation 2 4 2 7 4 2" xfId="28162"/>
    <cellStyle name="Calculation 2 4 2 7 4 3" xfId="39007"/>
    <cellStyle name="Calculation 2 4 2 7 4 4" xfId="17805"/>
    <cellStyle name="Calculation 2 4 2 7 5" xfId="19986"/>
    <cellStyle name="Calculation 2 4 2 7 6" xfId="30831"/>
    <cellStyle name="Calculation 2 4 2 7 7" xfId="11951"/>
    <cellStyle name="Calculation 2 4 2 8" xfId="972"/>
    <cellStyle name="Calculation 2 4 2 8 2" xfId="3825"/>
    <cellStyle name="Calculation 2 4 2 8 2 2" xfId="22797"/>
    <cellStyle name="Calculation 2 4 2 8 2 3" xfId="33642"/>
    <cellStyle name="Calculation 2 4 2 8 2 4" xfId="13963"/>
    <cellStyle name="Calculation 2 4 2 8 3" xfId="6500"/>
    <cellStyle name="Calculation 2 4 2 8 3 2" xfId="25472"/>
    <cellStyle name="Calculation 2 4 2 8 3 3" xfId="36317"/>
    <cellStyle name="Calculation 2 4 2 8 3 4" xfId="15879"/>
    <cellStyle name="Calculation 2 4 2 8 4" xfId="9159"/>
    <cellStyle name="Calculation 2 4 2 8 4 2" xfId="28131"/>
    <cellStyle name="Calculation 2 4 2 8 4 3" xfId="38976"/>
    <cellStyle name="Calculation 2 4 2 8 4 4" xfId="17783"/>
    <cellStyle name="Calculation 2 4 2 8 5" xfId="19955"/>
    <cellStyle name="Calculation 2 4 2 8 6" xfId="30800"/>
    <cellStyle name="Calculation 2 4 2 8 7" xfId="11929"/>
    <cellStyle name="Calculation 2 4 2 9" xfId="939"/>
    <cellStyle name="Calculation 2 4 2 9 2" xfId="3793"/>
    <cellStyle name="Calculation 2 4 2 9 2 2" xfId="22765"/>
    <cellStyle name="Calculation 2 4 2 9 2 3" xfId="33610"/>
    <cellStyle name="Calculation 2 4 2 9 2 4" xfId="13938"/>
    <cellStyle name="Calculation 2 4 2 9 3" xfId="6468"/>
    <cellStyle name="Calculation 2 4 2 9 3 2" xfId="25440"/>
    <cellStyle name="Calculation 2 4 2 9 3 3" xfId="36285"/>
    <cellStyle name="Calculation 2 4 2 9 3 4" xfId="15854"/>
    <cellStyle name="Calculation 2 4 2 9 4" xfId="9127"/>
    <cellStyle name="Calculation 2 4 2 9 4 2" xfId="28099"/>
    <cellStyle name="Calculation 2 4 2 9 4 3" xfId="38944"/>
    <cellStyle name="Calculation 2 4 2 9 4 4" xfId="17758"/>
    <cellStyle name="Calculation 2 4 2 9 5" xfId="19923"/>
    <cellStyle name="Calculation 2 4 2 9 6" xfId="30768"/>
    <cellStyle name="Calculation 2 4 2 9 7" xfId="11904"/>
    <cellStyle name="Calculation 2 4 3" xfId="539"/>
    <cellStyle name="Calculation 2 4 3 10" xfId="19549"/>
    <cellStyle name="Calculation 2 4 3 11" xfId="30394"/>
    <cellStyle name="Calculation 2 4 3 12" xfId="11613"/>
    <cellStyle name="Calculation 2 4 3 2" xfId="1145"/>
    <cellStyle name="Calculation 2 4 3 2 2" xfId="3998"/>
    <cellStyle name="Calculation 2 4 3 2 2 2" xfId="22970"/>
    <cellStyle name="Calculation 2 4 3 2 2 3" xfId="33815"/>
    <cellStyle name="Calculation 2 4 3 2 2 4" xfId="14090"/>
    <cellStyle name="Calculation 2 4 3 2 3" xfId="6671"/>
    <cellStyle name="Calculation 2 4 3 2 3 2" xfId="25643"/>
    <cellStyle name="Calculation 2 4 3 2 3 3" xfId="36488"/>
    <cellStyle name="Calculation 2 4 3 2 3 4" xfId="16005"/>
    <cellStyle name="Calculation 2 4 3 2 4" xfId="9330"/>
    <cellStyle name="Calculation 2 4 3 2 4 2" xfId="28302"/>
    <cellStyle name="Calculation 2 4 3 2 4 3" xfId="39147"/>
    <cellStyle name="Calculation 2 4 3 2 4 4" xfId="17909"/>
    <cellStyle name="Calculation 2 4 3 2 5" xfId="20126"/>
    <cellStyle name="Calculation 2 4 3 2 6" xfId="30971"/>
    <cellStyle name="Calculation 2 4 3 2 7" xfId="12055"/>
    <cellStyle name="Calculation 2 4 3 3" xfId="1542"/>
    <cellStyle name="Calculation 2 4 3 3 2" xfId="4395"/>
    <cellStyle name="Calculation 2 4 3 3 2 2" xfId="23367"/>
    <cellStyle name="Calculation 2 4 3 3 2 3" xfId="34212"/>
    <cellStyle name="Calculation 2 4 3 3 2 4" xfId="14376"/>
    <cellStyle name="Calculation 2 4 3 3 3" xfId="7067"/>
    <cellStyle name="Calculation 2 4 3 3 3 2" xfId="26039"/>
    <cellStyle name="Calculation 2 4 3 3 3 3" xfId="36884"/>
    <cellStyle name="Calculation 2 4 3 3 3 4" xfId="16290"/>
    <cellStyle name="Calculation 2 4 3 3 4" xfId="9726"/>
    <cellStyle name="Calculation 2 4 3 3 4 2" xfId="28698"/>
    <cellStyle name="Calculation 2 4 3 3 4 3" xfId="39543"/>
    <cellStyle name="Calculation 2 4 3 3 4 4" xfId="18194"/>
    <cellStyle name="Calculation 2 4 3 3 5" xfId="20522"/>
    <cellStyle name="Calculation 2 4 3 3 6" xfId="31367"/>
    <cellStyle name="Calculation 2 4 3 3 7" xfId="12340"/>
    <cellStyle name="Calculation 2 4 3 4" xfId="1946"/>
    <cellStyle name="Calculation 2 4 3 4 2" xfId="4799"/>
    <cellStyle name="Calculation 2 4 3 4 2 2" xfId="23771"/>
    <cellStyle name="Calculation 2 4 3 4 2 3" xfId="34616"/>
    <cellStyle name="Calculation 2 4 3 4 2 4" xfId="14664"/>
    <cellStyle name="Calculation 2 4 3 4 3" xfId="7471"/>
    <cellStyle name="Calculation 2 4 3 4 3 2" xfId="26443"/>
    <cellStyle name="Calculation 2 4 3 4 3 3" xfId="37288"/>
    <cellStyle name="Calculation 2 4 3 4 3 4" xfId="16578"/>
    <cellStyle name="Calculation 2 4 3 4 4" xfId="10130"/>
    <cellStyle name="Calculation 2 4 3 4 4 2" xfId="29102"/>
    <cellStyle name="Calculation 2 4 3 4 4 3" xfId="39947"/>
    <cellStyle name="Calculation 2 4 3 4 4 4" xfId="18482"/>
    <cellStyle name="Calculation 2 4 3 4 5" xfId="20926"/>
    <cellStyle name="Calculation 2 4 3 4 6" xfId="31771"/>
    <cellStyle name="Calculation 2 4 3 4 7" xfId="12628"/>
    <cellStyle name="Calculation 2 4 3 5" xfId="2338"/>
    <cellStyle name="Calculation 2 4 3 5 2" xfId="5191"/>
    <cellStyle name="Calculation 2 4 3 5 2 2" xfId="24163"/>
    <cellStyle name="Calculation 2 4 3 5 2 3" xfId="35008"/>
    <cellStyle name="Calculation 2 4 3 5 2 4" xfId="14945"/>
    <cellStyle name="Calculation 2 4 3 5 3" xfId="7862"/>
    <cellStyle name="Calculation 2 4 3 5 3 2" xfId="26834"/>
    <cellStyle name="Calculation 2 4 3 5 3 3" xfId="37679"/>
    <cellStyle name="Calculation 2 4 3 5 3 4" xfId="16858"/>
    <cellStyle name="Calculation 2 4 3 5 4" xfId="10521"/>
    <cellStyle name="Calculation 2 4 3 5 4 2" xfId="29493"/>
    <cellStyle name="Calculation 2 4 3 5 4 3" xfId="40338"/>
    <cellStyle name="Calculation 2 4 3 5 4 4" xfId="18762"/>
    <cellStyle name="Calculation 2 4 3 5 5" xfId="21317"/>
    <cellStyle name="Calculation 2 4 3 5 6" xfId="32162"/>
    <cellStyle name="Calculation 2 4 3 5 7" xfId="12908"/>
    <cellStyle name="Calculation 2 4 3 6" xfId="2727"/>
    <cellStyle name="Calculation 2 4 3 6 2" xfId="5579"/>
    <cellStyle name="Calculation 2 4 3 6 2 2" xfId="24551"/>
    <cellStyle name="Calculation 2 4 3 6 2 3" xfId="35396"/>
    <cellStyle name="Calculation 2 4 3 6 2 4" xfId="15223"/>
    <cellStyle name="Calculation 2 4 3 6 3" xfId="8250"/>
    <cellStyle name="Calculation 2 4 3 6 3 2" xfId="27222"/>
    <cellStyle name="Calculation 2 4 3 6 3 3" xfId="38067"/>
    <cellStyle name="Calculation 2 4 3 6 3 4" xfId="17136"/>
    <cellStyle name="Calculation 2 4 3 6 4" xfId="10909"/>
    <cellStyle name="Calculation 2 4 3 6 4 2" xfId="29881"/>
    <cellStyle name="Calculation 2 4 3 6 4 3" xfId="40726"/>
    <cellStyle name="Calculation 2 4 3 6 4 4" xfId="19040"/>
    <cellStyle name="Calculation 2 4 3 6 5" xfId="21705"/>
    <cellStyle name="Calculation 2 4 3 6 6" xfId="32550"/>
    <cellStyle name="Calculation 2 4 3 6 7" xfId="13186"/>
    <cellStyle name="Calculation 2 4 3 7" xfId="3418"/>
    <cellStyle name="Calculation 2 4 3 7 2" xfId="22390"/>
    <cellStyle name="Calculation 2 4 3 7 3" xfId="33235"/>
    <cellStyle name="Calculation 2 4 3 7 4" xfId="13668"/>
    <cellStyle name="Calculation 2 4 3 8" xfId="6094"/>
    <cellStyle name="Calculation 2 4 3 8 2" xfId="25066"/>
    <cellStyle name="Calculation 2 4 3 8 3" xfId="35911"/>
    <cellStyle name="Calculation 2 4 3 8 4" xfId="15585"/>
    <cellStyle name="Calculation 2 4 3 9" xfId="8753"/>
    <cellStyle name="Calculation 2 4 3 9 2" xfId="27725"/>
    <cellStyle name="Calculation 2 4 3 9 3" xfId="38570"/>
    <cellStyle name="Calculation 2 4 3 9 4" xfId="17489"/>
    <cellStyle name="Calculation 2 4 4" xfId="11431"/>
    <cellStyle name="Calculation 2 5" xfId="61"/>
    <cellStyle name="Calculation 2 5 2" xfId="352"/>
    <cellStyle name="Calculation 2 5 2 10" xfId="1038"/>
    <cellStyle name="Calculation 2 5 2 10 2" xfId="3891"/>
    <cellStyle name="Calculation 2 5 2 10 2 2" xfId="22863"/>
    <cellStyle name="Calculation 2 5 2 10 2 3" xfId="33708"/>
    <cellStyle name="Calculation 2 5 2 10 2 4" xfId="14008"/>
    <cellStyle name="Calculation 2 5 2 10 3" xfId="6565"/>
    <cellStyle name="Calculation 2 5 2 10 3 2" xfId="25537"/>
    <cellStyle name="Calculation 2 5 2 10 3 3" xfId="36382"/>
    <cellStyle name="Calculation 2 5 2 10 3 4" xfId="15924"/>
    <cellStyle name="Calculation 2 5 2 10 4" xfId="9224"/>
    <cellStyle name="Calculation 2 5 2 10 4 2" xfId="28196"/>
    <cellStyle name="Calculation 2 5 2 10 4 3" xfId="39041"/>
    <cellStyle name="Calculation 2 5 2 10 4 4" xfId="17828"/>
    <cellStyle name="Calculation 2 5 2 10 5" xfId="20020"/>
    <cellStyle name="Calculation 2 5 2 10 6" xfId="30865"/>
    <cellStyle name="Calculation 2 5 2 10 7" xfId="11974"/>
    <cellStyle name="Calculation 2 5 2 11" xfId="916"/>
    <cellStyle name="Calculation 2 5 2 11 2" xfId="3771"/>
    <cellStyle name="Calculation 2 5 2 11 2 2" xfId="22743"/>
    <cellStyle name="Calculation 2 5 2 11 2 3" xfId="33588"/>
    <cellStyle name="Calculation 2 5 2 11 2 4" xfId="13917"/>
    <cellStyle name="Calculation 2 5 2 11 3" xfId="6446"/>
    <cellStyle name="Calculation 2 5 2 11 3 2" xfId="25418"/>
    <cellStyle name="Calculation 2 5 2 11 3 3" xfId="36263"/>
    <cellStyle name="Calculation 2 5 2 11 3 4" xfId="15833"/>
    <cellStyle name="Calculation 2 5 2 11 4" xfId="9105"/>
    <cellStyle name="Calculation 2 5 2 11 4 2" xfId="28077"/>
    <cellStyle name="Calculation 2 5 2 11 4 3" xfId="38922"/>
    <cellStyle name="Calculation 2 5 2 11 4 4" xfId="17737"/>
    <cellStyle name="Calculation 2 5 2 11 5" xfId="19901"/>
    <cellStyle name="Calculation 2 5 2 11 6" xfId="30746"/>
    <cellStyle name="Calculation 2 5 2 11 7" xfId="11883"/>
    <cellStyle name="Calculation 2 5 2 12" xfId="2810"/>
    <cellStyle name="Calculation 2 5 2 12 2" xfId="5662"/>
    <cellStyle name="Calculation 2 5 2 12 2 2" xfId="24634"/>
    <cellStyle name="Calculation 2 5 2 12 2 3" xfId="35479"/>
    <cellStyle name="Calculation 2 5 2 12 2 4" xfId="15287"/>
    <cellStyle name="Calculation 2 5 2 12 3" xfId="8333"/>
    <cellStyle name="Calculation 2 5 2 12 3 2" xfId="27305"/>
    <cellStyle name="Calculation 2 5 2 12 3 3" xfId="38150"/>
    <cellStyle name="Calculation 2 5 2 12 3 4" xfId="17200"/>
    <cellStyle name="Calculation 2 5 2 12 4" xfId="10992"/>
    <cellStyle name="Calculation 2 5 2 12 4 2" xfId="29964"/>
    <cellStyle name="Calculation 2 5 2 12 4 3" xfId="40809"/>
    <cellStyle name="Calculation 2 5 2 12 4 4" xfId="19104"/>
    <cellStyle name="Calculation 2 5 2 12 5" xfId="21788"/>
    <cellStyle name="Calculation 2 5 2 12 6" xfId="32633"/>
    <cellStyle name="Calculation 2 5 2 12 7" xfId="13250"/>
    <cellStyle name="Calculation 2 5 2 13" xfId="965"/>
    <cellStyle name="Calculation 2 5 2 13 2" xfId="3818"/>
    <cellStyle name="Calculation 2 5 2 13 2 2" xfId="22790"/>
    <cellStyle name="Calculation 2 5 2 13 2 3" xfId="33635"/>
    <cellStyle name="Calculation 2 5 2 13 2 4" xfId="13959"/>
    <cellStyle name="Calculation 2 5 2 13 3" xfId="6493"/>
    <cellStyle name="Calculation 2 5 2 13 3 2" xfId="25465"/>
    <cellStyle name="Calculation 2 5 2 13 3 3" xfId="36310"/>
    <cellStyle name="Calculation 2 5 2 13 3 4" xfId="15875"/>
    <cellStyle name="Calculation 2 5 2 13 4" xfId="9152"/>
    <cellStyle name="Calculation 2 5 2 13 4 2" xfId="28124"/>
    <cellStyle name="Calculation 2 5 2 13 4 3" xfId="38969"/>
    <cellStyle name="Calculation 2 5 2 13 4 4" xfId="17779"/>
    <cellStyle name="Calculation 2 5 2 13 5" xfId="19948"/>
    <cellStyle name="Calculation 2 5 2 13 6" xfId="30793"/>
    <cellStyle name="Calculation 2 5 2 13 7" xfId="11925"/>
    <cellStyle name="Calculation 2 5 2 14" xfId="3225"/>
    <cellStyle name="Calculation 2 5 2 14 2" xfId="22202"/>
    <cellStyle name="Calculation 2 5 2 14 3" xfId="33047"/>
    <cellStyle name="Calculation 2 5 2 14 4" xfId="13533"/>
    <cellStyle name="Calculation 2 5 2 15" xfId="3261"/>
    <cellStyle name="Calculation 2 5 2 15 2" xfId="22236"/>
    <cellStyle name="Calculation 2 5 2 15 3" xfId="33081"/>
    <cellStyle name="Calculation 2 5 2 15 4" xfId="13562"/>
    <cellStyle name="Calculation 2 5 2 16" xfId="6079"/>
    <cellStyle name="Calculation 2 5 2 16 2" xfId="25051"/>
    <cellStyle name="Calculation 2 5 2 16 3" xfId="35896"/>
    <cellStyle name="Calculation 2 5 2 16 4" xfId="15571"/>
    <cellStyle name="Calculation 2 5 2 17" xfId="19449"/>
    <cellStyle name="Calculation 2 5 2 18" xfId="19523"/>
    <cellStyle name="Calculation 2 5 2 19" xfId="11508"/>
    <cellStyle name="Calculation 2 5 2 2" xfId="660"/>
    <cellStyle name="Calculation 2 5 2 2 10" xfId="19645"/>
    <cellStyle name="Calculation 2 5 2 2 11" xfId="30490"/>
    <cellStyle name="Calculation 2 5 2 2 12" xfId="11712"/>
    <cellStyle name="Calculation 2 5 2 2 2" xfId="1247"/>
    <cellStyle name="Calculation 2 5 2 2 2 2" xfId="4100"/>
    <cellStyle name="Calculation 2 5 2 2 2 2 2" xfId="23072"/>
    <cellStyle name="Calculation 2 5 2 2 2 2 3" xfId="33917"/>
    <cellStyle name="Calculation 2 5 2 2 2 2 4" xfId="14173"/>
    <cellStyle name="Calculation 2 5 2 2 2 3" xfId="6773"/>
    <cellStyle name="Calculation 2 5 2 2 2 3 2" xfId="25745"/>
    <cellStyle name="Calculation 2 5 2 2 2 3 3" xfId="36590"/>
    <cellStyle name="Calculation 2 5 2 2 2 3 4" xfId="16088"/>
    <cellStyle name="Calculation 2 5 2 2 2 4" xfId="9432"/>
    <cellStyle name="Calculation 2 5 2 2 2 4 2" xfId="28404"/>
    <cellStyle name="Calculation 2 5 2 2 2 4 3" xfId="39249"/>
    <cellStyle name="Calculation 2 5 2 2 2 4 4" xfId="17992"/>
    <cellStyle name="Calculation 2 5 2 2 2 5" xfId="20228"/>
    <cellStyle name="Calculation 2 5 2 2 2 6" xfId="31073"/>
    <cellStyle name="Calculation 2 5 2 2 2 7" xfId="12138"/>
    <cellStyle name="Calculation 2 5 2 2 3" xfId="1646"/>
    <cellStyle name="Calculation 2 5 2 2 3 2" xfId="4499"/>
    <cellStyle name="Calculation 2 5 2 2 3 2 2" xfId="23471"/>
    <cellStyle name="Calculation 2 5 2 2 3 2 3" xfId="34316"/>
    <cellStyle name="Calculation 2 5 2 2 3 2 4" xfId="14460"/>
    <cellStyle name="Calculation 2 5 2 2 3 3" xfId="7171"/>
    <cellStyle name="Calculation 2 5 2 2 3 3 2" xfId="26143"/>
    <cellStyle name="Calculation 2 5 2 2 3 3 3" xfId="36988"/>
    <cellStyle name="Calculation 2 5 2 2 3 3 4" xfId="16374"/>
    <cellStyle name="Calculation 2 5 2 2 3 4" xfId="9830"/>
    <cellStyle name="Calculation 2 5 2 2 3 4 2" xfId="28802"/>
    <cellStyle name="Calculation 2 5 2 2 3 4 3" xfId="39647"/>
    <cellStyle name="Calculation 2 5 2 2 3 4 4" xfId="18278"/>
    <cellStyle name="Calculation 2 5 2 2 3 5" xfId="20626"/>
    <cellStyle name="Calculation 2 5 2 2 3 6" xfId="31471"/>
    <cellStyle name="Calculation 2 5 2 2 3 7" xfId="12424"/>
    <cellStyle name="Calculation 2 5 2 2 4" xfId="2050"/>
    <cellStyle name="Calculation 2 5 2 2 4 2" xfId="4903"/>
    <cellStyle name="Calculation 2 5 2 2 4 2 2" xfId="23875"/>
    <cellStyle name="Calculation 2 5 2 2 4 2 3" xfId="34720"/>
    <cellStyle name="Calculation 2 5 2 2 4 2 4" xfId="14747"/>
    <cellStyle name="Calculation 2 5 2 2 4 3" xfId="7574"/>
    <cellStyle name="Calculation 2 5 2 2 4 3 2" xfId="26546"/>
    <cellStyle name="Calculation 2 5 2 2 4 3 3" xfId="37391"/>
    <cellStyle name="Calculation 2 5 2 2 4 3 4" xfId="16660"/>
    <cellStyle name="Calculation 2 5 2 2 4 4" xfId="10233"/>
    <cellStyle name="Calculation 2 5 2 2 4 4 2" xfId="29205"/>
    <cellStyle name="Calculation 2 5 2 2 4 4 3" xfId="40050"/>
    <cellStyle name="Calculation 2 5 2 2 4 4 4" xfId="18564"/>
    <cellStyle name="Calculation 2 5 2 2 4 5" xfId="21029"/>
    <cellStyle name="Calculation 2 5 2 2 4 6" xfId="31874"/>
    <cellStyle name="Calculation 2 5 2 2 4 7" xfId="12710"/>
    <cellStyle name="Calculation 2 5 2 2 5" xfId="2440"/>
    <cellStyle name="Calculation 2 5 2 2 5 2" xfId="5292"/>
    <cellStyle name="Calculation 2 5 2 2 5 2 2" xfId="24264"/>
    <cellStyle name="Calculation 2 5 2 2 5 2 3" xfId="35109"/>
    <cellStyle name="Calculation 2 5 2 2 5 2 4" xfId="15026"/>
    <cellStyle name="Calculation 2 5 2 2 5 3" xfId="7963"/>
    <cellStyle name="Calculation 2 5 2 2 5 3 2" xfId="26935"/>
    <cellStyle name="Calculation 2 5 2 2 5 3 3" xfId="37780"/>
    <cellStyle name="Calculation 2 5 2 2 5 3 4" xfId="16939"/>
    <cellStyle name="Calculation 2 5 2 2 5 4" xfId="10622"/>
    <cellStyle name="Calculation 2 5 2 2 5 4 2" xfId="29594"/>
    <cellStyle name="Calculation 2 5 2 2 5 4 3" xfId="40439"/>
    <cellStyle name="Calculation 2 5 2 2 5 4 4" xfId="18843"/>
    <cellStyle name="Calculation 2 5 2 2 5 5" xfId="21418"/>
    <cellStyle name="Calculation 2 5 2 2 5 6" xfId="32263"/>
    <cellStyle name="Calculation 2 5 2 2 5 7" xfId="12989"/>
    <cellStyle name="Calculation 2 5 2 2 6" xfId="2826"/>
    <cellStyle name="Calculation 2 5 2 2 6 2" xfId="5677"/>
    <cellStyle name="Calculation 2 5 2 2 6 2 2" xfId="24649"/>
    <cellStyle name="Calculation 2 5 2 2 6 2 3" xfId="35494"/>
    <cellStyle name="Calculation 2 5 2 2 6 2 4" xfId="15302"/>
    <cellStyle name="Calculation 2 5 2 2 6 3" xfId="8348"/>
    <cellStyle name="Calculation 2 5 2 2 6 3 2" xfId="27320"/>
    <cellStyle name="Calculation 2 5 2 2 6 3 3" xfId="38165"/>
    <cellStyle name="Calculation 2 5 2 2 6 3 4" xfId="17215"/>
    <cellStyle name="Calculation 2 5 2 2 6 4" xfId="11007"/>
    <cellStyle name="Calculation 2 5 2 2 6 4 2" xfId="29979"/>
    <cellStyle name="Calculation 2 5 2 2 6 4 3" xfId="40824"/>
    <cellStyle name="Calculation 2 5 2 2 6 4 4" xfId="19119"/>
    <cellStyle name="Calculation 2 5 2 2 6 5" xfId="21803"/>
    <cellStyle name="Calculation 2 5 2 2 6 6" xfId="32648"/>
    <cellStyle name="Calculation 2 5 2 2 6 7" xfId="13265"/>
    <cellStyle name="Calculation 2 5 2 2 7" xfId="3515"/>
    <cellStyle name="Calculation 2 5 2 2 7 2" xfId="22487"/>
    <cellStyle name="Calculation 2 5 2 2 7 3" xfId="33332"/>
    <cellStyle name="Calculation 2 5 2 2 7 4" xfId="13746"/>
    <cellStyle name="Calculation 2 5 2 2 8" xfId="6190"/>
    <cellStyle name="Calculation 2 5 2 2 8 2" xfId="25162"/>
    <cellStyle name="Calculation 2 5 2 2 8 3" xfId="36007"/>
    <cellStyle name="Calculation 2 5 2 2 8 4" xfId="15662"/>
    <cellStyle name="Calculation 2 5 2 2 9" xfId="8849"/>
    <cellStyle name="Calculation 2 5 2 2 9 2" xfId="27821"/>
    <cellStyle name="Calculation 2 5 2 2 9 3" xfId="38666"/>
    <cellStyle name="Calculation 2 5 2 2 9 4" xfId="17566"/>
    <cellStyle name="Calculation 2 5 2 3" xfId="548"/>
    <cellStyle name="Calculation 2 5 2 3 10" xfId="19558"/>
    <cellStyle name="Calculation 2 5 2 3 11" xfId="30403"/>
    <cellStyle name="Calculation 2 5 2 3 12" xfId="11622"/>
    <cellStyle name="Calculation 2 5 2 3 2" xfId="1154"/>
    <cellStyle name="Calculation 2 5 2 3 2 2" xfId="4007"/>
    <cellStyle name="Calculation 2 5 2 3 2 2 2" xfId="22979"/>
    <cellStyle name="Calculation 2 5 2 3 2 2 3" xfId="33824"/>
    <cellStyle name="Calculation 2 5 2 3 2 2 4" xfId="14099"/>
    <cellStyle name="Calculation 2 5 2 3 2 3" xfId="6680"/>
    <cellStyle name="Calculation 2 5 2 3 2 3 2" xfId="25652"/>
    <cellStyle name="Calculation 2 5 2 3 2 3 3" xfId="36497"/>
    <cellStyle name="Calculation 2 5 2 3 2 3 4" xfId="16014"/>
    <cellStyle name="Calculation 2 5 2 3 2 4" xfId="9339"/>
    <cellStyle name="Calculation 2 5 2 3 2 4 2" xfId="28311"/>
    <cellStyle name="Calculation 2 5 2 3 2 4 3" xfId="39156"/>
    <cellStyle name="Calculation 2 5 2 3 2 4 4" xfId="17918"/>
    <cellStyle name="Calculation 2 5 2 3 2 5" xfId="20135"/>
    <cellStyle name="Calculation 2 5 2 3 2 6" xfId="30980"/>
    <cellStyle name="Calculation 2 5 2 3 2 7" xfId="12064"/>
    <cellStyle name="Calculation 2 5 2 3 3" xfId="1551"/>
    <cellStyle name="Calculation 2 5 2 3 3 2" xfId="4404"/>
    <cellStyle name="Calculation 2 5 2 3 3 2 2" xfId="23376"/>
    <cellStyle name="Calculation 2 5 2 3 3 2 3" xfId="34221"/>
    <cellStyle name="Calculation 2 5 2 3 3 2 4" xfId="14385"/>
    <cellStyle name="Calculation 2 5 2 3 3 3" xfId="7076"/>
    <cellStyle name="Calculation 2 5 2 3 3 3 2" xfId="26048"/>
    <cellStyle name="Calculation 2 5 2 3 3 3 3" xfId="36893"/>
    <cellStyle name="Calculation 2 5 2 3 3 3 4" xfId="16299"/>
    <cellStyle name="Calculation 2 5 2 3 3 4" xfId="9735"/>
    <cellStyle name="Calculation 2 5 2 3 3 4 2" xfId="28707"/>
    <cellStyle name="Calculation 2 5 2 3 3 4 3" xfId="39552"/>
    <cellStyle name="Calculation 2 5 2 3 3 4 4" xfId="18203"/>
    <cellStyle name="Calculation 2 5 2 3 3 5" xfId="20531"/>
    <cellStyle name="Calculation 2 5 2 3 3 6" xfId="31376"/>
    <cellStyle name="Calculation 2 5 2 3 3 7" xfId="12349"/>
    <cellStyle name="Calculation 2 5 2 3 4" xfId="1955"/>
    <cellStyle name="Calculation 2 5 2 3 4 2" xfId="4808"/>
    <cellStyle name="Calculation 2 5 2 3 4 2 2" xfId="23780"/>
    <cellStyle name="Calculation 2 5 2 3 4 2 3" xfId="34625"/>
    <cellStyle name="Calculation 2 5 2 3 4 2 4" xfId="14673"/>
    <cellStyle name="Calculation 2 5 2 3 4 3" xfId="7480"/>
    <cellStyle name="Calculation 2 5 2 3 4 3 2" xfId="26452"/>
    <cellStyle name="Calculation 2 5 2 3 4 3 3" xfId="37297"/>
    <cellStyle name="Calculation 2 5 2 3 4 3 4" xfId="16587"/>
    <cellStyle name="Calculation 2 5 2 3 4 4" xfId="10139"/>
    <cellStyle name="Calculation 2 5 2 3 4 4 2" xfId="29111"/>
    <cellStyle name="Calculation 2 5 2 3 4 4 3" xfId="39956"/>
    <cellStyle name="Calculation 2 5 2 3 4 4 4" xfId="18491"/>
    <cellStyle name="Calculation 2 5 2 3 4 5" xfId="20935"/>
    <cellStyle name="Calculation 2 5 2 3 4 6" xfId="31780"/>
    <cellStyle name="Calculation 2 5 2 3 4 7" xfId="12637"/>
    <cellStyle name="Calculation 2 5 2 3 5" xfId="2347"/>
    <cellStyle name="Calculation 2 5 2 3 5 2" xfId="5200"/>
    <cellStyle name="Calculation 2 5 2 3 5 2 2" xfId="24172"/>
    <cellStyle name="Calculation 2 5 2 3 5 2 3" xfId="35017"/>
    <cellStyle name="Calculation 2 5 2 3 5 2 4" xfId="14954"/>
    <cellStyle name="Calculation 2 5 2 3 5 3" xfId="7871"/>
    <cellStyle name="Calculation 2 5 2 3 5 3 2" xfId="26843"/>
    <cellStyle name="Calculation 2 5 2 3 5 3 3" xfId="37688"/>
    <cellStyle name="Calculation 2 5 2 3 5 3 4" xfId="16867"/>
    <cellStyle name="Calculation 2 5 2 3 5 4" xfId="10530"/>
    <cellStyle name="Calculation 2 5 2 3 5 4 2" xfId="29502"/>
    <cellStyle name="Calculation 2 5 2 3 5 4 3" xfId="40347"/>
    <cellStyle name="Calculation 2 5 2 3 5 4 4" xfId="18771"/>
    <cellStyle name="Calculation 2 5 2 3 5 5" xfId="21326"/>
    <cellStyle name="Calculation 2 5 2 3 5 6" xfId="32171"/>
    <cellStyle name="Calculation 2 5 2 3 5 7" xfId="12917"/>
    <cellStyle name="Calculation 2 5 2 3 6" xfId="2736"/>
    <cellStyle name="Calculation 2 5 2 3 6 2" xfId="5588"/>
    <cellStyle name="Calculation 2 5 2 3 6 2 2" xfId="24560"/>
    <cellStyle name="Calculation 2 5 2 3 6 2 3" xfId="35405"/>
    <cellStyle name="Calculation 2 5 2 3 6 2 4" xfId="15232"/>
    <cellStyle name="Calculation 2 5 2 3 6 3" xfId="8259"/>
    <cellStyle name="Calculation 2 5 2 3 6 3 2" xfId="27231"/>
    <cellStyle name="Calculation 2 5 2 3 6 3 3" xfId="38076"/>
    <cellStyle name="Calculation 2 5 2 3 6 3 4" xfId="17145"/>
    <cellStyle name="Calculation 2 5 2 3 6 4" xfId="10918"/>
    <cellStyle name="Calculation 2 5 2 3 6 4 2" xfId="29890"/>
    <cellStyle name="Calculation 2 5 2 3 6 4 3" xfId="40735"/>
    <cellStyle name="Calculation 2 5 2 3 6 4 4" xfId="19049"/>
    <cellStyle name="Calculation 2 5 2 3 6 5" xfId="21714"/>
    <cellStyle name="Calculation 2 5 2 3 6 6" xfId="32559"/>
    <cellStyle name="Calculation 2 5 2 3 6 7" xfId="13195"/>
    <cellStyle name="Calculation 2 5 2 3 7" xfId="3427"/>
    <cellStyle name="Calculation 2 5 2 3 7 2" xfId="22399"/>
    <cellStyle name="Calculation 2 5 2 3 7 3" xfId="33244"/>
    <cellStyle name="Calculation 2 5 2 3 7 4" xfId="13677"/>
    <cellStyle name="Calculation 2 5 2 3 8" xfId="6103"/>
    <cellStyle name="Calculation 2 5 2 3 8 2" xfId="25075"/>
    <cellStyle name="Calculation 2 5 2 3 8 3" xfId="35920"/>
    <cellStyle name="Calculation 2 5 2 3 8 4" xfId="15594"/>
    <cellStyle name="Calculation 2 5 2 3 9" xfId="8762"/>
    <cellStyle name="Calculation 2 5 2 3 9 2" xfId="27734"/>
    <cellStyle name="Calculation 2 5 2 3 9 3" xfId="38579"/>
    <cellStyle name="Calculation 2 5 2 3 9 4" xfId="17498"/>
    <cellStyle name="Calculation 2 5 2 4" xfId="546"/>
    <cellStyle name="Calculation 2 5 2 4 10" xfId="19556"/>
    <cellStyle name="Calculation 2 5 2 4 11" xfId="30401"/>
    <cellStyle name="Calculation 2 5 2 4 12" xfId="11620"/>
    <cellStyle name="Calculation 2 5 2 4 2" xfId="1152"/>
    <cellStyle name="Calculation 2 5 2 4 2 2" xfId="4005"/>
    <cellStyle name="Calculation 2 5 2 4 2 2 2" xfId="22977"/>
    <cellStyle name="Calculation 2 5 2 4 2 2 3" xfId="33822"/>
    <cellStyle name="Calculation 2 5 2 4 2 2 4" xfId="14097"/>
    <cellStyle name="Calculation 2 5 2 4 2 3" xfId="6678"/>
    <cellStyle name="Calculation 2 5 2 4 2 3 2" xfId="25650"/>
    <cellStyle name="Calculation 2 5 2 4 2 3 3" xfId="36495"/>
    <cellStyle name="Calculation 2 5 2 4 2 3 4" xfId="16012"/>
    <cellStyle name="Calculation 2 5 2 4 2 4" xfId="9337"/>
    <cellStyle name="Calculation 2 5 2 4 2 4 2" xfId="28309"/>
    <cellStyle name="Calculation 2 5 2 4 2 4 3" xfId="39154"/>
    <cellStyle name="Calculation 2 5 2 4 2 4 4" xfId="17916"/>
    <cellStyle name="Calculation 2 5 2 4 2 5" xfId="20133"/>
    <cellStyle name="Calculation 2 5 2 4 2 6" xfId="30978"/>
    <cellStyle name="Calculation 2 5 2 4 2 7" xfId="12062"/>
    <cellStyle name="Calculation 2 5 2 4 3" xfId="1549"/>
    <cellStyle name="Calculation 2 5 2 4 3 2" xfId="4402"/>
    <cellStyle name="Calculation 2 5 2 4 3 2 2" xfId="23374"/>
    <cellStyle name="Calculation 2 5 2 4 3 2 3" xfId="34219"/>
    <cellStyle name="Calculation 2 5 2 4 3 2 4" xfId="14383"/>
    <cellStyle name="Calculation 2 5 2 4 3 3" xfId="7074"/>
    <cellStyle name="Calculation 2 5 2 4 3 3 2" xfId="26046"/>
    <cellStyle name="Calculation 2 5 2 4 3 3 3" xfId="36891"/>
    <cellStyle name="Calculation 2 5 2 4 3 3 4" xfId="16297"/>
    <cellStyle name="Calculation 2 5 2 4 3 4" xfId="9733"/>
    <cellStyle name="Calculation 2 5 2 4 3 4 2" xfId="28705"/>
    <cellStyle name="Calculation 2 5 2 4 3 4 3" xfId="39550"/>
    <cellStyle name="Calculation 2 5 2 4 3 4 4" xfId="18201"/>
    <cellStyle name="Calculation 2 5 2 4 3 5" xfId="20529"/>
    <cellStyle name="Calculation 2 5 2 4 3 6" xfId="31374"/>
    <cellStyle name="Calculation 2 5 2 4 3 7" xfId="12347"/>
    <cellStyle name="Calculation 2 5 2 4 4" xfId="1953"/>
    <cellStyle name="Calculation 2 5 2 4 4 2" xfId="4806"/>
    <cellStyle name="Calculation 2 5 2 4 4 2 2" xfId="23778"/>
    <cellStyle name="Calculation 2 5 2 4 4 2 3" xfId="34623"/>
    <cellStyle name="Calculation 2 5 2 4 4 2 4" xfId="14671"/>
    <cellStyle name="Calculation 2 5 2 4 4 3" xfId="7478"/>
    <cellStyle name="Calculation 2 5 2 4 4 3 2" xfId="26450"/>
    <cellStyle name="Calculation 2 5 2 4 4 3 3" xfId="37295"/>
    <cellStyle name="Calculation 2 5 2 4 4 3 4" xfId="16585"/>
    <cellStyle name="Calculation 2 5 2 4 4 4" xfId="10137"/>
    <cellStyle name="Calculation 2 5 2 4 4 4 2" xfId="29109"/>
    <cellStyle name="Calculation 2 5 2 4 4 4 3" xfId="39954"/>
    <cellStyle name="Calculation 2 5 2 4 4 4 4" xfId="18489"/>
    <cellStyle name="Calculation 2 5 2 4 4 5" xfId="20933"/>
    <cellStyle name="Calculation 2 5 2 4 4 6" xfId="31778"/>
    <cellStyle name="Calculation 2 5 2 4 4 7" xfId="12635"/>
    <cellStyle name="Calculation 2 5 2 4 5" xfId="2345"/>
    <cellStyle name="Calculation 2 5 2 4 5 2" xfId="5198"/>
    <cellStyle name="Calculation 2 5 2 4 5 2 2" xfId="24170"/>
    <cellStyle name="Calculation 2 5 2 4 5 2 3" xfId="35015"/>
    <cellStyle name="Calculation 2 5 2 4 5 2 4" xfId="14952"/>
    <cellStyle name="Calculation 2 5 2 4 5 3" xfId="7869"/>
    <cellStyle name="Calculation 2 5 2 4 5 3 2" xfId="26841"/>
    <cellStyle name="Calculation 2 5 2 4 5 3 3" xfId="37686"/>
    <cellStyle name="Calculation 2 5 2 4 5 3 4" xfId="16865"/>
    <cellStyle name="Calculation 2 5 2 4 5 4" xfId="10528"/>
    <cellStyle name="Calculation 2 5 2 4 5 4 2" xfId="29500"/>
    <cellStyle name="Calculation 2 5 2 4 5 4 3" xfId="40345"/>
    <cellStyle name="Calculation 2 5 2 4 5 4 4" xfId="18769"/>
    <cellStyle name="Calculation 2 5 2 4 5 5" xfId="21324"/>
    <cellStyle name="Calculation 2 5 2 4 5 6" xfId="32169"/>
    <cellStyle name="Calculation 2 5 2 4 5 7" xfId="12915"/>
    <cellStyle name="Calculation 2 5 2 4 6" xfId="2734"/>
    <cellStyle name="Calculation 2 5 2 4 6 2" xfId="5586"/>
    <cellStyle name="Calculation 2 5 2 4 6 2 2" xfId="24558"/>
    <cellStyle name="Calculation 2 5 2 4 6 2 3" xfId="35403"/>
    <cellStyle name="Calculation 2 5 2 4 6 2 4" xfId="15230"/>
    <cellStyle name="Calculation 2 5 2 4 6 3" xfId="8257"/>
    <cellStyle name="Calculation 2 5 2 4 6 3 2" xfId="27229"/>
    <cellStyle name="Calculation 2 5 2 4 6 3 3" xfId="38074"/>
    <cellStyle name="Calculation 2 5 2 4 6 3 4" xfId="17143"/>
    <cellStyle name="Calculation 2 5 2 4 6 4" xfId="10916"/>
    <cellStyle name="Calculation 2 5 2 4 6 4 2" xfId="29888"/>
    <cellStyle name="Calculation 2 5 2 4 6 4 3" xfId="40733"/>
    <cellStyle name="Calculation 2 5 2 4 6 4 4" xfId="19047"/>
    <cellStyle name="Calculation 2 5 2 4 6 5" xfId="21712"/>
    <cellStyle name="Calculation 2 5 2 4 6 6" xfId="32557"/>
    <cellStyle name="Calculation 2 5 2 4 6 7" xfId="13193"/>
    <cellStyle name="Calculation 2 5 2 4 7" xfId="3425"/>
    <cellStyle name="Calculation 2 5 2 4 7 2" xfId="22397"/>
    <cellStyle name="Calculation 2 5 2 4 7 3" xfId="33242"/>
    <cellStyle name="Calculation 2 5 2 4 7 4" xfId="13675"/>
    <cellStyle name="Calculation 2 5 2 4 8" xfId="6101"/>
    <cellStyle name="Calculation 2 5 2 4 8 2" xfId="25073"/>
    <cellStyle name="Calculation 2 5 2 4 8 3" xfId="35918"/>
    <cellStyle name="Calculation 2 5 2 4 8 4" xfId="15592"/>
    <cellStyle name="Calculation 2 5 2 4 9" xfId="8760"/>
    <cellStyle name="Calculation 2 5 2 4 9 2" xfId="27732"/>
    <cellStyle name="Calculation 2 5 2 4 9 3" xfId="38577"/>
    <cellStyle name="Calculation 2 5 2 4 9 4" xfId="17496"/>
    <cellStyle name="Calculation 2 5 2 5" xfId="531"/>
    <cellStyle name="Calculation 2 5 2 5 10" xfId="19541"/>
    <cellStyle name="Calculation 2 5 2 5 11" xfId="30386"/>
    <cellStyle name="Calculation 2 5 2 5 12" xfId="11605"/>
    <cellStyle name="Calculation 2 5 2 5 2" xfId="1137"/>
    <cellStyle name="Calculation 2 5 2 5 2 2" xfId="3990"/>
    <cellStyle name="Calculation 2 5 2 5 2 2 2" xfId="22962"/>
    <cellStyle name="Calculation 2 5 2 5 2 2 3" xfId="33807"/>
    <cellStyle name="Calculation 2 5 2 5 2 2 4" xfId="14082"/>
    <cellStyle name="Calculation 2 5 2 5 2 3" xfId="6663"/>
    <cellStyle name="Calculation 2 5 2 5 2 3 2" xfId="25635"/>
    <cellStyle name="Calculation 2 5 2 5 2 3 3" xfId="36480"/>
    <cellStyle name="Calculation 2 5 2 5 2 3 4" xfId="15997"/>
    <cellStyle name="Calculation 2 5 2 5 2 4" xfId="9322"/>
    <cellStyle name="Calculation 2 5 2 5 2 4 2" xfId="28294"/>
    <cellStyle name="Calculation 2 5 2 5 2 4 3" xfId="39139"/>
    <cellStyle name="Calculation 2 5 2 5 2 4 4" xfId="17901"/>
    <cellStyle name="Calculation 2 5 2 5 2 5" xfId="20118"/>
    <cellStyle name="Calculation 2 5 2 5 2 6" xfId="30963"/>
    <cellStyle name="Calculation 2 5 2 5 2 7" xfId="12047"/>
    <cellStyle name="Calculation 2 5 2 5 3" xfId="1534"/>
    <cellStyle name="Calculation 2 5 2 5 3 2" xfId="4387"/>
    <cellStyle name="Calculation 2 5 2 5 3 2 2" xfId="23359"/>
    <cellStyle name="Calculation 2 5 2 5 3 2 3" xfId="34204"/>
    <cellStyle name="Calculation 2 5 2 5 3 2 4" xfId="14368"/>
    <cellStyle name="Calculation 2 5 2 5 3 3" xfId="7059"/>
    <cellStyle name="Calculation 2 5 2 5 3 3 2" xfId="26031"/>
    <cellStyle name="Calculation 2 5 2 5 3 3 3" xfId="36876"/>
    <cellStyle name="Calculation 2 5 2 5 3 3 4" xfId="16282"/>
    <cellStyle name="Calculation 2 5 2 5 3 4" xfId="9718"/>
    <cellStyle name="Calculation 2 5 2 5 3 4 2" xfId="28690"/>
    <cellStyle name="Calculation 2 5 2 5 3 4 3" xfId="39535"/>
    <cellStyle name="Calculation 2 5 2 5 3 4 4" xfId="18186"/>
    <cellStyle name="Calculation 2 5 2 5 3 5" xfId="20514"/>
    <cellStyle name="Calculation 2 5 2 5 3 6" xfId="31359"/>
    <cellStyle name="Calculation 2 5 2 5 3 7" xfId="12332"/>
    <cellStyle name="Calculation 2 5 2 5 4" xfId="1938"/>
    <cellStyle name="Calculation 2 5 2 5 4 2" xfId="4791"/>
    <cellStyle name="Calculation 2 5 2 5 4 2 2" xfId="23763"/>
    <cellStyle name="Calculation 2 5 2 5 4 2 3" xfId="34608"/>
    <cellStyle name="Calculation 2 5 2 5 4 2 4" xfId="14656"/>
    <cellStyle name="Calculation 2 5 2 5 4 3" xfId="7463"/>
    <cellStyle name="Calculation 2 5 2 5 4 3 2" xfId="26435"/>
    <cellStyle name="Calculation 2 5 2 5 4 3 3" xfId="37280"/>
    <cellStyle name="Calculation 2 5 2 5 4 3 4" xfId="16570"/>
    <cellStyle name="Calculation 2 5 2 5 4 4" xfId="10122"/>
    <cellStyle name="Calculation 2 5 2 5 4 4 2" xfId="29094"/>
    <cellStyle name="Calculation 2 5 2 5 4 4 3" xfId="39939"/>
    <cellStyle name="Calculation 2 5 2 5 4 4 4" xfId="18474"/>
    <cellStyle name="Calculation 2 5 2 5 4 5" xfId="20918"/>
    <cellStyle name="Calculation 2 5 2 5 4 6" xfId="31763"/>
    <cellStyle name="Calculation 2 5 2 5 4 7" xfId="12620"/>
    <cellStyle name="Calculation 2 5 2 5 5" xfId="2330"/>
    <cellStyle name="Calculation 2 5 2 5 5 2" xfId="5183"/>
    <cellStyle name="Calculation 2 5 2 5 5 2 2" xfId="24155"/>
    <cellStyle name="Calculation 2 5 2 5 5 2 3" xfId="35000"/>
    <cellStyle name="Calculation 2 5 2 5 5 2 4" xfId="14937"/>
    <cellStyle name="Calculation 2 5 2 5 5 3" xfId="7854"/>
    <cellStyle name="Calculation 2 5 2 5 5 3 2" xfId="26826"/>
    <cellStyle name="Calculation 2 5 2 5 5 3 3" xfId="37671"/>
    <cellStyle name="Calculation 2 5 2 5 5 3 4" xfId="16850"/>
    <cellStyle name="Calculation 2 5 2 5 5 4" xfId="10513"/>
    <cellStyle name="Calculation 2 5 2 5 5 4 2" xfId="29485"/>
    <cellStyle name="Calculation 2 5 2 5 5 4 3" xfId="40330"/>
    <cellStyle name="Calculation 2 5 2 5 5 4 4" xfId="18754"/>
    <cellStyle name="Calculation 2 5 2 5 5 5" xfId="21309"/>
    <cellStyle name="Calculation 2 5 2 5 5 6" xfId="32154"/>
    <cellStyle name="Calculation 2 5 2 5 5 7" xfId="12900"/>
    <cellStyle name="Calculation 2 5 2 5 6" xfId="2719"/>
    <cellStyle name="Calculation 2 5 2 5 6 2" xfId="5571"/>
    <cellStyle name="Calculation 2 5 2 5 6 2 2" xfId="24543"/>
    <cellStyle name="Calculation 2 5 2 5 6 2 3" xfId="35388"/>
    <cellStyle name="Calculation 2 5 2 5 6 2 4" xfId="15215"/>
    <cellStyle name="Calculation 2 5 2 5 6 3" xfId="8242"/>
    <cellStyle name="Calculation 2 5 2 5 6 3 2" xfId="27214"/>
    <cellStyle name="Calculation 2 5 2 5 6 3 3" xfId="38059"/>
    <cellStyle name="Calculation 2 5 2 5 6 3 4" xfId="17128"/>
    <cellStyle name="Calculation 2 5 2 5 6 4" xfId="10901"/>
    <cellStyle name="Calculation 2 5 2 5 6 4 2" xfId="29873"/>
    <cellStyle name="Calculation 2 5 2 5 6 4 3" xfId="40718"/>
    <cellStyle name="Calculation 2 5 2 5 6 4 4" xfId="19032"/>
    <cellStyle name="Calculation 2 5 2 5 6 5" xfId="21697"/>
    <cellStyle name="Calculation 2 5 2 5 6 6" xfId="32542"/>
    <cellStyle name="Calculation 2 5 2 5 6 7" xfId="13178"/>
    <cellStyle name="Calculation 2 5 2 5 7" xfId="3410"/>
    <cellStyle name="Calculation 2 5 2 5 7 2" xfId="22382"/>
    <cellStyle name="Calculation 2 5 2 5 7 3" xfId="33227"/>
    <cellStyle name="Calculation 2 5 2 5 7 4" xfId="13660"/>
    <cellStyle name="Calculation 2 5 2 5 8" xfId="6086"/>
    <cellStyle name="Calculation 2 5 2 5 8 2" xfId="25058"/>
    <cellStyle name="Calculation 2 5 2 5 8 3" xfId="35903"/>
    <cellStyle name="Calculation 2 5 2 5 8 4" xfId="15577"/>
    <cellStyle name="Calculation 2 5 2 5 9" xfId="8745"/>
    <cellStyle name="Calculation 2 5 2 5 9 2" xfId="27717"/>
    <cellStyle name="Calculation 2 5 2 5 9 3" xfId="38562"/>
    <cellStyle name="Calculation 2 5 2 5 9 4" xfId="17481"/>
    <cellStyle name="Calculation 2 5 2 6" xfId="1058"/>
    <cellStyle name="Calculation 2 5 2 6 2" xfId="3911"/>
    <cellStyle name="Calculation 2 5 2 6 2 2" xfId="22883"/>
    <cellStyle name="Calculation 2 5 2 6 2 3" xfId="33728"/>
    <cellStyle name="Calculation 2 5 2 6 2 4" xfId="14024"/>
    <cellStyle name="Calculation 2 5 2 6 3" xfId="6585"/>
    <cellStyle name="Calculation 2 5 2 6 3 2" xfId="25557"/>
    <cellStyle name="Calculation 2 5 2 6 3 3" xfId="36402"/>
    <cellStyle name="Calculation 2 5 2 6 3 4" xfId="15940"/>
    <cellStyle name="Calculation 2 5 2 6 4" xfId="9244"/>
    <cellStyle name="Calculation 2 5 2 6 4 2" xfId="28216"/>
    <cellStyle name="Calculation 2 5 2 6 4 3" xfId="39061"/>
    <cellStyle name="Calculation 2 5 2 6 4 4" xfId="17844"/>
    <cellStyle name="Calculation 2 5 2 6 5" xfId="20040"/>
    <cellStyle name="Calculation 2 5 2 6 6" xfId="30885"/>
    <cellStyle name="Calculation 2 5 2 6 7" xfId="11990"/>
    <cellStyle name="Calculation 2 5 2 7" xfId="985"/>
    <cellStyle name="Calculation 2 5 2 7 2" xfId="3838"/>
    <cellStyle name="Calculation 2 5 2 7 2 2" xfId="22810"/>
    <cellStyle name="Calculation 2 5 2 7 2 3" xfId="33655"/>
    <cellStyle name="Calculation 2 5 2 7 2 4" xfId="13972"/>
    <cellStyle name="Calculation 2 5 2 7 3" xfId="6513"/>
    <cellStyle name="Calculation 2 5 2 7 3 2" xfId="25485"/>
    <cellStyle name="Calculation 2 5 2 7 3 3" xfId="36330"/>
    <cellStyle name="Calculation 2 5 2 7 3 4" xfId="15888"/>
    <cellStyle name="Calculation 2 5 2 7 4" xfId="9172"/>
    <cellStyle name="Calculation 2 5 2 7 4 2" xfId="28144"/>
    <cellStyle name="Calculation 2 5 2 7 4 3" xfId="38989"/>
    <cellStyle name="Calculation 2 5 2 7 4 4" xfId="17792"/>
    <cellStyle name="Calculation 2 5 2 7 5" xfId="19968"/>
    <cellStyle name="Calculation 2 5 2 7 6" xfId="30813"/>
    <cellStyle name="Calculation 2 5 2 7 7" xfId="11938"/>
    <cellStyle name="Calculation 2 5 2 8" xfId="1029"/>
    <cellStyle name="Calculation 2 5 2 8 2" xfId="3882"/>
    <cellStyle name="Calculation 2 5 2 8 2 2" xfId="22854"/>
    <cellStyle name="Calculation 2 5 2 8 2 3" xfId="33699"/>
    <cellStyle name="Calculation 2 5 2 8 2 4" xfId="14002"/>
    <cellStyle name="Calculation 2 5 2 8 3" xfId="6556"/>
    <cellStyle name="Calculation 2 5 2 8 3 2" xfId="25528"/>
    <cellStyle name="Calculation 2 5 2 8 3 3" xfId="36373"/>
    <cellStyle name="Calculation 2 5 2 8 3 4" xfId="15918"/>
    <cellStyle name="Calculation 2 5 2 8 4" xfId="9215"/>
    <cellStyle name="Calculation 2 5 2 8 4 2" xfId="28187"/>
    <cellStyle name="Calculation 2 5 2 8 4 3" xfId="39032"/>
    <cellStyle name="Calculation 2 5 2 8 4 4" xfId="17822"/>
    <cellStyle name="Calculation 2 5 2 8 5" xfId="20011"/>
    <cellStyle name="Calculation 2 5 2 8 6" xfId="30856"/>
    <cellStyle name="Calculation 2 5 2 8 7" xfId="11968"/>
    <cellStyle name="Calculation 2 5 2 9" xfId="938"/>
    <cellStyle name="Calculation 2 5 2 9 2" xfId="3792"/>
    <cellStyle name="Calculation 2 5 2 9 2 2" xfId="22764"/>
    <cellStyle name="Calculation 2 5 2 9 2 3" xfId="33609"/>
    <cellStyle name="Calculation 2 5 2 9 2 4" xfId="13937"/>
    <cellStyle name="Calculation 2 5 2 9 3" xfId="6467"/>
    <cellStyle name="Calculation 2 5 2 9 3 2" xfId="25439"/>
    <cellStyle name="Calculation 2 5 2 9 3 3" xfId="36284"/>
    <cellStyle name="Calculation 2 5 2 9 3 4" xfId="15853"/>
    <cellStyle name="Calculation 2 5 2 9 4" xfId="9126"/>
    <cellStyle name="Calculation 2 5 2 9 4 2" xfId="28098"/>
    <cellStyle name="Calculation 2 5 2 9 4 3" xfId="38943"/>
    <cellStyle name="Calculation 2 5 2 9 4 4" xfId="17757"/>
    <cellStyle name="Calculation 2 5 2 9 5" xfId="19922"/>
    <cellStyle name="Calculation 2 5 2 9 6" xfId="30767"/>
    <cellStyle name="Calculation 2 5 2 9 7" xfId="11903"/>
    <cellStyle name="Calculation 2 5 3" xfId="540"/>
    <cellStyle name="Calculation 2 5 3 10" xfId="19550"/>
    <cellStyle name="Calculation 2 5 3 11" xfId="30395"/>
    <cellStyle name="Calculation 2 5 3 12" xfId="11614"/>
    <cellStyle name="Calculation 2 5 3 2" xfId="1146"/>
    <cellStyle name="Calculation 2 5 3 2 2" xfId="3999"/>
    <cellStyle name="Calculation 2 5 3 2 2 2" xfId="22971"/>
    <cellStyle name="Calculation 2 5 3 2 2 3" xfId="33816"/>
    <cellStyle name="Calculation 2 5 3 2 2 4" xfId="14091"/>
    <cellStyle name="Calculation 2 5 3 2 3" xfId="6672"/>
    <cellStyle name="Calculation 2 5 3 2 3 2" xfId="25644"/>
    <cellStyle name="Calculation 2 5 3 2 3 3" xfId="36489"/>
    <cellStyle name="Calculation 2 5 3 2 3 4" xfId="16006"/>
    <cellStyle name="Calculation 2 5 3 2 4" xfId="9331"/>
    <cellStyle name="Calculation 2 5 3 2 4 2" xfId="28303"/>
    <cellStyle name="Calculation 2 5 3 2 4 3" xfId="39148"/>
    <cellStyle name="Calculation 2 5 3 2 4 4" xfId="17910"/>
    <cellStyle name="Calculation 2 5 3 2 5" xfId="20127"/>
    <cellStyle name="Calculation 2 5 3 2 6" xfId="30972"/>
    <cellStyle name="Calculation 2 5 3 2 7" xfId="12056"/>
    <cellStyle name="Calculation 2 5 3 3" xfId="1543"/>
    <cellStyle name="Calculation 2 5 3 3 2" xfId="4396"/>
    <cellStyle name="Calculation 2 5 3 3 2 2" xfId="23368"/>
    <cellStyle name="Calculation 2 5 3 3 2 3" xfId="34213"/>
    <cellStyle name="Calculation 2 5 3 3 2 4" xfId="14377"/>
    <cellStyle name="Calculation 2 5 3 3 3" xfId="7068"/>
    <cellStyle name="Calculation 2 5 3 3 3 2" xfId="26040"/>
    <cellStyle name="Calculation 2 5 3 3 3 3" xfId="36885"/>
    <cellStyle name="Calculation 2 5 3 3 3 4" xfId="16291"/>
    <cellStyle name="Calculation 2 5 3 3 4" xfId="9727"/>
    <cellStyle name="Calculation 2 5 3 3 4 2" xfId="28699"/>
    <cellStyle name="Calculation 2 5 3 3 4 3" xfId="39544"/>
    <cellStyle name="Calculation 2 5 3 3 4 4" xfId="18195"/>
    <cellStyle name="Calculation 2 5 3 3 5" xfId="20523"/>
    <cellStyle name="Calculation 2 5 3 3 6" xfId="31368"/>
    <cellStyle name="Calculation 2 5 3 3 7" xfId="12341"/>
    <cellStyle name="Calculation 2 5 3 4" xfId="1947"/>
    <cellStyle name="Calculation 2 5 3 4 2" xfId="4800"/>
    <cellStyle name="Calculation 2 5 3 4 2 2" xfId="23772"/>
    <cellStyle name="Calculation 2 5 3 4 2 3" xfId="34617"/>
    <cellStyle name="Calculation 2 5 3 4 2 4" xfId="14665"/>
    <cellStyle name="Calculation 2 5 3 4 3" xfId="7472"/>
    <cellStyle name="Calculation 2 5 3 4 3 2" xfId="26444"/>
    <cellStyle name="Calculation 2 5 3 4 3 3" xfId="37289"/>
    <cellStyle name="Calculation 2 5 3 4 3 4" xfId="16579"/>
    <cellStyle name="Calculation 2 5 3 4 4" xfId="10131"/>
    <cellStyle name="Calculation 2 5 3 4 4 2" xfId="29103"/>
    <cellStyle name="Calculation 2 5 3 4 4 3" xfId="39948"/>
    <cellStyle name="Calculation 2 5 3 4 4 4" xfId="18483"/>
    <cellStyle name="Calculation 2 5 3 4 5" xfId="20927"/>
    <cellStyle name="Calculation 2 5 3 4 6" xfId="31772"/>
    <cellStyle name="Calculation 2 5 3 4 7" xfId="12629"/>
    <cellStyle name="Calculation 2 5 3 5" xfId="2339"/>
    <cellStyle name="Calculation 2 5 3 5 2" xfId="5192"/>
    <cellStyle name="Calculation 2 5 3 5 2 2" xfId="24164"/>
    <cellStyle name="Calculation 2 5 3 5 2 3" xfId="35009"/>
    <cellStyle name="Calculation 2 5 3 5 2 4" xfId="14946"/>
    <cellStyle name="Calculation 2 5 3 5 3" xfId="7863"/>
    <cellStyle name="Calculation 2 5 3 5 3 2" xfId="26835"/>
    <cellStyle name="Calculation 2 5 3 5 3 3" xfId="37680"/>
    <cellStyle name="Calculation 2 5 3 5 3 4" xfId="16859"/>
    <cellStyle name="Calculation 2 5 3 5 4" xfId="10522"/>
    <cellStyle name="Calculation 2 5 3 5 4 2" xfId="29494"/>
    <cellStyle name="Calculation 2 5 3 5 4 3" xfId="40339"/>
    <cellStyle name="Calculation 2 5 3 5 4 4" xfId="18763"/>
    <cellStyle name="Calculation 2 5 3 5 5" xfId="21318"/>
    <cellStyle name="Calculation 2 5 3 5 6" xfId="32163"/>
    <cellStyle name="Calculation 2 5 3 5 7" xfId="12909"/>
    <cellStyle name="Calculation 2 5 3 6" xfId="2728"/>
    <cellStyle name="Calculation 2 5 3 6 2" xfId="5580"/>
    <cellStyle name="Calculation 2 5 3 6 2 2" xfId="24552"/>
    <cellStyle name="Calculation 2 5 3 6 2 3" xfId="35397"/>
    <cellStyle name="Calculation 2 5 3 6 2 4" xfId="15224"/>
    <cellStyle name="Calculation 2 5 3 6 3" xfId="8251"/>
    <cellStyle name="Calculation 2 5 3 6 3 2" xfId="27223"/>
    <cellStyle name="Calculation 2 5 3 6 3 3" xfId="38068"/>
    <cellStyle name="Calculation 2 5 3 6 3 4" xfId="17137"/>
    <cellStyle name="Calculation 2 5 3 6 4" xfId="10910"/>
    <cellStyle name="Calculation 2 5 3 6 4 2" xfId="29882"/>
    <cellStyle name="Calculation 2 5 3 6 4 3" xfId="40727"/>
    <cellStyle name="Calculation 2 5 3 6 4 4" xfId="19041"/>
    <cellStyle name="Calculation 2 5 3 6 5" xfId="21706"/>
    <cellStyle name="Calculation 2 5 3 6 6" xfId="32551"/>
    <cellStyle name="Calculation 2 5 3 6 7" xfId="13187"/>
    <cellStyle name="Calculation 2 5 3 7" xfId="3419"/>
    <cellStyle name="Calculation 2 5 3 7 2" xfId="22391"/>
    <cellStyle name="Calculation 2 5 3 7 3" xfId="33236"/>
    <cellStyle name="Calculation 2 5 3 7 4" xfId="13669"/>
    <cellStyle name="Calculation 2 5 3 8" xfId="6095"/>
    <cellStyle name="Calculation 2 5 3 8 2" xfId="25067"/>
    <cellStyle name="Calculation 2 5 3 8 3" xfId="35912"/>
    <cellStyle name="Calculation 2 5 3 8 4" xfId="15586"/>
    <cellStyle name="Calculation 2 5 3 9" xfId="8754"/>
    <cellStyle name="Calculation 2 5 3 9 2" xfId="27726"/>
    <cellStyle name="Calculation 2 5 3 9 3" xfId="38571"/>
    <cellStyle name="Calculation 2 5 3 9 4" xfId="17490"/>
    <cellStyle name="Calculation 2 5 4" xfId="11432"/>
    <cellStyle name="Calculation 2 6" xfId="62"/>
    <cellStyle name="Calculation 2 6 2" xfId="353"/>
    <cellStyle name="Calculation 2 6 2 10" xfId="925"/>
    <cellStyle name="Calculation 2 6 2 10 2" xfId="3780"/>
    <cellStyle name="Calculation 2 6 2 10 2 2" xfId="22752"/>
    <cellStyle name="Calculation 2 6 2 10 2 3" xfId="33597"/>
    <cellStyle name="Calculation 2 6 2 10 2 4" xfId="13926"/>
    <cellStyle name="Calculation 2 6 2 10 3" xfId="6455"/>
    <cellStyle name="Calculation 2 6 2 10 3 2" xfId="25427"/>
    <cellStyle name="Calculation 2 6 2 10 3 3" xfId="36272"/>
    <cellStyle name="Calculation 2 6 2 10 3 4" xfId="15842"/>
    <cellStyle name="Calculation 2 6 2 10 4" xfId="9114"/>
    <cellStyle name="Calculation 2 6 2 10 4 2" xfId="28086"/>
    <cellStyle name="Calculation 2 6 2 10 4 3" xfId="38931"/>
    <cellStyle name="Calculation 2 6 2 10 4 4" xfId="17746"/>
    <cellStyle name="Calculation 2 6 2 10 5" xfId="19910"/>
    <cellStyle name="Calculation 2 6 2 10 6" xfId="30755"/>
    <cellStyle name="Calculation 2 6 2 10 7" xfId="11892"/>
    <cellStyle name="Calculation 2 6 2 11" xfId="1936"/>
    <cellStyle name="Calculation 2 6 2 11 2" xfId="4789"/>
    <cellStyle name="Calculation 2 6 2 11 2 2" xfId="23761"/>
    <cellStyle name="Calculation 2 6 2 11 2 3" xfId="34606"/>
    <cellStyle name="Calculation 2 6 2 11 2 4" xfId="14654"/>
    <cellStyle name="Calculation 2 6 2 11 3" xfId="7461"/>
    <cellStyle name="Calculation 2 6 2 11 3 2" xfId="26433"/>
    <cellStyle name="Calculation 2 6 2 11 3 3" xfId="37278"/>
    <cellStyle name="Calculation 2 6 2 11 3 4" xfId="16568"/>
    <cellStyle name="Calculation 2 6 2 11 4" xfId="10120"/>
    <cellStyle name="Calculation 2 6 2 11 4 2" xfId="29092"/>
    <cellStyle name="Calculation 2 6 2 11 4 3" xfId="39937"/>
    <cellStyle name="Calculation 2 6 2 11 4 4" xfId="18472"/>
    <cellStyle name="Calculation 2 6 2 11 5" xfId="20916"/>
    <cellStyle name="Calculation 2 6 2 11 6" xfId="31761"/>
    <cellStyle name="Calculation 2 6 2 11 7" xfId="12618"/>
    <cellStyle name="Calculation 2 6 2 12" xfId="2030"/>
    <cellStyle name="Calculation 2 6 2 12 2" xfId="4883"/>
    <cellStyle name="Calculation 2 6 2 12 2 2" xfId="23855"/>
    <cellStyle name="Calculation 2 6 2 12 2 3" xfId="34700"/>
    <cellStyle name="Calculation 2 6 2 12 2 4" xfId="14729"/>
    <cellStyle name="Calculation 2 6 2 12 3" xfId="7555"/>
    <cellStyle name="Calculation 2 6 2 12 3 2" xfId="26527"/>
    <cellStyle name="Calculation 2 6 2 12 3 3" xfId="37372"/>
    <cellStyle name="Calculation 2 6 2 12 3 4" xfId="16643"/>
    <cellStyle name="Calculation 2 6 2 12 4" xfId="10214"/>
    <cellStyle name="Calculation 2 6 2 12 4 2" xfId="29186"/>
    <cellStyle name="Calculation 2 6 2 12 4 3" xfId="40031"/>
    <cellStyle name="Calculation 2 6 2 12 4 4" xfId="18547"/>
    <cellStyle name="Calculation 2 6 2 12 5" xfId="21010"/>
    <cellStyle name="Calculation 2 6 2 12 6" xfId="31855"/>
    <cellStyle name="Calculation 2 6 2 12 7" xfId="12693"/>
    <cellStyle name="Calculation 2 6 2 13" xfId="1011"/>
    <cellStyle name="Calculation 2 6 2 13 2" xfId="3864"/>
    <cellStyle name="Calculation 2 6 2 13 2 2" xfId="22836"/>
    <cellStyle name="Calculation 2 6 2 13 2 3" xfId="33681"/>
    <cellStyle name="Calculation 2 6 2 13 2 4" xfId="13988"/>
    <cellStyle name="Calculation 2 6 2 13 3" xfId="6538"/>
    <cellStyle name="Calculation 2 6 2 13 3 2" xfId="25510"/>
    <cellStyle name="Calculation 2 6 2 13 3 3" xfId="36355"/>
    <cellStyle name="Calculation 2 6 2 13 3 4" xfId="15904"/>
    <cellStyle name="Calculation 2 6 2 13 4" xfId="9197"/>
    <cellStyle name="Calculation 2 6 2 13 4 2" xfId="28169"/>
    <cellStyle name="Calculation 2 6 2 13 4 3" xfId="39014"/>
    <cellStyle name="Calculation 2 6 2 13 4 4" xfId="17808"/>
    <cellStyle name="Calculation 2 6 2 13 5" xfId="19993"/>
    <cellStyle name="Calculation 2 6 2 13 6" xfId="30838"/>
    <cellStyle name="Calculation 2 6 2 13 7" xfId="11954"/>
    <cellStyle name="Calculation 2 6 2 14" xfId="3269"/>
    <cellStyle name="Calculation 2 6 2 14 2" xfId="22243"/>
    <cellStyle name="Calculation 2 6 2 14 3" xfId="33088"/>
    <cellStyle name="Calculation 2 6 2 14 4" xfId="13567"/>
    <cellStyle name="Calculation 2 6 2 15" xfId="3222"/>
    <cellStyle name="Calculation 2 6 2 15 2" xfId="22199"/>
    <cellStyle name="Calculation 2 6 2 15 3" xfId="33044"/>
    <cellStyle name="Calculation 2 6 2 15 4" xfId="13530"/>
    <cellStyle name="Calculation 2 6 2 16" xfId="3258"/>
    <cellStyle name="Calculation 2 6 2 16 2" xfId="22233"/>
    <cellStyle name="Calculation 2 6 2 16 3" xfId="33078"/>
    <cellStyle name="Calculation 2 6 2 16 4" xfId="13559"/>
    <cellStyle name="Calculation 2 6 2 17" xfId="19450"/>
    <cellStyle name="Calculation 2 6 2 18" xfId="19440"/>
    <cellStyle name="Calculation 2 6 2 19" xfId="11509"/>
    <cellStyle name="Calculation 2 6 2 2" xfId="661"/>
    <cellStyle name="Calculation 2 6 2 2 10" xfId="19646"/>
    <cellStyle name="Calculation 2 6 2 2 11" xfId="30491"/>
    <cellStyle name="Calculation 2 6 2 2 12" xfId="11713"/>
    <cellStyle name="Calculation 2 6 2 2 2" xfId="1248"/>
    <cellStyle name="Calculation 2 6 2 2 2 2" xfId="4101"/>
    <cellStyle name="Calculation 2 6 2 2 2 2 2" xfId="23073"/>
    <cellStyle name="Calculation 2 6 2 2 2 2 3" xfId="33918"/>
    <cellStyle name="Calculation 2 6 2 2 2 2 4" xfId="14174"/>
    <cellStyle name="Calculation 2 6 2 2 2 3" xfId="6774"/>
    <cellStyle name="Calculation 2 6 2 2 2 3 2" xfId="25746"/>
    <cellStyle name="Calculation 2 6 2 2 2 3 3" xfId="36591"/>
    <cellStyle name="Calculation 2 6 2 2 2 3 4" xfId="16089"/>
    <cellStyle name="Calculation 2 6 2 2 2 4" xfId="9433"/>
    <cellStyle name="Calculation 2 6 2 2 2 4 2" xfId="28405"/>
    <cellStyle name="Calculation 2 6 2 2 2 4 3" xfId="39250"/>
    <cellStyle name="Calculation 2 6 2 2 2 4 4" xfId="17993"/>
    <cellStyle name="Calculation 2 6 2 2 2 5" xfId="20229"/>
    <cellStyle name="Calculation 2 6 2 2 2 6" xfId="31074"/>
    <cellStyle name="Calculation 2 6 2 2 2 7" xfId="12139"/>
    <cellStyle name="Calculation 2 6 2 2 3" xfId="1647"/>
    <cellStyle name="Calculation 2 6 2 2 3 2" xfId="4500"/>
    <cellStyle name="Calculation 2 6 2 2 3 2 2" xfId="23472"/>
    <cellStyle name="Calculation 2 6 2 2 3 2 3" xfId="34317"/>
    <cellStyle name="Calculation 2 6 2 2 3 2 4" xfId="14461"/>
    <cellStyle name="Calculation 2 6 2 2 3 3" xfId="7172"/>
    <cellStyle name="Calculation 2 6 2 2 3 3 2" xfId="26144"/>
    <cellStyle name="Calculation 2 6 2 2 3 3 3" xfId="36989"/>
    <cellStyle name="Calculation 2 6 2 2 3 3 4" xfId="16375"/>
    <cellStyle name="Calculation 2 6 2 2 3 4" xfId="9831"/>
    <cellStyle name="Calculation 2 6 2 2 3 4 2" xfId="28803"/>
    <cellStyle name="Calculation 2 6 2 2 3 4 3" xfId="39648"/>
    <cellStyle name="Calculation 2 6 2 2 3 4 4" xfId="18279"/>
    <cellStyle name="Calculation 2 6 2 2 3 5" xfId="20627"/>
    <cellStyle name="Calculation 2 6 2 2 3 6" xfId="31472"/>
    <cellStyle name="Calculation 2 6 2 2 3 7" xfId="12425"/>
    <cellStyle name="Calculation 2 6 2 2 4" xfId="2051"/>
    <cellStyle name="Calculation 2 6 2 2 4 2" xfId="4904"/>
    <cellStyle name="Calculation 2 6 2 2 4 2 2" xfId="23876"/>
    <cellStyle name="Calculation 2 6 2 2 4 2 3" xfId="34721"/>
    <cellStyle name="Calculation 2 6 2 2 4 2 4" xfId="14748"/>
    <cellStyle name="Calculation 2 6 2 2 4 3" xfId="7575"/>
    <cellStyle name="Calculation 2 6 2 2 4 3 2" xfId="26547"/>
    <cellStyle name="Calculation 2 6 2 2 4 3 3" xfId="37392"/>
    <cellStyle name="Calculation 2 6 2 2 4 3 4" xfId="16661"/>
    <cellStyle name="Calculation 2 6 2 2 4 4" xfId="10234"/>
    <cellStyle name="Calculation 2 6 2 2 4 4 2" xfId="29206"/>
    <cellStyle name="Calculation 2 6 2 2 4 4 3" xfId="40051"/>
    <cellStyle name="Calculation 2 6 2 2 4 4 4" xfId="18565"/>
    <cellStyle name="Calculation 2 6 2 2 4 5" xfId="21030"/>
    <cellStyle name="Calculation 2 6 2 2 4 6" xfId="31875"/>
    <cellStyle name="Calculation 2 6 2 2 4 7" xfId="12711"/>
    <cellStyle name="Calculation 2 6 2 2 5" xfId="2441"/>
    <cellStyle name="Calculation 2 6 2 2 5 2" xfId="5293"/>
    <cellStyle name="Calculation 2 6 2 2 5 2 2" xfId="24265"/>
    <cellStyle name="Calculation 2 6 2 2 5 2 3" xfId="35110"/>
    <cellStyle name="Calculation 2 6 2 2 5 2 4" xfId="15027"/>
    <cellStyle name="Calculation 2 6 2 2 5 3" xfId="7964"/>
    <cellStyle name="Calculation 2 6 2 2 5 3 2" xfId="26936"/>
    <cellStyle name="Calculation 2 6 2 2 5 3 3" xfId="37781"/>
    <cellStyle name="Calculation 2 6 2 2 5 3 4" xfId="16940"/>
    <cellStyle name="Calculation 2 6 2 2 5 4" xfId="10623"/>
    <cellStyle name="Calculation 2 6 2 2 5 4 2" xfId="29595"/>
    <cellStyle name="Calculation 2 6 2 2 5 4 3" xfId="40440"/>
    <cellStyle name="Calculation 2 6 2 2 5 4 4" xfId="18844"/>
    <cellStyle name="Calculation 2 6 2 2 5 5" xfId="21419"/>
    <cellStyle name="Calculation 2 6 2 2 5 6" xfId="32264"/>
    <cellStyle name="Calculation 2 6 2 2 5 7" xfId="12990"/>
    <cellStyle name="Calculation 2 6 2 2 6" xfId="2827"/>
    <cellStyle name="Calculation 2 6 2 2 6 2" xfId="5678"/>
    <cellStyle name="Calculation 2 6 2 2 6 2 2" xfId="24650"/>
    <cellStyle name="Calculation 2 6 2 2 6 2 3" xfId="35495"/>
    <cellStyle name="Calculation 2 6 2 2 6 2 4" xfId="15303"/>
    <cellStyle name="Calculation 2 6 2 2 6 3" xfId="8349"/>
    <cellStyle name="Calculation 2 6 2 2 6 3 2" xfId="27321"/>
    <cellStyle name="Calculation 2 6 2 2 6 3 3" xfId="38166"/>
    <cellStyle name="Calculation 2 6 2 2 6 3 4" xfId="17216"/>
    <cellStyle name="Calculation 2 6 2 2 6 4" xfId="11008"/>
    <cellStyle name="Calculation 2 6 2 2 6 4 2" xfId="29980"/>
    <cellStyle name="Calculation 2 6 2 2 6 4 3" xfId="40825"/>
    <cellStyle name="Calculation 2 6 2 2 6 4 4" xfId="19120"/>
    <cellStyle name="Calculation 2 6 2 2 6 5" xfId="21804"/>
    <cellStyle name="Calculation 2 6 2 2 6 6" xfId="32649"/>
    <cellStyle name="Calculation 2 6 2 2 6 7" xfId="13266"/>
    <cellStyle name="Calculation 2 6 2 2 7" xfId="3516"/>
    <cellStyle name="Calculation 2 6 2 2 7 2" xfId="22488"/>
    <cellStyle name="Calculation 2 6 2 2 7 3" xfId="33333"/>
    <cellStyle name="Calculation 2 6 2 2 7 4" xfId="13747"/>
    <cellStyle name="Calculation 2 6 2 2 8" xfId="6191"/>
    <cellStyle name="Calculation 2 6 2 2 8 2" xfId="25163"/>
    <cellStyle name="Calculation 2 6 2 2 8 3" xfId="36008"/>
    <cellStyle name="Calculation 2 6 2 2 8 4" xfId="15663"/>
    <cellStyle name="Calculation 2 6 2 2 9" xfId="8850"/>
    <cellStyle name="Calculation 2 6 2 2 9 2" xfId="27822"/>
    <cellStyle name="Calculation 2 6 2 2 9 3" xfId="38667"/>
    <cellStyle name="Calculation 2 6 2 2 9 4" xfId="17567"/>
    <cellStyle name="Calculation 2 6 2 3" xfId="606"/>
    <cellStyle name="Calculation 2 6 2 3 10" xfId="19613"/>
    <cellStyle name="Calculation 2 6 2 3 11" xfId="30458"/>
    <cellStyle name="Calculation 2 6 2 3 12" xfId="11668"/>
    <cellStyle name="Calculation 2 6 2 3 2" xfId="1210"/>
    <cellStyle name="Calculation 2 6 2 3 2 2" xfId="4063"/>
    <cellStyle name="Calculation 2 6 2 3 2 2 2" xfId="23035"/>
    <cellStyle name="Calculation 2 6 2 3 2 2 3" xfId="33880"/>
    <cellStyle name="Calculation 2 6 2 3 2 2 4" xfId="14143"/>
    <cellStyle name="Calculation 2 6 2 3 2 3" xfId="6736"/>
    <cellStyle name="Calculation 2 6 2 3 2 3 2" xfId="25708"/>
    <cellStyle name="Calculation 2 6 2 3 2 3 3" xfId="36553"/>
    <cellStyle name="Calculation 2 6 2 3 2 3 4" xfId="16058"/>
    <cellStyle name="Calculation 2 6 2 3 2 4" xfId="9395"/>
    <cellStyle name="Calculation 2 6 2 3 2 4 2" xfId="28367"/>
    <cellStyle name="Calculation 2 6 2 3 2 4 3" xfId="39212"/>
    <cellStyle name="Calculation 2 6 2 3 2 4 4" xfId="17962"/>
    <cellStyle name="Calculation 2 6 2 3 2 5" xfId="20191"/>
    <cellStyle name="Calculation 2 6 2 3 2 6" xfId="31036"/>
    <cellStyle name="Calculation 2 6 2 3 2 7" xfId="12108"/>
    <cellStyle name="Calculation 2 6 2 3 3" xfId="1608"/>
    <cellStyle name="Calculation 2 6 2 3 3 2" xfId="4461"/>
    <cellStyle name="Calculation 2 6 2 3 3 2 2" xfId="23433"/>
    <cellStyle name="Calculation 2 6 2 3 3 2 3" xfId="34278"/>
    <cellStyle name="Calculation 2 6 2 3 3 2 4" xfId="14430"/>
    <cellStyle name="Calculation 2 6 2 3 3 3" xfId="7133"/>
    <cellStyle name="Calculation 2 6 2 3 3 3 2" xfId="26105"/>
    <cellStyle name="Calculation 2 6 2 3 3 3 3" xfId="36950"/>
    <cellStyle name="Calculation 2 6 2 3 3 3 4" xfId="16344"/>
    <cellStyle name="Calculation 2 6 2 3 3 4" xfId="9792"/>
    <cellStyle name="Calculation 2 6 2 3 3 4 2" xfId="28764"/>
    <cellStyle name="Calculation 2 6 2 3 3 4 3" xfId="39609"/>
    <cellStyle name="Calculation 2 6 2 3 3 4 4" xfId="18248"/>
    <cellStyle name="Calculation 2 6 2 3 3 5" xfId="20588"/>
    <cellStyle name="Calculation 2 6 2 3 3 6" xfId="31433"/>
    <cellStyle name="Calculation 2 6 2 3 3 7" xfId="12394"/>
    <cellStyle name="Calculation 2 6 2 3 4" xfId="2010"/>
    <cellStyle name="Calculation 2 6 2 3 4 2" xfId="4863"/>
    <cellStyle name="Calculation 2 6 2 3 4 2 2" xfId="23835"/>
    <cellStyle name="Calculation 2 6 2 3 4 2 3" xfId="34680"/>
    <cellStyle name="Calculation 2 6 2 3 4 2 4" xfId="14716"/>
    <cellStyle name="Calculation 2 6 2 3 4 3" xfId="7535"/>
    <cellStyle name="Calculation 2 6 2 3 4 3 2" xfId="26507"/>
    <cellStyle name="Calculation 2 6 2 3 4 3 3" xfId="37352"/>
    <cellStyle name="Calculation 2 6 2 3 4 3 4" xfId="16630"/>
    <cellStyle name="Calculation 2 6 2 3 4 4" xfId="10194"/>
    <cellStyle name="Calculation 2 6 2 3 4 4 2" xfId="29166"/>
    <cellStyle name="Calculation 2 6 2 3 4 4 3" xfId="40011"/>
    <cellStyle name="Calculation 2 6 2 3 4 4 4" xfId="18534"/>
    <cellStyle name="Calculation 2 6 2 3 4 5" xfId="20990"/>
    <cellStyle name="Calculation 2 6 2 3 4 6" xfId="31835"/>
    <cellStyle name="Calculation 2 6 2 3 4 7" xfId="12680"/>
    <cellStyle name="Calculation 2 6 2 3 5" xfId="2402"/>
    <cellStyle name="Calculation 2 6 2 3 5 2" xfId="5255"/>
    <cellStyle name="Calculation 2 6 2 3 5 2 2" xfId="24227"/>
    <cellStyle name="Calculation 2 6 2 3 5 2 3" xfId="35072"/>
    <cellStyle name="Calculation 2 6 2 3 5 2 4" xfId="14997"/>
    <cellStyle name="Calculation 2 6 2 3 5 3" xfId="7926"/>
    <cellStyle name="Calculation 2 6 2 3 5 3 2" xfId="26898"/>
    <cellStyle name="Calculation 2 6 2 3 5 3 3" xfId="37743"/>
    <cellStyle name="Calculation 2 6 2 3 5 3 4" xfId="16910"/>
    <cellStyle name="Calculation 2 6 2 3 5 4" xfId="10585"/>
    <cellStyle name="Calculation 2 6 2 3 5 4 2" xfId="29557"/>
    <cellStyle name="Calculation 2 6 2 3 5 4 3" xfId="40402"/>
    <cellStyle name="Calculation 2 6 2 3 5 4 4" xfId="18814"/>
    <cellStyle name="Calculation 2 6 2 3 5 5" xfId="21381"/>
    <cellStyle name="Calculation 2 6 2 3 5 6" xfId="32226"/>
    <cellStyle name="Calculation 2 6 2 3 5 7" xfId="12960"/>
    <cellStyle name="Calculation 2 6 2 3 6" xfId="2791"/>
    <cellStyle name="Calculation 2 6 2 3 6 2" xfId="5643"/>
    <cellStyle name="Calculation 2 6 2 3 6 2 2" xfId="24615"/>
    <cellStyle name="Calculation 2 6 2 3 6 2 3" xfId="35460"/>
    <cellStyle name="Calculation 2 6 2 3 6 2 4" xfId="15275"/>
    <cellStyle name="Calculation 2 6 2 3 6 3" xfId="8314"/>
    <cellStyle name="Calculation 2 6 2 3 6 3 2" xfId="27286"/>
    <cellStyle name="Calculation 2 6 2 3 6 3 3" xfId="38131"/>
    <cellStyle name="Calculation 2 6 2 3 6 3 4" xfId="17188"/>
    <cellStyle name="Calculation 2 6 2 3 6 4" xfId="10973"/>
    <cellStyle name="Calculation 2 6 2 3 6 4 2" xfId="29945"/>
    <cellStyle name="Calculation 2 6 2 3 6 4 3" xfId="40790"/>
    <cellStyle name="Calculation 2 6 2 3 6 4 4" xfId="19092"/>
    <cellStyle name="Calculation 2 6 2 3 6 5" xfId="21769"/>
    <cellStyle name="Calculation 2 6 2 3 6 6" xfId="32614"/>
    <cellStyle name="Calculation 2 6 2 3 6 7" xfId="13238"/>
    <cellStyle name="Calculation 2 6 2 3 7" xfId="3482"/>
    <cellStyle name="Calculation 2 6 2 3 7 2" xfId="22454"/>
    <cellStyle name="Calculation 2 6 2 3 7 3" xfId="33299"/>
    <cellStyle name="Calculation 2 6 2 3 7 4" xfId="13720"/>
    <cellStyle name="Calculation 2 6 2 3 8" xfId="6158"/>
    <cellStyle name="Calculation 2 6 2 3 8 2" xfId="25130"/>
    <cellStyle name="Calculation 2 6 2 3 8 3" xfId="35975"/>
    <cellStyle name="Calculation 2 6 2 3 8 4" xfId="15637"/>
    <cellStyle name="Calculation 2 6 2 3 9" xfId="8817"/>
    <cellStyle name="Calculation 2 6 2 3 9 2" xfId="27789"/>
    <cellStyle name="Calculation 2 6 2 3 9 3" xfId="38634"/>
    <cellStyle name="Calculation 2 6 2 3 9 4" xfId="17541"/>
    <cellStyle name="Calculation 2 6 2 4" xfId="607"/>
    <cellStyle name="Calculation 2 6 2 4 10" xfId="19614"/>
    <cellStyle name="Calculation 2 6 2 4 11" xfId="30459"/>
    <cellStyle name="Calculation 2 6 2 4 12" xfId="11669"/>
    <cellStyle name="Calculation 2 6 2 4 2" xfId="1211"/>
    <cellStyle name="Calculation 2 6 2 4 2 2" xfId="4064"/>
    <cellStyle name="Calculation 2 6 2 4 2 2 2" xfId="23036"/>
    <cellStyle name="Calculation 2 6 2 4 2 2 3" xfId="33881"/>
    <cellStyle name="Calculation 2 6 2 4 2 2 4" xfId="14144"/>
    <cellStyle name="Calculation 2 6 2 4 2 3" xfId="6737"/>
    <cellStyle name="Calculation 2 6 2 4 2 3 2" xfId="25709"/>
    <cellStyle name="Calculation 2 6 2 4 2 3 3" xfId="36554"/>
    <cellStyle name="Calculation 2 6 2 4 2 3 4" xfId="16059"/>
    <cellStyle name="Calculation 2 6 2 4 2 4" xfId="9396"/>
    <cellStyle name="Calculation 2 6 2 4 2 4 2" xfId="28368"/>
    <cellStyle name="Calculation 2 6 2 4 2 4 3" xfId="39213"/>
    <cellStyle name="Calculation 2 6 2 4 2 4 4" xfId="17963"/>
    <cellStyle name="Calculation 2 6 2 4 2 5" xfId="20192"/>
    <cellStyle name="Calculation 2 6 2 4 2 6" xfId="31037"/>
    <cellStyle name="Calculation 2 6 2 4 2 7" xfId="12109"/>
    <cellStyle name="Calculation 2 6 2 4 3" xfId="1609"/>
    <cellStyle name="Calculation 2 6 2 4 3 2" xfId="4462"/>
    <cellStyle name="Calculation 2 6 2 4 3 2 2" xfId="23434"/>
    <cellStyle name="Calculation 2 6 2 4 3 2 3" xfId="34279"/>
    <cellStyle name="Calculation 2 6 2 4 3 2 4" xfId="14431"/>
    <cellStyle name="Calculation 2 6 2 4 3 3" xfId="7134"/>
    <cellStyle name="Calculation 2 6 2 4 3 3 2" xfId="26106"/>
    <cellStyle name="Calculation 2 6 2 4 3 3 3" xfId="36951"/>
    <cellStyle name="Calculation 2 6 2 4 3 3 4" xfId="16345"/>
    <cellStyle name="Calculation 2 6 2 4 3 4" xfId="9793"/>
    <cellStyle name="Calculation 2 6 2 4 3 4 2" xfId="28765"/>
    <cellStyle name="Calculation 2 6 2 4 3 4 3" xfId="39610"/>
    <cellStyle name="Calculation 2 6 2 4 3 4 4" xfId="18249"/>
    <cellStyle name="Calculation 2 6 2 4 3 5" xfId="20589"/>
    <cellStyle name="Calculation 2 6 2 4 3 6" xfId="31434"/>
    <cellStyle name="Calculation 2 6 2 4 3 7" xfId="12395"/>
    <cellStyle name="Calculation 2 6 2 4 4" xfId="2011"/>
    <cellStyle name="Calculation 2 6 2 4 4 2" xfId="4864"/>
    <cellStyle name="Calculation 2 6 2 4 4 2 2" xfId="23836"/>
    <cellStyle name="Calculation 2 6 2 4 4 2 3" xfId="34681"/>
    <cellStyle name="Calculation 2 6 2 4 4 2 4" xfId="14717"/>
    <cellStyle name="Calculation 2 6 2 4 4 3" xfId="7536"/>
    <cellStyle name="Calculation 2 6 2 4 4 3 2" xfId="26508"/>
    <cellStyle name="Calculation 2 6 2 4 4 3 3" xfId="37353"/>
    <cellStyle name="Calculation 2 6 2 4 4 3 4" xfId="16631"/>
    <cellStyle name="Calculation 2 6 2 4 4 4" xfId="10195"/>
    <cellStyle name="Calculation 2 6 2 4 4 4 2" xfId="29167"/>
    <cellStyle name="Calculation 2 6 2 4 4 4 3" xfId="40012"/>
    <cellStyle name="Calculation 2 6 2 4 4 4 4" xfId="18535"/>
    <cellStyle name="Calculation 2 6 2 4 4 5" xfId="20991"/>
    <cellStyle name="Calculation 2 6 2 4 4 6" xfId="31836"/>
    <cellStyle name="Calculation 2 6 2 4 4 7" xfId="12681"/>
    <cellStyle name="Calculation 2 6 2 4 5" xfId="2403"/>
    <cellStyle name="Calculation 2 6 2 4 5 2" xfId="5256"/>
    <cellStyle name="Calculation 2 6 2 4 5 2 2" xfId="24228"/>
    <cellStyle name="Calculation 2 6 2 4 5 2 3" xfId="35073"/>
    <cellStyle name="Calculation 2 6 2 4 5 2 4" xfId="14998"/>
    <cellStyle name="Calculation 2 6 2 4 5 3" xfId="7927"/>
    <cellStyle name="Calculation 2 6 2 4 5 3 2" xfId="26899"/>
    <cellStyle name="Calculation 2 6 2 4 5 3 3" xfId="37744"/>
    <cellStyle name="Calculation 2 6 2 4 5 3 4" xfId="16911"/>
    <cellStyle name="Calculation 2 6 2 4 5 4" xfId="10586"/>
    <cellStyle name="Calculation 2 6 2 4 5 4 2" xfId="29558"/>
    <cellStyle name="Calculation 2 6 2 4 5 4 3" xfId="40403"/>
    <cellStyle name="Calculation 2 6 2 4 5 4 4" xfId="18815"/>
    <cellStyle name="Calculation 2 6 2 4 5 5" xfId="21382"/>
    <cellStyle name="Calculation 2 6 2 4 5 6" xfId="32227"/>
    <cellStyle name="Calculation 2 6 2 4 5 7" xfId="12961"/>
    <cellStyle name="Calculation 2 6 2 4 6" xfId="2792"/>
    <cellStyle name="Calculation 2 6 2 4 6 2" xfId="5644"/>
    <cellStyle name="Calculation 2 6 2 4 6 2 2" xfId="24616"/>
    <cellStyle name="Calculation 2 6 2 4 6 2 3" xfId="35461"/>
    <cellStyle name="Calculation 2 6 2 4 6 2 4" xfId="15276"/>
    <cellStyle name="Calculation 2 6 2 4 6 3" xfId="8315"/>
    <cellStyle name="Calculation 2 6 2 4 6 3 2" xfId="27287"/>
    <cellStyle name="Calculation 2 6 2 4 6 3 3" xfId="38132"/>
    <cellStyle name="Calculation 2 6 2 4 6 3 4" xfId="17189"/>
    <cellStyle name="Calculation 2 6 2 4 6 4" xfId="10974"/>
    <cellStyle name="Calculation 2 6 2 4 6 4 2" xfId="29946"/>
    <cellStyle name="Calculation 2 6 2 4 6 4 3" xfId="40791"/>
    <cellStyle name="Calculation 2 6 2 4 6 4 4" xfId="19093"/>
    <cellStyle name="Calculation 2 6 2 4 6 5" xfId="21770"/>
    <cellStyle name="Calculation 2 6 2 4 6 6" xfId="32615"/>
    <cellStyle name="Calculation 2 6 2 4 6 7" xfId="13239"/>
    <cellStyle name="Calculation 2 6 2 4 7" xfId="3483"/>
    <cellStyle name="Calculation 2 6 2 4 7 2" xfId="22455"/>
    <cellStyle name="Calculation 2 6 2 4 7 3" xfId="33300"/>
    <cellStyle name="Calculation 2 6 2 4 7 4" xfId="13721"/>
    <cellStyle name="Calculation 2 6 2 4 8" xfId="6159"/>
    <cellStyle name="Calculation 2 6 2 4 8 2" xfId="25131"/>
    <cellStyle name="Calculation 2 6 2 4 8 3" xfId="35976"/>
    <cellStyle name="Calculation 2 6 2 4 8 4" xfId="15638"/>
    <cellStyle name="Calculation 2 6 2 4 9" xfId="8818"/>
    <cellStyle name="Calculation 2 6 2 4 9 2" xfId="27790"/>
    <cellStyle name="Calculation 2 6 2 4 9 3" xfId="38635"/>
    <cellStyle name="Calculation 2 6 2 4 9 4" xfId="17542"/>
    <cellStyle name="Calculation 2 6 2 5" xfId="532"/>
    <cellStyle name="Calculation 2 6 2 5 10" xfId="19542"/>
    <cellStyle name="Calculation 2 6 2 5 11" xfId="30387"/>
    <cellStyle name="Calculation 2 6 2 5 12" xfId="11606"/>
    <cellStyle name="Calculation 2 6 2 5 2" xfId="1138"/>
    <cellStyle name="Calculation 2 6 2 5 2 2" xfId="3991"/>
    <cellStyle name="Calculation 2 6 2 5 2 2 2" xfId="22963"/>
    <cellStyle name="Calculation 2 6 2 5 2 2 3" xfId="33808"/>
    <cellStyle name="Calculation 2 6 2 5 2 2 4" xfId="14083"/>
    <cellStyle name="Calculation 2 6 2 5 2 3" xfId="6664"/>
    <cellStyle name="Calculation 2 6 2 5 2 3 2" xfId="25636"/>
    <cellStyle name="Calculation 2 6 2 5 2 3 3" xfId="36481"/>
    <cellStyle name="Calculation 2 6 2 5 2 3 4" xfId="15998"/>
    <cellStyle name="Calculation 2 6 2 5 2 4" xfId="9323"/>
    <cellStyle name="Calculation 2 6 2 5 2 4 2" xfId="28295"/>
    <cellStyle name="Calculation 2 6 2 5 2 4 3" xfId="39140"/>
    <cellStyle name="Calculation 2 6 2 5 2 4 4" xfId="17902"/>
    <cellStyle name="Calculation 2 6 2 5 2 5" xfId="20119"/>
    <cellStyle name="Calculation 2 6 2 5 2 6" xfId="30964"/>
    <cellStyle name="Calculation 2 6 2 5 2 7" xfId="12048"/>
    <cellStyle name="Calculation 2 6 2 5 3" xfId="1535"/>
    <cellStyle name="Calculation 2 6 2 5 3 2" xfId="4388"/>
    <cellStyle name="Calculation 2 6 2 5 3 2 2" xfId="23360"/>
    <cellStyle name="Calculation 2 6 2 5 3 2 3" xfId="34205"/>
    <cellStyle name="Calculation 2 6 2 5 3 2 4" xfId="14369"/>
    <cellStyle name="Calculation 2 6 2 5 3 3" xfId="7060"/>
    <cellStyle name="Calculation 2 6 2 5 3 3 2" xfId="26032"/>
    <cellStyle name="Calculation 2 6 2 5 3 3 3" xfId="36877"/>
    <cellStyle name="Calculation 2 6 2 5 3 3 4" xfId="16283"/>
    <cellStyle name="Calculation 2 6 2 5 3 4" xfId="9719"/>
    <cellStyle name="Calculation 2 6 2 5 3 4 2" xfId="28691"/>
    <cellStyle name="Calculation 2 6 2 5 3 4 3" xfId="39536"/>
    <cellStyle name="Calculation 2 6 2 5 3 4 4" xfId="18187"/>
    <cellStyle name="Calculation 2 6 2 5 3 5" xfId="20515"/>
    <cellStyle name="Calculation 2 6 2 5 3 6" xfId="31360"/>
    <cellStyle name="Calculation 2 6 2 5 3 7" xfId="12333"/>
    <cellStyle name="Calculation 2 6 2 5 4" xfId="1939"/>
    <cellStyle name="Calculation 2 6 2 5 4 2" xfId="4792"/>
    <cellStyle name="Calculation 2 6 2 5 4 2 2" xfId="23764"/>
    <cellStyle name="Calculation 2 6 2 5 4 2 3" xfId="34609"/>
    <cellStyle name="Calculation 2 6 2 5 4 2 4" xfId="14657"/>
    <cellStyle name="Calculation 2 6 2 5 4 3" xfId="7464"/>
    <cellStyle name="Calculation 2 6 2 5 4 3 2" xfId="26436"/>
    <cellStyle name="Calculation 2 6 2 5 4 3 3" xfId="37281"/>
    <cellStyle name="Calculation 2 6 2 5 4 3 4" xfId="16571"/>
    <cellStyle name="Calculation 2 6 2 5 4 4" xfId="10123"/>
    <cellStyle name="Calculation 2 6 2 5 4 4 2" xfId="29095"/>
    <cellStyle name="Calculation 2 6 2 5 4 4 3" xfId="39940"/>
    <cellStyle name="Calculation 2 6 2 5 4 4 4" xfId="18475"/>
    <cellStyle name="Calculation 2 6 2 5 4 5" xfId="20919"/>
    <cellStyle name="Calculation 2 6 2 5 4 6" xfId="31764"/>
    <cellStyle name="Calculation 2 6 2 5 4 7" xfId="12621"/>
    <cellStyle name="Calculation 2 6 2 5 5" xfId="2331"/>
    <cellStyle name="Calculation 2 6 2 5 5 2" xfId="5184"/>
    <cellStyle name="Calculation 2 6 2 5 5 2 2" xfId="24156"/>
    <cellStyle name="Calculation 2 6 2 5 5 2 3" xfId="35001"/>
    <cellStyle name="Calculation 2 6 2 5 5 2 4" xfId="14938"/>
    <cellStyle name="Calculation 2 6 2 5 5 3" xfId="7855"/>
    <cellStyle name="Calculation 2 6 2 5 5 3 2" xfId="26827"/>
    <cellStyle name="Calculation 2 6 2 5 5 3 3" xfId="37672"/>
    <cellStyle name="Calculation 2 6 2 5 5 3 4" xfId="16851"/>
    <cellStyle name="Calculation 2 6 2 5 5 4" xfId="10514"/>
    <cellStyle name="Calculation 2 6 2 5 5 4 2" xfId="29486"/>
    <cellStyle name="Calculation 2 6 2 5 5 4 3" xfId="40331"/>
    <cellStyle name="Calculation 2 6 2 5 5 4 4" xfId="18755"/>
    <cellStyle name="Calculation 2 6 2 5 5 5" xfId="21310"/>
    <cellStyle name="Calculation 2 6 2 5 5 6" xfId="32155"/>
    <cellStyle name="Calculation 2 6 2 5 5 7" xfId="12901"/>
    <cellStyle name="Calculation 2 6 2 5 6" xfId="2720"/>
    <cellStyle name="Calculation 2 6 2 5 6 2" xfId="5572"/>
    <cellStyle name="Calculation 2 6 2 5 6 2 2" xfId="24544"/>
    <cellStyle name="Calculation 2 6 2 5 6 2 3" xfId="35389"/>
    <cellStyle name="Calculation 2 6 2 5 6 2 4" xfId="15216"/>
    <cellStyle name="Calculation 2 6 2 5 6 3" xfId="8243"/>
    <cellStyle name="Calculation 2 6 2 5 6 3 2" xfId="27215"/>
    <cellStyle name="Calculation 2 6 2 5 6 3 3" xfId="38060"/>
    <cellStyle name="Calculation 2 6 2 5 6 3 4" xfId="17129"/>
    <cellStyle name="Calculation 2 6 2 5 6 4" xfId="10902"/>
    <cellStyle name="Calculation 2 6 2 5 6 4 2" xfId="29874"/>
    <cellStyle name="Calculation 2 6 2 5 6 4 3" xfId="40719"/>
    <cellStyle name="Calculation 2 6 2 5 6 4 4" xfId="19033"/>
    <cellStyle name="Calculation 2 6 2 5 6 5" xfId="21698"/>
    <cellStyle name="Calculation 2 6 2 5 6 6" xfId="32543"/>
    <cellStyle name="Calculation 2 6 2 5 6 7" xfId="13179"/>
    <cellStyle name="Calculation 2 6 2 5 7" xfId="3411"/>
    <cellStyle name="Calculation 2 6 2 5 7 2" xfId="22383"/>
    <cellStyle name="Calculation 2 6 2 5 7 3" xfId="33228"/>
    <cellStyle name="Calculation 2 6 2 5 7 4" xfId="13661"/>
    <cellStyle name="Calculation 2 6 2 5 8" xfId="6087"/>
    <cellStyle name="Calculation 2 6 2 5 8 2" xfId="25059"/>
    <cellStyle name="Calculation 2 6 2 5 8 3" xfId="35904"/>
    <cellStyle name="Calculation 2 6 2 5 8 4" xfId="15578"/>
    <cellStyle name="Calculation 2 6 2 5 9" xfId="8746"/>
    <cellStyle name="Calculation 2 6 2 5 9 2" xfId="27718"/>
    <cellStyle name="Calculation 2 6 2 5 9 3" xfId="38563"/>
    <cellStyle name="Calculation 2 6 2 5 9 4" xfId="17482"/>
    <cellStyle name="Calculation 2 6 2 6" xfId="1059"/>
    <cellStyle name="Calculation 2 6 2 6 2" xfId="3912"/>
    <cellStyle name="Calculation 2 6 2 6 2 2" xfId="22884"/>
    <cellStyle name="Calculation 2 6 2 6 2 3" xfId="33729"/>
    <cellStyle name="Calculation 2 6 2 6 2 4" xfId="14025"/>
    <cellStyle name="Calculation 2 6 2 6 3" xfId="6586"/>
    <cellStyle name="Calculation 2 6 2 6 3 2" xfId="25558"/>
    <cellStyle name="Calculation 2 6 2 6 3 3" xfId="36403"/>
    <cellStyle name="Calculation 2 6 2 6 3 4" xfId="15941"/>
    <cellStyle name="Calculation 2 6 2 6 4" xfId="9245"/>
    <cellStyle name="Calculation 2 6 2 6 4 2" xfId="28217"/>
    <cellStyle name="Calculation 2 6 2 6 4 3" xfId="39062"/>
    <cellStyle name="Calculation 2 6 2 6 4 4" xfId="17845"/>
    <cellStyle name="Calculation 2 6 2 6 5" xfId="20041"/>
    <cellStyle name="Calculation 2 6 2 6 6" xfId="30886"/>
    <cellStyle name="Calculation 2 6 2 6 7" xfId="11991"/>
    <cellStyle name="Calculation 2 6 2 7" xfId="920"/>
    <cellStyle name="Calculation 2 6 2 7 2" xfId="3775"/>
    <cellStyle name="Calculation 2 6 2 7 2 2" xfId="22747"/>
    <cellStyle name="Calculation 2 6 2 7 2 3" xfId="33592"/>
    <cellStyle name="Calculation 2 6 2 7 2 4" xfId="13921"/>
    <cellStyle name="Calculation 2 6 2 7 3" xfId="6450"/>
    <cellStyle name="Calculation 2 6 2 7 3 2" xfId="25422"/>
    <cellStyle name="Calculation 2 6 2 7 3 3" xfId="36267"/>
    <cellStyle name="Calculation 2 6 2 7 3 4" xfId="15837"/>
    <cellStyle name="Calculation 2 6 2 7 4" xfId="9109"/>
    <cellStyle name="Calculation 2 6 2 7 4 2" xfId="28081"/>
    <cellStyle name="Calculation 2 6 2 7 4 3" xfId="38926"/>
    <cellStyle name="Calculation 2 6 2 7 4 4" xfId="17741"/>
    <cellStyle name="Calculation 2 6 2 7 5" xfId="19905"/>
    <cellStyle name="Calculation 2 6 2 7 6" xfId="30750"/>
    <cellStyle name="Calculation 2 6 2 7 7" xfId="11887"/>
    <cellStyle name="Calculation 2 6 2 8" xfId="1030"/>
    <cellStyle name="Calculation 2 6 2 8 2" xfId="3883"/>
    <cellStyle name="Calculation 2 6 2 8 2 2" xfId="22855"/>
    <cellStyle name="Calculation 2 6 2 8 2 3" xfId="33700"/>
    <cellStyle name="Calculation 2 6 2 8 2 4" xfId="14003"/>
    <cellStyle name="Calculation 2 6 2 8 3" xfId="6557"/>
    <cellStyle name="Calculation 2 6 2 8 3 2" xfId="25529"/>
    <cellStyle name="Calculation 2 6 2 8 3 3" xfId="36374"/>
    <cellStyle name="Calculation 2 6 2 8 3 4" xfId="15919"/>
    <cellStyle name="Calculation 2 6 2 8 4" xfId="9216"/>
    <cellStyle name="Calculation 2 6 2 8 4 2" xfId="28188"/>
    <cellStyle name="Calculation 2 6 2 8 4 3" xfId="39033"/>
    <cellStyle name="Calculation 2 6 2 8 4 4" xfId="17823"/>
    <cellStyle name="Calculation 2 6 2 8 5" xfId="20012"/>
    <cellStyle name="Calculation 2 6 2 8 6" xfId="30857"/>
    <cellStyle name="Calculation 2 6 2 8 7" xfId="11969"/>
    <cellStyle name="Calculation 2 6 2 9" xfId="1514"/>
    <cellStyle name="Calculation 2 6 2 9 2" xfId="4367"/>
    <cellStyle name="Calculation 2 6 2 9 2 2" xfId="23339"/>
    <cellStyle name="Calculation 2 6 2 9 2 3" xfId="34184"/>
    <cellStyle name="Calculation 2 6 2 9 2 4" xfId="14356"/>
    <cellStyle name="Calculation 2 6 2 9 3" xfId="7040"/>
    <cellStyle name="Calculation 2 6 2 9 3 2" xfId="26012"/>
    <cellStyle name="Calculation 2 6 2 9 3 3" xfId="36857"/>
    <cellStyle name="Calculation 2 6 2 9 3 4" xfId="16271"/>
    <cellStyle name="Calculation 2 6 2 9 4" xfId="9699"/>
    <cellStyle name="Calculation 2 6 2 9 4 2" xfId="28671"/>
    <cellStyle name="Calculation 2 6 2 9 4 3" xfId="39516"/>
    <cellStyle name="Calculation 2 6 2 9 4 4" xfId="18175"/>
    <cellStyle name="Calculation 2 6 2 9 5" xfId="20495"/>
    <cellStyle name="Calculation 2 6 2 9 6" xfId="31340"/>
    <cellStyle name="Calculation 2 6 2 9 7" xfId="12321"/>
    <cellStyle name="Calculation 2 6 3" xfId="541"/>
    <cellStyle name="Calculation 2 6 3 10" xfId="19551"/>
    <cellStyle name="Calculation 2 6 3 11" xfId="30396"/>
    <cellStyle name="Calculation 2 6 3 12" xfId="11615"/>
    <cellStyle name="Calculation 2 6 3 2" xfId="1147"/>
    <cellStyle name="Calculation 2 6 3 2 2" xfId="4000"/>
    <cellStyle name="Calculation 2 6 3 2 2 2" xfId="22972"/>
    <cellStyle name="Calculation 2 6 3 2 2 3" xfId="33817"/>
    <cellStyle name="Calculation 2 6 3 2 2 4" xfId="14092"/>
    <cellStyle name="Calculation 2 6 3 2 3" xfId="6673"/>
    <cellStyle name="Calculation 2 6 3 2 3 2" xfId="25645"/>
    <cellStyle name="Calculation 2 6 3 2 3 3" xfId="36490"/>
    <cellStyle name="Calculation 2 6 3 2 3 4" xfId="16007"/>
    <cellStyle name="Calculation 2 6 3 2 4" xfId="9332"/>
    <cellStyle name="Calculation 2 6 3 2 4 2" xfId="28304"/>
    <cellStyle name="Calculation 2 6 3 2 4 3" xfId="39149"/>
    <cellStyle name="Calculation 2 6 3 2 4 4" xfId="17911"/>
    <cellStyle name="Calculation 2 6 3 2 5" xfId="20128"/>
    <cellStyle name="Calculation 2 6 3 2 6" xfId="30973"/>
    <cellStyle name="Calculation 2 6 3 2 7" xfId="12057"/>
    <cellStyle name="Calculation 2 6 3 3" xfId="1544"/>
    <cellStyle name="Calculation 2 6 3 3 2" xfId="4397"/>
    <cellStyle name="Calculation 2 6 3 3 2 2" xfId="23369"/>
    <cellStyle name="Calculation 2 6 3 3 2 3" xfId="34214"/>
    <cellStyle name="Calculation 2 6 3 3 2 4" xfId="14378"/>
    <cellStyle name="Calculation 2 6 3 3 3" xfId="7069"/>
    <cellStyle name="Calculation 2 6 3 3 3 2" xfId="26041"/>
    <cellStyle name="Calculation 2 6 3 3 3 3" xfId="36886"/>
    <cellStyle name="Calculation 2 6 3 3 3 4" xfId="16292"/>
    <cellStyle name="Calculation 2 6 3 3 4" xfId="9728"/>
    <cellStyle name="Calculation 2 6 3 3 4 2" xfId="28700"/>
    <cellStyle name="Calculation 2 6 3 3 4 3" xfId="39545"/>
    <cellStyle name="Calculation 2 6 3 3 4 4" xfId="18196"/>
    <cellStyle name="Calculation 2 6 3 3 5" xfId="20524"/>
    <cellStyle name="Calculation 2 6 3 3 6" xfId="31369"/>
    <cellStyle name="Calculation 2 6 3 3 7" xfId="12342"/>
    <cellStyle name="Calculation 2 6 3 4" xfId="1948"/>
    <cellStyle name="Calculation 2 6 3 4 2" xfId="4801"/>
    <cellStyle name="Calculation 2 6 3 4 2 2" xfId="23773"/>
    <cellStyle name="Calculation 2 6 3 4 2 3" xfId="34618"/>
    <cellStyle name="Calculation 2 6 3 4 2 4" xfId="14666"/>
    <cellStyle name="Calculation 2 6 3 4 3" xfId="7473"/>
    <cellStyle name="Calculation 2 6 3 4 3 2" xfId="26445"/>
    <cellStyle name="Calculation 2 6 3 4 3 3" xfId="37290"/>
    <cellStyle name="Calculation 2 6 3 4 3 4" xfId="16580"/>
    <cellStyle name="Calculation 2 6 3 4 4" xfId="10132"/>
    <cellStyle name="Calculation 2 6 3 4 4 2" xfId="29104"/>
    <cellStyle name="Calculation 2 6 3 4 4 3" xfId="39949"/>
    <cellStyle name="Calculation 2 6 3 4 4 4" xfId="18484"/>
    <cellStyle name="Calculation 2 6 3 4 5" xfId="20928"/>
    <cellStyle name="Calculation 2 6 3 4 6" xfId="31773"/>
    <cellStyle name="Calculation 2 6 3 4 7" xfId="12630"/>
    <cellStyle name="Calculation 2 6 3 5" xfId="2340"/>
    <cellStyle name="Calculation 2 6 3 5 2" xfId="5193"/>
    <cellStyle name="Calculation 2 6 3 5 2 2" xfId="24165"/>
    <cellStyle name="Calculation 2 6 3 5 2 3" xfId="35010"/>
    <cellStyle name="Calculation 2 6 3 5 2 4" xfId="14947"/>
    <cellStyle name="Calculation 2 6 3 5 3" xfId="7864"/>
    <cellStyle name="Calculation 2 6 3 5 3 2" xfId="26836"/>
    <cellStyle name="Calculation 2 6 3 5 3 3" xfId="37681"/>
    <cellStyle name="Calculation 2 6 3 5 3 4" xfId="16860"/>
    <cellStyle name="Calculation 2 6 3 5 4" xfId="10523"/>
    <cellStyle name="Calculation 2 6 3 5 4 2" xfId="29495"/>
    <cellStyle name="Calculation 2 6 3 5 4 3" xfId="40340"/>
    <cellStyle name="Calculation 2 6 3 5 4 4" xfId="18764"/>
    <cellStyle name="Calculation 2 6 3 5 5" xfId="21319"/>
    <cellStyle name="Calculation 2 6 3 5 6" xfId="32164"/>
    <cellStyle name="Calculation 2 6 3 5 7" xfId="12910"/>
    <cellStyle name="Calculation 2 6 3 6" xfId="2729"/>
    <cellStyle name="Calculation 2 6 3 6 2" xfId="5581"/>
    <cellStyle name="Calculation 2 6 3 6 2 2" xfId="24553"/>
    <cellStyle name="Calculation 2 6 3 6 2 3" xfId="35398"/>
    <cellStyle name="Calculation 2 6 3 6 2 4" xfId="15225"/>
    <cellStyle name="Calculation 2 6 3 6 3" xfId="8252"/>
    <cellStyle name="Calculation 2 6 3 6 3 2" xfId="27224"/>
    <cellStyle name="Calculation 2 6 3 6 3 3" xfId="38069"/>
    <cellStyle name="Calculation 2 6 3 6 3 4" xfId="17138"/>
    <cellStyle name="Calculation 2 6 3 6 4" xfId="10911"/>
    <cellStyle name="Calculation 2 6 3 6 4 2" xfId="29883"/>
    <cellStyle name="Calculation 2 6 3 6 4 3" xfId="40728"/>
    <cellStyle name="Calculation 2 6 3 6 4 4" xfId="19042"/>
    <cellStyle name="Calculation 2 6 3 6 5" xfId="21707"/>
    <cellStyle name="Calculation 2 6 3 6 6" xfId="32552"/>
    <cellStyle name="Calculation 2 6 3 6 7" xfId="13188"/>
    <cellStyle name="Calculation 2 6 3 7" xfId="3420"/>
    <cellStyle name="Calculation 2 6 3 7 2" xfId="22392"/>
    <cellStyle name="Calculation 2 6 3 7 3" xfId="33237"/>
    <cellStyle name="Calculation 2 6 3 7 4" xfId="13670"/>
    <cellStyle name="Calculation 2 6 3 8" xfId="6096"/>
    <cellStyle name="Calculation 2 6 3 8 2" xfId="25068"/>
    <cellStyle name="Calculation 2 6 3 8 3" xfId="35913"/>
    <cellStyle name="Calculation 2 6 3 8 4" xfId="15587"/>
    <cellStyle name="Calculation 2 6 3 9" xfId="8755"/>
    <cellStyle name="Calculation 2 6 3 9 2" xfId="27727"/>
    <cellStyle name="Calculation 2 6 3 9 3" xfId="38572"/>
    <cellStyle name="Calculation 2 6 3 9 4" xfId="17491"/>
    <cellStyle name="Calculation 2 6 4" xfId="11433"/>
    <cellStyle name="Calculation 2 7" xfId="63"/>
    <cellStyle name="Calculation 2 7 2" xfId="354"/>
    <cellStyle name="Calculation 2 7 2 10" xfId="1015"/>
    <cellStyle name="Calculation 2 7 2 10 2" xfId="3868"/>
    <cellStyle name="Calculation 2 7 2 10 2 2" xfId="22840"/>
    <cellStyle name="Calculation 2 7 2 10 2 3" xfId="33685"/>
    <cellStyle name="Calculation 2 7 2 10 2 4" xfId="13992"/>
    <cellStyle name="Calculation 2 7 2 10 3" xfId="6542"/>
    <cellStyle name="Calculation 2 7 2 10 3 2" xfId="25514"/>
    <cellStyle name="Calculation 2 7 2 10 3 3" xfId="36359"/>
    <cellStyle name="Calculation 2 7 2 10 3 4" xfId="15908"/>
    <cellStyle name="Calculation 2 7 2 10 4" xfId="9201"/>
    <cellStyle name="Calculation 2 7 2 10 4 2" xfId="28173"/>
    <cellStyle name="Calculation 2 7 2 10 4 3" xfId="39018"/>
    <cellStyle name="Calculation 2 7 2 10 4 4" xfId="17812"/>
    <cellStyle name="Calculation 2 7 2 10 5" xfId="19997"/>
    <cellStyle name="Calculation 2 7 2 10 6" xfId="30842"/>
    <cellStyle name="Calculation 2 7 2 10 7" xfId="11958"/>
    <cellStyle name="Calculation 2 7 2 11" xfId="963"/>
    <cellStyle name="Calculation 2 7 2 11 2" xfId="3816"/>
    <cellStyle name="Calculation 2 7 2 11 2 2" xfId="22788"/>
    <cellStyle name="Calculation 2 7 2 11 2 3" xfId="33633"/>
    <cellStyle name="Calculation 2 7 2 11 2 4" xfId="13957"/>
    <cellStyle name="Calculation 2 7 2 11 3" xfId="6491"/>
    <cellStyle name="Calculation 2 7 2 11 3 2" xfId="25463"/>
    <cellStyle name="Calculation 2 7 2 11 3 3" xfId="36308"/>
    <cellStyle name="Calculation 2 7 2 11 3 4" xfId="15873"/>
    <cellStyle name="Calculation 2 7 2 11 4" xfId="9150"/>
    <cellStyle name="Calculation 2 7 2 11 4 2" xfId="28122"/>
    <cellStyle name="Calculation 2 7 2 11 4 3" xfId="38967"/>
    <cellStyle name="Calculation 2 7 2 11 4 4" xfId="17777"/>
    <cellStyle name="Calculation 2 7 2 11 5" xfId="19946"/>
    <cellStyle name="Calculation 2 7 2 11 6" xfId="30791"/>
    <cellStyle name="Calculation 2 7 2 11 7" xfId="11923"/>
    <cellStyle name="Calculation 2 7 2 12" xfId="2433"/>
    <cellStyle name="Calculation 2 7 2 12 2" xfId="5285"/>
    <cellStyle name="Calculation 2 7 2 12 2 2" xfId="24257"/>
    <cellStyle name="Calculation 2 7 2 12 2 3" xfId="35102"/>
    <cellStyle name="Calculation 2 7 2 12 2 4" xfId="15019"/>
    <cellStyle name="Calculation 2 7 2 12 3" xfId="7956"/>
    <cellStyle name="Calculation 2 7 2 12 3 2" xfId="26928"/>
    <cellStyle name="Calculation 2 7 2 12 3 3" xfId="37773"/>
    <cellStyle name="Calculation 2 7 2 12 3 4" xfId="16932"/>
    <cellStyle name="Calculation 2 7 2 12 4" xfId="10615"/>
    <cellStyle name="Calculation 2 7 2 12 4 2" xfId="29587"/>
    <cellStyle name="Calculation 2 7 2 12 4 3" xfId="40432"/>
    <cellStyle name="Calculation 2 7 2 12 4 4" xfId="18836"/>
    <cellStyle name="Calculation 2 7 2 12 5" xfId="21411"/>
    <cellStyle name="Calculation 2 7 2 12 6" xfId="32256"/>
    <cellStyle name="Calculation 2 7 2 12 7" xfId="12982"/>
    <cellStyle name="Calculation 2 7 2 13" xfId="946"/>
    <cellStyle name="Calculation 2 7 2 13 2" xfId="3799"/>
    <cellStyle name="Calculation 2 7 2 13 2 2" xfId="22771"/>
    <cellStyle name="Calculation 2 7 2 13 2 3" xfId="33616"/>
    <cellStyle name="Calculation 2 7 2 13 2 4" xfId="13944"/>
    <cellStyle name="Calculation 2 7 2 13 3" xfId="6474"/>
    <cellStyle name="Calculation 2 7 2 13 3 2" xfId="25446"/>
    <cellStyle name="Calculation 2 7 2 13 3 3" xfId="36291"/>
    <cellStyle name="Calculation 2 7 2 13 3 4" xfId="15860"/>
    <cellStyle name="Calculation 2 7 2 13 4" xfId="9133"/>
    <cellStyle name="Calculation 2 7 2 13 4 2" xfId="28105"/>
    <cellStyle name="Calculation 2 7 2 13 4 3" xfId="38950"/>
    <cellStyle name="Calculation 2 7 2 13 4 4" xfId="17764"/>
    <cellStyle name="Calculation 2 7 2 13 5" xfId="19929"/>
    <cellStyle name="Calculation 2 7 2 13 6" xfId="30774"/>
    <cellStyle name="Calculation 2 7 2 13 7" xfId="11910"/>
    <cellStyle name="Calculation 2 7 2 14" xfId="3275"/>
    <cellStyle name="Calculation 2 7 2 14 2" xfId="22249"/>
    <cellStyle name="Calculation 2 7 2 14 3" xfId="33094"/>
    <cellStyle name="Calculation 2 7 2 14 4" xfId="13572"/>
    <cellStyle name="Calculation 2 7 2 15" xfId="3234"/>
    <cellStyle name="Calculation 2 7 2 15 2" xfId="22211"/>
    <cellStyle name="Calculation 2 7 2 15 3" xfId="33056"/>
    <cellStyle name="Calculation 2 7 2 15 4" xfId="13539"/>
    <cellStyle name="Calculation 2 7 2 16" xfId="3299"/>
    <cellStyle name="Calculation 2 7 2 16 2" xfId="22273"/>
    <cellStyle name="Calculation 2 7 2 16 3" xfId="33118"/>
    <cellStyle name="Calculation 2 7 2 16 4" xfId="13586"/>
    <cellStyle name="Calculation 2 7 2 17" xfId="19451"/>
    <cellStyle name="Calculation 2 7 2 18" xfId="19439"/>
    <cellStyle name="Calculation 2 7 2 19" xfId="11510"/>
    <cellStyle name="Calculation 2 7 2 2" xfId="662"/>
    <cellStyle name="Calculation 2 7 2 2 10" xfId="19647"/>
    <cellStyle name="Calculation 2 7 2 2 11" xfId="30492"/>
    <cellStyle name="Calculation 2 7 2 2 12" xfId="11714"/>
    <cellStyle name="Calculation 2 7 2 2 2" xfId="1249"/>
    <cellStyle name="Calculation 2 7 2 2 2 2" xfId="4102"/>
    <cellStyle name="Calculation 2 7 2 2 2 2 2" xfId="23074"/>
    <cellStyle name="Calculation 2 7 2 2 2 2 3" xfId="33919"/>
    <cellStyle name="Calculation 2 7 2 2 2 2 4" xfId="14175"/>
    <cellStyle name="Calculation 2 7 2 2 2 3" xfId="6775"/>
    <cellStyle name="Calculation 2 7 2 2 2 3 2" xfId="25747"/>
    <cellStyle name="Calculation 2 7 2 2 2 3 3" xfId="36592"/>
    <cellStyle name="Calculation 2 7 2 2 2 3 4" xfId="16090"/>
    <cellStyle name="Calculation 2 7 2 2 2 4" xfId="9434"/>
    <cellStyle name="Calculation 2 7 2 2 2 4 2" xfId="28406"/>
    <cellStyle name="Calculation 2 7 2 2 2 4 3" xfId="39251"/>
    <cellStyle name="Calculation 2 7 2 2 2 4 4" xfId="17994"/>
    <cellStyle name="Calculation 2 7 2 2 2 5" xfId="20230"/>
    <cellStyle name="Calculation 2 7 2 2 2 6" xfId="31075"/>
    <cellStyle name="Calculation 2 7 2 2 2 7" xfId="12140"/>
    <cellStyle name="Calculation 2 7 2 2 3" xfId="1648"/>
    <cellStyle name="Calculation 2 7 2 2 3 2" xfId="4501"/>
    <cellStyle name="Calculation 2 7 2 2 3 2 2" xfId="23473"/>
    <cellStyle name="Calculation 2 7 2 2 3 2 3" xfId="34318"/>
    <cellStyle name="Calculation 2 7 2 2 3 2 4" xfId="14462"/>
    <cellStyle name="Calculation 2 7 2 2 3 3" xfId="7173"/>
    <cellStyle name="Calculation 2 7 2 2 3 3 2" xfId="26145"/>
    <cellStyle name="Calculation 2 7 2 2 3 3 3" xfId="36990"/>
    <cellStyle name="Calculation 2 7 2 2 3 3 4" xfId="16376"/>
    <cellStyle name="Calculation 2 7 2 2 3 4" xfId="9832"/>
    <cellStyle name="Calculation 2 7 2 2 3 4 2" xfId="28804"/>
    <cellStyle name="Calculation 2 7 2 2 3 4 3" xfId="39649"/>
    <cellStyle name="Calculation 2 7 2 2 3 4 4" xfId="18280"/>
    <cellStyle name="Calculation 2 7 2 2 3 5" xfId="20628"/>
    <cellStyle name="Calculation 2 7 2 2 3 6" xfId="31473"/>
    <cellStyle name="Calculation 2 7 2 2 3 7" xfId="12426"/>
    <cellStyle name="Calculation 2 7 2 2 4" xfId="2052"/>
    <cellStyle name="Calculation 2 7 2 2 4 2" xfId="4905"/>
    <cellStyle name="Calculation 2 7 2 2 4 2 2" xfId="23877"/>
    <cellStyle name="Calculation 2 7 2 2 4 2 3" xfId="34722"/>
    <cellStyle name="Calculation 2 7 2 2 4 2 4" xfId="14749"/>
    <cellStyle name="Calculation 2 7 2 2 4 3" xfId="7576"/>
    <cellStyle name="Calculation 2 7 2 2 4 3 2" xfId="26548"/>
    <cellStyle name="Calculation 2 7 2 2 4 3 3" xfId="37393"/>
    <cellStyle name="Calculation 2 7 2 2 4 3 4" xfId="16662"/>
    <cellStyle name="Calculation 2 7 2 2 4 4" xfId="10235"/>
    <cellStyle name="Calculation 2 7 2 2 4 4 2" xfId="29207"/>
    <cellStyle name="Calculation 2 7 2 2 4 4 3" xfId="40052"/>
    <cellStyle name="Calculation 2 7 2 2 4 4 4" xfId="18566"/>
    <cellStyle name="Calculation 2 7 2 2 4 5" xfId="21031"/>
    <cellStyle name="Calculation 2 7 2 2 4 6" xfId="31876"/>
    <cellStyle name="Calculation 2 7 2 2 4 7" xfId="12712"/>
    <cellStyle name="Calculation 2 7 2 2 5" xfId="2442"/>
    <cellStyle name="Calculation 2 7 2 2 5 2" xfId="5294"/>
    <cellStyle name="Calculation 2 7 2 2 5 2 2" xfId="24266"/>
    <cellStyle name="Calculation 2 7 2 2 5 2 3" xfId="35111"/>
    <cellStyle name="Calculation 2 7 2 2 5 2 4" xfId="15028"/>
    <cellStyle name="Calculation 2 7 2 2 5 3" xfId="7965"/>
    <cellStyle name="Calculation 2 7 2 2 5 3 2" xfId="26937"/>
    <cellStyle name="Calculation 2 7 2 2 5 3 3" xfId="37782"/>
    <cellStyle name="Calculation 2 7 2 2 5 3 4" xfId="16941"/>
    <cellStyle name="Calculation 2 7 2 2 5 4" xfId="10624"/>
    <cellStyle name="Calculation 2 7 2 2 5 4 2" xfId="29596"/>
    <cellStyle name="Calculation 2 7 2 2 5 4 3" xfId="40441"/>
    <cellStyle name="Calculation 2 7 2 2 5 4 4" xfId="18845"/>
    <cellStyle name="Calculation 2 7 2 2 5 5" xfId="21420"/>
    <cellStyle name="Calculation 2 7 2 2 5 6" xfId="32265"/>
    <cellStyle name="Calculation 2 7 2 2 5 7" xfId="12991"/>
    <cellStyle name="Calculation 2 7 2 2 6" xfId="2828"/>
    <cellStyle name="Calculation 2 7 2 2 6 2" xfId="5679"/>
    <cellStyle name="Calculation 2 7 2 2 6 2 2" xfId="24651"/>
    <cellStyle name="Calculation 2 7 2 2 6 2 3" xfId="35496"/>
    <cellStyle name="Calculation 2 7 2 2 6 2 4" xfId="15304"/>
    <cellStyle name="Calculation 2 7 2 2 6 3" xfId="8350"/>
    <cellStyle name="Calculation 2 7 2 2 6 3 2" xfId="27322"/>
    <cellStyle name="Calculation 2 7 2 2 6 3 3" xfId="38167"/>
    <cellStyle name="Calculation 2 7 2 2 6 3 4" xfId="17217"/>
    <cellStyle name="Calculation 2 7 2 2 6 4" xfId="11009"/>
    <cellStyle name="Calculation 2 7 2 2 6 4 2" xfId="29981"/>
    <cellStyle name="Calculation 2 7 2 2 6 4 3" xfId="40826"/>
    <cellStyle name="Calculation 2 7 2 2 6 4 4" xfId="19121"/>
    <cellStyle name="Calculation 2 7 2 2 6 5" xfId="21805"/>
    <cellStyle name="Calculation 2 7 2 2 6 6" xfId="32650"/>
    <cellStyle name="Calculation 2 7 2 2 6 7" xfId="13267"/>
    <cellStyle name="Calculation 2 7 2 2 7" xfId="3517"/>
    <cellStyle name="Calculation 2 7 2 2 7 2" xfId="22489"/>
    <cellStyle name="Calculation 2 7 2 2 7 3" xfId="33334"/>
    <cellStyle name="Calculation 2 7 2 2 7 4" xfId="13748"/>
    <cellStyle name="Calculation 2 7 2 2 8" xfId="6192"/>
    <cellStyle name="Calculation 2 7 2 2 8 2" xfId="25164"/>
    <cellStyle name="Calculation 2 7 2 2 8 3" xfId="36009"/>
    <cellStyle name="Calculation 2 7 2 2 8 4" xfId="15664"/>
    <cellStyle name="Calculation 2 7 2 2 9" xfId="8851"/>
    <cellStyle name="Calculation 2 7 2 2 9 2" xfId="27823"/>
    <cellStyle name="Calculation 2 7 2 2 9 3" xfId="38668"/>
    <cellStyle name="Calculation 2 7 2 2 9 4" xfId="17568"/>
    <cellStyle name="Calculation 2 7 2 3" xfId="640"/>
    <cellStyle name="Calculation 2 7 2 3 10" xfId="19636"/>
    <cellStyle name="Calculation 2 7 2 3 11" xfId="30481"/>
    <cellStyle name="Calculation 2 7 2 3 12" xfId="11692"/>
    <cellStyle name="Calculation 2 7 2 3 2" xfId="1235"/>
    <cellStyle name="Calculation 2 7 2 3 2 2" xfId="4088"/>
    <cellStyle name="Calculation 2 7 2 3 2 2 2" xfId="23060"/>
    <cellStyle name="Calculation 2 7 2 3 2 2 3" xfId="33905"/>
    <cellStyle name="Calculation 2 7 2 3 2 2 4" xfId="14161"/>
    <cellStyle name="Calculation 2 7 2 3 2 3" xfId="6761"/>
    <cellStyle name="Calculation 2 7 2 3 2 3 2" xfId="25733"/>
    <cellStyle name="Calculation 2 7 2 3 2 3 3" xfId="36578"/>
    <cellStyle name="Calculation 2 7 2 3 2 3 4" xfId="16076"/>
    <cellStyle name="Calculation 2 7 2 3 2 4" xfId="9420"/>
    <cellStyle name="Calculation 2 7 2 3 2 4 2" xfId="28392"/>
    <cellStyle name="Calculation 2 7 2 3 2 4 3" xfId="39237"/>
    <cellStyle name="Calculation 2 7 2 3 2 4 4" xfId="17980"/>
    <cellStyle name="Calculation 2 7 2 3 2 5" xfId="20216"/>
    <cellStyle name="Calculation 2 7 2 3 2 6" xfId="31061"/>
    <cellStyle name="Calculation 2 7 2 3 2 7" xfId="12126"/>
    <cellStyle name="Calculation 2 7 2 3 3" xfId="1634"/>
    <cellStyle name="Calculation 2 7 2 3 3 2" xfId="4487"/>
    <cellStyle name="Calculation 2 7 2 3 3 2 2" xfId="23459"/>
    <cellStyle name="Calculation 2 7 2 3 3 2 3" xfId="34304"/>
    <cellStyle name="Calculation 2 7 2 3 3 2 4" xfId="14449"/>
    <cellStyle name="Calculation 2 7 2 3 3 3" xfId="7159"/>
    <cellStyle name="Calculation 2 7 2 3 3 3 2" xfId="26131"/>
    <cellStyle name="Calculation 2 7 2 3 3 3 3" xfId="36976"/>
    <cellStyle name="Calculation 2 7 2 3 3 3 4" xfId="16363"/>
    <cellStyle name="Calculation 2 7 2 3 3 4" xfId="9818"/>
    <cellStyle name="Calculation 2 7 2 3 3 4 2" xfId="28790"/>
    <cellStyle name="Calculation 2 7 2 3 3 4 3" xfId="39635"/>
    <cellStyle name="Calculation 2 7 2 3 3 4 4" xfId="18267"/>
    <cellStyle name="Calculation 2 7 2 3 3 5" xfId="20614"/>
    <cellStyle name="Calculation 2 7 2 3 3 6" xfId="31459"/>
    <cellStyle name="Calculation 2 7 2 3 3 7" xfId="12413"/>
    <cellStyle name="Calculation 2 7 2 3 4" xfId="2038"/>
    <cellStyle name="Calculation 2 7 2 3 4 2" xfId="4891"/>
    <cellStyle name="Calculation 2 7 2 3 4 2 2" xfId="23863"/>
    <cellStyle name="Calculation 2 7 2 3 4 2 3" xfId="34708"/>
    <cellStyle name="Calculation 2 7 2 3 4 2 4" xfId="14736"/>
    <cellStyle name="Calculation 2 7 2 3 4 3" xfId="7563"/>
    <cellStyle name="Calculation 2 7 2 3 4 3 2" xfId="26535"/>
    <cellStyle name="Calculation 2 7 2 3 4 3 3" xfId="37380"/>
    <cellStyle name="Calculation 2 7 2 3 4 3 4" xfId="16650"/>
    <cellStyle name="Calculation 2 7 2 3 4 4" xfId="10222"/>
    <cellStyle name="Calculation 2 7 2 3 4 4 2" xfId="29194"/>
    <cellStyle name="Calculation 2 7 2 3 4 4 3" xfId="40039"/>
    <cellStyle name="Calculation 2 7 2 3 4 4 4" xfId="18554"/>
    <cellStyle name="Calculation 2 7 2 3 4 5" xfId="21018"/>
    <cellStyle name="Calculation 2 7 2 3 4 6" xfId="31863"/>
    <cellStyle name="Calculation 2 7 2 3 4 7" xfId="12700"/>
    <cellStyle name="Calculation 2 7 2 3 5" xfId="2429"/>
    <cellStyle name="Calculation 2 7 2 3 5 2" xfId="5282"/>
    <cellStyle name="Calculation 2 7 2 3 5 2 2" xfId="24254"/>
    <cellStyle name="Calculation 2 7 2 3 5 2 3" xfId="35099"/>
    <cellStyle name="Calculation 2 7 2 3 5 2 4" xfId="15016"/>
    <cellStyle name="Calculation 2 7 2 3 5 3" xfId="7953"/>
    <cellStyle name="Calculation 2 7 2 3 5 3 2" xfId="26925"/>
    <cellStyle name="Calculation 2 7 2 3 5 3 3" xfId="37770"/>
    <cellStyle name="Calculation 2 7 2 3 5 3 4" xfId="16929"/>
    <cellStyle name="Calculation 2 7 2 3 5 4" xfId="10612"/>
    <cellStyle name="Calculation 2 7 2 3 5 4 2" xfId="29584"/>
    <cellStyle name="Calculation 2 7 2 3 5 4 3" xfId="40429"/>
    <cellStyle name="Calculation 2 7 2 3 5 4 4" xfId="18833"/>
    <cellStyle name="Calculation 2 7 2 3 5 5" xfId="21408"/>
    <cellStyle name="Calculation 2 7 2 3 5 6" xfId="32253"/>
    <cellStyle name="Calculation 2 7 2 3 5 7" xfId="12979"/>
    <cellStyle name="Calculation 2 7 2 3 6" xfId="2816"/>
    <cellStyle name="Calculation 2 7 2 3 6 2" xfId="5668"/>
    <cellStyle name="Calculation 2 7 2 3 6 2 2" xfId="24640"/>
    <cellStyle name="Calculation 2 7 2 3 6 2 3" xfId="35485"/>
    <cellStyle name="Calculation 2 7 2 3 6 2 4" xfId="15293"/>
    <cellStyle name="Calculation 2 7 2 3 6 3" xfId="8339"/>
    <cellStyle name="Calculation 2 7 2 3 6 3 2" xfId="27311"/>
    <cellStyle name="Calculation 2 7 2 3 6 3 3" xfId="38156"/>
    <cellStyle name="Calculation 2 7 2 3 6 3 4" xfId="17206"/>
    <cellStyle name="Calculation 2 7 2 3 6 4" xfId="10998"/>
    <cellStyle name="Calculation 2 7 2 3 6 4 2" xfId="29970"/>
    <cellStyle name="Calculation 2 7 2 3 6 4 3" xfId="40815"/>
    <cellStyle name="Calculation 2 7 2 3 6 4 4" xfId="19110"/>
    <cellStyle name="Calculation 2 7 2 3 6 5" xfId="21794"/>
    <cellStyle name="Calculation 2 7 2 3 6 6" xfId="32639"/>
    <cellStyle name="Calculation 2 7 2 3 6 7" xfId="13256"/>
    <cellStyle name="Calculation 2 7 2 3 7" xfId="3506"/>
    <cellStyle name="Calculation 2 7 2 3 7 2" xfId="22478"/>
    <cellStyle name="Calculation 2 7 2 3 7 3" xfId="33323"/>
    <cellStyle name="Calculation 2 7 2 3 7 4" xfId="13737"/>
    <cellStyle name="Calculation 2 7 2 3 8" xfId="6181"/>
    <cellStyle name="Calculation 2 7 2 3 8 2" xfId="25153"/>
    <cellStyle name="Calculation 2 7 2 3 8 3" xfId="35998"/>
    <cellStyle name="Calculation 2 7 2 3 8 4" xfId="15653"/>
    <cellStyle name="Calculation 2 7 2 3 9" xfId="8840"/>
    <cellStyle name="Calculation 2 7 2 3 9 2" xfId="27812"/>
    <cellStyle name="Calculation 2 7 2 3 9 3" xfId="38657"/>
    <cellStyle name="Calculation 2 7 2 3 9 4" xfId="17557"/>
    <cellStyle name="Calculation 2 7 2 4" xfId="638"/>
    <cellStyle name="Calculation 2 7 2 4 10" xfId="19634"/>
    <cellStyle name="Calculation 2 7 2 4 11" xfId="30479"/>
    <cellStyle name="Calculation 2 7 2 4 12" xfId="11690"/>
    <cellStyle name="Calculation 2 7 2 4 2" xfId="1233"/>
    <cellStyle name="Calculation 2 7 2 4 2 2" xfId="4086"/>
    <cellStyle name="Calculation 2 7 2 4 2 2 2" xfId="23058"/>
    <cellStyle name="Calculation 2 7 2 4 2 2 3" xfId="33903"/>
    <cellStyle name="Calculation 2 7 2 4 2 2 4" xfId="14159"/>
    <cellStyle name="Calculation 2 7 2 4 2 3" xfId="6759"/>
    <cellStyle name="Calculation 2 7 2 4 2 3 2" xfId="25731"/>
    <cellStyle name="Calculation 2 7 2 4 2 3 3" xfId="36576"/>
    <cellStyle name="Calculation 2 7 2 4 2 3 4" xfId="16074"/>
    <cellStyle name="Calculation 2 7 2 4 2 4" xfId="9418"/>
    <cellStyle name="Calculation 2 7 2 4 2 4 2" xfId="28390"/>
    <cellStyle name="Calculation 2 7 2 4 2 4 3" xfId="39235"/>
    <cellStyle name="Calculation 2 7 2 4 2 4 4" xfId="17978"/>
    <cellStyle name="Calculation 2 7 2 4 2 5" xfId="20214"/>
    <cellStyle name="Calculation 2 7 2 4 2 6" xfId="31059"/>
    <cellStyle name="Calculation 2 7 2 4 2 7" xfId="12124"/>
    <cellStyle name="Calculation 2 7 2 4 3" xfId="1632"/>
    <cellStyle name="Calculation 2 7 2 4 3 2" xfId="4485"/>
    <cellStyle name="Calculation 2 7 2 4 3 2 2" xfId="23457"/>
    <cellStyle name="Calculation 2 7 2 4 3 2 3" xfId="34302"/>
    <cellStyle name="Calculation 2 7 2 4 3 2 4" xfId="14447"/>
    <cellStyle name="Calculation 2 7 2 4 3 3" xfId="7157"/>
    <cellStyle name="Calculation 2 7 2 4 3 3 2" xfId="26129"/>
    <cellStyle name="Calculation 2 7 2 4 3 3 3" xfId="36974"/>
    <cellStyle name="Calculation 2 7 2 4 3 3 4" xfId="16361"/>
    <cellStyle name="Calculation 2 7 2 4 3 4" xfId="9816"/>
    <cellStyle name="Calculation 2 7 2 4 3 4 2" xfId="28788"/>
    <cellStyle name="Calculation 2 7 2 4 3 4 3" xfId="39633"/>
    <cellStyle name="Calculation 2 7 2 4 3 4 4" xfId="18265"/>
    <cellStyle name="Calculation 2 7 2 4 3 5" xfId="20612"/>
    <cellStyle name="Calculation 2 7 2 4 3 6" xfId="31457"/>
    <cellStyle name="Calculation 2 7 2 4 3 7" xfId="12411"/>
    <cellStyle name="Calculation 2 7 2 4 4" xfId="2036"/>
    <cellStyle name="Calculation 2 7 2 4 4 2" xfId="4889"/>
    <cellStyle name="Calculation 2 7 2 4 4 2 2" xfId="23861"/>
    <cellStyle name="Calculation 2 7 2 4 4 2 3" xfId="34706"/>
    <cellStyle name="Calculation 2 7 2 4 4 2 4" xfId="14734"/>
    <cellStyle name="Calculation 2 7 2 4 4 3" xfId="7561"/>
    <cellStyle name="Calculation 2 7 2 4 4 3 2" xfId="26533"/>
    <cellStyle name="Calculation 2 7 2 4 4 3 3" xfId="37378"/>
    <cellStyle name="Calculation 2 7 2 4 4 3 4" xfId="16648"/>
    <cellStyle name="Calculation 2 7 2 4 4 4" xfId="10220"/>
    <cellStyle name="Calculation 2 7 2 4 4 4 2" xfId="29192"/>
    <cellStyle name="Calculation 2 7 2 4 4 4 3" xfId="40037"/>
    <cellStyle name="Calculation 2 7 2 4 4 4 4" xfId="18552"/>
    <cellStyle name="Calculation 2 7 2 4 4 5" xfId="21016"/>
    <cellStyle name="Calculation 2 7 2 4 4 6" xfId="31861"/>
    <cellStyle name="Calculation 2 7 2 4 4 7" xfId="12698"/>
    <cellStyle name="Calculation 2 7 2 4 5" xfId="2427"/>
    <cellStyle name="Calculation 2 7 2 4 5 2" xfId="5280"/>
    <cellStyle name="Calculation 2 7 2 4 5 2 2" xfId="24252"/>
    <cellStyle name="Calculation 2 7 2 4 5 2 3" xfId="35097"/>
    <cellStyle name="Calculation 2 7 2 4 5 2 4" xfId="15014"/>
    <cellStyle name="Calculation 2 7 2 4 5 3" xfId="7951"/>
    <cellStyle name="Calculation 2 7 2 4 5 3 2" xfId="26923"/>
    <cellStyle name="Calculation 2 7 2 4 5 3 3" xfId="37768"/>
    <cellStyle name="Calculation 2 7 2 4 5 3 4" xfId="16927"/>
    <cellStyle name="Calculation 2 7 2 4 5 4" xfId="10610"/>
    <cellStyle name="Calculation 2 7 2 4 5 4 2" xfId="29582"/>
    <cellStyle name="Calculation 2 7 2 4 5 4 3" xfId="40427"/>
    <cellStyle name="Calculation 2 7 2 4 5 4 4" xfId="18831"/>
    <cellStyle name="Calculation 2 7 2 4 5 5" xfId="21406"/>
    <cellStyle name="Calculation 2 7 2 4 5 6" xfId="32251"/>
    <cellStyle name="Calculation 2 7 2 4 5 7" xfId="12977"/>
    <cellStyle name="Calculation 2 7 2 4 6" xfId="2814"/>
    <cellStyle name="Calculation 2 7 2 4 6 2" xfId="5666"/>
    <cellStyle name="Calculation 2 7 2 4 6 2 2" xfId="24638"/>
    <cellStyle name="Calculation 2 7 2 4 6 2 3" xfId="35483"/>
    <cellStyle name="Calculation 2 7 2 4 6 2 4" xfId="15291"/>
    <cellStyle name="Calculation 2 7 2 4 6 3" xfId="8337"/>
    <cellStyle name="Calculation 2 7 2 4 6 3 2" xfId="27309"/>
    <cellStyle name="Calculation 2 7 2 4 6 3 3" xfId="38154"/>
    <cellStyle name="Calculation 2 7 2 4 6 3 4" xfId="17204"/>
    <cellStyle name="Calculation 2 7 2 4 6 4" xfId="10996"/>
    <cellStyle name="Calculation 2 7 2 4 6 4 2" xfId="29968"/>
    <cellStyle name="Calculation 2 7 2 4 6 4 3" xfId="40813"/>
    <cellStyle name="Calculation 2 7 2 4 6 4 4" xfId="19108"/>
    <cellStyle name="Calculation 2 7 2 4 6 5" xfId="21792"/>
    <cellStyle name="Calculation 2 7 2 4 6 6" xfId="32637"/>
    <cellStyle name="Calculation 2 7 2 4 6 7" xfId="13254"/>
    <cellStyle name="Calculation 2 7 2 4 7" xfId="3504"/>
    <cellStyle name="Calculation 2 7 2 4 7 2" xfId="22476"/>
    <cellStyle name="Calculation 2 7 2 4 7 3" xfId="33321"/>
    <cellStyle name="Calculation 2 7 2 4 7 4" xfId="13735"/>
    <cellStyle name="Calculation 2 7 2 4 8" xfId="6179"/>
    <cellStyle name="Calculation 2 7 2 4 8 2" xfId="25151"/>
    <cellStyle name="Calculation 2 7 2 4 8 3" xfId="35996"/>
    <cellStyle name="Calculation 2 7 2 4 8 4" xfId="15651"/>
    <cellStyle name="Calculation 2 7 2 4 9" xfId="8838"/>
    <cellStyle name="Calculation 2 7 2 4 9 2" xfId="27810"/>
    <cellStyle name="Calculation 2 7 2 4 9 3" xfId="38655"/>
    <cellStyle name="Calculation 2 7 2 4 9 4" xfId="17555"/>
    <cellStyle name="Calculation 2 7 2 5" xfId="609"/>
    <cellStyle name="Calculation 2 7 2 5 10" xfId="19616"/>
    <cellStyle name="Calculation 2 7 2 5 11" xfId="30461"/>
    <cellStyle name="Calculation 2 7 2 5 12" xfId="11671"/>
    <cellStyle name="Calculation 2 7 2 5 2" xfId="1213"/>
    <cellStyle name="Calculation 2 7 2 5 2 2" xfId="4066"/>
    <cellStyle name="Calculation 2 7 2 5 2 2 2" xfId="23038"/>
    <cellStyle name="Calculation 2 7 2 5 2 2 3" xfId="33883"/>
    <cellStyle name="Calculation 2 7 2 5 2 2 4" xfId="14146"/>
    <cellStyle name="Calculation 2 7 2 5 2 3" xfId="6739"/>
    <cellStyle name="Calculation 2 7 2 5 2 3 2" xfId="25711"/>
    <cellStyle name="Calculation 2 7 2 5 2 3 3" xfId="36556"/>
    <cellStyle name="Calculation 2 7 2 5 2 3 4" xfId="16061"/>
    <cellStyle name="Calculation 2 7 2 5 2 4" xfId="9398"/>
    <cellStyle name="Calculation 2 7 2 5 2 4 2" xfId="28370"/>
    <cellStyle name="Calculation 2 7 2 5 2 4 3" xfId="39215"/>
    <cellStyle name="Calculation 2 7 2 5 2 4 4" xfId="17965"/>
    <cellStyle name="Calculation 2 7 2 5 2 5" xfId="20194"/>
    <cellStyle name="Calculation 2 7 2 5 2 6" xfId="31039"/>
    <cellStyle name="Calculation 2 7 2 5 2 7" xfId="12111"/>
    <cellStyle name="Calculation 2 7 2 5 3" xfId="1611"/>
    <cellStyle name="Calculation 2 7 2 5 3 2" xfId="4464"/>
    <cellStyle name="Calculation 2 7 2 5 3 2 2" xfId="23436"/>
    <cellStyle name="Calculation 2 7 2 5 3 2 3" xfId="34281"/>
    <cellStyle name="Calculation 2 7 2 5 3 2 4" xfId="14433"/>
    <cellStyle name="Calculation 2 7 2 5 3 3" xfId="7136"/>
    <cellStyle name="Calculation 2 7 2 5 3 3 2" xfId="26108"/>
    <cellStyle name="Calculation 2 7 2 5 3 3 3" xfId="36953"/>
    <cellStyle name="Calculation 2 7 2 5 3 3 4" xfId="16347"/>
    <cellStyle name="Calculation 2 7 2 5 3 4" xfId="9795"/>
    <cellStyle name="Calculation 2 7 2 5 3 4 2" xfId="28767"/>
    <cellStyle name="Calculation 2 7 2 5 3 4 3" xfId="39612"/>
    <cellStyle name="Calculation 2 7 2 5 3 4 4" xfId="18251"/>
    <cellStyle name="Calculation 2 7 2 5 3 5" xfId="20591"/>
    <cellStyle name="Calculation 2 7 2 5 3 6" xfId="31436"/>
    <cellStyle name="Calculation 2 7 2 5 3 7" xfId="12397"/>
    <cellStyle name="Calculation 2 7 2 5 4" xfId="2013"/>
    <cellStyle name="Calculation 2 7 2 5 4 2" xfId="4866"/>
    <cellStyle name="Calculation 2 7 2 5 4 2 2" xfId="23838"/>
    <cellStyle name="Calculation 2 7 2 5 4 2 3" xfId="34683"/>
    <cellStyle name="Calculation 2 7 2 5 4 2 4" xfId="14719"/>
    <cellStyle name="Calculation 2 7 2 5 4 3" xfId="7538"/>
    <cellStyle name="Calculation 2 7 2 5 4 3 2" xfId="26510"/>
    <cellStyle name="Calculation 2 7 2 5 4 3 3" xfId="37355"/>
    <cellStyle name="Calculation 2 7 2 5 4 3 4" xfId="16633"/>
    <cellStyle name="Calculation 2 7 2 5 4 4" xfId="10197"/>
    <cellStyle name="Calculation 2 7 2 5 4 4 2" xfId="29169"/>
    <cellStyle name="Calculation 2 7 2 5 4 4 3" xfId="40014"/>
    <cellStyle name="Calculation 2 7 2 5 4 4 4" xfId="18537"/>
    <cellStyle name="Calculation 2 7 2 5 4 5" xfId="20993"/>
    <cellStyle name="Calculation 2 7 2 5 4 6" xfId="31838"/>
    <cellStyle name="Calculation 2 7 2 5 4 7" xfId="12683"/>
    <cellStyle name="Calculation 2 7 2 5 5" xfId="2405"/>
    <cellStyle name="Calculation 2 7 2 5 5 2" xfId="5258"/>
    <cellStyle name="Calculation 2 7 2 5 5 2 2" xfId="24230"/>
    <cellStyle name="Calculation 2 7 2 5 5 2 3" xfId="35075"/>
    <cellStyle name="Calculation 2 7 2 5 5 2 4" xfId="15000"/>
    <cellStyle name="Calculation 2 7 2 5 5 3" xfId="7929"/>
    <cellStyle name="Calculation 2 7 2 5 5 3 2" xfId="26901"/>
    <cellStyle name="Calculation 2 7 2 5 5 3 3" xfId="37746"/>
    <cellStyle name="Calculation 2 7 2 5 5 3 4" xfId="16913"/>
    <cellStyle name="Calculation 2 7 2 5 5 4" xfId="10588"/>
    <cellStyle name="Calculation 2 7 2 5 5 4 2" xfId="29560"/>
    <cellStyle name="Calculation 2 7 2 5 5 4 3" xfId="40405"/>
    <cellStyle name="Calculation 2 7 2 5 5 4 4" xfId="18817"/>
    <cellStyle name="Calculation 2 7 2 5 5 5" xfId="21384"/>
    <cellStyle name="Calculation 2 7 2 5 5 6" xfId="32229"/>
    <cellStyle name="Calculation 2 7 2 5 5 7" xfId="12963"/>
    <cellStyle name="Calculation 2 7 2 5 6" xfId="2794"/>
    <cellStyle name="Calculation 2 7 2 5 6 2" xfId="5646"/>
    <cellStyle name="Calculation 2 7 2 5 6 2 2" xfId="24618"/>
    <cellStyle name="Calculation 2 7 2 5 6 2 3" xfId="35463"/>
    <cellStyle name="Calculation 2 7 2 5 6 2 4" xfId="15278"/>
    <cellStyle name="Calculation 2 7 2 5 6 3" xfId="8317"/>
    <cellStyle name="Calculation 2 7 2 5 6 3 2" xfId="27289"/>
    <cellStyle name="Calculation 2 7 2 5 6 3 3" xfId="38134"/>
    <cellStyle name="Calculation 2 7 2 5 6 3 4" xfId="17191"/>
    <cellStyle name="Calculation 2 7 2 5 6 4" xfId="10976"/>
    <cellStyle name="Calculation 2 7 2 5 6 4 2" xfId="29948"/>
    <cellStyle name="Calculation 2 7 2 5 6 4 3" xfId="40793"/>
    <cellStyle name="Calculation 2 7 2 5 6 4 4" xfId="19095"/>
    <cellStyle name="Calculation 2 7 2 5 6 5" xfId="21772"/>
    <cellStyle name="Calculation 2 7 2 5 6 6" xfId="32617"/>
    <cellStyle name="Calculation 2 7 2 5 6 7" xfId="13241"/>
    <cellStyle name="Calculation 2 7 2 5 7" xfId="3485"/>
    <cellStyle name="Calculation 2 7 2 5 7 2" xfId="22457"/>
    <cellStyle name="Calculation 2 7 2 5 7 3" xfId="33302"/>
    <cellStyle name="Calculation 2 7 2 5 7 4" xfId="13723"/>
    <cellStyle name="Calculation 2 7 2 5 8" xfId="6161"/>
    <cellStyle name="Calculation 2 7 2 5 8 2" xfId="25133"/>
    <cellStyle name="Calculation 2 7 2 5 8 3" xfId="35978"/>
    <cellStyle name="Calculation 2 7 2 5 8 4" xfId="15640"/>
    <cellStyle name="Calculation 2 7 2 5 9" xfId="8820"/>
    <cellStyle name="Calculation 2 7 2 5 9 2" xfId="27792"/>
    <cellStyle name="Calculation 2 7 2 5 9 3" xfId="38637"/>
    <cellStyle name="Calculation 2 7 2 5 9 4" xfId="17544"/>
    <cellStyle name="Calculation 2 7 2 6" xfId="1060"/>
    <cellStyle name="Calculation 2 7 2 6 2" xfId="3913"/>
    <cellStyle name="Calculation 2 7 2 6 2 2" xfId="22885"/>
    <cellStyle name="Calculation 2 7 2 6 2 3" xfId="33730"/>
    <cellStyle name="Calculation 2 7 2 6 2 4" xfId="14026"/>
    <cellStyle name="Calculation 2 7 2 6 3" xfId="6587"/>
    <cellStyle name="Calculation 2 7 2 6 3 2" xfId="25559"/>
    <cellStyle name="Calculation 2 7 2 6 3 3" xfId="36404"/>
    <cellStyle name="Calculation 2 7 2 6 3 4" xfId="15942"/>
    <cellStyle name="Calculation 2 7 2 6 4" xfId="9246"/>
    <cellStyle name="Calculation 2 7 2 6 4 2" xfId="28218"/>
    <cellStyle name="Calculation 2 7 2 6 4 3" xfId="39063"/>
    <cellStyle name="Calculation 2 7 2 6 4 4" xfId="17846"/>
    <cellStyle name="Calculation 2 7 2 6 5" xfId="20042"/>
    <cellStyle name="Calculation 2 7 2 6 6" xfId="30887"/>
    <cellStyle name="Calculation 2 7 2 6 7" xfId="11992"/>
    <cellStyle name="Calculation 2 7 2 7" xfId="919"/>
    <cellStyle name="Calculation 2 7 2 7 2" xfId="3774"/>
    <cellStyle name="Calculation 2 7 2 7 2 2" xfId="22746"/>
    <cellStyle name="Calculation 2 7 2 7 2 3" xfId="33591"/>
    <cellStyle name="Calculation 2 7 2 7 2 4" xfId="13920"/>
    <cellStyle name="Calculation 2 7 2 7 3" xfId="6449"/>
    <cellStyle name="Calculation 2 7 2 7 3 2" xfId="25421"/>
    <cellStyle name="Calculation 2 7 2 7 3 3" xfId="36266"/>
    <cellStyle name="Calculation 2 7 2 7 3 4" xfId="15836"/>
    <cellStyle name="Calculation 2 7 2 7 4" xfId="9108"/>
    <cellStyle name="Calculation 2 7 2 7 4 2" xfId="28080"/>
    <cellStyle name="Calculation 2 7 2 7 4 3" xfId="38925"/>
    <cellStyle name="Calculation 2 7 2 7 4 4" xfId="17740"/>
    <cellStyle name="Calculation 2 7 2 7 5" xfId="19904"/>
    <cellStyle name="Calculation 2 7 2 7 6" xfId="30749"/>
    <cellStyle name="Calculation 2 7 2 7 7" xfId="11886"/>
    <cellStyle name="Calculation 2 7 2 8" xfId="948"/>
    <cellStyle name="Calculation 2 7 2 8 2" xfId="3801"/>
    <cellStyle name="Calculation 2 7 2 8 2 2" xfId="22773"/>
    <cellStyle name="Calculation 2 7 2 8 2 3" xfId="33618"/>
    <cellStyle name="Calculation 2 7 2 8 2 4" xfId="13946"/>
    <cellStyle name="Calculation 2 7 2 8 3" xfId="6476"/>
    <cellStyle name="Calculation 2 7 2 8 3 2" xfId="25448"/>
    <cellStyle name="Calculation 2 7 2 8 3 3" xfId="36293"/>
    <cellStyle name="Calculation 2 7 2 8 3 4" xfId="15862"/>
    <cellStyle name="Calculation 2 7 2 8 4" xfId="9135"/>
    <cellStyle name="Calculation 2 7 2 8 4 2" xfId="28107"/>
    <cellStyle name="Calculation 2 7 2 8 4 3" xfId="38952"/>
    <cellStyle name="Calculation 2 7 2 8 4 4" xfId="17766"/>
    <cellStyle name="Calculation 2 7 2 8 5" xfId="19931"/>
    <cellStyle name="Calculation 2 7 2 8 6" xfId="30776"/>
    <cellStyle name="Calculation 2 7 2 8 7" xfId="11912"/>
    <cellStyle name="Calculation 2 7 2 9" xfId="1237"/>
    <cellStyle name="Calculation 2 7 2 9 2" xfId="4090"/>
    <cellStyle name="Calculation 2 7 2 9 2 2" xfId="23062"/>
    <cellStyle name="Calculation 2 7 2 9 2 3" xfId="33907"/>
    <cellStyle name="Calculation 2 7 2 9 2 4" xfId="14163"/>
    <cellStyle name="Calculation 2 7 2 9 3" xfId="6763"/>
    <cellStyle name="Calculation 2 7 2 9 3 2" xfId="25735"/>
    <cellStyle name="Calculation 2 7 2 9 3 3" xfId="36580"/>
    <cellStyle name="Calculation 2 7 2 9 3 4" xfId="16078"/>
    <cellStyle name="Calculation 2 7 2 9 4" xfId="9422"/>
    <cellStyle name="Calculation 2 7 2 9 4 2" xfId="28394"/>
    <cellStyle name="Calculation 2 7 2 9 4 3" xfId="39239"/>
    <cellStyle name="Calculation 2 7 2 9 4 4" xfId="17982"/>
    <cellStyle name="Calculation 2 7 2 9 5" xfId="20218"/>
    <cellStyle name="Calculation 2 7 2 9 6" xfId="31063"/>
    <cellStyle name="Calculation 2 7 2 9 7" xfId="12128"/>
    <cellStyle name="Calculation 2 7 3" xfId="542"/>
    <cellStyle name="Calculation 2 7 3 10" xfId="19552"/>
    <cellStyle name="Calculation 2 7 3 11" xfId="30397"/>
    <cellStyle name="Calculation 2 7 3 12" xfId="11616"/>
    <cellStyle name="Calculation 2 7 3 2" xfId="1148"/>
    <cellStyle name="Calculation 2 7 3 2 2" xfId="4001"/>
    <cellStyle name="Calculation 2 7 3 2 2 2" xfId="22973"/>
    <cellStyle name="Calculation 2 7 3 2 2 3" xfId="33818"/>
    <cellStyle name="Calculation 2 7 3 2 2 4" xfId="14093"/>
    <cellStyle name="Calculation 2 7 3 2 3" xfId="6674"/>
    <cellStyle name="Calculation 2 7 3 2 3 2" xfId="25646"/>
    <cellStyle name="Calculation 2 7 3 2 3 3" xfId="36491"/>
    <cellStyle name="Calculation 2 7 3 2 3 4" xfId="16008"/>
    <cellStyle name="Calculation 2 7 3 2 4" xfId="9333"/>
    <cellStyle name="Calculation 2 7 3 2 4 2" xfId="28305"/>
    <cellStyle name="Calculation 2 7 3 2 4 3" xfId="39150"/>
    <cellStyle name="Calculation 2 7 3 2 4 4" xfId="17912"/>
    <cellStyle name="Calculation 2 7 3 2 5" xfId="20129"/>
    <cellStyle name="Calculation 2 7 3 2 6" xfId="30974"/>
    <cellStyle name="Calculation 2 7 3 2 7" xfId="12058"/>
    <cellStyle name="Calculation 2 7 3 3" xfId="1545"/>
    <cellStyle name="Calculation 2 7 3 3 2" xfId="4398"/>
    <cellStyle name="Calculation 2 7 3 3 2 2" xfId="23370"/>
    <cellStyle name="Calculation 2 7 3 3 2 3" xfId="34215"/>
    <cellStyle name="Calculation 2 7 3 3 2 4" xfId="14379"/>
    <cellStyle name="Calculation 2 7 3 3 3" xfId="7070"/>
    <cellStyle name="Calculation 2 7 3 3 3 2" xfId="26042"/>
    <cellStyle name="Calculation 2 7 3 3 3 3" xfId="36887"/>
    <cellStyle name="Calculation 2 7 3 3 3 4" xfId="16293"/>
    <cellStyle name="Calculation 2 7 3 3 4" xfId="9729"/>
    <cellStyle name="Calculation 2 7 3 3 4 2" xfId="28701"/>
    <cellStyle name="Calculation 2 7 3 3 4 3" xfId="39546"/>
    <cellStyle name="Calculation 2 7 3 3 4 4" xfId="18197"/>
    <cellStyle name="Calculation 2 7 3 3 5" xfId="20525"/>
    <cellStyle name="Calculation 2 7 3 3 6" xfId="31370"/>
    <cellStyle name="Calculation 2 7 3 3 7" xfId="12343"/>
    <cellStyle name="Calculation 2 7 3 4" xfId="1949"/>
    <cellStyle name="Calculation 2 7 3 4 2" xfId="4802"/>
    <cellStyle name="Calculation 2 7 3 4 2 2" xfId="23774"/>
    <cellStyle name="Calculation 2 7 3 4 2 3" xfId="34619"/>
    <cellStyle name="Calculation 2 7 3 4 2 4" xfId="14667"/>
    <cellStyle name="Calculation 2 7 3 4 3" xfId="7474"/>
    <cellStyle name="Calculation 2 7 3 4 3 2" xfId="26446"/>
    <cellStyle name="Calculation 2 7 3 4 3 3" xfId="37291"/>
    <cellStyle name="Calculation 2 7 3 4 3 4" xfId="16581"/>
    <cellStyle name="Calculation 2 7 3 4 4" xfId="10133"/>
    <cellStyle name="Calculation 2 7 3 4 4 2" xfId="29105"/>
    <cellStyle name="Calculation 2 7 3 4 4 3" xfId="39950"/>
    <cellStyle name="Calculation 2 7 3 4 4 4" xfId="18485"/>
    <cellStyle name="Calculation 2 7 3 4 5" xfId="20929"/>
    <cellStyle name="Calculation 2 7 3 4 6" xfId="31774"/>
    <cellStyle name="Calculation 2 7 3 4 7" xfId="12631"/>
    <cellStyle name="Calculation 2 7 3 5" xfId="2341"/>
    <cellStyle name="Calculation 2 7 3 5 2" xfId="5194"/>
    <cellStyle name="Calculation 2 7 3 5 2 2" xfId="24166"/>
    <cellStyle name="Calculation 2 7 3 5 2 3" xfId="35011"/>
    <cellStyle name="Calculation 2 7 3 5 2 4" xfId="14948"/>
    <cellStyle name="Calculation 2 7 3 5 3" xfId="7865"/>
    <cellStyle name="Calculation 2 7 3 5 3 2" xfId="26837"/>
    <cellStyle name="Calculation 2 7 3 5 3 3" xfId="37682"/>
    <cellStyle name="Calculation 2 7 3 5 3 4" xfId="16861"/>
    <cellStyle name="Calculation 2 7 3 5 4" xfId="10524"/>
    <cellStyle name="Calculation 2 7 3 5 4 2" xfId="29496"/>
    <cellStyle name="Calculation 2 7 3 5 4 3" xfId="40341"/>
    <cellStyle name="Calculation 2 7 3 5 4 4" xfId="18765"/>
    <cellStyle name="Calculation 2 7 3 5 5" xfId="21320"/>
    <cellStyle name="Calculation 2 7 3 5 6" xfId="32165"/>
    <cellStyle name="Calculation 2 7 3 5 7" xfId="12911"/>
    <cellStyle name="Calculation 2 7 3 6" xfId="2730"/>
    <cellStyle name="Calculation 2 7 3 6 2" xfId="5582"/>
    <cellStyle name="Calculation 2 7 3 6 2 2" xfId="24554"/>
    <cellStyle name="Calculation 2 7 3 6 2 3" xfId="35399"/>
    <cellStyle name="Calculation 2 7 3 6 2 4" xfId="15226"/>
    <cellStyle name="Calculation 2 7 3 6 3" xfId="8253"/>
    <cellStyle name="Calculation 2 7 3 6 3 2" xfId="27225"/>
    <cellStyle name="Calculation 2 7 3 6 3 3" xfId="38070"/>
    <cellStyle name="Calculation 2 7 3 6 3 4" xfId="17139"/>
    <cellStyle name="Calculation 2 7 3 6 4" xfId="10912"/>
    <cellStyle name="Calculation 2 7 3 6 4 2" xfId="29884"/>
    <cellStyle name="Calculation 2 7 3 6 4 3" xfId="40729"/>
    <cellStyle name="Calculation 2 7 3 6 4 4" xfId="19043"/>
    <cellStyle name="Calculation 2 7 3 6 5" xfId="21708"/>
    <cellStyle name="Calculation 2 7 3 6 6" xfId="32553"/>
    <cellStyle name="Calculation 2 7 3 6 7" xfId="13189"/>
    <cellStyle name="Calculation 2 7 3 7" xfId="3421"/>
    <cellStyle name="Calculation 2 7 3 7 2" xfId="22393"/>
    <cellStyle name="Calculation 2 7 3 7 3" xfId="33238"/>
    <cellStyle name="Calculation 2 7 3 7 4" xfId="13671"/>
    <cellStyle name="Calculation 2 7 3 8" xfId="6097"/>
    <cellStyle name="Calculation 2 7 3 8 2" xfId="25069"/>
    <cellStyle name="Calculation 2 7 3 8 3" xfId="35914"/>
    <cellStyle name="Calculation 2 7 3 8 4" xfId="15588"/>
    <cellStyle name="Calculation 2 7 3 9" xfId="8756"/>
    <cellStyle name="Calculation 2 7 3 9 2" xfId="27728"/>
    <cellStyle name="Calculation 2 7 3 9 3" xfId="38573"/>
    <cellStyle name="Calculation 2 7 3 9 4" xfId="17492"/>
    <cellStyle name="Calculation 2 7 4" xfId="11434"/>
    <cellStyle name="Calculation 2 8" xfId="64"/>
    <cellStyle name="Calculation 2 8 2" xfId="355"/>
    <cellStyle name="Calculation 2 8 2 10" xfId="993"/>
    <cellStyle name="Calculation 2 8 2 10 2" xfId="3846"/>
    <cellStyle name="Calculation 2 8 2 10 2 2" xfId="22818"/>
    <cellStyle name="Calculation 2 8 2 10 2 3" xfId="33663"/>
    <cellStyle name="Calculation 2 8 2 10 2 4" xfId="13978"/>
    <cellStyle name="Calculation 2 8 2 10 3" xfId="6521"/>
    <cellStyle name="Calculation 2 8 2 10 3 2" xfId="25493"/>
    <cellStyle name="Calculation 2 8 2 10 3 3" xfId="36338"/>
    <cellStyle name="Calculation 2 8 2 10 3 4" xfId="15894"/>
    <cellStyle name="Calculation 2 8 2 10 4" xfId="9180"/>
    <cellStyle name="Calculation 2 8 2 10 4 2" xfId="28152"/>
    <cellStyle name="Calculation 2 8 2 10 4 3" xfId="38997"/>
    <cellStyle name="Calculation 2 8 2 10 4 4" xfId="17798"/>
    <cellStyle name="Calculation 2 8 2 10 5" xfId="19976"/>
    <cellStyle name="Calculation 2 8 2 10 6" xfId="30821"/>
    <cellStyle name="Calculation 2 8 2 10 7" xfId="11944"/>
    <cellStyle name="Calculation 2 8 2 11" xfId="958"/>
    <cellStyle name="Calculation 2 8 2 11 2" xfId="3811"/>
    <cellStyle name="Calculation 2 8 2 11 2 2" xfId="22783"/>
    <cellStyle name="Calculation 2 8 2 11 2 3" xfId="33628"/>
    <cellStyle name="Calculation 2 8 2 11 2 4" xfId="13953"/>
    <cellStyle name="Calculation 2 8 2 11 3" xfId="6486"/>
    <cellStyle name="Calculation 2 8 2 11 3 2" xfId="25458"/>
    <cellStyle name="Calculation 2 8 2 11 3 3" xfId="36303"/>
    <cellStyle name="Calculation 2 8 2 11 3 4" xfId="15869"/>
    <cellStyle name="Calculation 2 8 2 11 4" xfId="9145"/>
    <cellStyle name="Calculation 2 8 2 11 4 2" xfId="28117"/>
    <cellStyle name="Calculation 2 8 2 11 4 3" xfId="38962"/>
    <cellStyle name="Calculation 2 8 2 11 4 4" xfId="17773"/>
    <cellStyle name="Calculation 2 8 2 11 5" xfId="19941"/>
    <cellStyle name="Calculation 2 8 2 11 6" xfId="30786"/>
    <cellStyle name="Calculation 2 8 2 11 7" xfId="11919"/>
    <cellStyle name="Calculation 2 8 2 12" xfId="986"/>
    <cellStyle name="Calculation 2 8 2 12 2" xfId="3839"/>
    <cellStyle name="Calculation 2 8 2 12 2 2" xfId="22811"/>
    <cellStyle name="Calculation 2 8 2 12 2 3" xfId="33656"/>
    <cellStyle name="Calculation 2 8 2 12 2 4" xfId="13973"/>
    <cellStyle name="Calculation 2 8 2 12 3" xfId="6514"/>
    <cellStyle name="Calculation 2 8 2 12 3 2" xfId="25486"/>
    <cellStyle name="Calculation 2 8 2 12 3 3" xfId="36331"/>
    <cellStyle name="Calculation 2 8 2 12 3 4" xfId="15889"/>
    <cellStyle name="Calculation 2 8 2 12 4" xfId="9173"/>
    <cellStyle name="Calculation 2 8 2 12 4 2" xfId="28145"/>
    <cellStyle name="Calculation 2 8 2 12 4 3" xfId="38990"/>
    <cellStyle name="Calculation 2 8 2 12 4 4" xfId="17793"/>
    <cellStyle name="Calculation 2 8 2 12 5" xfId="19969"/>
    <cellStyle name="Calculation 2 8 2 12 6" xfId="30814"/>
    <cellStyle name="Calculation 2 8 2 12 7" xfId="11939"/>
    <cellStyle name="Calculation 2 8 2 13" xfId="962"/>
    <cellStyle name="Calculation 2 8 2 13 2" xfId="3815"/>
    <cellStyle name="Calculation 2 8 2 13 2 2" xfId="22787"/>
    <cellStyle name="Calculation 2 8 2 13 2 3" xfId="33632"/>
    <cellStyle name="Calculation 2 8 2 13 2 4" xfId="13956"/>
    <cellStyle name="Calculation 2 8 2 13 3" xfId="6490"/>
    <cellStyle name="Calculation 2 8 2 13 3 2" xfId="25462"/>
    <cellStyle name="Calculation 2 8 2 13 3 3" xfId="36307"/>
    <cellStyle name="Calculation 2 8 2 13 3 4" xfId="15872"/>
    <cellStyle name="Calculation 2 8 2 13 4" xfId="9149"/>
    <cellStyle name="Calculation 2 8 2 13 4 2" xfId="28121"/>
    <cellStyle name="Calculation 2 8 2 13 4 3" xfId="38966"/>
    <cellStyle name="Calculation 2 8 2 13 4 4" xfId="17776"/>
    <cellStyle name="Calculation 2 8 2 13 5" xfId="19945"/>
    <cellStyle name="Calculation 2 8 2 13 6" xfId="30790"/>
    <cellStyle name="Calculation 2 8 2 13 7" xfId="11922"/>
    <cellStyle name="Calculation 2 8 2 14" xfId="517"/>
    <cellStyle name="Calculation 2 8 2 14 2" xfId="19538"/>
    <cellStyle name="Calculation 2 8 2 14 3" xfId="30383"/>
    <cellStyle name="Calculation 2 8 2 14 4" xfId="11592"/>
    <cellStyle name="Calculation 2 8 2 15" xfId="3398"/>
    <cellStyle name="Calculation 2 8 2 15 2" xfId="22370"/>
    <cellStyle name="Calculation 2 8 2 15 3" xfId="33215"/>
    <cellStyle name="Calculation 2 8 2 15 4" xfId="13651"/>
    <cellStyle name="Calculation 2 8 2 16" xfId="3289"/>
    <cellStyle name="Calculation 2 8 2 16 2" xfId="22263"/>
    <cellStyle name="Calculation 2 8 2 16 3" xfId="33108"/>
    <cellStyle name="Calculation 2 8 2 16 4" xfId="13580"/>
    <cellStyle name="Calculation 2 8 2 17" xfId="19452"/>
    <cellStyle name="Calculation 2 8 2 18" xfId="19419"/>
    <cellStyle name="Calculation 2 8 2 19" xfId="11511"/>
    <cellStyle name="Calculation 2 8 2 2" xfId="663"/>
    <cellStyle name="Calculation 2 8 2 2 10" xfId="19648"/>
    <cellStyle name="Calculation 2 8 2 2 11" xfId="30493"/>
    <cellStyle name="Calculation 2 8 2 2 12" xfId="11715"/>
    <cellStyle name="Calculation 2 8 2 2 2" xfId="1250"/>
    <cellStyle name="Calculation 2 8 2 2 2 2" xfId="4103"/>
    <cellStyle name="Calculation 2 8 2 2 2 2 2" xfId="23075"/>
    <cellStyle name="Calculation 2 8 2 2 2 2 3" xfId="33920"/>
    <cellStyle name="Calculation 2 8 2 2 2 2 4" xfId="14176"/>
    <cellStyle name="Calculation 2 8 2 2 2 3" xfId="6776"/>
    <cellStyle name="Calculation 2 8 2 2 2 3 2" xfId="25748"/>
    <cellStyle name="Calculation 2 8 2 2 2 3 3" xfId="36593"/>
    <cellStyle name="Calculation 2 8 2 2 2 3 4" xfId="16091"/>
    <cellStyle name="Calculation 2 8 2 2 2 4" xfId="9435"/>
    <cellStyle name="Calculation 2 8 2 2 2 4 2" xfId="28407"/>
    <cellStyle name="Calculation 2 8 2 2 2 4 3" xfId="39252"/>
    <cellStyle name="Calculation 2 8 2 2 2 4 4" xfId="17995"/>
    <cellStyle name="Calculation 2 8 2 2 2 5" xfId="20231"/>
    <cellStyle name="Calculation 2 8 2 2 2 6" xfId="31076"/>
    <cellStyle name="Calculation 2 8 2 2 2 7" xfId="12141"/>
    <cellStyle name="Calculation 2 8 2 2 3" xfId="1649"/>
    <cellStyle name="Calculation 2 8 2 2 3 2" xfId="4502"/>
    <cellStyle name="Calculation 2 8 2 2 3 2 2" xfId="23474"/>
    <cellStyle name="Calculation 2 8 2 2 3 2 3" xfId="34319"/>
    <cellStyle name="Calculation 2 8 2 2 3 2 4" xfId="14463"/>
    <cellStyle name="Calculation 2 8 2 2 3 3" xfId="7174"/>
    <cellStyle name="Calculation 2 8 2 2 3 3 2" xfId="26146"/>
    <cellStyle name="Calculation 2 8 2 2 3 3 3" xfId="36991"/>
    <cellStyle name="Calculation 2 8 2 2 3 3 4" xfId="16377"/>
    <cellStyle name="Calculation 2 8 2 2 3 4" xfId="9833"/>
    <cellStyle name="Calculation 2 8 2 2 3 4 2" xfId="28805"/>
    <cellStyle name="Calculation 2 8 2 2 3 4 3" xfId="39650"/>
    <cellStyle name="Calculation 2 8 2 2 3 4 4" xfId="18281"/>
    <cellStyle name="Calculation 2 8 2 2 3 5" xfId="20629"/>
    <cellStyle name="Calculation 2 8 2 2 3 6" xfId="31474"/>
    <cellStyle name="Calculation 2 8 2 2 3 7" xfId="12427"/>
    <cellStyle name="Calculation 2 8 2 2 4" xfId="2053"/>
    <cellStyle name="Calculation 2 8 2 2 4 2" xfId="4906"/>
    <cellStyle name="Calculation 2 8 2 2 4 2 2" xfId="23878"/>
    <cellStyle name="Calculation 2 8 2 2 4 2 3" xfId="34723"/>
    <cellStyle name="Calculation 2 8 2 2 4 2 4" xfId="14750"/>
    <cellStyle name="Calculation 2 8 2 2 4 3" xfId="7577"/>
    <cellStyle name="Calculation 2 8 2 2 4 3 2" xfId="26549"/>
    <cellStyle name="Calculation 2 8 2 2 4 3 3" xfId="37394"/>
    <cellStyle name="Calculation 2 8 2 2 4 3 4" xfId="16663"/>
    <cellStyle name="Calculation 2 8 2 2 4 4" xfId="10236"/>
    <cellStyle name="Calculation 2 8 2 2 4 4 2" xfId="29208"/>
    <cellStyle name="Calculation 2 8 2 2 4 4 3" xfId="40053"/>
    <cellStyle name="Calculation 2 8 2 2 4 4 4" xfId="18567"/>
    <cellStyle name="Calculation 2 8 2 2 4 5" xfId="21032"/>
    <cellStyle name="Calculation 2 8 2 2 4 6" xfId="31877"/>
    <cellStyle name="Calculation 2 8 2 2 4 7" xfId="12713"/>
    <cellStyle name="Calculation 2 8 2 2 5" xfId="2443"/>
    <cellStyle name="Calculation 2 8 2 2 5 2" xfId="5295"/>
    <cellStyle name="Calculation 2 8 2 2 5 2 2" xfId="24267"/>
    <cellStyle name="Calculation 2 8 2 2 5 2 3" xfId="35112"/>
    <cellStyle name="Calculation 2 8 2 2 5 2 4" xfId="15029"/>
    <cellStyle name="Calculation 2 8 2 2 5 3" xfId="7966"/>
    <cellStyle name="Calculation 2 8 2 2 5 3 2" xfId="26938"/>
    <cellStyle name="Calculation 2 8 2 2 5 3 3" xfId="37783"/>
    <cellStyle name="Calculation 2 8 2 2 5 3 4" xfId="16942"/>
    <cellStyle name="Calculation 2 8 2 2 5 4" xfId="10625"/>
    <cellStyle name="Calculation 2 8 2 2 5 4 2" xfId="29597"/>
    <cellStyle name="Calculation 2 8 2 2 5 4 3" xfId="40442"/>
    <cellStyle name="Calculation 2 8 2 2 5 4 4" xfId="18846"/>
    <cellStyle name="Calculation 2 8 2 2 5 5" xfId="21421"/>
    <cellStyle name="Calculation 2 8 2 2 5 6" xfId="32266"/>
    <cellStyle name="Calculation 2 8 2 2 5 7" xfId="12992"/>
    <cellStyle name="Calculation 2 8 2 2 6" xfId="2829"/>
    <cellStyle name="Calculation 2 8 2 2 6 2" xfId="5680"/>
    <cellStyle name="Calculation 2 8 2 2 6 2 2" xfId="24652"/>
    <cellStyle name="Calculation 2 8 2 2 6 2 3" xfId="35497"/>
    <cellStyle name="Calculation 2 8 2 2 6 2 4" xfId="15305"/>
    <cellStyle name="Calculation 2 8 2 2 6 3" xfId="8351"/>
    <cellStyle name="Calculation 2 8 2 2 6 3 2" xfId="27323"/>
    <cellStyle name="Calculation 2 8 2 2 6 3 3" xfId="38168"/>
    <cellStyle name="Calculation 2 8 2 2 6 3 4" xfId="17218"/>
    <cellStyle name="Calculation 2 8 2 2 6 4" xfId="11010"/>
    <cellStyle name="Calculation 2 8 2 2 6 4 2" xfId="29982"/>
    <cellStyle name="Calculation 2 8 2 2 6 4 3" xfId="40827"/>
    <cellStyle name="Calculation 2 8 2 2 6 4 4" xfId="19122"/>
    <cellStyle name="Calculation 2 8 2 2 6 5" xfId="21806"/>
    <cellStyle name="Calculation 2 8 2 2 6 6" xfId="32651"/>
    <cellStyle name="Calculation 2 8 2 2 6 7" xfId="13268"/>
    <cellStyle name="Calculation 2 8 2 2 7" xfId="3518"/>
    <cellStyle name="Calculation 2 8 2 2 7 2" xfId="22490"/>
    <cellStyle name="Calculation 2 8 2 2 7 3" xfId="33335"/>
    <cellStyle name="Calculation 2 8 2 2 7 4" xfId="13749"/>
    <cellStyle name="Calculation 2 8 2 2 8" xfId="6193"/>
    <cellStyle name="Calculation 2 8 2 2 8 2" xfId="25165"/>
    <cellStyle name="Calculation 2 8 2 2 8 3" xfId="36010"/>
    <cellStyle name="Calculation 2 8 2 2 8 4" xfId="15665"/>
    <cellStyle name="Calculation 2 8 2 2 9" xfId="8852"/>
    <cellStyle name="Calculation 2 8 2 2 9 2" xfId="27824"/>
    <cellStyle name="Calculation 2 8 2 2 9 3" xfId="38669"/>
    <cellStyle name="Calculation 2 8 2 2 9 4" xfId="17569"/>
    <cellStyle name="Calculation 2 8 2 3" xfId="644"/>
    <cellStyle name="Calculation 2 8 2 3 10" xfId="19637"/>
    <cellStyle name="Calculation 2 8 2 3 11" xfId="30482"/>
    <cellStyle name="Calculation 2 8 2 3 12" xfId="11696"/>
    <cellStyle name="Calculation 2 8 2 3 2" xfId="1238"/>
    <cellStyle name="Calculation 2 8 2 3 2 2" xfId="4091"/>
    <cellStyle name="Calculation 2 8 2 3 2 2 2" xfId="23063"/>
    <cellStyle name="Calculation 2 8 2 3 2 2 3" xfId="33908"/>
    <cellStyle name="Calculation 2 8 2 3 2 2 4" xfId="14164"/>
    <cellStyle name="Calculation 2 8 2 3 2 3" xfId="6764"/>
    <cellStyle name="Calculation 2 8 2 3 2 3 2" xfId="25736"/>
    <cellStyle name="Calculation 2 8 2 3 2 3 3" xfId="36581"/>
    <cellStyle name="Calculation 2 8 2 3 2 3 4" xfId="16079"/>
    <cellStyle name="Calculation 2 8 2 3 2 4" xfId="9423"/>
    <cellStyle name="Calculation 2 8 2 3 2 4 2" xfId="28395"/>
    <cellStyle name="Calculation 2 8 2 3 2 4 3" xfId="39240"/>
    <cellStyle name="Calculation 2 8 2 3 2 4 4" xfId="17983"/>
    <cellStyle name="Calculation 2 8 2 3 2 5" xfId="20219"/>
    <cellStyle name="Calculation 2 8 2 3 2 6" xfId="31064"/>
    <cellStyle name="Calculation 2 8 2 3 2 7" xfId="12129"/>
    <cellStyle name="Calculation 2 8 2 3 3" xfId="1635"/>
    <cellStyle name="Calculation 2 8 2 3 3 2" xfId="4488"/>
    <cellStyle name="Calculation 2 8 2 3 3 2 2" xfId="23460"/>
    <cellStyle name="Calculation 2 8 2 3 3 2 3" xfId="34305"/>
    <cellStyle name="Calculation 2 8 2 3 3 2 4" xfId="14450"/>
    <cellStyle name="Calculation 2 8 2 3 3 3" xfId="7160"/>
    <cellStyle name="Calculation 2 8 2 3 3 3 2" xfId="26132"/>
    <cellStyle name="Calculation 2 8 2 3 3 3 3" xfId="36977"/>
    <cellStyle name="Calculation 2 8 2 3 3 3 4" xfId="16364"/>
    <cellStyle name="Calculation 2 8 2 3 3 4" xfId="9819"/>
    <cellStyle name="Calculation 2 8 2 3 3 4 2" xfId="28791"/>
    <cellStyle name="Calculation 2 8 2 3 3 4 3" xfId="39636"/>
    <cellStyle name="Calculation 2 8 2 3 3 4 4" xfId="18268"/>
    <cellStyle name="Calculation 2 8 2 3 3 5" xfId="20615"/>
    <cellStyle name="Calculation 2 8 2 3 3 6" xfId="31460"/>
    <cellStyle name="Calculation 2 8 2 3 3 7" xfId="12414"/>
    <cellStyle name="Calculation 2 8 2 3 4" xfId="2040"/>
    <cellStyle name="Calculation 2 8 2 3 4 2" xfId="4893"/>
    <cellStyle name="Calculation 2 8 2 3 4 2 2" xfId="23865"/>
    <cellStyle name="Calculation 2 8 2 3 4 2 3" xfId="34710"/>
    <cellStyle name="Calculation 2 8 2 3 4 2 4" xfId="14738"/>
    <cellStyle name="Calculation 2 8 2 3 4 3" xfId="7564"/>
    <cellStyle name="Calculation 2 8 2 3 4 3 2" xfId="26536"/>
    <cellStyle name="Calculation 2 8 2 3 4 3 3" xfId="37381"/>
    <cellStyle name="Calculation 2 8 2 3 4 3 4" xfId="16651"/>
    <cellStyle name="Calculation 2 8 2 3 4 4" xfId="10223"/>
    <cellStyle name="Calculation 2 8 2 3 4 4 2" xfId="29195"/>
    <cellStyle name="Calculation 2 8 2 3 4 4 3" xfId="40040"/>
    <cellStyle name="Calculation 2 8 2 3 4 4 4" xfId="18555"/>
    <cellStyle name="Calculation 2 8 2 3 4 5" xfId="21019"/>
    <cellStyle name="Calculation 2 8 2 3 4 6" xfId="31864"/>
    <cellStyle name="Calculation 2 8 2 3 4 7" xfId="12701"/>
    <cellStyle name="Calculation 2 8 2 3 5" xfId="2431"/>
    <cellStyle name="Calculation 2 8 2 3 5 2" xfId="5283"/>
    <cellStyle name="Calculation 2 8 2 3 5 2 2" xfId="24255"/>
    <cellStyle name="Calculation 2 8 2 3 5 2 3" xfId="35100"/>
    <cellStyle name="Calculation 2 8 2 3 5 2 4" xfId="15017"/>
    <cellStyle name="Calculation 2 8 2 3 5 3" xfId="7954"/>
    <cellStyle name="Calculation 2 8 2 3 5 3 2" xfId="26926"/>
    <cellStyle name="Calculation 2 8 2 3 5 3 3" xfId="37771"/>
    <cellStyle name="Calculation 2 8 2 3 5 3 4" xfId="16930"/>
    <cellStyle name="Calculation 2 8 2 3 5 4" xfId="10613"/>
    <cellStyle name="Calculation 2 8 2 3 5 4 2" xfId="29585"/>
    <cellStyle name="Calculation 2 8 2 3 5 4 3" xfId="40430"/>
    <cellStyle name="Calculation 2 8 2 3 5 4 4" xfId="18834"/>
    <cellStyle name="Calculation 2 8 2 3 5 5" xfId="21409"/>
    <cellStyle name="Calculation 2 8 2 3 5 6" xfId="32254"/>
    <cellStyle name="Calculation 2 8 2 3 5 7" xfId="12980"/>
    <cellStyle name="Calculation 2 8 2 3 6" xfId="2818"/>
    <cellStyle name="Calculation 2 8 2 3 6 2" xfId="5669"/>
    <cellStyle name="Calculation 2 8 2 3 6 2 2" xfId="24641"/>
    <cellStyle name="Calculation 2 8 2 3 6 2 3" xfId="35486"/>
    <cellStyle name="Calculation 2 8 2 3 6 2 4" xfId="15294"/>
    <cellStyle name="Calculation 2 8 2 3 6 3" xfId="8340"/>
    <cellStyle name="Calculation 2 8 2 3 6 3 2" xfId="27312"/>
    <cellStyle name="Calculation 2 8 2 3 6 3 3" xfId="38157"/>
    <cellStyle name="Calculation 2 8 2 3 6 3 4" xfId="17207"/>
    <cellStyle name="Calculation 2 8 2 3 6 4" xfId="10999"/>
    <cellStyle name="Calculation 2 8 2 3 6 4 2" xfId="29971"/>
    <cellStyle name="Calculation 2 8 2 3 6 4 3" xfId="40816"/>
    <cellStyle name="Calculation 2 8 2 3 6 4 4" xfId="19111"/>
    <cellStyle name="Calculation 2 8 2 3 6 5" xfId="21795"/>
    <cellStyle name="Calculation 2 8 2 3 6 6" xfId="32640"/>
    <cellStyle name="Calculation 2 8 2 3 6 7" xfId="13257"/>
    <cellStyle name="Calculation 2 8 2 3 7" xfId="3507"/>
    <cellStyle name="Calculation 2 8 2 3 7 2" xfId="22479"/>
    <cellStyle name="Calculation 2 8 2 3 7 3" xfId="33324"/>
    <cellStyle name="Calculation 2 8 2 3 7 4" xfId="13738"/>
    <cellStyle name="Calculation 2 8 2 3 8" xfId="6182"/>
    <cellStyle name="Calculation 2 8 2 3 8 2" xfId="25154"/>
    <cellStyle name="Calculation 2 8 2 3 8 3" xfId="35999"/>
    <cellStyle name="Calculation 2 8 2 3 8 4" xfId="15654"/>
    <cellStyle name="Calculation 2 8 2 3 9" xfId="8841"/>
    <cellStyle name="Calculation 2 8 2 3 9 2" xfId="27813"/>
    <cellStyle name="Calculation 2 8 2 3 9 3" xfId="38658"/>
    <cellStyle name="Calculation 2 8 2 3 9 4" xfId="17558"/>
    <cellStyle name="Calculation 2 8 2 4" xfId="599"/>
    <cellStyle name="Calculation 2 8 2 4 10" xfId="19606"/>
    <cellStyle name="Calculation 2 8 2 4 11" xfId="30451"/>
    <cellStyle name="Calculation 2 8 2 4 12" xfId="11661"/>
    <cellStyle name="Calculation 2 8 2 4 2" xfId="1203"/>
    <cellStyle name="Calculation 2 8 2 4 2 2" xfId="4056"/>
    <cellStyle name="Calculation 2 8 2 4 2 2 2" xfId="23028"/>
    <cellStyle name="Calculation 2 8 2 4 2 2 3" xfId="33873"/>
    <cellStyle name="Calculation 2 8 2 4 2 2 4" xfId="14136"/>
    <cellStyle name="Calculation 2 8 2 4 2 3" xfId="6729"/>
    <cellStyle name="Calculation 2 8 2 4 2 3 2" xfId="25701"/>
    <cellStyle name="Calculation 2 8 2 4 2 3 3" xfId="36546"/>
    <cellStyle name="Calculation 2 8 2 4 2 3 4" xfId="16051"/>
    <cellStyle name="Calculation 2 8 2 4 2 4" xfId="9388"/>
    <cellStyle name="Calculation 2 8 2 4 2 4 2" xfId="28360"/>
    <cellStyle name="Calculation 2 8 2 4 2 4 3" xfId="39205"/>
    <cellStyle name="Calculation 2 8 2 4 2 4 4" xfId="17955"/>
    <cellStyle name="Calculation 2 8 2 4 2 5" xfId="20184"/>
    <cellStyle name="Calculation 2 8 2 4 2 6" xfId="31029"/>
    <cellStyle name="Calculation 2 8 2 4 2 7" xfId="12101"/>
    <cellStyle name="Calculation 2 8 2 4 3" xfId="1601"/>
    <cellStyle name="Calculation 2 8 2 4 3 2" xfId="4454"/>
    <cellStyle name="Calculation 2 8 2 4 3 2 2" xfId="23426"/>
    <cellStyle name="Calculation 2 8 2 4 3 2 3" xfId="34271"/>
    <cellStyle name="Calculation 2 8 2 4 3 2 4" xfId="14423"/>
    <cellStyle name="Calculation 2 8 2 4 3 3" xfId="7126"/>
    <cellStyle name="Calculation 2 8 2 4 3 3 2" xfId="26098"/>
    <cellStyle name="Calculation 2 8 2 4 3 3 3" xfId="36943"/>
    <cellStyle name="Calculation 2 8 2 4 3 3 4" xfId="16337"/>
    <cellStyle name="Calculation 2 8 2 4 3 4" xfId="9785"/>
    <cellStyle name="Calculation 2 8 2 4 3 4 2" xfId="28757"/>
    <cellStyle name="Calculation 2 8 2 4 3 4 3" xfId="39602"/>
    <cellStyle name="Calculation 2 8 2 4 3 4 4" xfId="18241"/>
    <cellStyle name="Calculation 2 8 2 4 3 5" xfId="20581"/>
    <cellStyle name="Calculation 2 8 2 4 3 6" xfId="31426"/>
    <cellStyle name="Calculation 2 8 2 4 3 7" xfId="12387"/>
    <cellStyle name="Calculation 2 8 2 4 4" xfId="2003"/>
    <cellStyle name="Calculation 2 8 2 4 4 2" xfId="4856"/>
    <cellStyle name="Calculation 2 8 2 4 4 2 2" xfId="23828"/>
    <cellStyle name="Calculation 2 8 2 4 4 2 3" xfId="34673"/>
    <cellStyle name="Calculation 2 8 2 4 4 2 4" xfId="14709"/>
    <cellStyle name="Calculation 2 8 2 4 4 3" xfId="7528"/>
    <cellStyle name="Calculation 2 8 2 4 4 3 2" xfId="26500"/>
    <cellStyle name="Calculation 2 8 2 4 4 3 3" xfId="37345"/>
    <cellStyle name="Calculation 2 8 2 4 4 3 4" xfId="16623"/>
    <cellStyle name="Calculation 2 8 2 4 4 4" xfId="10187"/>
    <cellStyle name="Calculation 2 8 2 4 4 4 2" xfId="29159"/>
    <cellStyle name="Calculation 2 8 2 4 4 4 3" xfId="40004"/>
    <cellStyle name="Calculation 2 8 2 4 4 4 4" xfId="18527"/>
    <cellStyle name="Calculation 2 8 2 4 4 5" xfId="20983"/>
    <cellStyle name="Calculation 2 8 2 4 4 6" xfId="31828"/>
    <cellStyle name="Calculation 2 8 2 4 4 7" xfId="12673"/>
    <cellStyle name="Calculation 2 8 2 4 5" xfId="2395"/>
    <cellStyle name="Calculation 2 8 2 4 5 2" xfId="5248"/>
    <cellStyle name="Calculation 2 8 2 4 5 2 2" xfId="24220"/>
    <cellStyle name="Calculation 2 8 2 4 5 2 3" xfId="35065"/>
    <cellStyle name="Calculation 2 8 2 4 5 2 4" xfId="14990"/>
    <cellStyle name="Calculation 2 8 2 4 5 3" xfId="7919"/>
    <cellStyle name="Calculation 2 8 2 4 5 3 2" xfId="26891"/>
    <cellStyle name="Calculation 2 8 2 4 5 3 3" xfId="37736"/>
    <cellStyle name="Calculation 2 8 2 4 5 3 4" xfId="16903"/>
    <cellStyle name="Calculation 2 8 2 4 5 4" xfId="10578"/>
    <cellStyle name="Calculation 2 8 2 4 5 4 2" xfId="29550"/>
    <cellStyle name="Calculation 2 8 2 4 5 4 3" xfId="40395"/>
    <cellStyle name="Calculation 2 8 2 4 5 4 4" xfId="18807"/>
    <cellStyle name="Calculation 2 8 2 4 5 5" xfId="21374"/>
    <cellStyle name="Calculation 2 8 2 4 5 6" xfId="32219"/>
    <cellStyle name="Calculation 2 8 2 4 5 7" xfId="12953"/>
    <cellStyle name="Calculation 2 8 2 4 6" xfId="2784"/>
    <cellStyle name="Calculation 2 8 2 4 6 2" xfId="5636"/>
    <cellStyle name="Calculation 2 8 2 4 6 2 2" xfId="24608"/>
    <cellStyle name="Calculation 2 8 2 4 6 2 3" xfId="35453"/>
    <cellStyle name="Calculation 2 8 2 4 6 2 4" xfId="15268"/>
    <cellStyle name="Calculation 2 8 2 4 6 3" xfId="8307"/>
    <cellStyle name="Calculation 2 8 2 4 6 3 2" xfId="27279"/>
    <cellStyle name="Calculation 2 8 2 4 6 3 3" xfId="38124"/>
    <cellStyle name="Calculation 2 8 2 4 6 3 4" xfId="17181"/>
    <cellStyle name="Calculation 2 8 2 4 6 4" xfId="10966"/>
    <cellStyle name="Calculation 2 8 2 4 6 4 2" xfId="29938"/>
    <cellStyle name="Calculation 2 8 2 4 6 4 3" xfId="40783"/>
    <cellStyle name="Calculation 2 8 2 4 6 4 4" xfId="19085"/>
    <cellStyle name="Calculation 2 8 2 4 6 5" xfId="21762"/>
    <cellStyle name="Calculation 2 8 2 4 6 6" xfId="32607"/>
    <cellStyle name="Calculation 2 8 2 4 6 7" xfId="13231"/>
    <cellStyle name="Calculation 2 8 2 4 7" xfId="3475"/>
    <cellStyle name="Calculation 2 8 2 4 7 2" xfId="22447"/>
    <cellStyle name="Calculation 2 8 2 4 7 3" xfId="33292"/>
    <cellStyle name="Calculation 2 8 2 4 7 4" xfId="13713"/>
    <cellStyle name="Calculation 2 8 2 4 8" xfId="6151"/>
    <cellStyle name="Calculation 2 8 2 4 8 2" xfId="25123"/>
    <cellStyle name="Calculation 2 8 2 4 8 3" xfId="35968"/>
    <cellStyle name="Calculation 2 8 2 4 8 4" xfId="15630"/>
    <cellStyle name="Calculation 2 8 2 4 9" xfId="8810"/>
    <cellStyle name="Calculation 2 8 2 4 9 2" xfId="27782"/>
    <cellStyle name="Calculation 2 8 2 4 9 3" xfId="38627"/>
    <cellStyle name="Calculation 2 8 2 4 9 4" xfId="17534"/>
    <cellStyle name="Calculation 2 8 2 5" xfId="592"/>
    <cellStyle name="Calculation 2 8 2 5 10" xfId="19602"/>
    <cellStyle name="Calculation 2 8 2 5 11" xfId="30447"/>
    <cellStyle name="Calculation 2 8 2 5 12" xfId="11656"/>
    <cellStyle name="Calculation 2 8 2 5 2" xfId="1198"/>
    <cellStyle name="Calculation 2 8 2 5 2 2" xfId="4051"/>
    <cellStyle name="Calculation 2 8 2 5 2 2 2" xfId="23023"/>
    <cellStyle name="Calculation 2 8 2 5 2 2 3" xfId="33868"/>
    <cellStyle name="Calculation 2 8 2 5 2 2 4" xfId="14133"/>
    <cellStyle name="Calculation 2 8 2 5 2 3" xfId="6724"/>
    <cellStyle name="Calculation 2 8 2 5 2 3 2" xfId="25696"/>
    <cellStyle name="Calculation 2 8 2 5 2 3 3" xfId="36541"/>
    <cellStyle name="Calculation 2 8 2 5 2 3 4" xfId="16048"/>
    <cellStyle name="Calculation 2 8 2 5 2 4" xfId="9383"/>
    <cellStyle name="Calculation 2 8 2 5 2 4 2" xfId="28355"/>
    <cellStyle name="Calculation 2 8 2 5 2 4 3" xfId="39200"/>
    <cellStyle name="Calculation 2 8 2 5 2 4 4" xfId="17952"/>
    <cellStyle name="Calculation 2 8 2 5 2 5" xfId="20179"/>
    <cellStyle name="Calculation 2 8 2 5 2 6" xfId="31024"/>
    <cellStyle name="Calculation 2 8 2 5 2 7" xfId="12098"/>
    <cellStyle name="Calculation 2 8 2 5 3" xfId="1595"/>
    <cellStyle name="Calculation 2 8 2 5 3 2" xfId="4448"/>
    <cellStyle name="Calculation 2 8 2 5 3 2 2" xfId="23420"/>
    <cellStyle name="Calculation 2 8 2 5 3 2 3" xfId="34265"/>
    <cellStyle name="Calculation 2 8 2 5 3 2 4" xfId="14419"/>
    <cellStyle name="Calculation 2 8 2 5 3 3" xfId="7120"/>
    <cellStyle name="Calculation 2 8 2 5 3 3 2" xfId="26092"/>
    <cellStyle name="Calculation 2 8 2 5 3 3 3" xfId="36937"/>
    <cellStyle name="Calculation 2 8 2 5 3 3 4" xfId="16333"/>
    <cellStyle name="Calculation 2 8 2 5 3 4" xfId="9779"/>
    <cellStyle name="Calculation 2 8 2 5 3 4 2" xfId="28751"/>
    <cellStyle name="Calculation 2 8 2 5 3 4 3" xfId="39596"/>
    <cellStyle name="Calculation 2 8 2 5 3 4 4" xfId="18237"/>
    <cellStyle name="Calculation 2 8 2 5 3 5" xfId="20575"/>
    <cellStyle name="Calculation 2 8 2 5 3 6" xfId="31420"/>
    <cellStyle name="Calculation 2 8 2 5 3 7" xfId="12383"/>
    <cellStyle name="Calculation 2 8 2 5 4" xfId="1999"/>
    <cellStyle name="Calculation 2 8 2 5 4 2" xfId="4852"/>
    <cellStyle name="Calculation 2 8 2 5 4 2 2" xfId="23824"/>
    <cellStyle name="Calculation 2 8 2 5 4 2 3" xfId="34669"/>
    <cellStyle name="Calculation 2 8 2 5 4 2 4" xfId="14707"/>
    <cellStyle name="Calculation 2 8 2 5 4 3" xfId="7524"/>
    <cellStyle name="Calculation 2 8 2 5 4 3 2" xfId="26496"/>
    <cellStyle name="Calculation 2 8 2 5 4 3 3" xfId="37341"/>
    <cellStyle name="Calculation 2 8 2 5 4 3 4" xfId="16621"/>
    <cellStyle name="Calculation 2 8 2 5 4 4" xfId="10183"/>
    <cellStyle name="Calculation 2 8 2 5 4 4 2" xfId="29155"/>
    <cellStyle name="Calculation 2 8 2 5 4 4 3" xfId="40000"/>
    <cellStyle name="Calculation 2 8 2 5 4 4 4" xfId="18525"/>
    <cellStyle name="Calculation 2 8 2 5 4 5" xfId="20979"/>
    <cellStyle name="Calculation 2 8 2 5 4 6" xfId="31824"/>
    <cellStyle name="Calculation 2 8 2 5 4 7" xfId="12671"/>
    <cellStyle name="Calculation 2 8 2 5 5" xfId="2391"/>
    <cellStyle name="Calculation 2 8 2 5 5 2" xfId="5244"/>
    <cellStyle name="Calculation 2 8 2 5 5 2 2" xfId="24216"/>
    <cellStyle name="Calculation 2 8 2 5 5 2 3" xfId="35061"/>
    <cellStyle name="Calculation 2 8 2 5 5 2 4" xfId="14988"/>
    <cellStyle name="Calculation 2 8 2 5 5 3" xfId="7915"/>
    <cellStyle name="Calculation 2 8 2 5 5 3 2" xfId="26887"/>
    <cellStyle name="Calculation 2 8 2 5 5 3 3" xfId="37732"/>
    <cellStyle name="Calculation 2 8 2 5 5 3 4" xfId="16901"/>
    <cellStyle name="Calculation 2 8 2 5 5 4" xfId="10574"/>
    <cellStyle name="Calculation 2 8 2 5 5 4 2" xfId="29546"/>
    <cellStyle name="Calculation 2 8 2 5 5 4 3" xfId="40391"/>
    <cellStyle name="Calculation 2 8 2 5 5 4 4" xfId="18805"/>
    <cellStyle name="Calculation 2 8 2 5 5 5" xfId="21370"/>
    <cellStyle name="Calculation 2 8 2 5 5 6" xfId="32215"/>
    <cellStyle name="Calculation 2 8 2 5 5 7" xfId="12951"/>
    <cellStyle name="Calculation 2 8 2 5 6" xfId="2780"/>
    <cellStyle name="Calculation 2 8 2 5 6 2" xfId="5632"/>
    <cellStyle name="Calculation 2 8 2 5 6 2 2" xfId="24604"/>
    <cellStyle name="Calculation 2 8 2 5 6 2 3" xfId="35449"/>
    <cellStyle name="Calculation 2 8 2 5 6 2 4" xfId="15266"/>
    <cellStyle name="Calculation 2 8 2 5 6 3" xfId="8303"/>
    <cellStyle name="Calculation 2 8 2 5 6 3 2" xfId="27275"/>
    <cellStyle name="Calculation 2 8 2 5 6 3 3" xfId="38120"/>
    <cellStyle name="Calculation 2 8 2 5 6 3 4" xfId="17179"/>
    <cellStyle name="Calculation 2 8 2 5 6 4" xfId="10962"/>
    <cellStyle name="Calculation 2 8 2 5 6 4 2" xfId="29934"/>
    <cellStyle name="Calculation 2 8 2 5 6 4 3" xfId="40779"/>
    <cellStyle name="Calculation 2 8 2 5 6 4 4" xfId="19083"/>
    <cellStyle name="Calculation 2 8 2 5 6 5" xfId="21758"/>
    <cellStyle name="Calculation 2 8 2 5 6 6" xfId="32603"/>
    <cellStyle name="Calculation 2 8 2 5 6 7" xfId="13229"/>
    <cellStyle name="Calculation 2 8 2 5 7" xfId="3471"/>
    <cellStyle name="Calculation 2 8 2 5 7 2" xfId="22443"/>
    <cellStyle name="Calculation 2 8 2 5 7 3" xfId="33288"/>
    <cellStyle name="Calculation 2 8 2 5 7 4" xfId="13711"/>
    <cellStyle name="Calculation 2 8 2 5 8" xfId="6147"/>
    <cellStyle name="Calculation 2 8 2 5 8 2" xfId="25119"/>
    <cellStyle name="Calculation 2 8 2 5 8 3" xfId="35964"/>
    <cellStyle name="Calculation 2 8 2 5 8 4" xfId="15628"/>
    <cellStyle name="Calculation 2 8 2 5 9" xfId="8806"/>
    <cellStyle name="Calculation 2 8 2 5 9 2" xfId="27778"/>
    <cellStyle name="Calculation 2 8 2 5 9 3" xfId="38623"/>
    <cellStyle name="Calculation 2 8 2 5 9 4" xfId="17532"/>
    <cellStyle name="Calculation 2 8 2 6" xfId="1061"/>
    <cellStyle name="Calculation 2 8 2 6 2" xfId="3914"/>
    <cellStyle name="Calculation 2 8 2 6 2 2" xfId="22886"/>
    <cellStyle name="Calculation 2 8 2 6 2 3" xfId="33731"/>
    <cellStyle name="Calculation 2 8 2 6 2 4" xfId="14027"/>
    <cellStyle name="Calculation 2 8 2 6 3" xfId="6588"/>
    <cellStyle name="Calculation 2 8 2 6 3 2" xfId="25560"/>
    <cellStyle name="Calculation 2 8 2 6 3 3" xfId="36405"/>
    <cellStyle name="Calculation 2 8 2 6 3 4" xfId="15943"/>
    <cellStyle name="Calculation 2 8 2 6 4" xfId="9247"/>
    <cellStyle name="Calculation 2 8 2 6 4 2" xfId="28219"/>
    <cellStyle name="Calculation 2 8 2 6 4 3" xfId="39064"/>
    <cellStyle name="Calculation 2 8 2 6 4 4" xfId="17847"/>
    <cellStyle name="Calculation 2 8 2 6 5" xfId="20043"/>
    <cellStyle name="Calculation 2 8 2 6 6" xfId="30888"/>
    <cellStyle name="Calculation 2 8 2 6 7" xfId="11993"/>
    <cellStyle name="Calculation 2 8 2 7" xfId="1003"/>
    <cellStyle name="Calculation 2 8 2 7 2" xfId="3856"/>
    <cellStyle name="Calculation 2 8 2 7 2 2" xfId="22828"/>
    <cellStyle name="Calculation 2 8 2 7 2 3" xfId="33673"/>
    <cellStyle name="Calculation 2 8 2 7 2 4" xfId="13984"/>
    <cellStyle name="Calculation 2 8 2 7 3" xfId="6530"/>
    <cellStyle name="Calculation 2 8 2 7 3 2" xfId="25502"/>
    <cellStyle name="Calculation 2 8 2 7 3 3" xfId="36347"/>
    <cellStyle name="Calculation 2 8 2 7 3 4" xfId="15900"/>
    <cellStyle name="Calculation 2 8 2 7 4" xfId="9189"/>
    <cellStyle name="Calculation 2 8 2 7 4 2" xfId="28161"/>
    <cellStyle name="Calculation 2 8 2 7 4 3" xfId="39006"/>
    <cellStyle name="Calculation 2 8 2 7 4 4" xfId="17804"/>
    <cellStyle name="Calculation 2 8 2 7 5" xfId="19985"/>
    <cellStyle name="Calculation 2 8 2 7 6" xfId="30830"/>
    <cellStyle name="Calculation 2 8 2 7 7" xfId="11950"/>
    <cellStyle name="Calculation 2 8 2 8" xfId="973"/>
    <cellStyle name="Calculation 2 8 2 8 2" xfId="3826"/>
    <cellStyle name="Calculation 2 8 2 8 2 2" xfId="22798"/>
    <cellStyle name="Calculation 2 8 2 8 2 3" xfId="33643"/>
    <cellStyle name="Calculation 2 8 2 8 2 4" xfId="13964"/>
    <cellStyle name="Calculation 2 8 2 8 3" xfId="6501"/>
    <cellStyle name="Calculation 2 8 2 8 3 2" xfId="25473"/>
    <cellStyle name="Calculation 2 8 2 8 3 3" xfId="36318"/>
    <cellStyle name="Calculation 2 8 2 8 3 4" xfId="15880"/>
    <cellStyle name="Calculation 2 8 2 8 4" xfId="9160"/>
    <cellStyle name="Calculation 2 8 2 8 4 2" xfId="28132"/>
    <cellStyle name="Calculation 2 8 2 8 4 3" xfId="38977"/>
    <cellStyle name="Calculation 2 8 2 8 4 4" xfId="17784"/>
    <cellStyle name="Calculation 2 8 2 8 5" xfId="19956"/>
    <cellStyle name="Calculation 2 8 2 8 6" xfId="30801"/>
    <cellStyle name="Calculation 2 8 2 8 7" xfId="11930"/>
    <cellStyle name="Calculation 2 8 2 9" xfId="1118"/>
    <cellStyle name="Calculation 2 8 2 9 2" xfId="3971"/>
    <cellStyle name="Calculation 2 8 2 9 2 2" xfId="22943"/>
    <cellStyle name="Calculation 2 8 2 9 2 3" xfId="33788"/>
    <cellStyle name="Calculation 2 8 2 9 2 4" xfId="14070"/>
    <cellStyle name="Calculation 2 8 2 9 3" xfId="6644"/>
    <cellStyle name="Calculation 2 8 2 9 3 2" xfId="25616"/>
    <cellStyle name="Calculation 2 8 2 9 3 3" xfId="36461"/>
    <cellStyle name="Calculation 2 8 2 9 3 4" xfId="15985"/>
    <cellStyle name="Calculation 2 8 2 9 4" xfId="9303"/>
    <cellStyle name="Calculation 2 8 2 9 4 2" xfId="28275"/>
    <cellStyle name="Calculation 2 8 2 9 4 3" xfId="39120"/>
    <cellStyle name="Calculation 2 8 2 9 4 4" xfId="17889"/>
    <cellStyle name="Calculation 2 8 2 9 5" xfId="20099"/>
    <cellStyle name="Calculation 2 8 2 9 6" xfId="30944"/>
    <cellStyle name="Calculation 2 8 2 9 7" xfId="12035"/>
    <cellStyle name="Calculation 2 8 3" xfId="543"/>
    <cellStyle name="Calculation 2 8 3 10" xfId="19553"/>
    <cellStyle name="Calculation 2 8 3 11" xfId="30398"/>
    <cellStyle name="Calculation 2 8 3 12" xfId="11617"/>
    <cellStyle name="Calculation 2 8 3 2" xfId="1149"/>
    <cellStyle name="Calculation 2 8 3 2 2" xfId="4002"/>
    <cellStyle name="Calculation 2 8 3 2 2 2" xfId="22974"/>
    <cellStyle name="Calculation 2 8 3 2 2 3" xfId="33819"/>
    <cellStyle name="Calculation 2 8 3 2 2 4" xfId="14094"/>
    <cellStyle name="Calculation 2 8 3 2 3" xfId="6675"/>
    <cellStyle name="Calculation 2 8 3 2 3 2" xfId="25647"/>
    <cellStyle name="Calculation 2 8 3 2 3 3" xfId="36492"/>
    <cellStyle name="Calculation 2 8 3 2 3 4" xfId="16009"/>
    <cellStyle name="Calculation 2 8 3 2 4" xfId="9334"/>
    <cellStyle name="Calculation 2 8 3 2 4 2" xfId="28306"/>
    <cellStyle name="Calculation 2 8 3 2 4 3" xfId="39151"/>
    <cellStyle name="Calculation 2 8 3 2 4 4" xfId="17913"/>
    <cellStyle name="Calculation 2 8 3 2 5" xfId="20130"/>
    <cellStyle name="Calculation 2 8 3 2 6" xfId="30975"/>
    <cellStyle name="Calculation 2 8 3 2 7" xfId="12059"/>
    <cellStyle name="Calculation 2 8 3 3" xfId="1546"/>
    <cellStyle name="Calculation 2 8 3 3 2" xfId="4399"/>
    <cellStyle name="Calculation 2 8 3 3 2 2" xfId="23371"/>
    <cellStyle name="Calculation 2 8 3 3 2 3" xfId="34216"/>
    <cellStyle name="Calculation 2 8 3 3 2 4" xfId="14380"/>
    <cellStyle name="Calculation 2 8 3 3 3" xfId="7071"/>
    <cellStyle name="Calculation 2 8 3 3 3 2" xfId="26043"/>
    <cellStyle name="Calculation 2 8 3 3 3 3" xfId="36888"/>
    <cellStyle name="Calculation 2 8 3 3 3 4" xfId="16294"/>
    <cellStyle name="Calculation 2 8 3 3 4" xfId="9730"/>
    <cellStyle name="Calculation 2 8 3 3 4 2" xfId="28702"/>
    <cellStyle name="Calculation 2 8 3 3 4 3" xfId="39547"/>
    <cellStyle name="Calculation 2 8 3 3 4 4" xfId="18198"/>
    <cellStyle name="Calculation 2 8 3 3 5" xfId="20526"/>
    <cellStyle name="Calculation 2 8 3 3 6" xfId="31371"/>
    <cellStyle name="Calculation 2 8 3 3 7" xfId="12344"/>
    <cellStyle name="Calculation 2 8 3 4" xfId="1950"/>
    <cellStyle name="Calculation 2 8 3 4 2" xfId="4803"/>
    <cellStyle name="Calculation 2 8 3 4 2 2" xfId="23775"/>
    <cellStyle name="Calculation 2 8 3 4 2 3" xfId="34620"/>
    <cellStyle name="Calculation 2 8 3 4 2 4" xfId="14668"/>
    <cellStyle name="Calculation 2 8 3 4 3" xfId="7475"/>
    <cellStyle name="Calculation 2 8 3 4 3 2" xfId="26447"/>
    <cellStyle name="Calculation 2 8 3 4 3 3" xfId="37292"/>
    <cellStyle name="Calculation 2 8 3 4 3 4" xfId="16582"/>
    <cellStyle name="Calculation 2 8 3 4 4" xfId="10134"/>
    <cellStyle name="Calculation 2 8 3 4 4 2" xfId="29106"/>
    <cellStyle name="Calculation 2 8 3 4 4 3" xfId="39951"/>
    <cellStyle name="Calculation 2 8 3 4 4 4" xfId="18486"/>
    <cellStyle name="Calculation 2 8 3 4 5" xfId="20930"/>
    <cellStyle name="Calculation 2 8 3 4 6" xfId="31775"/>
    <cellStyle name="Calculation 2 8 3 4 7" xfId="12632"/>
    <cellStyle name="Calculation 2 8 3 5" xfId="2342"/>
    <cellStyle name="Calculation 2 8 3 5 2" xfId="5195"/>
    <cellStyle name="Calculation 2 8 3 5 2 2" xfId="24167"/>
    <cellStyle name="Calculation 2 8 3 5 2 3" xfId="35012"/>
    <cellStyle name="Calculation 2 8 3 5 2 4" xfId="14949"/>
    <cellStyle name="Calculation 2 8 3 5 3" xfId="7866"/>
    <cellStyle name="Calculation 2 8 3 5 3 2" xfId="26838"/>
    <cellStyle name="Calculation 2 8 3 5 3 3" xfId="37683"/>
    <cellStyle name="Calculation 2 8 3 5 3 4" xfId="16862"/>
    <cellStyle name="Calculation 2 8 3 5 4" xfId="10525"/>
    <cellStyle name="Calculation 2 8 3 5 4 2" xfId="29497"/>
    <cellStyle name="Calculation 2 8 3 5 4 3" xfId="40342"/>
    <cellStyle name="Calculation 2 8 3 5 4 4" xfId="18766"/>
    <cellStyle name="Calculation 2 8 3 5 5" xfId="21321"/>
    <cellStyle name="Calculation 2 8 3 5 6" xfId="32166"/>
    <cellStyle name="Calculation 2 8 3 5 7" xfId="12912"/>
    <cellStyle name="Calculation 2 8 3 6" xfId="2731"/>
    <cellStyle name="Calculation 2 8 3 6 2" xfId="5583"/>
    <cellStyle name="Calculation 2 8 3 6 2 2" xfId="24555"/>
    <cellStyle name="Calculation 2 8 3 6 2 3" xfId="35400"/>
    <cellStyle name="Calculation 2 8 3 6 2 4" xfId="15227"/>
    <cellStyle name="Calculation 2 8 3 6 3" xfId="8254"/>
    <cellStyle name="Calculation 2 8 3 6 3 2" xfId="27226"/>
    <cellStyle name="Calculation 2 8 3 6 3 3" xfId="38071"/>
    <cellStyle name="Calculation 2 8 3 6 3 4" xfId="17140"/>
    <cellStyle name="Calculation 2 8 3 6 4" xfId="10913"/>
    <cellStyle name="Calculation 2 8 3 6 4 2" xfId="29885"/>
    <cellStyle name="Calculation 2 8 3 6 4 3" xfId="40730"/>
    <cellStyle name="Calculation 2 8 3 6 4 4" xfId="19044"/>
    <cellStyle name="Calculation 2 8 3 6 5" xfId="21709"/>
    <cellStyle name="Calculation 2 8 3 6 6" xfId="32554"/>
    <cellStyle name="Calculation 2 8 3 6 7" xfId="13190"/>
    <cellStyle name="Calculation 2 8 3 7" xfId="3422"/>
    <cellStyle name="Calculation 2 8 3 7 2" xfId="22394"/>
    <cellStyle name="Calculation 2 8 3 7 3" xfId="33239"/>
    <cellStyle name="Calculation 2 8 3 7 4" xfId="13672"/>
    <cellStyle name="Calculation 2 8 3 8" xfId="6098"/>
    <cellStyle name="Calculation 2 8 3 8 2" xfId="25070"/>
    <cellStyle name="Calculation 2 8 3 8 3" xfId="35915"/>
    <cellStyle name="Calculation 2 8 3 8 4" xfId="15589"/>
    <cellStyle name="Calculation 2 8 3 9" xfId="8757"/>
    <cellStyle name="Calculation 2 8 3 9 2" xfId="27729"/>
    <cellStyle name="Calculation 2 8 3 9 3" xfId="38574"/>
    <cellStyle name="Calculation 2 8 3 9 4" xfId="17493"/>
    <cellStyle name="Calculation 2 8 4" xfId="11435"/>
    <cellStyle name="Calculation 2 9" xfId="348"/>
    <cellStyle name="Calculation 2 9 10" xfId="1627"/>
    <cellStyle name="Calculation 2 9 10 2" xfId="4480"/>
    <cellStyle name="Calculation 2 9 10 2 2" xfId="23452"/>
    <cellStyle name="Calculation 2 9 10 2 3" xfId="34297"/>
    <cellStyle name="Calculation 2 9 10 2 4" xfId="14442"/>
    <cellStyle name="Calculation 2 9 10 3" xfId="7152"/>
    <cellStyle name="Calculation 2 9 10 3 2" xfId="26124"/>
    <cellStyle name="Calculation 2 9 10 3 3" xfId="36969"/>
    <cellStyle name="Calculation 2 9 10 3 4" xfId="16356"/>
    <cellStyle name="Calculation 2 9 10 4" xfId="9811"/>
    <cellStyle name="Calculation 2 9 10 4 2" xfId="28783"/>
    <cellStyle name="Calculation 2 9 10 4 3" xfId="39628"/>
    <cellStyle name="Calculation 2 9 10 4 4" xfId="18260"/>
    <cellStyle name="Calculation 2 9 10 5" xfId="20607"/>
    <cellStyle name="Calculation 2 9 10 6" xfId="31452"/>
    <cellStyle name="Calculation 2 9 10 7" xfId="12406"/>
    <cellStyle name="Calculation 2 9 11" xfId="1110"/>
    <cellStyle name="Calculation 2 9 11 2" xfId="3963"/>
    <cellStyle name="Calculation 2 9 11 2 2" xfId="22935"/>
    <cellStyle name="Calculation 2 9 11 2 3" xfId="33780"/>
    <cellStyle name="Calculation 2 9 11 2 4" xfId="14066"/>
    <cellStyle name="Calculation 2 9 11 3" xfId="6637"/>
    <cellStyle name="Calculation 2 9 11 3 2" xfId="25609"/>
    <cellStyle name="Calculation 2 9 11 3 3" xfId="36454"/>
    <cellStyle name="Calculation 2 9 11 3 4" xfId="15982"/>
    <cellStyle name="Calculation 2 9 11 4" xfId="9296"/>
    <cellStyle name="Calculation 2 9 11 4 2" xfId="28268"/>
    <cellStyle name="Calculation 2 9 11 4 3" xfId="39113"/>
    <cellStyle name="Calculation 2 9 11 4 4" xfId="17886"/>
    <cellStyle name="Calculation 2 9 11 5" xfId="20092"/>
    <cellStyle name="Calculation 2 9 11 6" xfId="30937"/>
    <cellStyle name="Calculation 2 9 11 7" xfId="12032"/>
    <cellStyle name="Calculation 2 9 12" xfId="1065"/>
    <cellStyle name="Calculation 2 9 12 2" xfId="3918"/>
    <cellStyle name="Calculation 2 9 12 2 2" xfId="22890"/>
    <cellStyle name="Calculation 2 9 12 2 3" xfId="33735"/>
    <cellStyle name="Calculation 2 9 12 2 4" xfId="14031"/>
    <cellStyle name="Calculation 2 9 12 3" xfId="6592"/>
    <cellStyle name="Calculation 2 9 12 3 2" xfId="25564"/>
    <cellStyle name="Calculation 2 9 12 3 3" xfId="36409"/>
    <cellStyle name="Calculation 2 9 12 3 4" xfId="15947"/>
    <cellStyle name="Calculation 2 9 12 4" xfId="9251"/>
    <cellStyle name="Calculation 2 9 12 4 2" xfId="28223"/>
    <cellStyle name="Calculation 2 9 12 4 3" xfId="39068"/>
    <cellStyle name="Calculation 2 9 12 4 4" xfId="17851"/>
    <cellStyle name="Calculation 2 9 12 5" xfId="20047"/>
    <cellStyle name="Calculation 2 9 12 6" xfId="30892"/>
    <cellStyle name="Calculation 2 9 12 7" xfId="11997"/>
    <cellStyle name="Calculation 2 9 13" xfId="966"/>
    <cellStyle name="Calculation 2 9 13 2" xfId="3819"/>
    <cellStyle name="Calculation 2 9 13 2 2" xfId="22791"/>
    <cellStyle name="Calculation 2 9 13 2 3" xfId="33636"/>
    <cellStyle name="Calculation 2 9 13 2 4" xfId="13960"/>
    <cellStyle name="Calculation 2 9 13 3" xfId="6494"/>
    <cellStyle name="Calculation 2 9 13 3 2" xfId="25466"/>
    <cellStyle name="Calculation 2 9 13 3 3" xfId="36311"/>
    <cellStyle name="Calculation 2 9 13 3 4" xfId="15876"/>
    <cellStyle name="Calculation 2 9 13 4" xfId="9153"/>
    <cellStyle name="Calculation 2 9 13 4 2" xfId="28125"/>
    <cellStyle name="Calculation 2 9 13 4 3" xfId="38970"/>
    <cellStyle name="Calculation 2 9 13 4 4" xfId="17780"/>
    <cellStyle name="Calculation 2 9 13 5" xfId="19949"/>
    <cellStyle name="Calculation 2 9 13 6" xfId="30794"/>
    <cellStyle name="Calculation 2 9 13 7" xfId="11926"/>
    <cellStyle name="Calculation 2 9 14" xfId="3236"/>
    <cellStyle name="Calculation 2 9 14 2" xfId="22213"/>
    <cellStyle name="Calculation 2 9 14 3" xfId="33058"/>
    <cellStyle name="Calculation 2 9 14 4" xfId="13541"/>
    <cellStyle name="Calculation 2 9 15" xfId="3220"/>
    <cellStyle name="Calculation 2 9 15 2" xfId="22197"/>
    <cellStyle name="Calculation 2 9 15 3" xfId="33042"/>
    <cellStyle name="Calculation 2 9 15 4" xfId="13528"/>
    <cellStyle name="Calculation 2 9 16" xfId="3233"/>
    <cellStyle name="Calculation 2 9 16 2" xfId="22210"/>
    <cellStyle name="Calculation 2 9 16 3" xfId="33055"/>
    <cellStyle name="Calculation 2 9 16 4" xfId="13538"/>
    <cellStyle name="Calculation 2 9 17" xfId="19445"/>
    <cellStyle name="Calculation 2 9 18" xfId="19441"/>
    <cellStyle name="Calculation 2 9 19" xfId="11504"/>
    <cellStyle name="Calculation 2 9 2" xfId="656"/>
    <cellStyle name="Calculation 2 9 2 10" xfId="19641"/>
    <cellStyle name="Calculation 2 9 2 11" xfId="30486"/>
    <cellStyle name="Calculation 2 9 2 12" xfId="11708"/>
    <cellStyle name="Calculation 2 9 2 2" xfId="1243"/>
    <cellStyle name="Calculation 2 9 2 2 2" xfId="4096"/>
    <cellStyle name="Calculation 2 9 2 2 2 2" xfId="23068"/>
    <cellStyle name="Calculation 2 9 2 2 2 3" xfId="33913"/>
    <cellStyle name="Calculation 2 9 2 2 2 4" xfId="14169"/>
    <cellStyle name="Calculation 2 9 2 2 3" xfId="6769"/>
    <cellStyle name="Calculation 2 9 2 2 3 2" xfId="25741"/>
    <cellStyle name="Calculation 2 9 2 2 3 3" xfId="36586"/>
    <cellStyle name="Calculation 2 9 2 2 3 4" xfId="16084"/>
    <cellStyle name="Calculation 2 9 2 2 4" xfId="9428"/>
    <cellStyle name="Calculation 2 9 2 2 4 2" xfId="28400"/>
    <cellStyle name="Calculation 2 9 2 2 4 3" xfId="39245"/>
    <cellStyle name="Calculation 2 9 2 2 4 4" xfId="17988"/>
    <cellStyle name="Calculation 2 9 2 2 5" xfId="20224"/>
    <cellStyle name="Calculation 2 9 2 2 6" xfId="31069"/>
    <cellStyle name="Calculation 2 9 2 2 7" xfId="12134"/>
    <cellStyle name="Calculation 2 9 2 3" xfId="1642"/>
    <cellStyle name="Calculation 2 9 2 3 2" xfId="4495"/>
    <cellStyle name="Calculation 2 9 2 3 2 2" xfId="23467"/>
    <cellStyle name="Calculation 2 9 2 3 2 3" xfId="34312"/>
    <cellStyle name="Calculation 2 9 2 3 2 4" xfId="14456"/>
    <cellStyle name="Calculation 2 9 2 3 3" xfId="7167"/>
    <cellStyle name="Calculation 2 9 2 3 3 2" xfId="26139"/>
    <cellStyle name="Calculation 2 9 2 3 3 3" xfId="36984"/>
    <cellStyle name="Calculation 2 9 2 3 3 4" xfId="16370"/>
    <cellStyle name="Calculation 2 9 2 3 4" xfId="9826"/>
    <cellStyle name="Calculation 2 9 2 3 4 2" xfId="28798"/>
    <cellStyle name="Calculation 2 9 2 3 4 3" xfId="39643"/>
    <cellStyle name="Calculation 2 9 2 3 4 4" xfId="18274"/>
    <cellStyle name="Calculation 2 9 2 3 5" xfId="20622"/>
    <cellStyle name="Calculation 2 9 2 3 6" xfId="31467"/>
    <cellStyle name="Calculation 2 9 2 3 7" xfId="12420"/>
    <cellStyle name="Calculation 2 9 2 4" xfId="2046"/>
    <cellStyle name="Calculation 2 9 2 4 2" xfId="4899"/>
    <cellStyle name="Calculation 2 9 2 4 2 2" xfId="23871"/>
    <cellStyle name="Calculation 2 9 2 4 2 3" xfId="34716"/>
    <cellStyle name="Calculation 2 9 2 4 2 4" xfId="14743"/>
    <cellStyle name="Calculation 2 9 2 4 3" xfId="7570"/>
    <cellStyle name="Calculation 2 9 2 4 3 2" xfId="26542"/>
    <cellStyle name="Calculation 2 9 2 4 3 3" xfId="37387"/>
    <cellStyle name="Calculation 2 9 2 4 3 4" xfId="16656"/>
    <cellStyle name="Calculation 2 9 2 4 4" xfId="10229"/>
    <cellStyle name="Calculation 2 9 2 4 4 2" xfId="29201"/>
    <cellStyle name="Calculation 2 9 2 4 4 3" xfId="40046"/>
    <cellStyle name="Calculation 2 9 2 4 4 4" xfId="18560"/>
    <cellStyle name="Calculation 2 9 2 4 5" xfId="21025"/>
    <cellStyle name="Calculation 2 9 2 4 6" xfId="31870"/>
    <cellStyle name="Calculation 2 9 2 4 7" xfId="12706"/>
    <cellStyle name="Calculation 2 9 2 5" xfId="2436"/>
    <cellStyle name="Calculation 2 9 2 5 2" xfId="5288"/>
    <cellStyle name="Calculation 2 9 2 5 2 2" xfId="24260"/>
    <cellStyle name="Calculation 2 9 2 5 2 3" xfId="35105"/>
    <cellStyle name="Calculation 2 9 2 5 2 4" xfId="15022"/>
    <cellStyle name="Calculation 2 9 2 5 3" xfId="7959"/>
    <cellStyle name="Calculation 2 9 2 5 3 2" xfId="26931"/>
    <cellStyle name="Calculation 2 9 2 5 3 3" xfId="37776"/>
    <cellStyle name="Calculation 2 9 2 5 3 4" xfId="16935"/>
    <cellStyle name="Calculation 2 9 2 5 4" xfId="10618"/>
    <cellStyle name="Calculation 2 9 2 5 4 2" xfId="29590"/>
    <cellStyle name="Calculation 2 9 2 5 4 3" xfId="40435"/>
    <cellStyle name="Calculation 2 9 2 5 4 4" xfId="18839"/>
    <cellStyle name="Calculation 2 9 2 5 5" xfId="21414"/>
    <cellStyle name="Calculation 2 9 2 5 6" xfId="32259"/>
    <cellStyle name="Calculation 2 9 2 5 7" xfId="12985"/>
    <cellStyle name="Calculation 2 9 2 6" xfId="2822"/>
    <cellStyle name="Calculation 2 9 2 6 2" xfId="5673"/>
    <cellStyle name="Calculation 2 9 2 6 2 2" xfId="24645"/>
    <cellStyle name="Calculation 2 9 2 6 2 3" xfId="35490"/>
    <cellStyle name="Calculation 2 9 2 6 2 4" xfId="15298"/>
    <cellStyle name="Calculation 2 9 2 6 3" xfId="8344"/>
    <cellStyle name="Calculation 2 9 2 6 3 2" xfId="27316"/>
    <cellStyle name="Calculation 2 9 2 6 3 3" xfId="38161"/>
    <cellStyle name="Calculation 2 9 2 6 3 4" xfId="17211"/>
    <cellStyle name="Calculation 2 9 2 6 4" xfId="11003"/>
    <cellStyle name="Calculation 2 9 2 6 4 2" xfId="29975"/>
    <cellStyle name="Calculation 2 9 2 6 4 3" xfId="40820"/>
    <cellStyle name="Calculation 2 9 2 6 4 4" xfId="19115"/>
    <cellStyle name="Calculation 2 9 2 6 5" xfId="21799"/>
    <cellStyle name="Calculation 2 9 2 6 6" xfId="32644"/>
    <cellStyle name="Calculation 2 9 2 6 7" xfId="13261"/>
    <cellStyle name="Calculation 2 9 2 7" xfId="3511"/>
    <cellStyle name="Calculation 2 9 2 7 2" xfId="22483"/>
    <cellStyle name="Calculation 2 9 2 7 3" xfId="33328"/>
    <cellStyle name="Calculation 2 9 2 7 4" xfId="13742"/>
    <cellStyle name="Calculation 2 9 2 8" xfId="6186"/>
    <cellStyle name="Calculation 2 9 2 8 2" xfId="25158"/>
    <cellStyle name="Calculation 2 9 2 8 3" xfId="36003"/>
    <cellStyle name="Calculation 2 9 2 8 4" xfId="15658"/>
    <cellStyle name="Calculation 2 9 2 9" xfId="8845"/>
    <cellStyle name="Calculation 2 9 2 9 2" xfId="27817"/>
    <cellStyle name="Calculation 2 9 2 9 3" xfId="38662"/>
    <cellStyle name="Calculation 2 9 2 9 4" xfId="17562"/>
    <cellStyle name="Calculation 2 9 3" xfId="605"/>
    <cellStyle name="Calculation 2 9 3 10" xfId="19612"/>
    <cellStyle name="Calculation 2 9 3 11" xfId="30457"/>
    <cellStyle name="Calculation 2 9 3 12" xfId="11667"/>
    <cellStyle name="Calculation 2 9 3 2" xfId="1209"/>
    <cellStyle name="Calculation 2 9 3 2 2" xfId="4062"/>
    <cellStyle name="Calculation 2 9 3 2 2 2" xfId="23034"/>
    <cellStyle name="Calculation 2 9 3 2 2 3" xfId="33879"/>
    <cellStyle name="Calculation 2 9 3 2 2 4" xfId="14142"/>
    <cellStyle name="Calculation 2 9 3 2 3" xfId="6735"/>
    <cellStyle name="Calculation 2 9 3 2 3 2" xfId="25707"/>
    <cellStyle name="Calculation 2 9 3 2 3 3" xfId="36552"/>
    <cellStyle name="Calculation 2 9 3 2 3 4" xfId="16057"/>
    <cellStyle name="Calculation 2 9 3 2 4" xfId="9394"/>
    <cellStyle name="Calculation 2 9 3 2 4 2" xfId="28366"/>
    <cellStyle name="Calculation 2 9 3 2 4 3" xfId="39211"/>
    <cellStyle name="Calculation 2 9 3 2 4 4" xfId="17961"/>
    <cellStyle name="Calculation 2 9 3 2 5" xfId="20190"/>
    <cellStyle name="Calculation 2 9 3 2 6" xfId="31035"/>
    <cellStyle name="Calculation 2 9 3 2 7" xfId="12107"/>
    <cellStyle name="Calculation 2 9 3 3" xfId="1607"/>
    <cellStyle name="Calculation 2 9 3 3 2" xfId="4460"/>
    <cellStyle name="Calculation 2 9 3 3 2 2" xfId="23432"/>
    <cellStyle name="Calculation 2 9 3 3 2 3" xfId="34277"/>
    <cellStyle name="Calculation 2 9 3 3 2 4" xfId="14429"/>
    <cellStyle name="Calculation 2 9 3 3 3" xfId="7132"/>
    <cellStyle name="Calculation 2 9 3 3 3 2" xfId="26104"/>
    <cellStyle name="Calculation 2 9 3 3 3 3" xfId="36949"/>
    <cellStyle name="Calculation 2 9 3 3 3 4" xfId="16343"/>
    <cellStyle name="Calculation 2 9 3 3 4" xfId="9791"/>
    <cellStyle name="Calculation 2 9 3 3 4 2" xfId="28763"/>
    <cellStyle name="Calculation 2 9 3 3 4 3" xfId="39608"/>
    <cellStyle name="Calculation 2 9 3 3 4 4" xfId="18247"/>
    <cellStyle name="Calculation 2 9 3 3 5" xfId="20587"/>
    <cellStyle name="Calculation 2 9 3 3 6" xfId="31432"/>
    <cellStyle name="Calculation 2 9 3 3 7" xfId="12393"/>
    <cellStyle name="Calculation 2 9 3 4" xfId="2009"/>
    <cellStyle name="Calculation 2 9 3 4 2" xfId="4862"/>
    <cellStyle name="Calculation 2 9 3 4 2 2" xfId="23834"/>
    <cellStyle name="Calculation 2 9 3 4 2 3" xfId="34679"/>
    <cellStyle name="Calculation 2 9 3 4 2 4" xfId="14715"/>
    <cellStyle name="Calculation 2 9 3 4 3" xfId="7534"/>
    <cellStyle name="Calculation 2 9 3 4 3 2" xfId="26506"/>
    <cellStyle name="Calculation 2 9 3 4 3 3" xfId="37351"/>
    <cellStyle name="Calculation 2 9 3 4 3 4" xfId="16629"/>
    <cellStyle name="Calculation 2 9 3 4 4" xfId="10193"/>
    <cellStyle name="Calculation 2 9 3 4 4 2" xfId="29165"/>
    <cellStyle name="Calculation 2 9 3 4 4 3" xfId="40010"/>
    <cellStyle name="Calculation 2 9 3 4 4 4" xfId="18533"/>
    <cellStyle name="Calculation 2 9 3 4 5" xfId="20989"/>
    <cellStyle name="Calculation 2 9 3 4 6" xfId="31834"/>
    <cellStyle name="Calculation 2 9 3 4 7" xfId="12679"/>
    <cellStyle name="Calculation 2 9 3 5" xfId="2401"/>
    <cellStyle name="Calculation 2 9 3 5 2" xfId="5254"/>
    <cellStyle name="Calculation 2 9 3 5 2 2" xfId="24226"/>
    <cellStyle name="Calculation 2 9 3 5 2 3" xfId="35071"/>
    <cellStyle name="Calculation 2 9 3 5 2 4" xfId="14996"/>
    <cellStyle name="Calculation 2 9 3 5 3" xfId="7925"/>
    <cellStyle name="Calculation 2 9 3 5 3 2" xfId="26897"/>
    <cellStyle name="Calculation 2 9 3 5 3 3" xfId="37742"/>
    <cellStyle name="Calculation 2 9 3 5 3 4" xfId="16909"/>
    <cellStyle name="Calculation 2 9 3 5 4" xfId="10584"/>
    <cellStyle name="Calculation 2 9 3 5 4 2" xfId="29556"/>
    <cellStyle name="Calculation 2 9 3 5 4 3" xfId="40401"/>
    <cellStyle name="Calculation 2 9 3 5 4 4" xfId="18813"/>
    <cellStyle name="Calculation 2 9 3 5 5" xfId="21380"/>
    <cellStyle name="Calculation 2 9 3 5 6" xfId="32225"/>
    <cellStyle name="Calculation 2 9 3 5 7" xfId="12959"/>
    <cellStyle name="Calculation 2 9 3 6" xfId="2790"/>
    <cellStyle name="Calculation 2 9 3 6 2" xfId="5642"/>
    <cellStyle name="Calculation 2 9 3 6 2 2" xfId="24614"/>
    <cellStyle name="Calculation 2 9 3 6 2 3" xfId="35459"/>
    <cellStyle name="Calculation 2 9 3 6 2 4" xfId="15274"/>
    <cellStyle name="Calculation 2 9 3 6 3" xfId="8313"/>
    <cellStyle name="Calculation 2 9 3 6 3 2" xfId="27285"/>
    <cellStyle name="Calculation 2 9 3 6 3 3" xfId="38130"/>
    <cellStyle name="Calculation 2 9 3 6 3 4" xfId="17187"/>
    <cellStyle name="Calculation 2 9 3 6 4" xfId="10972"/>
    <cellStyle name="Calculation 2 9 3 6 4 2" xfId="29944"/>
    <cellStyle name="Calculation 2 9 3 6 4 3" xfId="40789"/>
    <cellStyle name="Calculation 2 9 3 6 4 4" xfId="19091"/>
    <cellStyle name="Calculation 2 9 3 6 5" xfId="21768"/>
    <cellStyle name="Calculation 2 9 3 6 6" xfId="32613"/>
    <cellStyle name="Calculation 2 9 3 6 7" xfId="13237"/>
    <cellStyle name="Calculation 2 9 3 7" xfId="3481"/>
    <cellStyle name="Calculation 2 9 3 7 2" xfId="22453"/>
    <cellStyle name="Calculation 2 9 3 7 3" xfId="33298"/>
    <cellStyle name="Calculation 2 9 3 7 4" xfId="13719"/>
    <cellStyle name="Calculation 2 9 3 8" xfId="6157"/>
    <cellStyle name="Calculation 2 9 3 8 2" xfId="25129"/>
    <cellStyle name="Calculation 2 9 3 8 3" xfId="35974"/>
    <cellStyle name="Calculation 2 9 3 8 4" xfId="15636"/>
    <cellStyle name="Calculation 2 9 3 9" xfId="8816"/>
    <cellStyle name="Calculation 2 9 3 9 2" xfId="27788"/>
    <cellStyle name="Calculation 2 9 3 9 3" xfId="38633"/>
    <cellStyle name="Calculation 2 9 3 9 4" xfId="17540"/>
    <cellStyle name="Calculation 2 9 4" xfId="533"/>
    <cellStyle name="Calculation 2 9 4 10" xfId="19543"/>
    <cellStyle name="Calculation 2 9 4 11" xfId="30388"/>
    <cellStyle name="Calculation 2 9 4 12" xfId="11607"/>
    <cellStyle name="Calculation 2 9 4 2" xfId="1139"/>
    <cellStyle name="Calculation 2 9 4 2 2" xfId="3992"/>
    <cellStyle name="Calculation 2 9 4 2 2 2" xfId="22964"/>
    <cellStyle name="Calculation 2 9 4 2 2 3" xfId="33809"/>
    <cellStyle name="Calculation 2 9 4 2 2 4" xfId="14084"/>
    <cellStyle name="Calculation 2 9 4 2 3" xfId="6665"/>
    <cellStyle name="Calculation 2 9 4 2 3 2" xfId="25637"/>
    <cellStyle name="Calculation 2 9 4 2 3 3" xfId="36482"/>
    <cellStyle name="Calculation 2 9 4 2 3 4" xfId="15999"/>
    <cellStyle name="Calculation 2 9 4 2 4" xfId="9324"/>
    <cellStyle name="Calculation 2 9 4 2 4 2" xfId="28296"/>
    <cellStyle name="Calculation 2 9 4 2 4 3" xfId="39141"/>
    <cellStyle name="Calculation 2 9 4 2 4 4" xfId="17903"/>
    <cellStyle name="Calculation 2 9 4 2 5" xfId="20120"/>
    <cellStyle name="Calculation 2 9 4 2 6" xfId="30965"/>
    <cellStyle name="Calculation 2 9 4 2 7" xfId="12049"/>
    <cellStyle name="Calculation 2 9 4 3" xfId="1536"/>
    <cellStyle name="Calculation 2 9 4 3 2" xfId="4389"/>
    <cellStyle name="Calculation 2 9 4 3 2 2" xfId="23361"/>
    <cellStyle name="Calculation 2 9 4 3 2 3" xfId="34206"/>
    <cellStyle name="Calculation 2 9 4 3 2 4" xfId="14370"/>
    <cellStyle name="Calculation 2 9 4 3 3" xfId="7061"/>
    <cellStyle name="Calculation 2 9 4 3 3 2" xfId="26033"/>
    <cellStyle name="Calculation 2 9 4 3 3 3" xfId="36878"/>
    <cellStyle name="Calculation 2 9 4 3 3 4" xfId="16284"/>
    <cellStyle name="Calculation 2 9 4 3 4" xfId="9720"/>
    <cellStyle name="Calculation 2 9 4 3 4 2" xfId="28692"/>
    <cellStyle name="Calculation 2 9 4 3 4 3" xfId="39537"/>
    <cellStyle name="Calculation 2 9 4 3 4 4" xfId="18188"/>
    <cellStyle name="Calculation 2 9 4 3 5" xfId="20516"/>
    <cellStyle name="Calculation 2 9 4 3 6" xfId="31361"/>
    <cellStyle name="Calculation 2 9 4 3 7" xfId="12334"/>
    <cellStyle name="Calculation 2 9 4 4" xfId="1940"/>
    <cellStyle name="Calculation 2 9 4 4 2" xfId="4793"/>
    <cellStyle name="Calculation 2 9 4 4 2 2" xfId="23765"/>
    <cellStyle name="Calculation 2 9 4 4 2 3" xfId="34610"/>
    <cellStyle name="Calculation 2 9 4 4 2 4" xfId="14658"/>
    <cellStyle name="Calculation 2 9 4 4 3" xfId="7465"/>
    <cellStyle name="Calculation 2 9 4 4 3 2" xfId="26437"/>
    <cellStyle name="Calculation 2 9 4 4 3 3" xfId="37282"/>
    <cellStyle name="Calculation 2 9 4 4 3 4" xfId="16572"/>
    <cellStyle name="Calculation 2 9 4 4 4" xfId="10124"/>
    <cellStyle name="Calculation 2 9 4 4 4 2" xfId="29096"/>
    <cellStyle name="Calculation 2 9 4 4 4 3" xfId="39941"/>
    <cellStyle name="Calculation 2 9 4 4 4 4" xfId="18476"/>
    <cellStyle name="Calculation 2 9 4 4 5" xfId="20920"/>
    <cellStyle name="Calculation 2 9 4 4 6" xfId="31765"/>
    <cellStyle name="Calculation 2 9 4 4 7" xfId="12622"/>
    <cellStyle name="Calculation 2 9 4 5" xfId="2332"/>
    <cellStyle name="Calculation 2 9 4 5 2" xfId="5185"/>
    <cellStyle name="Calculation 2 9 4 5 2 2" xfId="24157"/>
    <cellStyle name="Calculation 2 9 4 5 2 3" xfId="35002"/>
    <cellStyle name="Calculation 2 9 4 5 2 4" xfId="14939"/>
    <cellStyle name="Calculation 2 9 4 5 3" xfId="7856"/>
    <cellStyle name="Calculation 2 9 4 5 3 2" xfId="26828"/>
    <cellStyle name="Calculation 2 9 4 5 3 3" xfId="37673"/>
    <cellStyle name="Calculation 2 9 4 5 3 4" xfId="16852"/>
    <cellStyle name="Calculation 2 9 4 5 4" xfId="10515"/>
    <cellStyle name="Calculation 2 9 4 5 4 2" xfId="29487"/>
    <cellStyle name="Calculation 2 9 4 5 4 3" xfId="40332"/>
    <cellStyle name="Calculation 2 9 4 5 4 4" xfId="18756"/>
    <cellStyle name="Calculation 2 9 4 5 5" xfId="21311"/>
    <cellStyle name="Calculation 2 9 4 5 6" xfId="32156"/>
    <cellStyle name="Calculation 2 9 4 5 7" xfId="12902"/>
    <cellStyle name="Calculation 2 9 4 6" xfId="2721"/>
    <cellStyle name="Calculation 2 9 4 6 2" xfId="5573"/>
    <cellStyle name="Calculation 2 9 4 6 2 2" xfId="24545"/>
    <cellStyle name="Calculation 2 9 4 6 2 3" xfId="35390"/>
    <cellStyle name="Calculation 2 9 4 6 2 4" xfId="15217"/>
    <cellStyle name="Calculation 2 9 4 6 3" xfId="8244"/>
    <cellStyle name="Calculation 2 9 4 6 3 2" xfId="27216"/>
    <cellStyle name="Calculation 2 9 4 6 3 3" xfId="38061"/>
    <cellStyle name="Calculation 2 9 4 6 3 4" xfId="17130"/>
    <cellStyle name="Calculation 2 9 4 6 4" xfId="10903"/>
    <cellStyle name="Calculation 2 9 4 6 4 2" xfId="29875"/>
    <cellStyle name="Calculation 2 9 4 6 4 3" xfId="40720"/>
    <cellStyle name="Calculation 2 9 4 6 4 4" xfId="19034"/>
    <cellStyle name="Calculation 2 9 4 6 5" xfId="21699"/>
    <cellStyle name="Calculation 2 9 4 6 6" xfId="32544"/>
    <cellStyle name="Calculation 2 9 4 6 7" xfId="13180"/>
    <cellStyle name="Calculation 2 9 4 7" xfId="3412"/>
    <cellStyle name="Calculation 2 9 4 7 2" xfId="22384"/>
    <cellStyle name="Calculation 2 9 4 7 3" xfId="33229"/>
    <cellStyle name="Calculation 2 9 4 7 4" xfId="13662"/>
    <cellStyle name="Calculation 2 9 4 8" xfId="6088"/>
    <cellStyle name="Calculation 2 9 4 8 2" xfId="25060"/>
    <cellStyle name="Calculation 2 9 4 8 3" xfId="35905"/>
    <cellStyle name="Calculation 2 9 4 8 4" xfId="15579"/>
    <cellStyle name="Calculation 2 9 4 9" xfId="8747"/>
    <cellStyle name="Calculation 2 9 4 9 2" xfId="27719"/>
    <cellStyle name="Calculation 2 9 4 9 3" xfId="38564"/>
    <cellStyle name="Calculation 2 9 4 9 4" xfId="17483"/>
    <cellStyle name="Calculation 2 9 5" xfId="530"/>
    <cellStyle name="Calculation 2 9 5 10" xfId="19540"/>
    <cellStyle name="Calculation 2 9 5 11" xfId="30385"/>
    <cellStyle name="Calculation 2 9 5 12" xfId="11604"/>
    <cellStyle name="Calculation 2 9 5 2" xfId="1136"/>
    <cellStyle name="Calculation 2 9 5 2 2" xfId="3989"/>
    <cellStyle name="Calculation 2 9 5 2 2 2" xfId="22961"/>
    <cellStyle name="Calculation 2 9 5 2 2 3" xfId="33806"/>
    <cellStyle name="Calculation 2 9 5 2 2 4" xfId="14081"/>
    <cellStyle name="Calculation 2 9 5 2 3" xfId="6662"/>
    <cellStyle name="Calculation 2 9 5 2 3 2" xfId="25634"/>
    <cellStyle name="Calculation 2 9 5 2 3 3" xfId="36479"/>
    <cellStyle name="Calculation 2 9 5 2 3 4" xfId="15996"/>
    <cellStyle name="Calculation 2 9 5 2 4" xfId="9321"/>
    <cellStyle name="Calculation 2 9 5 2 4 2" xfId="28293"/>
    <cellStyle name="Calculation 2 9 5 2 4 3" xfId="39138"/>
    <cellStyle name="Calculation 2 9 5 2 4 4" xfId="17900"/>
    <cellStyle name="Calculation 2 9 5 2 5" xfId="20117"/>
    <cellStyle name="Calculation 2 9 5 2 6" xfId="30962"/>
    <cellStyle name="Calculation 2 9 5 2 7" xfId="12046"/>
    <cellStyle name="Calculation 2 9 5 3" xfId="1533"/>
    <cellStyle name="Calculation 2 9 5 3 2" xfId="4386"/>
    <cellStyle name="Calculation 2 9 5 3 2 2" xfId="23358"/>
    <cellStyle name="Calculation 2 9 5 3 2 3" xfId="34203"/>
    <cellStyle name="Calculation 2 9 5 3 2 4" xfId="14367"/>
    <cellStyle name="Calculation 2 9 5 3 3" xfId="7058"/>
    <cellStyle name="Calculation 2 9 5 3 3 2" xfId="26030"/>
    <cellStyle name="Calculation 2 9 5 3 3 3" xfId="36875"/>
    <cellStyle name="Calculation 2 9 5 3 3 4" xfId="16281"/>
    <cellStyle name="Calculation 2 9 5 3 4" xfId="9717"/>
    <cellStyle name="Calculation 2 9 5 3 4 2" xfId="28689"/>
    <cellStyle name="Calculation 2 9 5 3 4 3" xfId="39534"/>
    <cellStyle name="Calculation 2 9 5 3 4 4" xfId="18185"/>
    <cellStyle name="Calculation 2 9 5 3 5" xfId="20513"/>
    <cellStyle name="Calculation 2 9 5 3 6" xfId="31358"/>
    <cellStyle name="Calculation 2 9 5 3 7" xfId="12331"/>
    <cellStyle name="Calculation 2 9 5 4" xfId="1937"/>
    <cellStyle name="Calculation 2 9 5 4 2" xfId="4790"/>
    <cellStyle name="Calculation 2 9 5 4 2 2" xfId="23762"/>
    <cellStyle name="Calculation 2 9 5 4 2 3" xfId="34607"/>
    <cellStyle name="Calculation 2 9 5 4 2 4" xfId="14655"/>
    <cellStyle name="Calculation 2 9 5 4 3" xfId="7462"/>
    <cellStyle name="Calculation 2 9 5 4 3 2" xfId="26434"/>
    <cellStyle name="Calculation 2 9 5 4 3 3" xfId="37279"/>
    <cellStyle name="Calculation 2 9 5 4 3 4" xfId="16569"/>
    <cellStyle name="Calculation 2 9 5 4 4" xfId="10121"/>
    <cellStyle name="Calculation 2 9 5 4 4 2" xfId="29093"/>
    <cellStyle name="Calculation 2 9 5 4 4 3" xfId="39938"/>
    <cellStyle name="Calculation 2 9 5 4 4 4" xfId="18473"/>
    <cellStyle name="Calculation 2 9 5 4 5" xfId="20917"/>
    <cellStyle name="Calculation 2 9 5 4 6" xfId="31762"/>
    <cellStyle name="Calculation 2 9 5 4 7" xfId="12619"/>
    <cellStyle name="Calculation 2 9 5 5" xfId="2329"/>
    <cellStyle name="Calculation 2 9 5 5 2" xfId="5182"/>
    <cellStyle name="Calculation 2 9 5 5 2 2" xfId="24154"/>
    <cellStyle name="Calculation 2 9 5 5 2 3" xfId="34999"/>
    <cellStyle name="Calculation 2 9 5 5 2 4" xfId="14936"/>
    <cellStyle name="Calculation 2 9 5 5 3" xfId="7853"/>
    <cellStyle name="Calculation 2 9 5 5 3 2" xfId="26825"/>
    <cellStyle name="Calculation 2 9 5 5 3 3" xfId="37670"/>
    <cellStyle name="Calculation 2 9 5 5 3 4" xfId="16849"/>
    <cellStyle name="Calculation 2 9 5 5 4" xfId="10512"/>
    <cellStyle name="Calculation 2 9 5 5 4 2" xfId="29484"/>
    <cellStyle name="Calculation 2 9 5 5 4 3" xfId="40329"/>
    <cellStyle name="Calculation 2 9 5 5 4 4" xfId="18753"/>
    <cellStyle name="Calculation 2 9 5 5 5" xfId="21308"/>
    <cellStyle name="Calculation 2 9 5 5 6" xfId="32153"/>
    <cellStyle name="Calculation 2 9 5 5 7" xfId="12899"/>
    <cellStyle name="Calculation 2 9 5 6" xfId="2718"/>
    <cellStyle name="Calculation 2 9 5 6 2" xfId="5570"/>
    <cellStyle name="Calculation 2 9 5 6 2 2" xfId="24542"/>
    <cellStyle name="Calculation 2 9 5 6 2 3" xfId="35387"/>
    <cellStyle name="Calculation 2 9 5 6 2 4" xfId="15214"/>
    <cellStyle name="Calculation 2 9 5 6 3" xfId="8241"/>
    <cellStyle name="Calculation 2 9 5 6 3 2" xfId="27213"/>
    <cellStyle name="Calculation 2 9 5 6 3 3" xfId="38058"/>
    <cellStyle name="Calculation 2 9 5 6 3 4" xfId="17127"/>
    <cellStyle name="Calculation 2 9 5 6 4" xfId="10900"/>
    <cellStyle name="Calculation 2 9 5 6 4 2" xfId="29872"/>
    <cellStyle name="Calculation 2 9 5 6 4 3" xfId="40717"/>
    <cellStyle name="Calculation 2 9 5 6 4 4" xfId="19031"/>
    <cellStyle name="Calculation 2 9 5 6 5" xfId="21696"/>
    <cellStyle name="Calculation 2 9 5 6 6" xfId="32541"/>
    <cellStyle name="Calculation 2 9 5 6 7" xfId="13177"/>
    <cellStyle name="Calculation 2 9 5 7" xfId="3409"/>
    <cellStyle name="Calculation 2 9 5 7 2" xfId="22381"/>
    <cellStyle name="Calculation 2 9 5 7 3" xfId="33226"/>
    <cellStyle name="Calculation 2 9 5 7 4" xfId="13659"/>
    <cellStyle name="Calculation 2 9 5 8" xfId="6085"/>
    <cellStyle name="Calculation 2 9 5 8 2" xfId="25057"/>
    <cellStyle name="Calculation 2 9 5 8 3" xfId="35902"/>
    <cellStyle name="Calculation 2 9 5 8 4" xfId="15576"/>
    <cellStyle name="Calculation 2 9 5 9" xfId="8744"/>
    <cellStyle name="Calculation 2 9 5 9 2" xfId="27716"/>
    <cellStyle name="Calculation 2 9 5 9 3" xfId="38561"/>
    <cellStyle name="Calculation 2 9 5 9 4" xfId="17480"/>
    <cellStyle name="Calculation 2 9 6" xfId="1054"/>
    <cellStyle name="Calculation 2 9 6 2" xfId="3907"/>
    <cellStyle name="Calculation 2 9 6 2 2" xfId="22879"/>
    <cellStyle name="Calculation 2 9 6 2 3" xfId="33724"/>
    <cellStyle name="Calculation 2 9 6 2 4" xfId="14020"/>
    <cellStyle name="Calculation 2 9 6 3" xfId="6581"/>
    <cellStyle name="Calculation 2 9 6 3 2" xfId="25553"/>
    <cellStyle name="Calculation 2 9 6 3 3" xfId="36398"/>
    <cellStyle name="Calculation 2 9 6 3 4" xfId="15936"/>
    <cellStyle name="Calculation 2 9 6 4" xfId="9240"/>
    <cellStyle name="Calculation 2 9 6 4 2" xfId="28212"/>
    <cellStyle name="Calculation 2 9 6 4 3" xfId="39057"/>
    <cellStyle name="Calculation 2 9 6 4 4" xfId="17840"/>
    <cellStyle name="Calculation 2 9 6 5" xfId="20036"/>
    <cellStyle name="Calculation 2 9 6 6" xfId="30881"/>
    <cellStyle name="Calculation 2 9 6 7" xfId="11986"/>
    <cellStyle name="Calculation 2 9 7" xfId="922"/>
    <cellStyle name="Calculation 2 9 7 2" xfId="3777"/>
    <cellStyle name="Calculation 2 9 7 2 2" xfId="22749"/>
    <cellStyle name="Calculation 2 9 7 2 3" xfId="33594"/>
    <cellStyle name="Calculation 2 9 7 2 4" xfId="13923"/>
    <cellStyle name="Calculation 2 9 7 3" xfId="6452"/>
    <cellStyle name="Calculation 2 9 7 3 2" xfId="25424"/>
    <cellStyle name="Calculation 2 9 7 3 3" xfId="36269"/>
    <cellStyle name="Calculation 2 9 7 3 4" xfId="15839"/>
    <cellStyle name="Calculation 2 9 7 4" xfId="9111"/>
    <cellStyle name="Calculation 2 9 7 4 2" xfId="28083"/>
    <cellStyle name="Calculation 2 9 7 4 3" xfId="38928"/>
    <cellStyle name="Calculation 2 9 7 4 4" xfId="17743"/>
    <cellStyle name="Calculation 2 9 7 5" xfId="19907"/>
    <cellStyle name="Calculation 2 9 7 6" xfId="30752"/>
    <cellStyle name="Calculation 2 9 7 7" xfId="11889"/>
    <cellStyle name="Calculation 2 9 8" xfId="1041"/>
    <cellStyle name="Calculation 2 9 8 2" xfId="3894"/>
    <cellStyle name="Calculation 2 9 8 2 2" xfId="22866"/>
    <cellStyle name="Calculation 2 9 8 2 3" xfId="33711"/>
    <cellStyle name="Calculation 2 9 8 2 4" xfId="14011"/>
    <cellStyle name="Calculation 2 9 8 3" xfId="6568"/>
    <cellStyle name="Calculation 2 9 8 3 2" xfId="25540"/>
    <cellStyle name="Calculation 2 9 8 3 3" xfId="36385"/>
    <cellStyle name="Calculation 2 9 8 3 4" xfId="15927"/>
    <cellStyle name="Calculation 2 9 8 4" xfId="9227"/>
    <cellStyle name="Calculation 2 9 8 4 2" xfId="28199"/>
    <cellStyle name="Calculation 2 9 8 4 3" xfId="39044"/>
    <cellStyle name="Calculation 2 9 8 4 4" xfId="17831"/>
    <cellStyle name="Calculation 2 9 8 5" xfId="20023"/>
    <cellStyle name="Calculation 2 9 8 6" xfId="30868"/>
    <cellStyle name="Calculation 2 9 8 7" xfId="11977"/>
    <cellStyle name="Calculation 2 9 9" xfId="940"/>
    <cellStyle name="Calculation 2 9 9 2" xfId="3794"/>
    <cellStyle name="Calculation 2 9 9 2 2" xfId="22766"/>
    <cellStyle name="Calculation 2 9 9 2 3" xfId="33611"/>
    <cellStyle name="Calculation 2 9 9 2 4" xfId="13939"/>
    <cellStyle name="Calculation 2 9 9 3" xfId="6469"/>
    <cellStyle name="Calculation 2 9 9 3 2" xfId="25441"/>
    <cellStyle name="Calculation 2 9 9 3 3" xfId="36286"/>
    <cellStyle name="Calculation 2 9 9 3 4" xfId="15855"/>
    <cellStyle name="Calculation 2 9 9 4" xfId="9128"/>
    <cellStyle name="Calculation 2 9 9 4 2" xfId="28100"/>
    <cellStyle name="Calculation 2 9 9 4 3" xfId="38945"/>
    <cellStyle name="Calculation 2 9 9 4 4" xfId="17759"/>
    <cellStyle name="Calculation 2 9 9 5" xfId="19924"/>
    <cellStyle name="Calculation 2 9 9 6" xfId="30769"/>
    <cellStyle name="Calculation 2 9 9 7" xfId="11905"/>
    <cellStyle name="Calculation 2_2012 AR ELEC BCR Eval Eval - 012913" xfId="65"/>
    <cellStyle name="Calculation 3" xfId="66"/>
    <cellStyle name="Calculation 3 2" xfId="356"/>
    <cellStyle name="Calculation 3 2 10" xfId="945"/>
    <cellStyle name="Calculation 3 2 10 2" xfId="3798"/>
    <cellStyle name="Calculation 3 2 10 2 2" xfId="22770"/>
    <cellStyle name="Calculation 3 2 10 2 3" xfId="33615"/>
    <cellStyle name="Calculation 3 2 10 2 4" xfId="13943"/>
    <cellStyle name="Calculation 3 2 10 3" xfId="6473"/>
    <cellStyle name="Calculation 3 2 10 3 2" xfId="25445"/>
    <cellStyle name="Calculation 3 2 10 3 3" xfId="36290"/>
    <cellStyle name="Calculation 3 2 10 3 4" xfId="15859"/>
    <cellStyle name="Calculation 3 2 10 4" xfId="9132"/>
    <cellStyle name="Calculation 3 2 10 4 2" xfId="28104"/>
    <cellStyle name="Calculation 3 2 10 4 3" xfId="38949"/>
    <cellStyle name="Calculation 3 2 10 4 4" xfId="17763"/>
    <cellStyle name="Calculation 3 2 10 5" xfId="19928"/>
    <cellStyle name="Calculation 3 2 10 6" xfId="30773"/>
    <cellStyle name="Calculation 3 2 10 7" xfId="11909"/>
    <cellStyle name="Calculation 3 2 11" xfId="1012"/>
    <cellStyle name="Calculation 3 2 11 2" xfId="3865"/>
    <cellStyle name="Calculation 3 2 11 2 2" xfId="22837"/>
    <cellStyle name="Calculation 3 2 11 2 3" xfId="33682"/>
    <cellStyle name="Calculation 3 2 11 2 4" xfId="13989"/>
    <cellStyle name="Calculation 3 2 11 3" xfId="6539"/>
    <cellStyle name="Calculation 3 2 11 3 2" xfId="25511"/>
    <cellStyle name="Calculation 3 2 11 3 3" xfId="36356"/>
    <cellStyle name="Calculation 3 2 11 3 4" xfId="15905"/>
    <cellStyle name="Calculation 3 2 11 4" xfId="9198"/>
    <cellStyle name="Calculation 3 2 11 4 2" xfId="28170"/>
    <cellStyle name="Calculation 3 2 11 4 3" xfId="39015"/>
    <cellStyle name="Calculation 3 2 11 4 4" xfId="17809"/>
    <cellStyle name="Calculation 3 2 11 5" xfId="19994"/>
    <cellStyle name="Calculation 3 2 11 6" xfId="30839"/>
    <cellStyle name="Calculation 3 2 11 7" xfId="11955"/>
    <cellStyle name="Calculation 3 2 12" xfId="990"/>
    <cellStyle name="Calculation 3 2 12 2" xfId="3843"/>
    <cellStyle name="Calculation 3 2 12 2 2" xfId="22815"/>
    <cellStyle name="Calculation 3 2 12 2 3" xfId="33660"/>
    <cellStyle name="Calculation 3 2 12 2 4" xfId="13976"/>
    <cellStyle name="Calculation 3 2 12 3" xfId="6518"/>
    <cellStyle name="Calculation 3 2 12 3 2" xfId="25490"/>
    <cellStyle name="Calculation 3 2 12 3 3" xfId="36335"/>
    <cellStyle name="Calculation 3 2 12 3 4" xfId="15892"/>
    <cellStyle name="Calculation 3 2 12 4" xfId="9177"/>
    <cellStyle name="Calculation 3 2 12 4 2" xfId="28149"/>
    <cellStyle name="Calculation 3 2 12 4 3" xfId="38994"/>
    <cellStyle name="Calculation 3 2 12 4 4" xfId="17796"/>
    <cellStyle name="Calculation 3 2 12 5" xfId="19973"/>
    <cellStyle name="Calculation 3 2 12 6" xfId="30818"/>
    <cellStyle name="Calculation 3 2 12 7" xfId="11942"/>
    <cellStyle name="Calculation 3 2 13" xfId="1013"/>
    <cellStyle name="Calculation 3 2 13 2" xfId="3866"/>
    <cellStyle name="Calculation 3 2 13 2 2" xfId="22838"/>
    <cellStyle name="Calculation 3 2 13 2 3" xfId="33683"/>
    <cellStyle name="Calculation 3 2 13 2 4" xfId="13990"/>
    <cellStyle name="Calculation 3 2 13 3" xfId="6540"/>
    <cellStyle name="Calculation 3 2 13 3 2" xfId="25512"/>
    <cellStyle name="Calculation 3 2 13 3 3" xfId="36357"/>
    <cellStyle name="Calculation 3 2 13 3 4" xfId="15906"/>
    <cellStyle name="Calculation 3 2 13 4" xfId="9199"/>
    <cellStyle name="Calculation 3 2 13 4 2" xfId="28171"/>
    <cellStyle name="Calculation 3 2 13 4 3" xfId="39016"/>
    <cellStyle name="Calculation 3 2 13 4 4" xfId="17810"/>
    <cellStyle name="Calculation 3 2 13 5" xfId="19995"/>
    <cellStyle name="Calculation 3 2 13 6" xfId="30840"/>
    <cellStyle name="Calculation 3 2 13 7" xfId="11956"/>
    <cellStyle name="Calculation 3 2 14" xfId="3270"/>
    <cellStyle name="Calculation 3 2 14 2" xfId="22244"/>
    <cellStyle name="Calculation 3 2 14 3" xfId="33089"/>
    <cellStyle name="Calculation 3 2 14 4" xfId="13568"/>
    <cellStyle name="Calculation 3 2 15" xfId="3282"/>
    <cellStyle name="Calculation 3 2 15 2" xfId="22256"/>
    <cellStyle name="Calculation 3 2 15 3" xfId="33101"/>
    <cellStyle name="Calculation 3 2 15 4" xfId="13575"/>
    <cellStyle name="Calculation 3 2 16" xfId="513"/>
    <cellStyle name="Calculation 3 2 16 2" xfId="19535"/>
    <cellStyle name="Calculation 3 2 16 3" xfId="30380"/>
    <cellStyle name="Calculation 3 2 16 4" xfId="11589"/>
    <cellStyle name="Calculation 3 2 17" xfId="19453"/>
    <cellStyle name="Calculation 3 2 18" xfId="19405"/>
    <cellStyle name="Calculation 3 2 19" xfId="11512"/>
    <cellStyle name="Calculation 3 2 2" xfId="664"/>
    <cellStyle name="Calculation 3 2 2 10" xfId="19649"/>
    <cellStyle name="Calculation 3 2 2 11" xfId="30494"/>
    <cellStyle name="Calculation 3 2 2 12" xfId="11716"/>
    <cellStyle name="Calculation 3 2 2 2" xfId="1251"/>
    <cellStyle name="Calculation 3 2 2 2 2" xfId="4104"/>
    <cellStyle name="Calculation 3 2 2 2 2 2" xfId="23076"/>
    <cellStyle name="Calculation 3 2 2 2 2 3" xfId="33921"/>
    <cellStyle name="Calculation 3 2 2 2 2 4" xfId="14177"/>
    <cellStyle name="Calculation 3 2 2 2 3" xfId="6777"/>
    <cellStyle name="Calculation 3 2 2 2 3 2" xfId="25749"/>
    <cellStyle name="Calculation 3 2 2 2 3 3" xfId="36594"/>
    <cellStyle name="Calculation 3 2 2 2 3 4" xfId="16092"/>
    <cellStyle name="Calculation 3 2 2 2 4" xfId="9436"/>
    <cellStyle name="Calculation 3 2 2 2 4 2" xfId="28408"/>
    <cellStyle name="Calculation 3 2 2 2 4 3" xfId="39253"/>
    <cellStyle name="Calculation 3 2 2 2 4 4" xfId="17996"/>
    <cellStyle name="Calculation 3 2 2 2 5" xfId="20232"/>
    <cellStyle name="Calculation 3 2 2 2 6" xfId="31077"/>
    <cellStyle name="Calculation 3 2 2 2 7" xfId="12142"/>
    <cellStyle name="Calculation 3 2 2 3" xfId="1650"/>
    <cellStyle name="Calculation 3 2 2 3 2" xfId="4503"/>
    <cellStyle name="Calculation 3 2 2 3 2 2" xfId="23475"/>
    <cellStyle name="Calculation 3 2 2 3 2 3" xfId="34320"/>
    <cellStyle name="Calculation 3 2 2 3 2 4" xfId="14464"/>
    <cellStyle name="Calculation 3 2 2 3 3" xfId="7175"/>
    <cellStyle name="Calculation 3 2 2 3 3 2" xfId="26147"/>
    <cellStyle name="Calculation 3 2 2 3 3 3" xfId="36992"/>
    <cellStyle name="Calculation 3 2 2 3 3 4" xfId="16378"/>
    <cellStyle name="Calculation 3 2 2 3 4" xfId="9834"/>
    <cellStyle name="Calculation 3 2 2 3 4 2" xfId="28806"/>
    <cellStyle name="Calculation 3 2 2 3 4 3" xfId="39651"/>
    <cellStyle name="Calculation 3 2 2 3 4 4" xfId="18282"/>
    <cellStyle name="Calculation 3 2 2 3 5" xfId="20630"/>
    <cellStyle name="Calculation 3 2 2 3 6" xfId="31475"/>
    <cellStyle name="Calculation 3 2 2 3 7" xfId="12428"/>
    <cellStyle name="Calculation 3 2 2 4" xfId="2054"/>
    <cellStyle name="Calculation 3 2 2 4 2" xfId="4907"/>
    <cellStyle name="Calculation 3 2 2 4 2 2" xfId="23879"/>
    <cellStyle name="Calculation 3 2 2 4 2 3" xfId="34724"/>
    <cellStyle name="Calculation 3 2 2 4 2 4" xfId="14751"/>
    <cellStyle name="Calculation 3 2 2 4 3" xfId="7578"/>
    <cellStyle name="Calculation 3 2 2 4 3 2" xfId="26550"/>
    <cellStyle name="Calculation 3 2 2 4 3 3" xfId="37395"/>
    <cellStyle name="Calculation 3 2 2 4 3 4" xfId="16664"/>
    <cellStyle name="Calculation 3 2 2 4 4" xfId="10237"/>
    <cellStyle name="Calculation 3 2 2 4 4 2" xfId="29209"/>
    <cellStyle name="Calculation 3 2 2 4 4 3" xfId="40054"/>
    <cellStyle name="Calculation 3 2 2 4 4 4" xfId="18568"/>
    <cellStyle name="Calculation 3 2 2 4 5" xfId="21033"/>
    <cellStyle name="Calculation 3 2 2 4 6" xfId="31878"/>
    <cellStyle name="Calculation 3 2 2 4 7" xfId="12714"/>
    <cellStyle name="Calculation 3 2 2 5" xfId="2444"/>
    <cellStyle name="Calculation 3 2 2 5 2" xfId="5296"/>
    <cellStyle name="Calculation 3 2 2 5 2 2" xfId="24268"/>
    <cellStyle name="Calculation 3 2 2 5 2 3" xfId="35113"/>
    <cellStyle name="Calculation 3 2 2 5 2 4" xfId="15030"/>
    <cellStyle name="Calculation 3 2 2 5 3" xfId="7967"/>
    <cellStyle name="Calculation 3 2 2 5 3 2" xfId="26939"/>
    <cellStyle name="Calculation 3 2 2 5 3 3" xfId="37784"/>
    <cellStyle name="Calculation 3 2 2 5 3 4" xfId="16943"/>
    <cellStyle name="Calculation 3 2 2 5 4" xfId="10626"/>
    <cellStyle name="Calculation 3 2 2 5 4 2" xfId="29598"/>
    <cellStyle name="Calculation 3 2 2 5 4 3" xfId="40443"/>
    <cellStyle name="Calculation 3 2 2 5 4 4" xfId="18847"/>
    <cellStyle name="Calculation 3 2 2 5 5" xfId="21422"/>
    <cellStyle name="Calculation 3 2 2 5 6" xfId="32267"/>
    <cellStyle name="Calculation 3 2 2 5 7" xfId="12993"/>
    <cellStyle name="Calculation 3 2 2 6" xfId="2830"/>
    <cellStyle name="Calculation 3 2 2 6 2" xfId="5681"/>
    <cellStyle name="Calculation 3 2 2 6 2 2" xfId="24653"/>
    <cellStyle name="Calculation 3 2 2 6 2 3" xfId="35498"/>
    <cellStyle name="Calculation 3 2 2 6 2 4" xfId="15306"/>
    <cellStyle name="Calculation 3 2 2 6 3" xfId="8352"/>
    <cellStyle name="Calculation 3 2 2 6 3 2" xfId="27324"/>
    <cellStyle name="Calculation 3 2 2 6 3 3" xfId="38169"/>
    <cellStyle name="Calculation 3 2 2 6 3 4" xfId="17219"/>
    <cellStyle name="Calculation 3 2 2 6 4" xfId="11011"/>
    <cellStyle name="Calculation 3 2 2 6 4 2" xfId="29983"/>
    <cellStyle name="Calculation 3 2 2 6 4 3" xfId="40828"/>
    <cellStyle name="Calculation 3 2 2 6 4 4" xfId="19123"/>
    <cellStyle name="Calculation 3 2 2 6 5" xfId="21807"/>
    <cellStyle name="Calculation 3 2 2 6 6" xfId="32652"/>
    <cellStyle name="Calculation 3 2 2 6 7" xfId="13269"/>
    <cellStyle name="Calculation 3 2 2 7" xfId="3519"/>
    <cellStyle name="Calculation 3 2 2 7 2" xfId="22491"/>
    <cellStyle name="Calculation 3 2 2 7 3" xfId="33336"/>
    <cellStyle name="Calculation 3 2 2 7 4" xfId="13750"/>
    <cellStyle name="Calculation 3 2 2 8" xfId="6194"/>
    <cellStyle name="Calculation 3 2 2 8 2" xfId="25166"/>
    <cellStyle name="Calculation 3 2 2 8 3" xfId="36011"/>
    <cellStyle name="Calculation 3 2 2 8 4" xfId="15666"/>
    <cellStyle name="Calculation 3 2 2 9" xfId="8853"/>
    <cellStyle name="Calculation 3 2 2 9 2" xfId="27825"/>
    <cellStyle name="Calculation 3 2 2 9 3" xfId="38670"/>
    <cellStyle name="Calculation 3 2 2 9 4" xfId="17570"/>
    <cellStyle name="Calculation 3 2 3" xfId="654"/>
    <cellStyle name="Calculation 3 2 3 10" xfId="19639"/>
    <cellStyle name="Calculation 3 2 3 11" xfId="30484"/>
    <cellStyle name="Calculation 3 2 3 12" xfId="11706"/>
    <cellStyle name="Calculation 3 2 3 2" xfId="1241"/>
    <cellStyle name="Calculation 3 2 3 2 2" xfId="4094"/>
    <cellStyle name="Calculation 3 2 3 2 2 2" xfId="23066"/>
    <cellStyle name="Calculation 3 2 3 2 2 3" xfId="33911"/>
    <cellStyle name="Calculation 3 2 3 2 2 4" xfId="14167"/>
    <cellStyle name="Calculation 3 2 3 2 3" xfId="6767"/>
    <cellStyle name="Calculation 3 2 3 2 3 2" xfId="25739"/>
    <cellStyle name="Calculation 3 2 3 2 3 3" xfId="36584"/>
    <cellStyle name="Calculation 3 2 3 2 3 4" xfId="16082"/>
    <cellStyle name="Calculation 3 2 3 2 4" xfId="9426"/>
    <cellStyle name="Calculation 3 2 3 2 4 2" xfId="28398"/>
    <cellStyle name="Calculation 3 2 3 2 4 3" xfId="39243"/>
    <cellStyle name="Calculation 3 2 3 2 4 4" xfId="17986"/>
    <cellStyle name="Calculation 3 2 3 2 5" xfId="20222"/>
    <cellStyle name="Calculation 3 2 3 2 6" xfId="31067"/>
    <cellStyle name="Calculation 3 2 3 2 7" xfId="12132"/>
    <cellStyle name="Calculation 3 2 3 3" xfId="1640"/>
    <cellStyle name="Calculation 3 2 3 3 2" xfId="4493"/>
    <cellStyle name="Calculation 3 2 3 3 2 2" xfId="23465"/>
    <cellStyle name="Calculation 3 2 3 3 2 3" xfId="34310"/>
    <cellStyle name="Calculation 3 2 3 3 2 4" xfId="14454"/>
    <cellStyle name="Calculation 3 2 3 3 3" xfId="7165"/>
    <cellStyle name="Calculation 3 2 3 3 3 2" xfId="26137"/>
    <cellStyle name="Calculation 3 2 3 3 3 3" xfId="36982"/>
    <cellStyle name="Calculation 3 2 3 3 3 4" xfId="16368"/>
    <cellStyle name="Calculation 3 2 3 3 4" xfId="9824"/>
    <cellStyle name="Calculation 3 2 3 3 4 2" xfId="28796"/>
    <cellStyle name="Calculation 3 2 3 3 4 3" xfId="39641"/>
    <cellStyle name="Calculation 3 2 3 3 4 4" xfId="18272"/>
    <cellStyle name="Calculation 3 2 3 3 5" xfId="20620"/>
    <cellStyle name="Calculation 3 2 3 3 6" xfId="31465"/>
    <cellStyle name="Calculation 3 2 3 3 7" xfId="12418"/>
    <cellStyle name="Calculation 3 2 3 4" xfId="2044"/>
    <cellStyle name="Calculation 3 2 3 4 2" xfId="4897"/>
    <cellStyle name="Calculation 3 2 3 4 2 2" xfId="23869"/>
    <cellStyle name="Calculation 3 2 3 4 2 3" xfId="34714"/>
    <cellStyle name="Calculation 3 2 3 4 2 4" xfId="14741"/>
    <cellStyle name="Calculation 3 2 3 4 3" xfId="7568"/>
    <cellStyle name="Calculation 3 2 3 4 3 2" xfId="26540"/>
    <cellStyle name="Calculation 3 2 3 4 3 3" xfId="37385"/>
    <cellStyle name="Calculation 3 2 3 4 3 4" xfId="16654"/>
    <cellStyle name="Calculation 3 2 3 4 4" xfId="10227"/>
    <cellStyle name="Calculation 3 2 3 4 4 2" xfId="29199"/>
    <cellStyle name="Calculation 3 2 3 4 4 3" xfId="40044"/>
    <cellStyle name="Calculation 3 2 3 4 4 4" xfId="18558"/>
    <cellStyle name="Calculation 3 2 3 4 5" xfId="21023"/>
    <cellStyle name="Calculation 3 2 3 4 6" xfId="31868"/>
    <cellStyle name="Calculation 3 2 3 4 7" xfId="12704"/>
    <cellStyle name="Calculation 3 2 3 5" xfId="2434"/>
    <cellStyle name="Calculation 3 2 3 5 2" xfId="5286"/>
    <cellStyle name="Calculation 3 2 3 5 2 2" xfId="24258"/>
    <cellStyle name="Calculation 3 2 3 5 2 3" xfId="35103"/>
    <cellStyle name="Calculation 3 2 3 5 2 4" xfId="15020"/>
    <cellStyle name="Calculation 3 2 3 5 3" xfId="7957"/>
    <cellStyle name="Calculation 3 2 3 5 3 2" xfId="26929"/>
    <cellStyle name="Calculation 3 2 3 5 3 3" xfId="37774"/>
    <cellStyle name="Calculation 3 2 3 5 3 4" xfId="16933"/>
    <cellStyle name="Calculation 3 2 3 5 4" xfId="10616"/>
    <cellStyle name="Calculation 3 2 3 5 4 2" xfId="29588"/>
    <cellStyle name="Calculation 3 2 3 5 4 3" xfId="40433"/>
    <cellStyle name="Calculation 3 2 3 5 4 4" xfId="18837"/>
    <cellStyle name="Calculation 3 2 3 5 5" xfId="21412"/>
    <cellStyle name="Calculation 3 2 3 5 6" xfId="32257"/>
    <cellStyle name="Calculation 3 2 3 5 7" xfId="12983"/>
    <cellStyle name="Calculation 3 2 3 6" xfId="2820"/>
    <cellStyle name="Calculation 3 2 3 6 2" xfId="5671"/>
    <cellStyle name="Calculation 3 2 3 6 2 2" xfId="24643"/>
    <cellStyle name="Calculation 3 2 3 6 2 3" xfId="35488"/>
    <cellStyle name="Calculation 3 2 3 6 2 4" xfId="15296"/>
    <cellStyle name="Calculation 3 2 3 6 3" xfId="8342"/>
    <cellStyle name="Calculation 3 2 3 6 3 2" xfId="27314"/>
    <cellStyle name="Calculation 3 2 3 6 3 3" xfId="38159"/>
    <cellStyle name="Calculation 3 2 3 6 3 4" xfId="17209"/>
    <cellStyle name="Calculation 3 2 3 6 4" xfId="11001"/>
    <cellStyle name="Calculation 3 2 3 6 4 2" xfId="29973"/>
    <cellStyle name="Calculation 3 2 3 6 4 3" xfId="40818"/>
    <cellStyle name="Calculation 3 2 3 6 4 4" xfId="19113"/>
    <cellStyle name="Calculation 3 2 3 6 5" xfId="21797"/>
    <cellStyle name="Calculation 3 2 3 6 6" xfId="32642"/>
    <cellStyle name="Calculation 3 2 3 6 7" xfId="13259"/>
    <cellStyle name="Calculation 3 2 3 7" xfId="3509"/>
    <cellStyle name="Calculation 3 2 3 7 2" xfId="22481"/>
    <cellStyle name="Calculation 3 2 3 7 3" xfId="33326"/>
    <cellStyle name="Calculation 3 2 3 7 4" xfId="13740"/>
    <cellStyle name="Calculation 3 2 3 8" xfId="6184"/>
    <cellStyle name="Calculation 3 2 3 8 2" xfId="25156"/>
    <cellStyle name="Calculation 3 2 3 8 3" xfId="36001"/>
    <cellStyle name="Calculation 3 2 3 8 4" xfId="15656"/>
    <cellStyle name="Calculation 3 2 3 9" xfId="8843"/>
    <cellStyle name="Calculation 3 2 3 9 2" xfId="27815"/>
    <cellStyle name="Calculation 3 2 3 9 3" xfId="38660"/>
    <cellStyle name="Calculation 3 2 3 9 4" xfId="17560"/>
    <cellStyle name="Calculation 3 2 4" xfId="637"/>
    <cellStyle name="Calculation 3 2 4 10" xfId="19633"/>
    <cellStyle name="Calculation 3 2 4 11" xfId="30478"/>
    <cellStyle name="Calculation 3 2 4 12" xfId="11689"/>
    <cellStyle name="Calculation 3 2 4 2" xfId="1232"/>
    <cellStyle name="Calculation 3 2 4 2 2" xfId="4085"/>
    <cellStyle name="Calculation 3 2 4 2 2 2" xfId="23057"/>
    <cellStyle name="Calculation 3 2 4 2 2 3" xfId="33902"/>
    <cellStyle name="Calculation 3 2 4 2 2 4" xfId="14158"/>
    <cellStyle name="Calculation 3 2 4 2 3" xfId="6758"/>
    <cellStyle name="Calculation 3 2 4 2 3 2" xfId="25730"/>
    <cellStyle name="Calculation 3 2 4 2 3 3" xfId="36575"/>
    <cellStyle name="Calculation 3 2 4 2 3 4" xfId="16073"/>
    <cellStyle name="Calculation 3 2 4 2 4" xfId="9417"/>
    <cellStyle name="Calculation 3 2 4 2 4 2" xfId="28389"/>
    <cellStyle name="Calculation 3 2 4 2 4 3" xfId="39234"/>
    <cellStyle name="Calculation 3 2 4 2 4 4" xfId="17977"/>
    <cellStyle name="Calculation 3 2 4 2 5" xfId="20213"/>
    <cellStyle name="Calculation 3 2 4 2 6" xfId="31058"/>
    <cellStyle name="Calculation 3 2 4 2 7" xfId="12123"/>
    <cellStyle name="Calculation 3 2 4 3" xfId="1631"/>
    <cellStyle name="Calculation 3 2 4 3 2" xfId="4484"/>
    <cellStyle name="Calculation 3 2 4 3 2 2" xfId="23456"/>
    <cellStyle name="Calculation 3 2 4 3 2 3" xfId="34301"/>
    <cellStyle name="Calculation 3 2 4 3 2 4" xfId="14446"/>
    <cellStyle name="Calculation 3 2 4 3 3" xfId="7156"/>
    <cellStyle name="Calculation 3 2 4 3 3 2" xfId="26128"/>
    <cellStyle name="Calculation 3 2 4 3 3 3" xfId="36973"/>
    <cellStyle name="Calculation 3 2 4 3 3 4" xfId="16360"/>
    <cellStyle name="Calculation 3 2 4 3 4" xfId="9815"/>
    <cellStyle name="Calculation 3 2 4 3 4 2" xfId="28787"/>
    <cellStyle name="Calculation 3 2 4 3 4 3" xfId="39632"/>
    <cellStyle name="Calculation 3 2 4 3 4 4" xfId="18264"/>
    <cellStyle name="Calculation 3 2 4 3 5" xfId="20611"/>
    <cellStyle name="Calculation 3 2 4 3 6" xfId="31456"/>
    <cellStyle name="Calculation 3 2 4 3 7" xfId="12410"/>
    <cellStyle name="Calculation 3 2 4 4" xfId="2035"/>
    <cellStyle name="Calculation 3 2 4 4 2" xfId="4888"/>
    <cellStyle name="Calculation 3 2 4 4 2 2" xfId="23860"/>
    <cellStyle name="Calculation 3 2 4 4 2 3" xfId="34705"/>
    <cellStyle name="Calculation 3 2 4 4 2 4" xfId="14733"/>
    <cellStyle name="Calculation 3 2 4 4 3" xfId="7560"/>
    <cellStyle name="Calculation 3 2 4 4 3 2" xfId="26532"/>
    <cellStyle name="Calculation 3 2 4 4 3 3" xfId="37377"/>
    <cellStyle name="Calculation 3 2 4 4 3 4" xfId="16647"/>
    <cellStyle name="Calculation 3 2 4 4 4" xfId="10219"/>
    <cellStyle name="Calculation 3 2 4 4 4 2" xfId="29191"/>
    <cellStyle name="Calculation 3 2 4 4 4 3" xfId="40036"/>
    <cellStyle name="Calculation 3 2 4 4 4 4" xfId="18551"/>
    <cellStyle name="Calculation 3 2 4 4 5" xfId="21015"/>
    <cellStyle name="Calculation 3 2 4 4 6" xfId="31860"/>
    <cellStyle name="Calculation 3 2 4 4 7" xfId="12697"/>
    <cellStyle name="Calculation 3 2 4 5" xfId="2426"/>
    <cellStyle name="Calculation 3 2 4 5 2" xfId="5279"/>
    <cellStyle name="Calculation 3 2 4 5 2 2" xfId="24251"/>
    <cellStyle name="Calculation 3 2 4 5 2 3" xfId="35096"/>
    <cellStyle name="Calculation 3 2 4 5 2 4" xfId="15013"/>
    <cellStyle name="Calculation 3 2 4 5 3" xfId="7950"/>
    <cellStyle name="Calculation 3 2 4 5 3 2" xfId="26922"/>
    <cellStyle name="Calculation 3 2 4 5 3 3" xfId="37767"/>
    <cellStyle name="Calculation 3 2 4 5 3 4" xfId="16926"/>
    <cellStyle name="Calculation 3 2 4 5 4" xfId="10609"/>
    <cellStyle name="Calculation 3 2 4 5 4 2" xfId="29581"/>
    <cellStyle name="Calculation 3 2 4 5 4 3" xfId="40426"/>
    <cellStyle name="Calculation 3 2 4 5 4 4" xfId="18830"/>
    <cellStyle name="Calculation 3 2 4 5 5" xfId="21405"/>
    <cellStyle name="Calculation 3 2 4 5 6" xfId="32250"/>
    <cellStyle name="Calculation 3 2 4 5 7" xfId="12976"/>
    <cellStyle name="Calculation 3 2 4 6" xfId="2813"/>
    <cellStyle name="Calculation 3 2 4 6 2" xfId="5665"/>
    <cellStyle name="Calculation 3 2 4 6 2 2" xfId="24637"/>
    <cellStyle name="Calculation 3 2 4 6 2 3" xfId="35482"/>
    <cellStyle name="Calculation 3 2 4 6 2 4" xfId="15290"/>
    <cellStyle name="Calculation 3 2 4 6 3" xfId="8336"/>
    <cellStyle name="Calculation 3 2 4 6 3 2" xfId="27308"/>
    <cellStyle name="Calculation 3 2 4 6 3 3" xfId="38153"/>
    <cellStyle name="Calculation 3 2 4 6 3 4" xfId="17203"/>
    <cellStyle name="Calculation 3 2 4 6 4" xfId="10995"/>
    <cellStyle name="Calculation 3 2 4 6 4 2" xfId="29967"/>
    <cellStyle name="Calculation 3 2 4 6 4 3" xfId="40812"/>
    <cellStyle name="Calculation 3 2 4 6 4 4" xfId="19107"/>
    <cellStyle name="Calculation 3 2 4 6 5" xfId="21791"/>
    <cellStyle name="Calculation 3 2 4 6 6" xfId="32636"/>
    <cellStyle name="Calculation 3 2 4 6 7" xfId="13253"/>
    <cellStyle name="Calculation 3 2 4 7" xfId="3503"/>
    <cellStyle name="Calculation 3 2 4 7 2" xfId="22475"/>
    <cellStyle name="Calculation 3 2 4 7 3" xfId="33320"/>
    <cellStyle name="Calculation 3 2 4 7 4" xfId="13734"/>
    <cellStyle name="Calculation 3 2 4 8" xfId="6178"/>
    <cellStyle name="Calculation 3 2 4 8 2" xfId="25150"/>
    <cellStyle name="Calculation 3 2 4 8 3" xfId="35995"/>
    <cellStyle name="Calculation 3 2 4 8 4" xfId="15650"/>
    <cellStyle name="Calculation 3 2 4 9" xfId="8837"/>
    <cellStyle name="Calculation 3 2 4 9 2" xfId="27809"/>
    <cellStyle name="Calculation 3 2 4 9 3" xfId="38654"/>
    <cellStyle name="Calculation 3 2 4 9 4" xfId="17554"/>
    <cellStyle name="Calculation 3 2 5" xfId="610"/>
    <cellStyle name="Calculation 3 2 5 10" xfId="19617"/>
    <cellStyle name="Calculation 3 2 5 11" xfId="30462"/>
    <cellStyle name="Calculation 3 2 5 12" xfId="11672"/>
    <cellStyle name="Calculation 3 2 5 2" xfId="1214"/>
    <cellStyle name="Calculation 3 2 5 2 2" xfId="4067"/>
    <cellStyle name="Calculation 3 2 5 2 2 2" xfId="23039"/>
    <cellStyle name="Calculation 3 2 5 2 2 3" xfId="33884"/>
    <cellStyle name="Calculation 3 2 5 2 2 4" xfId="14147"/>
    <cellStyle name="Calculation 3 2 5 2 3" xfId="6740"/>
    <cellStyle name="Calculation 3 2 5 2 3 2" xfId="25712"/>
    <cellStyle name="Calculation 3 2 5 2 3 3" xfId="36557"/>
    <cellStyle name="Calculation 3 2 5 2 3 4" xfId="16062"/>
    <cellStyle name="Calculation 3 2 5 2 4" xfId="9399"/>
    <cellStyle name="Calculation 3 2 5 2 4 2" xfId="28371"/>
    <cellStyle name="Calculation 3 2 5 2 4 3" xfId="39216"/>
    <cellStyle name="Calculation 3 2 5 2 4 4" xfId="17966"/>
    <cellStyle name="Calculation 3 2 5 2 5" xfId="20195"/>
    <cellStyle name="Calculation 3 2 5 2 6" xfId="31040"/>
    <cellStyle name="Calculation 3 2 5 2 7" xfId="12112"/>
    <cellStyle name="Calculation 3 2 5 3" xfId="1612"/>
    <cellStyle name="Calculation 3 2 5 3 2" xfId="4465"/>
    <cellStyle name="Calculation 3 2 5 3 2 2" xfId="23437"/>
    <cellStyle name="Calculation 3 2 5 3 2 3" xfId="34282"/>
    <cellStyle name="Calculation 3 2 5 3 2 4" xfId="14434"/>
    <cellStyle name="Calculation 3 2 5 3 3" xfId="7137"/>
    <cellStyle name="Calculation 3 2 5 3 3 2" xfId="26109"/>
    <cellStyle name="Calculation 3 2 5 3 3 3" xfId="36954"/>
    <cellStyle name="Calculation 3 2 5 3 3 4" xfId="16348"/>
    <cellStyle name="Calculation 3 2 5 3 4" xfId="9796"/>
    <cellStyle name="Calculation 3 2 5 3 4 2" xfId="28768"/>
    <cellStyle name="Calculation 3 2 5 3 4 3" xfId="39613"/>
    <cellStyle name="Calculation 3 2 5 3 4 4" xfId="18252"/>
    <cellStyle name="Calculation 3 2 5 3 5" xfId="20592"/>
    <cellStyle name="Calculation 3 2 5 3 6" xfId="31437"/>
    <cellStyle name="Calculation 3 2 5 3 7" xfId="12398"/>
    <cellStyle name="Calculation 3 2 5 4" xfId="2014"/>
    <cellStyle name="Calculation 3 2 5 4 2" xfId="4867"/>
    <cellStyle name="Calculation 3 2 5 4 2 2" xfId="23839"/>
    <cellStyle name="Calculation 3 2 5 4 2 3" xfId="34684"/>
    <cellStyle name="Calculation 3 2 5 4 2 4" xfId="14720"/>
    <cellStyle name="Calculation 3 2 5 4 3" xfId="7539"/>
    <cellStyle name="Calculation 3 2 5 4 3 2" xfId="26511"/>
    <cellStyle name="Calculation 3 2 5 4 3 3" xfId="37356"/>
    <cellStyle name="Calculation 3 2 5 4 3 4" xfId="16634"/>
    <cellStyle name="Calculation 3 2 5 4 4" xfId="10198"/>
    <cellStyle name="Calculation 3 2 5 4 4 2" xfId="29170"/>
    <cellStyle name="Calculation 3 2 5 4 4 3" xfId="40015"/>
    <cellStyle name="Calculation 3 2 5 4 4 4" xfId="18538"/>
    <cellStyle name="Calculation 3 2 5 4 5" xfId="20994"/>
    <cellStyle name="Calculation 3 2 5 4 6" xfId="31839"/>
    <cellStyle name="Calculation 3 2 5 4 7" xfId="12684"/>
    <cellStyle name="Calculation 3 2 5 5" xfId="2406"/>
    <cellStyle name="Calculation 3 2 5 5 2" xfId="5259"/>
    <cellStyle name="Calculation 3 2 5 5 2 2" xfId="24231"/>
    <cellStyle name="Calculation 3 2 5 5 2 3" xfId="35076"/>
    <cellStyle name="Calculation 3 2 5 5 2 4" xfId="15001"/>
    <cellStyle name="Calculation 3 2 5 5 3" xfId="7930"/>
    <cellStyle name="Calculation 3 2 5 5 3 2" xfId="26902"/>
    <cellStyle name="Calculation 3 2 5 5 3 3" xfId="37747"/>
    <cellStyle name="Calculation 3 2 5 5 3 4" xfId="16914"/>
    <cellStyle name="Calculation 3 2 5 5 4" xfId="10589"/>
    <cellStyle name="Calculation 3 2 5 5 4 2" xfId="29561"/>
    <cellStyle name="Calculation 3 2 5 5 4 3" xfId="40406"/>
    <cellStyle name="Calculation 3 2 5 5 4 4" xfId="18818"/>
    <cellStyle name="Calculation 3 2 5 5 5" xfId="21385"/>
    <cellStyle name="Calculation 3 2 5 5 6" xfId="32230"/>
    <cellStyle name="Calculation 3 2 5 5 7" xfId="12964"/>
    <cellStyle name="Calculation 3 2 5 6" xfId="2795"/>
    <cellStyle name="Calculation 3 2 5 6 2" xfId="5647"/>
    <cellStyle name="Calculation 3 2 5 6 2 2" xfId="24619"/>
    <cellStyle name="Calculation 3 2 5 6 2 3" xfId="35464"/>
    <cellStyle name="Calculation 3 2 5 6 2 4" xfId="15279"/>
    <cellStyle name="Calculation 3 2 5 6 3" xfId="8318"/>
    <cellStyle name="Calculation 3 2 5 6 3 2" xfId="27290"/>
    <cellStyle name="Calculation 3 2 5 6 3 3" xfId="38135"/>
    <cellStyle name="Calculation 3 2 5 6 3 4" xfId="17192"/>
    <cellStyle name="Calculation 3 2 5 6 4" xfId="10977"/>
    <cellStyle name="Calculation 3 2 5 6 4 2" xfId="29949"/>
    <cellStyle name="Calculation 3 2 5 6 4 3" xfId="40794"/>
    <cellStyle name="Calculation 3 2 5 6 4 4" xfId="19096"/>
    <cellStyle name="Calculation 3 2 5 6 5" xfId="21773"/>
    <cellStyle name="Calculation 3 2 5 6 6" xfId="32618"/>
    <cellStyle name="Calculation 3 2 5 6 7" xfId="13242"/>
    <cellStyle name="Calculation 3 2 5 7" xfId="3486"/>
    <cellStyle name="Calculation 3 2 5 7 2" xfId="22458"/>
    <cellStyle name="Calculation 3 2 5 7 3" xfId="33303"/>
    <cellStyle name="Calculation 3 2 5 7 4" xfId="13724"/>
    <cellStyle name="Calculation 3 2 5 8" xfId="6162"/>
    <cellStyle name="Calculation 3 2 5 8 2" xfId="25134"/>
    <cellStyle name="Calculation 3 2 5 8 3" xfId="35979"/>
    <cellStyle name="Calculation 3 2 5 8 4" xfId="15641"/>
    <cellStyle name="Calculation 3 2 5 9" xfId="8821"/>
    <cellStyle name="Calculation 3 2 5 9 2" xfId="27793"/>
    <cellStyle name="Calculation 3 2 5 9 3" xfId="38638"/>
    <cellStyle name="Calculation 3 2 5 9 4" xfId="17545"/>
    <cellStyle name="Calculation 3 2 6" xfId="1062"/>
    <cellStyle name="Calculation 3 2 6 2" xfId="3915"/>
    <cellStyle name="Calculation 3 2 6 2 2" xfId="22887"/>
    <cellStyle name="Calculation 3 2 6 2 3" xfId="33732"/>
    <cellStyle name="Calculation 3 2 6 2 4" xfId="14028"/>
    <cellStyle name="Calculation 3 2 6 3" xfId="6589"/>
    <cellStyle name="Calculation 3 2 6 3 2" xfId="25561"/>
    <cellStyle name="Calculation 3 2 6 3 3" xfId="36406"/>
    <cellStyle name="Calculation 3 2 6 3 4" xfId="15944"/>
    <cellStyle name="Calculation 3 2 6 4" xfId="9248"/>
    <cellStyle name="Calculation 3 2 6 4 2" xfId="28220"/>
    <cellStyle name="Calculation 3 2 6 4 3" xfId="39065"/>
    <cellStyle name="Calculation 3 2 6 4 4" xfId="17848"/>
    <cellStyle name="Calculation 3 2 6 5" xfId="20044"/>
    <cellStyle name="Calculation 3 2 6 6" xfId="30889"/>
    <cellStyle name="Calculation 3 2 6 7" xfId="11994"/>
    <cellStyle name="Calculation 3 2 7" xfId="918"/>
    <cellStyle name="Calculation 3 2 7 2" xfId="3773"/>
    <cellStyle name="Calculation 3 2 7 2 2" xfId="22745"/>
    <cellStyle name="Calculation 3 2 7 2 3" xfId="33590"/>
    <cellStyle name="Calculation 3 2 7 2 4" xfId="13919"/>
    <cellStyle name="Calculation 3 2 7 3" xfId="6448"/>
    <cellStyle name="Calculation 3 2 7 3 2" xfId="25420"/>
    <cellStyle name="Calculation 3 2 7 3 3" xfId="36265"/>
    <cellStyle name="Calculation 3 2 7 3 4" xfId="15835"/>
    <cellStyle name="Calculation 3 2 7 4" xfId="9107"/>
    <cellStyle name="Calculation 3 2 7 4 2" xfId="28079"/>
    <cellStyle name="Calculation 3 2 7 4 3" xfId="38924"/>
    <cellStyle name="Calculation 3 2 7 4 4" xfId="17739"/>
    <cellStyle name="Calculation 3 2 7 5" xfId="19903"/>
    <cellStyle name="Calculation 3 2 7 6" xfId="30748"/>
    <cellStyle name="Calculation 3 2 7 7" xfId="11885"/>
    <cellStyle name="Calculation 3 2 8" xfId="974"/>
    <cellStyle name="Calculation 3 2 8 2" xfId="3827"/>
    <cellStyle name="Calculation 3 2 8 2 2" xfId="22799"/>
    <cellStyle name="Calculation 3 2 8 2 3" xfId="33644"/>
    <cellStyle name="Calculation 3 2 8 2 4" xfId="13965"/>
    <cellStyle name="Calculation 3 2 8 3" xfId="6502"/>
    <cellStyle name="Calculation 3 2 8 3 2" xfId="25474"/>
    <cellStyle name="Calculation 3 2 8 3 3" xfId="36319"/>
    <cellStyle name="Calculation 3 2 8 3 4" xfId="15881"/>
    <cellStyle name="Calculation 3 2 8 4" xfId="9161"/>
    <cellStyle name="Calculation 3 2 8 4 2" xfId="28133"/>
    <cellStyle name="Calculation 3 2 8 4 3" xfId="38978"/>
    <cellStyle name="Calculation 3 2 8 4 4" xfId="17785"/>
    <cellStyle name="Calculation 3 2 8 5" xfId="19957"/>
    <cellStyle name="Calculation 3 2 8 6" xfId="30802"/>
    <cellStyle name="Calculation 3 2 8 7" xfId="11931"/>
    <cellStyle name="Calculation 3 2 9" xfId="937"/>
    <cellStyle name="Calculation 3 2 9 2" xfId="3791"/>
    <cellStyle name="Calculation 3 2 9 2 2" xfId="22763"/>
    <cellStyle name="Calculation 3 2 9 2 3" xfId="33608"/>
    <cellStyle name="Calculation 3 2 9 2 4" xfId="13936"/>
    <cellStyle name="Calculation 3 2 9 3" xfId="6466"/>
    <cellStyle name="Calculation 3 2 9 3 2" xfId="25438"/>
    <cellStyle name="Calculation 3 2 9 3 3" xfId="36283"/>
    <cellStyle name="Calculation 3 2 9 3 4" xfId="15852"/>
    <cellStyle name="Calculation 3 2 9 4" xfId="9125"/>
    <cellStyle name="Calculation 3 2 9 4 2" xfId="28097"/>
    <cellStyle name="Calculation 3 2 9 4 3" xfId="38942"/>
    <cellStyle name="Calculation 3 2 9 4 4" xfId="17756"/>
    <cellStyle name="Calculation 3 2 9 5" xfId="19921"/>
    <cellStyle name="Calculation 3 2 9 6" xfId="30766"/>
    <cellStyle name="Calculation 3 2 9 7" xfId="11902"/>
    <cellStyle name="Calculation 3 3" xfId="544"/>
    <cellStyle name="Calculation 3 3 10" xfId="19554"/>
    <cellStyle name="Calculation 3 3 11" xfId="30399"/>
    <cellStyle name="Calculation 3 3 12" xfId="11618"/>
    <cellStyle name="Calculation 3 3 2" xfId="1150"/>
    <cellStyle name="Calculation 3 3 2 2" xfId="4003"/>
    <cellStyle name="Calculation 3 3 2 2 2" xfId="22975"/>
    <cellStyle name="Calculation 3 3 2 2 3" xfId="33820"/>
    <cellStyle name="Calculation 3 3 2 2 4" xfId="14095"/>
    <cellStyle name="Calculation 3 3 2 3" xfId="6676"/>
    <cellStyle name="Calculation 3 3 2 3 2" xfId="25648"/>
    <cellStyle name="Calculation 3 3 2 3 3" xfId="36493"/>
    <cellStyle name="Calculation 3 3 2 3 4" xfId="16010"/>
    <cellStyle name="Calculation 3 3 2 4" xfId="9335"/>
    <cellStyle name="Calculation 3 3 2 4 2" xfId="28307"/>
    <cellStyle name="Calculation 3 3 2 4 3" xfId="39152"/>
    <cellStyle name="Calculation 3 3 2 4 4" xfId="17914"/>
    <cellStyle name="Calculation 3 3 2 5" xfId="20131"/>
    <cellStyle name="Calculation 3 3 2 6" xfId="30976"/>
    <cellStyle name="Calculation 3 3 2 7" xfId="12060"/>
    <cellStyle name="Calculation 3 3 3" xfId="1547"/>
    <cellStyle name="Calculation 3 3 3 2" xfId="4400"/>
    <cellStyle name="Calculation 3 3 3 2 2" xfId="23372"/>
    <cellStyle name="Calculation 3 3 3 2 3" xfId="34217"/>
    <cellStyle name="Calculation 3 3 3 2 4" xfId="14381"/>
    <cellStyle name="Calculation 3 3 3 3" xfId="7072"/>
    <cellStyle name="Calculation 3 3 3 3 2" xfId="26044"/>
    <cellStyle name="Calculation 3 3 3 3 3" xfId="36889"/>
    <cellStyle name="Calculation 3 3 3 3 4" xfId="16295"/>
    <cellStyle name="Calculation 3 3 3 4" xfId="9731"/>
    <cellStyle name="Calculation 3 3 3 4 2" xfId="28703"/>
    <cellStyle name="Calculation 3 3 3 4 3" xfId="39548"/>
    <cellStyle name="Calculation 3 3 3 4 4" xfId="18199"/>
    <cellStyle name="Calculation 3 3 3 5" xfId="20527"/>
    <cellStyle name="Calculation 3 3 3 6" xfId="31372"/>
    <cellStyle name="Calculation 3 3 3 7" xfId="12345"/>
    <cellStyle name="Calculation 3 3 4" xfId="1951"/>
    <cellStyle name="Calculation 3 3 4 2" xfId="4804"/>
    <cellStyle name="Calculation 3 3 4 2 2" xfId="23776"/>
    <cellStyle name="Calculation 3 3 4 2 3" xfId="34621"/>
    <cellStyle name="Calculation 3 3 4 2 4" xfId="14669"/>
    <cellStyle name="Calculation 3 3 4 3" xfId="7476"/>
    <cellStyle name="Calculation 3 3 4 3 2" xfId="26448"/>
    <cellStyle name="Calculation 3 3 4 3 3" xfId="37293"/>
    <cellStyle name="Calculation 3 3 4 3 4" xfId="16583"/>
    <cellStyle name="Calculation 3 3 4 4" xfId="10135"/>
    <cellStyle name="Calculation 3 3 4 4 2" xfId="29107"/>
    <cellStyle name="Calculation 3 3 4 4 3" xfId="39952"/>
    <cellStyle name="Calculation 3 3 4 4 4" xfId="18487"/>
    <cellStyle name="Calculation 3 3 4 5" xfId="20931"/>
    <cellStyle name="Calculation 3 3 4 6" xfId="31776"/>
    <cellStyle name="Calculation 3 3 4 7" xfId="12633"/>
    <cellStyle name="Calculation 3 3 5" xfId="2343"/>
    <cellStyle name="Calculation 3 3 5 2" xfId="5196"/>
    <cellStyle name="Calculation 3 3 5 2 2" xfId="24168"/>
    <cellStyle name="Calculation 3 3 5 2 3" xfId="35013"/>
    <cellStyle name="Calculation 3 3 5 2 4" xfId="14950"/>
    <cellStyle name="Calculation 3 3 5 3" xfId="7867"/>
    <cellStyle name="Calculation 3 3 5 3 2" xfId="26839"/>
    <cellStyle name="Calculation 3 3 5 3 3" xfId="37684"/>
    <cellStyle name="Calculation 3 3 5 3 4" xfId="16863"/>
    <cellStyle name="Calculation 3 3 5 4" xfId="10526"/>
    <cellStyle name="Calculation 3 3 5 4 2" xfId="29498"/>
    <cellStyle name="Calculation 3 3 5 4 3" xfId="40343"/>
    <cellStyle name="Calculation 3 3 5 4 4" xfId="18767"/>
    <cellStyle name="Calculation 3 3 5 5" xfId="21322"/>
    <cellStyle name="Calculation 3 3 5 6" xfId="32167"/>
    <cellStyle name="Calculation 3 3 5 7" xfId="12913"/>
    <cellStyle name="Calculation 3 3 6" xfId="2732"/>
    <cellStyle name="Calculation 3 3 6 2" xfId="5584"/>
    <cellStyle name="Calculation 3 3 6 2 2" xfId="24556"/>
    <cellStyle name="Calculation 3 3 6 2 3" xfId="35401"/>
    <cellStyle name="Calculation 3 3 6 2 4" xfId="15228"/>
    <cellStyle name="Calculation 3 3 6 3" xfId="8255"/>
    <cellStyle name="Calculation 3 3 6 3 2" xfId="27227"/>
    <cellStyle name="Calculation 3 3 6 3 3" xfId="38072"/>
    <cellStyle name="Calculation 3 3 6 3 4" xfId="17141"/>
    <cellStyle name="Calculation 3 3 6 4" xfId="10914"/>
    <cellStyle name="Calculation 3 3 6 4 2" xfId="29886"/>
    <cellStyle name="Calculation 3 3 6 4 3" xfId="40731"/>
    <cellStyle name="Calculation 3 3 6 4 4" xfId="19045"/>
    <cellStyle name="Calculation 3 3 6 5" xfId="21710"/>
    <cellStyle name="Calculation 3 3 6 6" xfId="32555"/>
    <cellStyle name="Calculation 3 3 6 7" xfId="13191"/>
    <cellStyle name="Calculation 3 3 7" xfId="3423"/>
    <cellStyle name="Calculation 3 3 7 2" xfId="22395"/>
    <cellStyle name="Calculation 3 3 7 3" xfId="33240"/>
    <cellStyle name="Calculation 3 3 7 4" xfId="13673"/>
    <cellStyle name="Calculation 3 3 8" xfId="6099"/>
    <cellStyle name="Calculation 3 3 8 2" xfId="25071"/>
    <cellStyle name="Calculation 3 3 8 3" xfId="35916"/>
    <cellStyle name="Calculation 3 3 8 4" xfId="15590"/>
    <cellStyle name="Calculation 3 3 9" xfId="8758"/>
    <cellStyle name="Calculation 3 3 9 2" xfId="27730"/>
    <cellStyle name="Calculation 3 3 9 3" xfId="38575"/>
    <cellStyle name="Calculation 3 3 9 4" xfId="17494"/>
    <cellStyle name="Calculation 3 4" xfId="11436"/>
    <cellStyle name="Calculation 4" xfId="67"/>
    <cellStyle name="Calculation 4 2" xfId="357"/>
    <cellStyle name="Calculation 4 2 10" xfId="1024"/>
    <cellStyle name="Calculation 4 2 10 2" xfId="3877"/>
    <cellStyle name="Calculation 4 2 10 2 2" xfId="22849"/>
    <cellStyle name="Calculation 4 2 10 2 3" xfId="33694"/>
    <cellStyle name="Calculation 4 2 10 2 4" xfId="13999"/>
    <cellStyle name="Calculation 4 2 10 3" xfId="6551"/>
    <cellStyle name="Calculation 4 2 10 3 2" xfId="25523"/>
    <cellStyle name="Calculation 4 2 10 3 3" xfId="36368"/>
    <cellStyle name="Calculation 4 2 10 3 4" xfId="15915"/>
    <cellStyle name="Calculation 4 2 10 4" xfId="9210"/>
    <cellStyle name="Calculation 4 2 10 4 2" xfId="28182"/>
    <cellStyle name="Calculation 4 2 10 4 3" xfId="39027"/>
    <cellStyle name="Calculation 4 2 10 4 4" xfId="17819"/>
    <cellStyle name="Calculation 4 2 10 5" xfId="20006"/>
    <cellStyle name="Calculation 4 2 10 6" xfId="30851"/>
    <cellStyle name="Calculation 4 2 10 7" xfId="11965"/>
    <cellStyle name="Calculation 4 2 11" xfId="1021"/>
    <cellStyle name="Calculation 4 2 11 2" xfId="3874"/>
    <cellStyle name="Calculation 4 2 11 2 2" xfId="22846"/>
    <cellStyle name="Calculation 4 2 11 2 3" xfId="33691"/>
    <cellStyle name="Calculation 4 2 11 2 4" xfId="13996"/>
    <cellStyle name="Calculation 4 2 11 3" xfId="6548"/>
    <cellStyle name="Calculation 4 2 11 3 2" xfId="25520"/>
    <cellStyle name="Calculation 4 2 11 3 3" xfId="36365"/>
    <cellStyle name="Calculation 4 2 11 3 4" xfId="15912"/>
    <cellStyle name="Calculation 4 2 11 4" xfId="9207"/>
    <cellStyle name="Calculation 4 2 11 4 2" xfId="28179"/>
    <cellStyle name="Calculation 4 2 11 4 3" xfId="39024"/>
    <cellStyle name="Calculation 4 2 11 4 4" xfId="17816"/>
    <cellStyle name="Calculation 4 2 11 5" xfId="20003"/>
    <cellStyle name="Calculation 4 2 11 6" xfId="30848"/>
    <cellStyle name="Calculation 4 2 11 7" xfId="11962"/>
    <cellStyle name="Calculation 4 2 12" xfId="959"/>
    <cellStyle name="Calculation 4 2 12 2" xfId="3812"/>
    <cellStyle name="Calculation 4 2 12 2 2" xfId="22784"/>
    <cellStyle name="Calculation 4 2 12 2 3" xfId="33629"/>
    <cellStyle name="Calculation 4 2 12 2 4" xfId="13954"/>
    <cellStyle name="Calculation 4 2 12 3" xfId="6487"/>
    <cellStyle name="Calculation 4 2 12 3 2" xfId="25459"/>
    <cellStyle name="Calculation 4 2 12 3 3" xfId="36304"/>
    <cellStyle name="Calculation 4 2 12 3 4" xfId="15870"/>
    <cellStyle name="Calculation 4 2 12 4" xfId="9146"/>
    <cellStyle name="Calculation 4 2 12 4 2" xfId="28118"/>
    <cellStyle name="Calculation 4 2 12 4 3" xfId="38963"/>
    <cellStyle name="Calculation 4 2 12 4 4" xfId="17774"/>
    <cellStyle name="Calculation 4 2 12 5" xfId="19942"/>
    <cellStyle name="Calculation 4 2 12 6" xfId="30787"/>
    <cellStyle name="Calculation 4 2 12 7" xfId="11920"/>
    <cellStyle name="Calculation 4 2 13" xfId="2043"/>
    <cellStyle name="Calculation 4 2 13 2" xfId="4896"/>
    <cellStyle name="Calculation 4 2 13 2 2" xfId="23868"/>
    <cellStyle name="Calculation 4 2 13 2 3" xfId="34713"/>
    <cellStyle name="Calculation 4 2 13 2 4" xfId="14740"/>
    <cellStyle name="Calculation 4 2 13 3" xfId="7567"/>
    <cellStyle name="Calculation 4 2 13 3 2" xfId="26539"/>
    <cellStyle name="Calculation 4 2 13 3 3" xfId="37384"/>
    <cellStyle name="Calculation 4 2 13 3 4" xfId="16653"/>
    <cellStyle name="Calculation 4 2 13 4" xfId="10226"/>
    <cellStyle name="Calculation 4 2 13 4 2" xfId="29198"/>
    <cellStyle name="Calculation 4 2 13 4 3" xfId="40043"/>
    <cellStyle name="Calculation 4 2 13 4 4" xfId="18557"/>
    <cellStyle name="Calculation 4 2 13 5" xfId="21022"/>
    <cellStyle name="Calculation 4 2 13 6" xfId="31867"/>
    <cellStyle name="Calculation 4 2 13 7" xfId="12703"/>
    <cellStyle name="Calculation 4 2 14" xfId="3217"/>
    <cellStyle name="Calculation 4 2 14 2" xfId="22194"/>
    <cellStyle name="Calculation 4 2 14 3" xfId="33039"/>
    <cellStyle name="Calculation 4 2 14 4" xfId="13526"/>
    <cellStyle name="Calculation 4 2 15" xfId="3260"/>
    <cellStyle name="Calculation 4 2 15 2" xfId="22235"/>
    <cellStyle name="Calculation 4 2 15 3" xfId="33080"/>
    <cellStyle name="Calculation 4 2 15 4" xfId="13561"/>
    <cellStyle name="Calculation 4 2 16" xfId="3247"/>
    <cellStyle name="Calculation 4 2 16 2" xfId="22223"/>
    <cellStyle name="Calculation 4 2 16 3" xfId="33068"/>
    <cellStyle name="Calculation 4 2 16 4" xfId="13549"/>
    <cellStyle name="Calculation 4 2 17" xfId="19454"/>
    <cellStyle name="Calculation 4 2 18" xfId="19404"/>
    <cellStyle name="Calculation 4 2 19" xfId="11513"/>
    <cellStyle name="Calculation 4 2 2" xfId="665"/>
    <cellStyle name="Calculation 4 2 2 10" xfId="19650"/>
    <cellStyle name="Calculation 4 2 2 11" xfId="30495"/>
    <cellStyle name="Calculation 4 2 2 12" xfId="11717"/>
    <cellStyle name="Calculation 4 2 2 2" xfId="1252"/>
    <cellStyle name="Calculation 4 2 2 2 2" xfId="4105"/>
    <cellStyle name="Calculation 4 2 2 2 2 2" xfId="23077"/>
    <cellStyle name="Calculation 4 2 2 2 2 3" xfId="33922"/>
    <cellStyle name="Calculation 4 2 2 2 2 4" xfId="14178"/>
    <cellStyle name="Calculation 4 2 2 2 3" xfId="6778"/>
    <cellStyle name="Calculation 4 2 2 2 3 2" xfId="25750"/>
    <cellStyle name="Calculation 4 2 2 2 3 3" xfId="36595"/>
    <cellStyle name="Calculation 4 2 2 2 3 4" xfId="16093"/>
    <cellStyle name="Calculation 4 2 2 2 4" xfId="9437"/>
    <cellStyle name="Calculation 4 2 2 2 4 2" xfId="28409"/>
    <cellStyle name="Calculation 4 2 2 2 4 3" xfId="39254"/>
    <cellStyle name="Calculation 4 2 2 2 4 4" xfId="17997"/>
    <cellStyle name="Calculation 4 2 2 2 5" xfId="20233"/>
    <cellStyle name="Calculation 4 2 2 2 6" xfId="31078"/>
    <cellStyle name="Calculation 4 2 2 2 7" xfId="12143"/>
    <cellStyle name="Calculation 4 2 2 3" xfId="1651"/>
    <cellStyle name="Calculation 4 2 2 3 2" xfId="4504"/>
    <cellStyle name="Calculation 4 2 2 3 2 2" xfId="23476"/>
    <cellStyle name="Calculation 4 2 2 3 2 3" xfId="34321"/>
    <cellStyle name="Calculation 4 2 2 3 2 4" xfId="14465"/>
    <cellStyle name="Calculation 4 2 2 3 3" xfId="7176"/>
    <cellStyle name="Calculation 4 2 2 3 3 2" xfId="26148"/>
    <cellStyle name="Calculation 4 2 2 3 3 3" xfId="36993"/>
    <cellStyle name="Calculation 4 2 2 3 3 4" xfId="16379"/>
    <cellStyle name="Calculation 4 2 2 3 4" xfId="9835"/>
    <cellStyle name="Calculation 4 2 2 3 4 2" xfId="28807"/>
    <cellStyle name="Calculation 4 2 2 3 4 3" xfId="39652"/>
    <cellStyle name="Calculation 4 2 2 3 4 4" xfId="18283"/>
    <cellStyle name="Calculation 4 2 2 3 5" xfId="20631"/>
    <cellStyle name="Calculation 4 2 2 3 6" xfId="31476"/>
    <cellStyle name="Calculation 4 2 2 3 7" xfId="12429"/>
    <cellStyle name="Calculation 4 2 2 4" xfId="2055"/>
    <cellStyle name="Calculation 4 2 2 4 2" xfId="4908"/>
    <cellStyle name="Calculation 4 2 2 4 2 2" xfId="23880"/>
    <cellStyle name="Calculation 4 2 2 4 2 3" xfId="34725"/>
    <cellStyle name="Calculation 4 2 2 4 2 4" xfId="14752"/>
    <cellStyle name="Calculation 4 2 2 4 3" xfId="7579"/>
    <cellStyle name="Calculation 4 2 2 4 3 2" xfId="26551"/>
    <cellStyle name="Calculation 4 2 2 4 3 3" xfId="37396"/>
    <cellStyle name="Calculation 4 2 2 4 3 4" xfId="16665"/>
    <cellStyle name="Calculation 4 2 2 4 4" xfId="10238"/>
    <cellStyle name="Calculation 4 2 2 4 4 2" xfId="29210"/>
    <cellStyle name="Calculation 4 2 2 4 4 3" xfId="40055"/>
    <cellStyle name="Calculation 4 2 2 4 4 4" xfId="18569"/>
    <cellStyle name="Calculation 4 2 2 4 5" xfId="21034"/>
    <cellStyle name="Calculation 4 2 2 4 6" xfId="31879"/>
    <cellStyle name="Calculation 4 2 2 4 7" xfId="12715"/>
    <cellStyle name="Calculation 4 2 2 5" xfId="2445"/>
    <cellStyle name="Calculation 4 2 2 5 2" xfId="5297"/>
    <cellStyle name="Calculation 4 2 2 5 2 2" xfId="24269"/>
    <cellStyle name="Calculation 4 2 2 5 2 3" xfId="35114"/>
    <cellStyle name="Calculation 4 2 2 5 2 4" xfId="15031"/>
    <cellStyle name="Calculation 4 2 2 5 3" xfId="7968"/>
    <cellStyle name="Calculation 4 2 2 5 3 2" xfId="26940"/>
    <cellStyle name="Calculation 4 2 2 5 3 3" xfId="37785"/>
    <cellStyle name="Calculation 4 2 2 5 3 4" xfId="16944"/>
    <cellStyle name="Calculation 4 2 2 5 4" xfId="10627"/>
    <cellStyle name="Calculation 4 2 2 5 4 2" xfId="29599"/>
    <cellStyle name="Calculation 4 2 2 5 4 3" xfId="40444"/>
    <cellStyle name="Calculation 4 2 2 5 4 4" xfId="18848"/>
    <cellStyle name="Calculation 4 2 2 5 5" xfId="21423"/>
    <cellStyle name="Calculation 4 2 2 5 6" xfId="32268"/>
    <cellStyle name="Calculation 4 2 2 5 7" xfId="12994"/>
    <cellStyle name="Calculation 4 2 2 6" xfId="2831"/>
    <cellStyle name="Calculation 4 2 2 6 2" xfId="5682"/>
    <cellStyle name="Calculation 4 2 2 6 2 2" xfId="24654"/>
    <cellStyle name="Calculation 4 2 2 6 2 3" xfId="35499"/>
    <cellStyle name="Calculation 4 2 2 6 2 4" xfId="15307"/>
    <cellStyle name="Calculation 4 2 2 6 3" xfId="8353"/>
    <cellStyle name="Calculation 4 2 2 6 3 2" xfId="27325"/>
    <cellStyle name="Calculation 4 2 2 6 3 3" xfId="38170"/>
    <cellStyle name="Calculation 4 2 2 6 3 4" xfId="17220"/>
    <cellStyle name="Calculation 4 2 2 6 4" xfId="11012"/>
    <cellStyle name="Calculation 4 2 2 6 4 2" xfId="29984"/>
    <cellStyle name="Calculation 4 2 2 6 4 3" xfId="40829"/>
    <cellStyle name="Calculation 4 2 2 6 4 4" xfId="19124"/>
    <cellStyle name="Calculation 4 2 2 6 5" xfId="21808"/>
    <cellStyle name="Calculation 4 2 2 6 6" xfId="32653"/>
    <cellStyle name="Calculation 4 2 2 6 7" xfId="13270"/>
    <cellStyle name="Calculation 4 2 2 7" xfId="3520"/>
    <cellStyle name="Calculation 4 2 2 7 2" xfId="22492"/>
    <cellStyle name="Calculation 4 2 2 7 3" xfId="33337"/>
    <cellStyle name="Calculation 4 2 2 7 4" xfId="13751"/>
    <cellStyle name="Calculation 4 2 2 8" xfId="6195"/>
    <cellStyle name="Calculation 4 2 2 8 2" xfId="25167"/>
    <cellStyle name="Calculation 4 2 2 8 3" xfId="36012"/>
    <cellStyle name="Calculation 4 2 2 8 4" xfId="15667"/>
    <cellStyle name="Calculation 4 2 2 9" xfId="8854"/>
    <cellStyle name="Calculation 4 2 2 9 2" xfId="27826"/>
    <cellStyle name="Calculation 4 2 2 9 3" xfId="38671"/>
    <cellStyle name="Calculation 4 2 2 9 4" xfId="17571"/>
    <cellStyle name="Calculation 4 2 3" xfId="645"/>
    <cellStyle name="Calculation 4 2 3 10" xfId="19638"/>
    <cellStyle name="Calculation 4 2 3 11" xfId="30483"/>
    <cellStyle name="Calculation 4 2 3 12" xfId="11697"/>
    <cellStyle name="Calculation 4 2 3 2" xfId="1239"/>
    <cellStyle name="Calculation 4 2 3 2 2" xfId="4092"/>
    <cellStyle name="Calculation 4 2 3 2 2 2" xfId="23064"/>
    <cellStyle name="Calculation 4 2 3 2 2 3" xfId="33909"/>
    <cellStyle name="Calculation 4 2 3 2 2 4" xfId="14165"/>
    <cellStyle name="Calculation 4 2 3 2 3" xfId="6765"/>
    <cellStyle name="Calculation 4 2 3 2 3 2" xfId="25737"/>
    <cellStyle name="Calculation 4 2 3 2 3 3" xfId="36582"/>
    <cellStyle name="Calculation 4 2 3 2 3 4" xfId="16080"/>
    <cellStyle name="Calculation 4 2 3 2 4" xfId="9424"/>
    <cellStyle name="Calculation 4 2 3 2 4 2" xfId="28396"/>
    <cellStyle name="Calculation 4 2 3 2 4 3" xfId="39241"/>
    <cellStyle name="Calculation 4 2 3 2 4 4" xfId="17984"/>
    <cellStyle name="Calculation 4 2 3 2 5" xfId="20220"/>
    <cellStyle name="Calculation 4 2 3 2 6" xfId="31065"/>
    <cellStyle name="Calculation 4 2 3 2 7" xfId="12130"/>
    <cellStyle name="Calculation 4 2 3 3" xfId="1636"/>
    <cellStyle name="Calculation 4 2 3 3 2" xfId="4489"/>
    <cellStyle name="Calculation 4 2 3 3 2 2" xfId="23461"/>
    <cellStyle name="Calculation 4 2 3 3 2 3" xfId="34306"/>
    <cellStyle name="Calculation 4 2 3 3 2 4" xfId="14451"/>
    <cellStyle name="Calculation 4 2 3 3 3" xfId="7161"/>
    <cellStyle name="Calculation 4 2 3 3 3 2" xfId="26133"/>
    <cellStyle name="Calculation 4 2 3 3 3 3" xfId="36978"/>
    <cellStyle name="Calculation 4 2 3 3 3 4" xfId="16365"/>
    <cellStyle name="Calculation 4 2 3 3 4" xfId="9820"/>
    <cellStyle name="Calculation 4 2 3 3 4 2" xfId="28792"/>
    <cellStyle name="Calculation 4 2 3 3 4 3" xfId="39637"/>
    <cellStyle name="Calculation 4 2 3 3 4 4" xfId="18269"/>
    <cellStyle name="Calculation 4 2 3 3 5" xfId="20616"/>
    <cellStyle name="Calculation 4 2 3 3 6" xfId="31461"/>
    <cellStyle name="Calculation 4 2 3 3 7" xfId="12415"/>
    <cellStyle name="Calculation 4 2 3 4" xfId="2041"/>
    <cellStyle name="Calculation 4 2 3 4 2" xfId="4894"/>
    <cellStyle name="Calculation 4 2 3 4 2 2" xfId="23866"/>
    <cellStyle name="Calculation 4 2 3 4 2 3" xfId="34711"/>
    <cellStyle name="Calculation 4 2 3 4 2 4" xfId="14739"/>
    <cellStyle name="Calculation 4 2 3 4 3" xfId="7565"/>
    <cellStyle name="Calculation 4 2 3 4 3 2" xfId="26537"/>
    <cellStyle name="Calculation 4 2 3 4 3 3" xfId="37382"/>
    <cellStyle name="Calculation 4 2 3 4 3 4" xfId="16652"/>
    <cellStyle name="Calculation 4 2 3 4 4" xfId="10224"/>
    <cellStyle name="Calculation 4 2 3 4 4 2" xfId="29196"/>
    <cellStyle name="Calculation 4 2 3 4 4 3" xfId="40041"/>
    <cellStyle name="Calculation 4 2 3 4 4 4" xfId="18556"/>
    <cellStyle name="Calculation 4 2 3 4 5" xfId="21020"/>
    <cellStyle name="Calculation 4 2 3 4 6" xfId="31865"/>
    <cellStyle name="Calculation 4 2 3 4 7" xfId="12702"/>
    <cellStyle name="Calculation 4 2 3 5" xfId="2432"/>
    <cellStyle name="Calculation 4 2 3 5 2" xfId="5284"/>
    <cellStyle name="Calculation 4 2 3 5 2 2" xfId="24256"/>
    <cellStyle name="Calculation 4 2 3 5 2 3" xfId="35101"/>
    <cellStyle name="Calculation 4 2 3 5 2 4" xfId="15018"/>
    <cellStyle name="Calculation 4 2 3 5 3" xfId="7955"/>
    <cellStyle name="Calculation 4 2 3 5 3 2" xfId="26927"/>
    <cellStyle name="Calculation 4 2 3 5 3 3" xfId="37772"/>
    <cellStyle name="Calculation 4 2 3 5 3 4" xfId="16931"/>
    <cellStyle name="Calculation 4 2 3 5 4" xfId="10614"/>
    <cellStyle name="Calculation 4 2 3 5 4 2" xfId="29586"/>
    <cellStyle name="Calculation 4 2 3 5 4 3" xfId="40431"/>
    <cellStyle name="Calculation 4 2 3 5 4 4" xfId="18835"/>
    <cellStyle name="Calculation 4 2 3 5 5" xfId="21410"/>
    <cellStyle name="Calculation 4 2 3 5 6" xfId="32255"/>
    <cellStyle name="Calculation 4 2 3 5 7" xfId="12981"/>
    <cellStyle name="Calculation 4 2 3 6" xfId="2819"/>
    <cellStyle name="Calculation 4 2 3 6 2" xfId="5670"/>
    <cellStyle name="Calculation 4 2 3 6 2 2" xfId="24642"/>
    <cellStyle name="Calculation 4 2 3 6 2 3" xfId="35487"/>
    <cellStyle name="Calculation 4 2 3 6 2 4" xfId="15295"/>
    <cellStyle name="Calculation 4 2 3 6 3" xfId="8341"/>
    <cellStyle name="Calculation 4 2 3 6 3 2" xfId="27313"/>
    <cellStyle name="Calculation 4 2 3 6 3 3" xfId="38158"/>
    <cellStyle name="Calculation 4 2 3 6 3 4" xfId="17208"/>
    <cellStyle name="Calculation 4 2 3 6 4" xfId="11000"/>
    <cellStyle name="Calculation 4 2 3 6 4 2" xfId="29972"/>
    <cellStyle name="Calculation 4 2 3 6 4 3" xfId="40817"/>
    <cellStyle name="Calculation 4 2 3 6 4 4" xfId="19112"/>
    <cellStyle name="Calculation 4 2 3 6 5" xfId="21796"/>
    <cellStyle name="Calculation 4 2 3 6 6" xfId="32641"/>
    <cellStyle name="Calculation 4 2 3 6 7" xfId="13258"/>
    <cellStyle name="Calculation 4 2 3 7" xfId="3508"/>
    <cellStyle name="Calculation 4 2 3 7 2" xfId="22480"/>
    <cellStyle name="Calculation 4 2 3 7 3" xfId="33325"/>
    <cellStyle name="Calculation 4 2 3 7 4" xfId="13739"/>
    <cellStyle name="Calculation 4 2 3 8" xfId="6183"/>
    <cellStyle name="Calculation 4 2 3 8 2" xfId="25155"/>
    <cellStyle name="Calculation 4 2 3 8 3" xfId="36000"/>
    <cellStyle name="Calculation 4 2 3 8 4" xfId="15655"/>
    <cellStyle name="Calculation 4 2 3 9" xfId="8842"/>
    <cellStyle name="Calculation 4 2 3 9 2" xfId="27814"/>
    <cellStyle name="Calculation 4 2 3 9 3" xfId="38659"/>
    <cellStyle name="Calculation 4 2 3 9 4" xfId="17559"/>
    <cellStyle name="Calculation 4 2 4" xfId="591"/>
    <cellStyle name="Calculation 4 2 4 10" xfId="19601"/>
    <cellStyle name="Calculation 4 2 4 11" xfId="30446"/>
    <cellStyle name="Calculation 4 2 4 12" xfId="11655"/>
    <cellStyle name="Calculation 4 2 4 2" xfId="1197"/>
    <cellStyle name="Calculation 4 2 4 2 2" xfId="4050"/>
    <cellStyle name="Calculation 4 2 4 2 2 2" xfId="23022"/>
    <cellStyle name="Calculation 4 2 4 2 2 3" xfId="33867"/>
    <cellStyle name="Calculation 4 2 4 2 2 4" xfId="14132"/>
    <cellStyle name="Calculation 4 2 4 2 3" xfId="6723"/>
    <cellStyle name="Calculation 4 2 4 2 3 2" xfId="25695"/>
    <cellStyle name="Calculation 4 2 4 2 3 3" xfId="36540"/>
    <cellStyle name="Calculation 4 2 4 2 3 4" xfId="16047"/>
    <cellStyle name="Calculation 4 2 4 2 4" xfId="9382"/>
    <cellStyle name="Calculation 4 2 4 2 4 2" xfId="28354"/>
    <cellStyle name="Calculation 4 2 4 2 4 3" xfId="39199"/>
    <cellStyle name="Calculation 4 2 4 2 4 4" xfId="17951"/>
    <cellStyle name="Calculation 4 2 4 2 5" xfId="20178"/>
    <cellStyle name="Calculation 4 2 4 2 6" xfId="31023"/>
    <cellStyle name="Calculation 4 2 4 2 7" xfId="12097"/>
    <cellStyle name="Calculation 4 2 4 3" xfId="1594"/>
    <cellStyle name="Calculation 4 2 4 3 2" xfId="4447"/>
    <cellStyle name="Calculation 4 2 4 3 2 2" xfId="23419"/>
    <cellStyle name="Calculation 4 2 4 3 2 3" xfId="34264"/>
    <cellStyle name="Calculation 4 2 4 3 2 4" xfId="14418"/>
    <cellStyle name="Calculation 4 2 4 3 3" xfId="7119"/>
    <cellStyle name="Calculation 4 2 4 3 3 2" xfId="26091"/>
    <cellStyle name="Calculation 4 2 4 3 3 3" xfId="36936"/>
    <cellStyle name="Calculation 4 2 4 3 3 4" xfId="16332"/>
    <cellStyle name="Calculation 4 2 4 3 4" xfId="9778"/>
    <cellStyle name="Calculation 4 2 4 3 4 2" xfId="28750"/>
    <cellStyle name="Calculation 4 2 4 3 4 3" xfId="39595"/>
    <cellStyle name="Calculation 4 2 4 3 4 4" xfId="18236"/>
    <cellStyle name="Calculation 4 2 4 3 5" xfId="20574"/>
    <cellStyle name="Calculation 4 2 4 3 6" xfId="31419"/>
    <cellStyle name="Calculation 4 2 4 3 7" xfId="12382"/>
    <cellStyle name="Calculation 4 2 4 4" xfId="1998"/>
    <cellStyle name="Calculation 4 2 4 4 2" xfId="4851"/>
    <cellStyle name="Calculation 4 2 4 4 2 2" xfId="23823"/>
    <cellStyle name="Calculation 4 2 4 4 2 3" xfId="34668"/>
    <cellStyle name="Calculation 4 2 4 4 2 4" xfId="14706"/>
    <cellStyle name="Calculation 4 2 4 4 3" xfId="7523"/>
    <cellStyle name="Calculation 4 2 4 4 3 2" xfId="26495"/>
    <cellStyle name="Calculation 4 2 4 4 3 3" xfId="37340"/>
    <cellStyle name="Calculation 4 2 4 4 3 4" xfId="16620"/>
    <cellStyle name="Calculation 4 2 4 4 4" xfId="10182"/>
    <cellStyle name="Calculation 4 2 4 4 4 2" xfId="29154"/>
    <cellStyle name="Calculation 4 2 4 4 4 3" xfId="39999"/>
    <cellStyle name="Calculation 4 2 4 4 4 4" xfId="18524"/>
    <cellStyle name="Calculation 4 2 4 4 5" xfId="20978"/>
    <cellStyle name="Calculation 4 2 4 4 6" xfId="31823"/>
    <cellStyle name="Calculation 4 2 4 4 7" xfId="12670"/>
    <cellStyle name="Calculation 4 2 4 5" xfId="2390"/>
    <cellStyle name="Calculation 4 2 4 5 2" xfId="5243"/>
    <cellStyle name="Calculation 4 2 4 5 2 2" xfId="24215"/>
    <cellStyle name="Calculation 4 2 4 5 2 3" xfId="35060"/>
    <cellStyle name="Calculation 4 2 4 5 2 4" xfId="14987"/>
    <cellStyle name="Calculation 4 2 4 5 3" xfId="7914"/>
    <cellStyle name="Calculation 4 2 4 5 3 2" xfId="26886"/>
    <cellStyle name="Calculation 4 2 4 5 3 3" xfId="37731"/>
    <cellStyle name="Calculation 4 2 4 5 3 4" xfId="16900"/>
    <cellStyle name="Calculation 4 2 4 5 4" xfId="10573"/>
    <cellStyle name="Calculation 4 2 4 5 4 2" xfId="29545"/>
    <cellStyle name="Calculation 4 2 4 5 4 3" xfId="40390"/>
    <cellStyle name="Calculation 4 2 4 5 4 4" xfId="18804"/>
    <cellStyle name="Calculation 4 2 4 5 5" xfId="21369"/>
    <cellStyle name="Calculation 4 2 4 5 6" xfId="32214"/>
    <cellStyle name="Calculation 4 2 4 5 7" xfId="12950"/>
    <cellStyle name="Calculation 4 2 4 6" xfId="2779"/>
    <cellStyle name="Calculation 4 2 4 6 2" xfId="5631"/>
    <cellStyle name="Calculation 4 2 4 6 2 2" xfId="24603"/>
    <cellStyle name="Calculation 4 2 4 6 2 3" xfId="35448"/>
    <cellStyle name="Calculation 4 2 4 6 2 4" xfId="15265"/>
    <cellStyle name="Calculation 4 2 4 6 3" xfId="8302"/>
    <cellStyle name="Calculation 4 2 4 6 3 2" xfId="27274"/>
    <cellStyle name="Calculation 4 2 4 6 3 3" xfId="38119"/>
    <cellStyle name="Calculation 4 2 4 6 3 4" xfId="17178"/>
    <cellStyle name="Calculation 4 2 4 6 4" xfId="10961"/>
    <cellStyle name="Calculation 4 2 4 6 4 2" xfId="29933"/>
    <cellStyle name="Calculation 4 2 4 6 4 3" xfId="40778"/>
    <cellStyle name="Calculation 4 2 4 6 4 4" xfId="19082"/>
    <cellStyle name="Calculation 4 2 4 6 5" xfId="21757"/>
    <cellStyle name="Calculation 4 2 4 6 6" xfId="32602"/>
    <cellStyle name="Calculation 4 2 4 6 7" xfId="13228"/>
    <cellStyle name="Calculation 4 2 4 7" xfId="3470"/>
    <cellStyle name="Calculation 4 2 4 7 2" xfId="22442"/>
    <cellStyle name="Calculation 4 2 4 7 3" xfId="33287"/>
    <cellStyle name="Calculation 4 2 4 7 4" xfId="13710"/>
    <cellStyle name="Calculation 4 2 4 8" xfId="6146"/>
    <cellStyle name="Calculation 4 2 4 8 2" xfId="25118"/>
    <cellStyle name="Calculation 4 2 4 8 3" xfId="35963"/>
    <cellStyle name="Calculation 4 2 4 8 4" xfId="15627"/>
    <cellStyle name="Calculation 4 2 4 9" xfId="8805"/>
    <cellStyle name="Calculation 4 2 4 9 2" xfId="27777"/>
    <cellStyle name="Calculation 4 2 4 9 3" xfId="38622"/>
    <cellStyle name="Calculation 4 2 4 9 4" xfId="17531"/>
    <cellStyle name="Calculation 4 2 5" xfId="711"/>
    <cellStyle name="Calculation 4 2 5 10" xfId="19696"/>
    <cellStyle name="Calculation 4 2 5 11" xfId="30541"/>
    <cellStyle name="Calculation 4 2 5 12" xfId="11750"/>
    <cellStyle name="Calculation 4 2 5 2" xfId="1298"/>
    <cellStyle name="Calculation 4 2 5 2 2" xfId="4151"/>
    <cellStyle name="Calculation 4 2 5 2 2 2" xfId="23123"/>
    <cellStyle name="Calculation 4 2 5 2 2 3" xfId="33968"/>
    <cellStyle name="Calculation 4 2 5 2 2 4" xfId="14211"/>
    <cellStyle name="Calculation 4 2 5 2 3" xfId="6824"/>
    <cellStyle name="Calculation 4 2 5 2 3 2" xfId="25796"/>
    <cellStyle name="Calculation 4 2 5 2 3 3" xfId="36641"/>
    <cellStyle name="Calculation 4 2 5 2 3 4" xfId="16126"/>
    <cellStyle name="Calculation 4 2 5 2 4" xfId="9483"/>
    <cellStyle name="Calculation 4 2 5 2 4 2" xfId="28455"/>
    <cellStyle name="Calculation 4 2 5 2 4 3" xfId="39300"/>
    <cellStyle name="Calculation 4 2 5 2 4 4" xfId="18030"/>
    <cellStyle name="Calculation 4 2 5 2 5" xfId="20279"/>
    <cellStyle name="Calculation 4 2 5 2 6" xfId="31124"/>
    <cellStyle name="Calculation 4 2 5 2 7" xfId="12176"/>
    <cellStyle name="Calculation 4 2 5 3" xfId="1697"/>
    <cellStyle name="Calculation 4 2 5 3 2" xfId="4550"/>
    <cellStyle name="Calculation 4 2 5 3 2 2" xfId="23522"/>
    <cellStyle name="Calculation 4 2 5 3 2 3" xfId="34367"/>
    <cellStyle name="Calculation 4 2 5 3 2 4" xfId="14498"/>
    <cellStyle name="Calculation 4 2 5 3 3" xfId="7222"/>
    <cellStyle name="Calculation 4 2 5 3 3 2" xfId="26194"/>
    <cellStyle name="Calculation 4 2 5 3 3 3" xfId="37039"/>
    <cellStyle name="Calculation 4 2 5 3 3 4" xfId="16412"/>
    <cellStyle name="Calculation 4 2 5 3 4" xfId="9881"/>
    <cellStyle name="Calculation 4 2 5 3 4 2" xfId="28853"/>
    <cellStyle name="Calculation 4 2 5 3 4 3" xfId="39698"/>
    <cellStyle name="Calculation 4 2 5 3 4 4" xfId="18316"/>
    <cellStyle name="Calculation 4 2 5 3 5" xfId="20677"/>
    <cellStyle name="Calculation 4 2 5 3 6" xfId="31522"/>
    <cellStyle name="Calculation 4 2 5 3 7" xfId="12462"/>
    <cellStyle name="Calculation 4 2 5 4" xfId="2101"/>
    <cellStyle name="Calculation 4 2 5 4 2" xfId="4954"/>
    <cellStyle name="Calculation 4 2 5 4 2 2" xfId="23926"/>
    <cellStyle name="Calculation 4 2 5 4 2 3" xfId="34771"/>
    <cellStyle name="Calculation 4 2 5 4 2 4" xfId="14785"/>
    <cellStyle name="Calculation 4 2 5 4 3" xfId="7625"/>
    <cellStyle name="Calculation 4 2 5 4 3 2" xfId="26597"/>
    <cellStyle name="Calculation 4 2 5 4 3 3" xfId="37442"/>
    <cellStyle name="Calculation 4 2 5 4 3 4" xfId="16698"/>
    <cellStyle name="Calculation 4 2 5 4 4" xfId="10284"/>
    <cellStyle name="Calculation 4 2 5 4 4 2" xfId="29256"/>
    <cellStyle name="Calculation 4 2 5 4 4 3" xfId="40101"/>
    <cellStyle name="Calculation 4 2 5 4 4 4" xfId="18602"/>
    <cellStyle name="Calculation 4 2 5 4 5" xfId="21080"/>
    <cellStyle name="Calculation 4 2 5 4 6" xfId="31925"/>
    <cellStyle name="Calculation 4 2 5 4 7" xfId="12748"/>
    <cellStyle name="Calculation 4 2 5 5" xfId="2491"/>
    <cellStyle name="Calculation 4 2 5 5 2" xfId="5343"/>
    <cellStyle name="Calculation 4 2 5 5 2 2" xfId="24315"/>
    <cellStyle name="Calculation 4 2 5 5 2 3" xfId="35160"/>
    <cellStyle name="Calculation 4 2 5 5 2 4" xfId="15064"/>
    <cellStyle name="Calculation 4 2 5 5 3" xfId="8014"/>
    <cellStyle name="Calculation 4 2 5 5 3 2" xfId="26986"/>
    <cellStyle name="Calculation 4 2 5 5 3 3" xfId="37831"/>
    <cellStyle name="Calculation 4 2 5 5 3 4" xfId="16977"/>
    <cellStyle name="Calculation 4 2 5 5 4" xfId="10673"/>
    <cellStyle name="Calculation 4 2 5 5 4 2" xfId="29645"/>
    <cellStyle name="Calculation 4 2 5 5 4 3" xfId="40490"/>
    <cellStyle name="Calculation 4 2 5 5 4 4" xfId="18881"/>
    <cellStyle name="Calculation 4 2 5 5 5" xfId="21469"/>
    <cellStyle name="Calculation 4 2 5 5 6" xfId="32314"/>
    <cellStyle name="Calculation 4 2 5 5 7" xfId="13027"/>
    <cellStyle name="Calculation 4 2 5 6" xfId="2877"/>
    <cellStyle name="Calculation 4 2 5 6 2" xfId="5728"/>
    <cellStyle name="Calculation 4 2 5 6 2 2" xfId="24700"/>
    <cellStyle name="Calculation 4 2 5 6 2 3" xfId="35545"/>
    <cellStyle name="Calculation 4 2 5 6 2 4" xfId="15340"/>
    <cellStyle name="Calculation 4 2 5 6 3" xfId="8399"/>
    <cellStyle name="Calculation 4 2 5 6 3 2" xfId="27371"/>
    <cellStyle name="Calculation 4 2 5 6 3 3" xfId="38216"/>
    <cellStyle name="Calculation 4 2 5 6 3 4" xfId="17253"/>
    <cellStyle name="Calculation 4 2 5 6 4" xfId="11058"/>
    <cellStyle name="Calculation 4 2 5 6 4 2" xfId="30030"/>
    <cellStyle name="Calculation 4 2 5 6 4 3" xfId="40875"/>
    <cellStyle name="Calculation 4 2 5 6 4 4" xfId="19157"/>
    <cellStyle name="Calculation 4 2 5 6 5" xfId="21854"/>
    <cellStyle name="Calculation 4 2 5 6 6" xfId="32699"/>
    <cellStyle name="Calculation 4 2 5 6 7" xfId="13303"/>
    <cellStyle name="Calculation 4 2 5 7" xfId="3566"/>
    <cellStyle name="Calculation 4 2 5 7 2" xfId="22538"/>
    <cellStyle name="Calculation 4 2 5 7 3" xfId="33383"/>
    <cellStyle name="Calculation 4 2 5 7 4" xfId="13784"/>
    <cellStyle name="Calculation 4 2 5 8" xfId="6241"/>
    <cellStyle name="Calculation 4 2 5 8 2" xfId="25213"/>
    <cellStyle name="Calculation 4 2 5 8 3" xfId="36058"/>
    <cellStyle name="Calculation 4 2 5 8 4" xfId="15700"/>
    <cellStyle name="Calculation 4 2 5 9" xfId="8900"/>
    <cellStyle name="Calculation 4 2 5 9 2" xfId="27872"/>
    <cellStyle name="Calculation 4 2 5 9 3" xfId="38717"/>
    <cellStyle name="Calculation 4 2 5 9 4" xfId="17604"/>
    <cellStyle name="Calculation 4 2 6" xfId="1063"/>
    <cellStyle name="Calculation 4 2 6 2" xfId="3916"/>
    <cellStyle name="Calculation 4 2 6 2 2" xfId="22888"/>
    <cellStyle name="Calculation 4 2 6 2 3" xfId="33733"/>
    <cellStyle name="Calculation 4 2 6 2 4" xfId="14029"/>
    <cellStyle name="Calculation 4 2 6 3" xfId="6590"/>
    <cellStyle name="Calculation 4 2 6 3 2" xfId="25562"/>
    <cellStyle name="Calculation 4 2 6 3 3" xfId="36407"/>
    <cellStyle name="Calculation 4 2 6 3 4" xfId="15945"/>
    <cellStyle name="Calculation 4 2 6 4" xfId="9249"/>
    <cellStyle name="Calculation 4 2 6 4 2" xfId="28221"/>
    <cellStyle name="Calculation 4 2 6 4 3" xfId="39066"/>
    <cellStyle name="Calculation 4 2 6 4 4" xfId="17849"/>
    <cellStyle name="Calculation 4 2 6 5" xfId="20045"/>
    <cellStyle name="Calculation 4 2 6 6" xfId="30890"/>
    <cellStyle name="Calculation 4 2 6 7" xfId="11995"/>
    <cellStyle name="Calculation 4 2 7" xfId="917"/>
    <cellStyle name="Calculation 4 2 7 2" xfId="3772"/>
    <cellStyle name="Calculation 4 2 7 2 2" xfId="22744"/>
    <cellStyle name="Calculation 4 2 7 2 3" xfId="33589"/>
    <cellStyle name="Calculation 4 2 7 2 4" xfId="13918"/>
    <cellStyle name="Calculation 4 2 7 3" xfId="6447"/>
    <cellStyle name="Calculation 4 2 7 3 2" xfId="25419"/>
    <cellStyle name="Calculation 4 2 7 3 3" xfId="36264"/>
    <cellStyle name="Calculation 4 2 7 3 4" xfId="15834"/>
    <cellStyle name="Calculation 4 2 7 4" xfId="9106"/>
    <cellStyle name="Calculation 4 2 7 4 2" xfId="28078"/>
    <cellStyle name="Calculation 4 2 7 4 3" xfId="38923"/>
    <cellStyle name="Calculation 4 2 7 4 4" xfId="17738"/>
    <cellStyle name="Calculation 4 2 7 5" xfId="19902"/>
    <cellStyle name="Calculation 4 2 7 6" xfId="30747"/>
    <cellStyle name="Calculation 4 2 7 7" xfId="11884"/>
    <cellStyle name="Calculation 4 2 8" xfId="1031"/>
    <cellStyle name="Calculation 4 2 8 2" xfId="3884"/>
    <cellStyle name="Calculation 4 2 8 2 2" xfId="22856"/>
    <cellStyle name="Calculation 4 2 8 2 3" xfId="33701"/>
    <cellStyle name="Calculation 4 2 8 2 4" xfId="14004"/>
    <cellStyle name="Calculation 4 2 8 3" xfId="6558"/>
    <cellStyle name="Calculation 4 2 8 3 2" xfId="25530"/>
    <cellStyle name="Calculation 4 2 8 3 3" xfId="36375"/>
    <cellStyle name="Calculation 4 2 8 3 4" xfId="15920"/>
    <cellStyle name="Calculation 4 2 8 4" xfId="9217"/>
    <cellStyle name="Calculation 4 2 8 4 2" xfId="28189"/>
    <cellStyle name="Calculation 4 2 8 4 3" xfId="39034"/>
    <cellStyle name="Calculation 4 2 8 4 4" xfId="17824"/>
    <cellStyle name="Calculation 4 2 8 5" xfId="20013"/>
    <cellStyle name="Calculation 4 2 8 6" xfId="30858"/>
    <cellStyle name="Calculation 4 2 8 7" xfId="11970"/>
    <cellStyle name="Calculation 4 2 9" xfId="996"/>
    <cellStyle name="Calculation 4 2 9 2" xfId="3849"/>
    <cellStyle name="Calculation 4 2 9 2 2" xfId="22821"/>
    <cellStyle name="Calculation 4 2 9 2 3" xfId="33666"/>
    <cellStyle name="Calculation 4 2 9 2 4" xfId="13979"/>
    <cellStyle name="Calculation 4 2 9 3" xfId="6524"/>
    <cellStyle name="Calculation 4 2 9 3 2" xfId="25496"/>
    <cellStyle name="Calculation 4 2 9 3 3" xfId="36341"/>
    <cellStyle name="Calculation 4 2 9 3 4" xfId="15895"/>
    <cellStyle name="Calculation 4 2 9 4" xfId="9183"/>
    <cellStyle name="Calculation 4 2 9 4 2" xfId="28155"/>
    <cellStyle name="Calculation 4 2 9 4 3" xfId="39000"/>
    <cellStyle name="Calculation 4 2 9 4 4" xfId="17799"/>
    <cellStyle name="Calculation 4 2 9 5" xfId="19979"/>
    <cellStyle name="Calculation 4 2 9 6" xfId="30824"/>
    <cellStyle name="Calculation 4 2 9 7" xfId="11945"/>
    <cellStyle name="Calculation 4 3" xfId="545"/>
    <cellStyle name="Calculation 4 3 10" xfId="19555"/>
    <cellStyle name="Calculation 4 3 11" xfId="30400"/>
    <cellStyle name="Calculation 4 3 12" xfId="11619"/>
    <cellStyle name="Calculation 4 3 2" xfId="1151"/>
    <cellStyle name="Calculation 4 3 2 2" xfId="4004"/>
    <cellStyle name="Calculation 4 3 2 2 2" xfId="22976"/>
    <cellStyle name="Calculation 4 3 2 2 3" xfId="33821"/>
    <cellStyle name="Calculation 4 3 2 2 4" xfId="14096"/>
    <cellStyle name="Calculation 4 3 2 3" xfId="6677"/>
    <cellStyle name="Calculation 4 3 2 3 2" xfId="25649"/>
    <cellStyle name="Calculation 4 3 2 3 3" xfId="36494"/>
    <cellStyle name="Calculation 4 3 2 3 4" xfId="16011"/>
    <cellStyle name="Calculation 4 3 2 4" xfId="9336"/>
    <cellStyle name="Calculation 4 3 2 4 2" xfId="28308"/>
    <cellStyle name="Calculation 4 3 2 4 3" xfId="39153"/>
    <cellStyle name="Calculation 4 3 2 4 4" xfId="17915"/>
    <cellStyle name="Calculation 4 3 2 5" xfId="20132"/>
    <cellStyle name="Calculation 4 3 2 6" xfId="30977"/>
    <cellStyle name="Calculation 4 3 2 7" xfId="12061"/>
    <cellStyle name="Calculation 4 3 3" xfId="1548"/>
    <cellStyle name="Calculation 4 3 3 2" xfId="4401"/>
    <cellStyle name="Calculation 4 3 3 2 2" xfId="23373"/>
    <cellStyle name="Calculation 4 3 3 2 3" xfId="34218"/>
    <cellStyle name="Calculation 4 3 3 2 4" xfId="14382"/>
    <cellStyle name="Calculation 4 3 3 3" xfId="7073"/>
    <cellStyle name="Calculation 4 3 3 3 2" xfId="26045"/>
    <cellStyle name="Calculation 4 3 3 3 3" xfId="36890"/>
    <cellStyle name="Calculation 4 3 3 3 4" xfId="16296"/>
    <cellStyle name="Calculation 4 3 3 4" xfId="9732"/>
    <cellStyle name="Calculation 4 3 3 4 2" xfId="28704"/>
    <cellStyle name="Calculation 4 3 3 4 3" xfId="39549"/>
    <cellStyle name="Calculation 4 3 3 4 4" xfId="18200"/>
    <cellStyle name="Calculation 4 3 3 5" xfId="20528"/>
    <cellStyle name="Calculation 4 3 3 6" xfId="31373"/>
    <cellStyle name="Calculation 4 3 3 7" xfId="12346"/>
    <cellStyle name="Calculation 4 3 4" xfId="1952"/>
    <cellStyle name="Calculation 4 3 4 2" xfId="4805"/>
    <cellStyle name="Calculation 4 3 4 2 2" xfId="23777"/>
    <cellStyle name="Calculation 4 3 4 2 3" xfId="34622"/>
    <cellStyle name="Calculation 4 3 4 2 4" xfId="14670"/>
    <cellStyle name="Calculation 4 3 4 3" xfId="7477"/>
    <cellStyle name="Calculation 4 3 4 3 2" xfId="26449"/>
    <cellStyle name="Calculation 4 3 4 3 3" xfId="37294"/>
    <cellStyle name="Calculation 4 3 4 3 4" xfId="16584"/>
    <cellStyle name="Calculation 4 3 4 4" xfId="10136"/>
    <cellStyle name="Calculation 4 3 4 4 2" xfId="29108"/>
    <cellStyle name="Calculation 4 3 4 4 3" xfId="39953"/>
    <cellStyle name="Calculation 4 3 4 4 4" xfId="18488"/>
    <cellStyle name="Calculation 4 3 4 5" xfId="20932"/>
    <cellStyle name="Calculation 4 3 4 6" xfId="31777"/>
    <cellStyle name="Calculation 4 3 4 7" xfId="12634"/>
    <cellStyle name="Calculation 4 3 5" xfId="2344"/>
    <cellStyle name="Calculation 4 3 5 2" xfId="5197"/>
    <cellStyle name="Calculation 4 3 5 2 2" xfId="24169"/>
    <cellStyle name="Calculation 4 3 5 2 3" xfId="35014"/>
    <cellStyle name="Calculation 4 3 5 2 4" xfId="14951"/>
    <cellStyle name="Calculation 4 3 5 3" xfId="7868"/>
    <cellStyle name="Calculation 4 3 5 3 2" xfId="26840"/>
    <cellStyle name="Calculation 4 3 5 3 3" xfId="37685"/>
    <cellStyle name="Calculation 4 3 5 3 4" xfId="16864"/>
    <cellStyle name="Calculation 4 3 5 4" xfId="10527"/>
    <cellStyle name="Calculation 4 3 5 4 2" xfId="29499"/>
    <cellStyle name="Calculation 4 3 5 4 3" xfId="40344"/>
    <cellStyle name="Calculation 4 3 5 4 4" xfId="18768"/>
    <cellStyle name="Calculation 4 3 5 5" xfId="21323"/>
    <cellStyle name="Calculation 4 3 5 6" xfId="32168"/>
    <cellStyle name="Calculation 4 3 5 7" xfId="12914"/>
    <cellStyle name="Calculation 4 3 6" xfId="2733"/>
    <cellStyle name="Calculation 4 3 6 2" xfId="5585"/>
    <cellStyle name="Calculation 4 3 6 2 2" xfId="24557"/>
    <cellStyle name="Calculation 4 3 6 2 3" xfId="35402"/>
    <cellStyle name="Calculation 4 3 6 2 4" xfId="15229"/>
    <cellStyle name="Calculation 4 3 6 3" xfId="8256"/>
    <cellStyle name="Calculation 4 3 6 3 2" xfId="27228"/>
    <cellStyle name="Calculation 4 3 6 3 3" xfId="38073"/>
    <cellStyle name="Calculation 4 3 6 3 4" xfId="17142"/>
    <cellStyle name="Calculation 4 3 6 4" xfId="10915"/>
    <cellStyle name="Calculation 4 3 6 4 2" xfId="29887"/>
    <cellStyle name="Calculation 4 3 6 4 3" xfId="40732"/>
    <cellStyle name="Calculation 4 3 6 4 4" xfId="19046"/>
    <cellStyle name="Calculation 4 3 6 5" xfId="21711"/>
    <cellStyle name="Calculation 4 3 6 6" xfId="32556"/>
    <cellStyle name="Calculation 4 3 6 7" xfId="13192"/>
    <cellStyle name="Calculation 4 3 7" xfId="3424"/>
    <cellStyle name="Calculation 4 3 7 2" xfId="22396"/>
    <cellStyle name="Calculation 4 3 7 3" xfId="33241"/>
    <cellStyle name="Calculation 4 3 7 4" xfId="13674"/>
    <cellStyle name="Calculation 4 3 8" xfId="6100"/>
    <cellStyle name="Calculation 4 3 8 2" xfId="25072"/>
    <cellStyle name="Calculation 4 3 8 3" xfId="35917"/>
    <cellStyle name="Calculation 4 3 8 4" xfId="15591"/>
    <cellStyle name="Calculation 4 3 9" xfId="8759"/>
    <cellStyle name="Calculation 4 3 9 2" xfId="27731"/>
    <cellStyle name="Calculation 4 3 9 3" xfId="38576"/>
    <cellStyle name="Calculation 4 3 9 4" xfId="17495"/>
    <cellStyle name="Calculation 4 4" xfId="11437"/>
    <cellStyle name="Calculation 5" xfId="246"/>
    <cellStyle name="Calculation 5 2" xfId="421"/>
    <cellStyle name="Calculation 5 2 10" xfId="2703"/>
    <cellStyle name="Calculation 5 2 10 2" xfId="5555"/>
    <cellStyle name="Calculation 5 2 10 2 2" xfId="24527"/>
    <cellStyle name="Calculation 5 2 10 2 3" xfId="35372"/>
    <cellStyle name="Calculation 5 2 10 2 4" xfId="15206"/>
    <cellStyle name="Calculation 5 2 10 3" xfId="8226"/>
    <cellStyle name="Calculation 5 2 10 3 2" xfId="27198"/>
    <cellStyle name="Calculation 5 2 10 3 3" xfId="38043"/>
    <cellStyle name="Calculation 5 2 10 3 4" xfId="17119"/>
    <cellStyle name="Calculation 5 2 10 4" xfId="10885"/>
    <cellStyle name="Calculation 5 2 10 4 2" xfId="29857"/>
    <cellStyle name="Calculation 5 2 10 4 3" xfId="40702"/>
    <cellStyle name="Calculation 5 2 10 4 4" xfId="19023"/>
    <cellStyle name="Calculation 5 2 10 5" xfId="21681"/>
    <cellStyle name="Calculation 5 2 10 6" xfId="32526"/>
    <cellStyle name="Calculation 5 2 10 7" xfId="13169"/>
    <cellStyle name="Calculation 5 2 11" xfId="3088"/>
    <cellStyle name="Calculation 5 2 11 2" xfId="5939"/>
    <cellStyle name="Calculation 5 2 11 2 2" xfId="24911"/>
    <cellStyle name="Calculation 5 2 11 2 3" xfId="35756"/>
    <cellStyle name="Calculation 5 2 11 2 4" xfId="15481"/>
    <cellStyle name="Calculation 5 2 11 3" xfId="8610"/>
    <cellStyle name="Calculation 5 2 11 3 2" xfId="27582"/>
    <cellStyle name="Calculation 5 2 11 3 3" xfId="38427"/>
    <cellStyle name="Calculation 5 2 11 3 4" xfId="17394"/>
    <cellStyle name="Calculation 5 2 11 4" xfId="11269"/>
    <cellStyle name="Calculation 5 2 11 4 2" xfId="30241"/>
    <cellStyle name="Calculation 5 2 11 4 3" xfId="41086"/>
    <cellStyle name="Calculation 5 2 11 4 4" xfId="19298"/>
    <cellStyle name="Calculation 5 2 11 5" xfId="22065"/>
    <cellStyle name="Calculation 5 2 11 6" xfId="32910"/>
    <cellStyle name="Calculation 5 2 11 7" xfId="13444"/>
    <cellStyle name="Calculation 5 2 12" xfId="3145"/>
    <cellStyle name="Calculation 5 2 12 2" xfId="5996"/>
    <cellStyle name="Calculation 5 2 12 2 2" xfId="24968"/>
    <cellStyle name="Calculation 5 2 12 2 3" xfId="35813"/>
    <cellStyle name="Calculation 5 2 12 2 4" xfId="15518"/>
    <cellStyle name="Calculation 5 2 12 3" xfId="8667"/>
    <cellStyle name="Calculation 5 2 12 3 2" xfId="27639"/>
    <cellStyle name="Calculation 5 2 12 3 3" xfId="38484"/>
    <cellStyle name="Calculation 5 2 12 3 4" xfId="17431"/>
    <cellStyle name="Calculation 5 2 12 4" xfId="11326"/>
    <cellStyle name="Calculation 5 2 12 4 2" xfId="30298"/>
    <cellStyle name="Calculation 5 2 12 4 3" xfId="41143"/>
    <cellStyle name="Calculation 5 2 12 4 4" xfId="19335"/>
    <cellStyle name="Calculation 5 2 12 5" xfId="22122"/>
    <cellStyle name="Calculation 5 2 12 6" xfId="32967"/>
    <cellStyle name="Calculation 5 2 12 7" xfId="13481"/>
    <cellStyle name="Calculation 5 2 13" xfId="3202"/>
    <cellStyle name="Calculation 5 2 13 2" xfId="6053"/>
    <cellStyle name="Calculation 5 2 13 2 2" xfId="25025"/>
    <cellStyle name="Calculation 5 2 13 2 3" xfId="35870"/>
    <cellStyle name="Calculation 5 2 13 2 4" xfId="15555"/>
    <cellStyle name="Calculation 5 2 13 3" xfId="8724"/>
    <cellStyle name="Calculation 5 2 13 3 2" xfId="27696"/>
    <cellStyle name="Calculation 5 2 13 3 3" xfId="38541"/>
    <cellStyle name="Calculation 5 2 13 3 4" xfId="17468"/>
    <cellStyle name="Calculation 5 2 13 4" xfId="11383"/>
    <cellStyle name="Calculation 5 2 13 4 2" xfId="30355"/>
    <cellStyle name="Calculation 5 2 13 4 3" xfId="41200"/>
    <cellStyle name="Calculation 5 2 13 4 4" xfId="19372"/>
    <cellStyle name="Calculation 5 2 13 5" xfId="22179"/>
    <cellStyle name="Calculation 5 2 13 6" xfId="33024"/>
    <cellStyle name="Calculation 5 2 13 7" xfId="13518"/>
    <cellStyle name="Calculation 5 2 14" xfId="3371"/>
    <cellStyle name="Calculation 5 2 14 2" xfId="22345"/>
    <cellStyle name="Calculation 5 2 14 3" xfId="33190"/>
    <cellStyle name="Calculation 5 2 14 4" xfId="13635"/>
    <cellStyle name="Calculation 5 2 15" xfId="3243"/>
    <cellStyle name="Calculation 5 2 15 2" xfId="22220"/>
    <cellStyle name="Calculation 5 2 15 3" xfId="33065"/>
    <cellStyle name="Calculation 5 2 15 4" xfId="13547"/>
    <cellStyle name="Calculation 5 2 16" xfId="3313"/>
    <cellStyle name="Calculation 5 2 16 2" xfId="22287"/>
    <cellStyle name="Calculation 5 2 16 3" xfId="33132"/>
    <cellStyle name="Calculation 5 2 16 4" xfId="13597"/>
    <cellStyle name="Calculation 5 2 17" xfId="19499"/>
    <cellStyle name="Calculation 5 2 18" xfId="19411"/>
    <cellStyle name="Calculation 5 2 19" xfId="11548"/>
    <cellStyle name="Calculation 5 2 2" xfId="712"/>
    <cellStyle name="Calculation 5 2 2 10" xfId="19697"/>
    <cellStyle name="Calculation 5 2 2 11" xfId="30542"/>
    <cellStyle name="Calculation 5 2 2 12" xfId="11751"/>
    <cellStyle name="Calculation 5 2 2 2" xfId="1299"/>
    <cellStyle name="Calculation 5 2 2 2 2" xfId="4152"/>
    <cellStyle name="Calculation 5 2 2 2 2 2" xfId="23124"/>
    <cellStyle name="Calculation 5 2 2 2 2 3" xfId="33969"/>
    <cellStyle name="Calculation 5 2 2 2 2 4" xfId="14212"/>
    <cellStyle name="Calculation 5 2 2 2 3" xfId="6825"/>
    <cellStyle name="Calculation 5 2 2 2 3 2" xfId="25797"/>
    <cellStyle name="Calculation 5 2 2 2 3 3" xfId="36642"/>
    <cellStyle name="Calculation 5 2 2 2 3 4" xfId="16127"/>
    <cellStyle name="Calculation 5 2 2 2 4" xfId="9484"/>
    <cellStyle name="Calculation 5 2 2 2 4 2" xfId="28456"/>
    <cellStyle name="Calculation 5 2 2 2 4 3" xfId="39301"/>
    <cellStyle name="Calculation 5 2 2 2 4 4" xfId="18031"/>
    <cellStyle name="Calculation 5 2 2 2 5" xfId="20280"/>
    <cellStyle name="Calculation 5 2 2 2 6" xfId="31125"/>
    <cellStyle name="Calculation 5 2 2 2 7" xfId="12177"/>
    <cellStyle name="Calculation 5 2 2 3" xfId="1698"/>
    <cellStyle name="Calculation 5 2 2 3 2" xfId="4551"/>
    <cellStyle name="Calculation 5 2 2 3 2 2" xfId="23523"/>
    <cellStyle name="Calculation 5 2 2 3 2 3" xfId="34368"/>
    <cellStyle name="Calculation 5 2 2 3 2 4" xfId="14499"/>
    <cellStyle name="Calculation 5 2 2 3 3" xfId="7223"/>
    <cellStyle name="Calculation 5 2 2 3 3 2" xfId="26195"/>
    <cellStyle name="Calculation 5 2 2 3 3 3" xfId="37040"/>
    <cellStyle name="Calculation 5 2 2 3 3 4" xfId="16413"/>
    <cellStyle name="Calculation 5 2 2 3 4" xfId="9882"/>
    <cellStyle name="Calculation 5 2 2 3 4 2" xfId="28854"/>
    <cellStyle name="Calculation 5 2 2 3 4 3" xfId="39699"/>
    <cellStyle name="Calculation 5 2 2 3 4 4" xfId="18317"/>
    <cellStyle name="Calculation 5 2 2 3 5" xfId="20678"/>
    <cellStyle name="Calculation 5 2 2 3 6" xfId="31523"/>
    <cellStyle name="Calculation 5 2 2 3 7" xfId="12463"/>
    <cellStyle name="Calculation 5 2 2 4" xfId="2102"/>
    <cellStyle name="Calculation 5 2 2 4 2" xfId="4955"/>
    <cellStyle name="Calculation 5 2 2 4 2 2" xfId="23927"/>
    <cellStyle name="Calculation 5 2 2 4 2 3" xfId="34772"/>
    <cellStyle name="Calculation 5 2 2 4 2 4" xfId="14786"/>
    <cellStyle name="Calculation 5 2 2 4 3" xfId="7626"/>
    <cellStyle name="Calculation 5 2 2 4 3 2" xfId="26598"/>
    <cellStyle name="Calculation 5 2 2 4 3 3" xfId="37443"/>
    <cellStyle name="Calculation 5 2 2 4 3 4" xfId="16699"/>
    <cellStyle name="Calculation 5 2 2 4 4" xfId="10285"/>
    <cellStyle name="Calculation 5 2 2 4 4 2" xfId="29257"/>
    <cellStyle name="Calculation 5 2 2 4 4 3" xfId="40102"/>
    <cellStyle name="Calculation 5 2 2 4 4 4" xfId="18603"/>
    <cellStyle name="Calculation 5 2 2 4 5" xfId="21081"/>
    <cellStyle name="Calculation 5 2 2 4 6" xfId="31926"/>
    <cellStyle name="Calculation 5 2 2 4 7" xfId="12749"/>
    <cellStyle name="Calculation 5 2 2 5" xfId="2492"/>
    <cellStyle name="Calculation 5 2 2 5 2" xfId="5344"/>
    <cellStyle name="Calculation 5 2 2 5 2 2" xfId="24316"/>
    <cellStyle name="Calculation 5 2 2 5 2 3" xfId="35161"/>
    <cellStyle name="Calculation 5 2 2 5 2 4" xfId="15065"/>
    <cellStyle name="Calculation 5 2 2 5 3" xfId="8015"/>
    <cellStyle name="Calculation 5 2 2 5 3 2" xfId="26987"/>
    <cellStyle name="Calculation 5 2 2 5 3 3" xfId="37832"/>
    <cellStyle name="Calculation 5 2 2 5 3 4" xfId="16978"/>
    <cellStyle name="Calculation 5 2 2 5 4" xfId="10674"/>
    <cellStyle name="Calculation 5 2 2 5 4 2" xfId="29646"/>
    <cellStyle name="Calculation 5 2 2 5 4 3" xfId="40491"/>
    <cellStyle name="Calculation 5 2 2 5 4 4" xfId="18882"/>
    <cellStyle name="Calculation 5 2 2 5 5" xfId="21470"/>
    <cellStyle name="Calculation 5 2 2 5 6" xfId="32315"/>
    <cellStyle name="Calculation 5 2 2 5 7" xfId="13028"/>
    <cellStyle name="Calculation 5 2 2 6" xfId="2878"/>
    <cellStyle name="Calculation 5 2 2 6 2" xfId="5729"/>
    <cellStyle name="Calculation 5 2 2 6 2 2" xfId="24701"/>
    <cellStyle name="Calculation 5 2 2 6 2 3" xfId="35546"/>
    <cellStyle name="Calculation 5 2 2 6 2 4" xfId="15341"/>
    <cellStyle name="Calculation 5 2 2 6 3" xfId="8400"/>
    <cellStyle name="Calculation 5 2 2 6 3 2" xfId="27372"/>
    <cellStyle name="Calculation 5 2 2 6 3 3" xfId="38217"/>
    <cellStyle name="Calculation 5 2 2 6 3 4" xfId="17254"/>
    <cellStyle name="Calculation 5 2 2 6 4" xfId="11059"/>
    <cellStyle name="Calculation 5 2 2 6 4 2" xfId="30031"/>
    <cellStyle name="Calculation 5 2 2 6 4 3" xfId="40876"/>
    <cellStyle name="Calculation 5 2 2 6 4 4" xfId="19158"/>
    <cellStyle name="Calculation 5 2 2 6 5" xfId="21855"/>
    <cellStyle name="Calculation 5 2 2 6 6" xfId="32700"/>
    <cellStyle name="Calculation 5 2 2 6 7" xfId="13304"/>
    <cellStyle name="Calculation 5 2 2 7" xfId="3567"/>
    <cellStyle name="Calculation 5 2 2 7 2" xfId="22539"/>
    <cellStyle name="Calculation 5 2 2 7 3" xfId="33384"/>
    <cellStyle name="Calculation 5 2 2 7 4" xfId="13785"/>
    <cellStyle name="Calculation 5 2 2 8" xfId="6242"/>
    <cellStyle name="Calculation 5 2 2 8 2" xfId="25214"/>
    <cellStyle name="Calculation 5 2 2 8 3" xfId="36059"/>
    <cellStyle name="Calculation 5 2 2 8 4" xfId="15701"/>
    <cellStyle name="Calculation 5 2 2 9" xfId="8901"/>
    <cellStyle name="Calculation 5 2 2 9 2" xfId="27873"/>
    <cellStyle name="Calculation 5 2 2 9 3" xfId="38718"/>
    <cellStyle name="Calculation 5 2 2 9 4" xfId="17605"/>
    <cellStyle name="Calculation 5 2 3" xfId="771"/>
    <cellStyle name="Calculation 5 2 3 10" xfId="19756"/>
    <cellStyle name="Calculation 5 2 3 11" xfId="30601"/>
    <cellStyle name="Calculation 5 2 3 12" xfId="11790"/>
    <cellStyle name="Calculation 5 2 3 2" xfId="1358"/>
    <cellStyle name="Calculation 5 2 3 2 2" xfId="4211"/>
    <cellStyle name="Calculation 5 2 3 2 2 2" xfId="23183"/>
    <cellStyle name="Calculation 5 2 3 2 2 3" xfId="34028"/>
    <cellStyle name="Calculation 5 2 3 2 2 4" xfId="14251"/>
    <cellStyle name="Calculation 5 2 3 2 3" xfId="6884"/>
    <cellStyle name="Calculation 5 2 3 2 3 2" xfId="25856"/>
    <cellStyle name="Calculation 5 2 3 2 3 3" xfId="36701"/>
    <cellStyle name="Calculation 5 2 3 2 3 4" xfId="16166"/>
    <cellStyle name="Calculation 5 2 3 2 4" xfId="9543"/>
    <cellStyle name="Calculation 5 2 3 2 4 2" xfId="28515"/>
    <cellStyle name="Calculation 5 2 3 2 4 3" xfId="39360"/>
    <cellStyle name="Calculation 5 2 3 2 4 4" xfId="18070"/>
    <cellStyle name="Calculation 5 2 3 2 5" xfId="20339"/>
    <cellStyle name="Calculation 5 2 3 2 6" xfId="31184"/>
    <cellStyle name="Calculation 5 2 3 2 7" xfId="12216"/>
    <cellStyle name="Calculation 5 2 3 3" xfId="1757"/>
    <cellStyle name="Calculation 5 2 3 3 2" xfId="4610"/>
    <cellStyle name="Calculation 5 2 3 3 2 2" xfId="23582"/>
    <cellStyle name="Calculation 5 2 3 3 2 3" xfId="34427"/>
    <cellStyle name="Calculation 5 2 3 3 2 4" xfId="14538"/>
    <cellStyle name="Calculation 5 2 3 3 3" xfId="7282"/>
    <cellStyle name="Calculation 5 2 3 3 3 2" xfId="26254"/>
    <cellStyle name="Calculation 5 2 3 3 3 3" xfId="37099"/>
    <cellStyle name="Calculation 5 2 3 3 3 4" xfId="16452"/>
    <cellStyle name="Calculation 5 2 3 3 4" xfId="9941"/>
    <cellStyle name="Calculation 5 2 3 3 4 2" xfId="28913"/>
    <cellStyle name="Calculation 5 2 3 3 4 3" xfId="39758"/>
    <cellStyle name="Calculation 5 2 3 3 4 4" xfId="18356"/>
    <cellStyle name="Calculation 5 2 3 3 5" xfId="20737"/>
    <cellStyle name="Calculation 5 2 3 3 6" xfId="31582"/>
    <cellStyle name="Calculation 5 2 3 3 7" xfId="12502"/>
    <cellStyle name="Calculation 5 2 3 4" xfId="2161"/>
    <cellStyle name="Calculation 5 2 3 4 2" xfId="5014"/>
    <cellStyle name="Calculation 5 2 3 4 2 2" xfId="23986"/>
    <cellStyle name="Calculation 5 2 3 4 2 3" xfId="34831"/>
    <cellStyle name="Calculation 5 2 3 4 2 4" xfId="14825"/>
    <cellStyle name="Calculation 5 2 3 4 3" xfId="7685"/>
    <cellStyle name="Calculation 5 2 3 4 3 2" xfId="26657"/>
    <cellStyle name="Calculation 5 2 3 4 3 3" xfId="37502"/>
    <cellStyle name="Calculation 5 2 3 4 3 4" xfId="16738"/>
    <cellStyle name="Calculation 5 2 3 4 4" xfId="10344"/>
    <cellStyle name="Calculation 5 2 3 4 4 2" xfId="29316"/>
    <cellStyle name="Calculation 5 2 3 4 4 3" xfId="40161"/>
    <cellStyle name="Calculation 5 2 3 4 4 4" xfId="18642"/>
    <cellStyle name="Calculation 5 2 3 4 5" xfId="21140"/>
    <cellStyle name="Calculation 5 2 3 4 6" xfId="31985"/>
    <cellStyle name="Calculation 5 2 3 4 7" xfId="12788"/>
    <cellStyle name="Calculation 5 2 3 5" xfId="2551"/>
    <cellStyle name="Calculation 5 2 3 5 2" xfId="5403"/>
    <cellStyle name="Calculation 5 2 3 5 2 2" xfId="24375"/>
    <cellStyle name="Calculation 5 2 3 5 2 3" xfId="35220"/>
    <cellStyle name="Calculation 5 2 3 5 2 4" xfId="15104"/>
    <cellStyle name="Calculation 5 2 3 5 3" xfId="8074"/>
    <cellStyle name="Calculation 5 2 3 5 3 2" xfId="27046"/>
    <cellStyle name="Calculation 5 2 3 5 3 3" xfId="37891"/>
    <cellStyle name="Calculation 5 2 3 5 3 4" xfId="17017"/>
    <cellStyle name="Calculation 5 2 3 5 4" xfId="10733"/>
    <cellStyle name="Calculation 5 2 3 5 4 2" xfId="29705"/>
    <cellStyle name="Calculation 5 2 3 5 4 3" xfId="40550"/>
    <cellStyle name="Calculation 5 2 3 5 4 4" xfId="18921"/>
    <cellStyle name="Calculation 5 2 3 5 5" xfId="21529"/>
    <cellStyle name="Calculation 5 2 3 5 6" xfId="32374"/>
    <cellStyle name="Calculation 5 2 3 5 7" xfId="13067"/>
    <cellStyle name="Calculation 5 2 3 6" xfId="2937"/>
    <cellStyle name="Calculation 5 2 3 6 2" xfId="5788"/>
    <cellStyle name="Calculation 5 2 3 6 2 2" xfId="24760"/>
    <cellStyle name="Calculation 5 2 3 6 2 3" xfId="35605"/>
    <cellStyle name="Calculation 5 2 3 6 2 4" xfId="15380"/>
    <cellStyle name="Calculation 5 2 3 6 3" xfId="8459"/>
    <cellStyle name="Calculation 5 2 3 6 3 2" xfId="27431"/>
    <cellStyle name="Calculation 5 2 3 6 3 3" xfId="38276"/>
    <cellStyle name="Calculation 5 2 3 6 3 4" xfId="17293"/>
    <cellStyle name="Calculation 5 2 3 6 4" xfId="11118"/>
    <cellStyle name="Calculation 5 2 3 6 4 2" xfId="30090"/>
    <cellStyle name="Calculation 5 2 3 6 4 3" xfId="40935"/>
    <cellStyle name="Calculation 5 2 3 6 4 4" xfId="19197"/>
    <cellStyle name="Calculation 5 2 3 6 5" xfId="21914"/>
    <cellStyle name="Calculation 5 2 3 6 6" xfId="32759"/>
    <cellStyle name="Calculation 5 2 3 6 7" xfId="13343"/>
    <cellStyle name="Calculation 5 2 3 7" xfId="3626"/>
    <cellStyle name="Calculation 5 2 3 7 2" xfId="22598"/>
    <cellStyle name="Calculation 5 2 3 7 3" xfId="33443"/>
    <cellStyle name="Calculation 5 2 3 7 4" xfId="13824"/>
    <cellStyle name="Calculation 5 2 3 8" xfId="6301"/>
    <cellStyle name="Calculation 5 2 3 8 2" xfId="25273"/>
    <cellStyle name="Calculation 5 2 3 8 3" xfId="36118"/>
    <cellStyle name="Calculation 5 2 3 8 4" xfId="15740"/>
    <cellStyle name="Calculation 5 2 3 9" xfId="8960"/>
    <cellStyle name="Calculation 5 2 3 9 2" xfId="27932"/>
    <cellStyle name="Calculation 5 2 3 9 3" xfId="38777"/>
    <cellStyle name="Calculation 5 2 3 9 4" xfId="17644"/>
    <cellStyle name="Calculation 5 2 4" xfId="830"/>
    <cellStyle name="Calculation 5 2 4 10" xfId="19815"/>
    <cellStyle name="Calculation 5 2 4 11" xfId="30660"/>
    <cellStyle name="Calculation 5 2 4 12" xfId="11829"/>
    <cellStyle name="Calculation 5 2 4 2" xfId="1417"/>
    <cellStyle name="Calculation 5 2 4 2 2" xfId="4270"/>
    <cellStyle name="Calculation 5 2 4 2 2 2" xfId="23242"/>
    <cellStyle name="Calculation 5 2 4 2 2 3" xfId="34087"/>
    <cellStyle name="Calculation 5 2 4 2 2 4" xfId="14290"/>
    <cellStyle name="Calculation 5 2 4 2 3" xfId="6943"/>
    <cellStyle name="Calculation 5 2 4 2 3 2" xfId="25915"/>
    <cellStyle name="Calculation 5 2 4 2 3 3" xfId="36760"/>
    <cellStyle name="Calculation 5 2 4 2 3 4" xfId="16205"/>
    <cellStyle name="Calculation 5 2 4 2 4" xfId="9602"/>
    <cellStyle name="Calculation 5 2 4 2 4 2" xfId="28574"/>
    <cellStyle name="Calculation 5 2 4 2 4 3" xfId="39419"/>
    <cellStyle name="Calculation 5 2 4 2 4 4" xfId="18109"/>
    <cellStyle name="Calculation 5 2 4 2 5" xfId="20398"/>
    <cellStyle name="Calculation 5 2 4 2 6" xfId="31243"/>
    <cellStyle name="Calculation 5 2 4 2 7" xfId="12255"/>
    <cellStyle name="Calculation 5 2 4 3" xfId="1816"/>
    <cellStyle name="Calculation 5 2 4 3 2" xfId="4669"/>
    <cellStyle name="Calculation 5 2 4 3 2 2" xfId="23641"/>
    <cellStyle name="Calculation 5 2 4 3 2 3" xfId="34486"/>
    <cellStyle name="Calculation 5 2 4 3 2 4" xfId="14577"/>
    <cellStyle name="Calculation 5 2 4 3 3" xfId="7341"/>
    <cellStyle name="Calculation 5 2 4 3 3 2" xfId="26313"/>
    <cellStyle name="Calculation 5 2 4 3 3 3" xfId="37158"/>
    <cellStyle name="Calculation 5 2 4 3 3 4" xfId="16491"/>
    <cellStyle name="Calculation 5 2 4 3 4" xfId="10000"/>
    <cellStyle name="Calculation 5 2 4 3 4 2" xfId="28972"/>
    <cellStyle name="Calculation 5 2 4 3 4 3" xfId="39817"/>
    <cellStyle name="Calculation 5 2 4 3 4 4" xfId="18395"/>
    <cellStyle name="Calculation 5 2 4 3 5" xfId="20796"/>
    <cellStyle name="Calculation 5 2 4 3 6" xfId="31641"/>
    <cellStyle name="Calculation 5 2 4 3 7" xfId="12541"/>
    <cellStyle name="Calculation 5 2 4 4" xfId="2220"/>
    <cellStyle name="Calculation 5 2 4 4 2" xfId="5073"/>
    <cellStyle name="Calculation 5 2 4 4 2 2" xfId="24045"/>
    <cellStyle name="Calculation 5 2 4 4 2 3" xfId="34890"/>
    <cellStyle name="Calculation 5 2 4 4 2 4" xfId="14864"/>
    <cellStyle name="Calculation 5 2 4 4 3" xfId="7744"/>
    <cellStyle name="Calculation 5 2 4 4 3 2" xfId="26716"/>
    <cellStyle name="Calculation 5 2 4 4 3 3" xfId="37561"/>
    <cellStyle name="Calculation 5 2 4 4 3 4" xfId="16777"/>
    <cellStyle name="Calculation 5 2 4 4 4" xfId="10403"/>
    <cellStyle name="Calculation 5 2 4 4 4 2" xfId="29375"/>
    <cellStyle name="Calculation 5 2 4 4 4 3" xfId="40220"/>
    <cellStyle name="Calculation 5 2 4 4 4 4" xfId="18681"/>
    <cellStyle name="Calculation 5 2 4 4 5" xfId="21199"/>
    <cellStyle name="Calculation 5 2 4 4 6" xfId="32044"/>
    <cellStyle name="Calculation 5 2 4 4 7" xfId="12827"/>
    <cellStyle name="Calculation 5 2 4 5" xfId="2610"/>
    <cellStyle name="Calculation 5 2 4 5 2" xfId="5462"/>
    <cellStyle name="Calculation 5 2 4 5 2 2" xfId="24434"/>
    <cellStyle name="Calculation 5 2 4 5 2 3" xfId="35279"/>
    <cellStyle name="Calculation 5 2 4 5 2 4" xfId="15143"/>
    <cellStyle name="Calculation 5 2 4 5 3" xfId="8133"/>
    <cellStyle name="Calculation 5 2 4 5 3 2" xfId="27105"/>
    <cellStyle name="Calculation 5 2 4 5 3 3" xfId="37950"/>
    <cellStyle name="Calculation 5 2 4 5 3 4" xfId="17056"/>
    <cellStyle name="Calculation 5 2 4 5 4" xfId="10792"/>
    <cellStyle name="Calculation 5 2 4 5 4 2" xfId="29764"/>
    <cellStyle name="Calculation 5 2 4 5 4 3" xfId="40609"/>
    <cellStyle name="Calculation 5 2 4 5 4 4" xfId="18960"/>
    <cellStyle name="Calculation 5 2 4 5 5" xfId="21588"/>
    <cellStyle name="Calculation 5 2 4 5 6" xfId="32433"/>
    <cellStyle name="Calculation 5 2 4 5 7" xfId="13106"/>
    <cellStyle name="Calculation 5 2 4 6" xfId="2996"/>
    <cellStyle name="Calculation 5 2 4 6 2" xfId="5847"/>
    <cellStyle name="Calculation 5 2 4 6 2 2" xfId="24819"/>
    <cellStyle name="Calculation 5 2 4 6 2 3" xfId="35664"/>
    <cellStyle name="Calculation 5 2 4 6 2 4" xfId="15419"/>
    <cellStyle name="Calculation 5 2 4 6 3" xfId="8518"/>
    <cellStyle name="Calculation 5 2 4 6 3 2" xfId="27490"/>
    <cellStyle name="Calculation 5 2 4 6 3 3" xfId="38335"/>
    <cellStyle name="Calculation 5 2 4 6 3 4" xfId="17332"/>
    <cellStyle name="Calculation 5 2 4 6 4" xfId="11177"/>
    <cellStyle name="Calculation 5 2 4 6 4 2" xfId="30149"/>
    <cellStyle name="Calculation 5 2 4 6 4 3" xfId="40994"/>
    <cellStyle name="Calculation 5 2 4 6 4 4" xfId="19236"/>
    <cellStyle name="Calculation 5 2 4 6 5" xfId="21973"/>
    <cellStyle name="Calculation 5 2 4 6 6" xfId="32818"/>
    <cellStyle name="Calculation 5 2 4 6 7" xfId="13382"/>
    <cellStyle name="Calculation 5 2 4 7" xfId="3685"/>
    <cellStyle name="Calculation 5 2 4 7 2" xfId="22657"/>
    <cellStyle name="Calculation 5 2 4 7 3" xfId="33502"/>
    <cellStyle name="Calculation 5 2 4 7 4" xfId="13863"/>
    <cellStyle name="Calculation 5 2 4 8" xfId="6360"/>
    <cellStyle name="Calculation 5 2 4 8 2" xfId="25332"/>
    <cellStyle name="Calculation 5 2 4 8 3" xfId="36177"/>
    <cellStyle name="Calculation 5 2 4 8 4" xfId="15779"/>
    <cellStyle name="Calculation 5 2 4 9" xfId="9019"/>
    <cellStyle name="Calculation 5 2 4 9 2" xfId="27991"/>
    <cellStyle name="Calculation 5 2 4 9 3" xfId="38836"/>
    <cellStyle name="Calculation 5 2 4 9 4" xfId="17683"/>
    <cellStyle name="Calculation 5 2 5" xfId="889"/>
    <cellStyle name="Calculation 5 2 5 10" xfId="19874"/>
    <cellStyle name="Calculation 5 2 5 11" xfId="30719"/>
    <cellStyle name="Calculation 5 2 5 12" xfId="11868"/>
    <cellStyle name="Calculation 5 2 5 2" xfId="1476"/>
    <cellStyle name="Calculation 5 2 5 2 2" xfId="4329"/>
    <cellStyle name="Calculation 5 2 5 2 2 2" xfId="23301"/>
    <cellStyle name="Calculation 5 2 5 2 2 3" xfId="34146"/>
    <cellStyle name="Calculation 5 2 5 2 2 4" xfId="14329"/>
    <cellStyle name="Calculation 5 2 5 2 3" xfId="7002"/>
    <cellStyle name="Calculation 5 2 5 2 3 2" xfId="25974"/>
    <cellStyle name="Calculation 5 2 5 2 3 3" xfId="36819"/>
    <cellStyle name="Calculation 5 2 5 2 3 4" xfId="16244"/>
    <cellStyle name="Calculation 5 2 5 2 4" xfId="9661"/>
    <cellStyle name="Calculation 5 2 5 2 4 2" xfId="28633"/>
    <cellStyle name="Calculation 5 2 5 2 4 3" xfId="39478"/>
    <cellStyle name="Calculation 5 2 5 2 4 4" xfId="18148"/>
    <cellStyle name="Calculation 5 2 5 2 5" xfId="20457"/>
    <cellStyle name="Calculation 5 2 5 2 6" xfId="31302"/>
    <cellStyle name="Calculation 5 2 5 2 7" xfId="12294"/>
    <cellStyle name="Calculation 5 2 5 3" xfId="1875"/>
    <cellStyle name="Calculation 5 2 5 3 2" xfId="4728"/>
    <cellStyle name="Calculation 5 2 5 3 2 2" xfId="23700"/>
    <cellStyle name="Calculation 5 2 5 3 2 3" xfId="34545"/>
    <cellStyle name="Calculation 5 2 5 3 2 4" xfId="14616"/>
    <cellStyle name="Calculation 5 2 5 3 3" xfId="7400"/>
    <cellStyle name="Calculation 5 2 5 3 3 2" xfId="26372"/>
    <cellStyle name="Calculation 5 2 5 3 3 3" xfId="37217"/>
    <cellStyle name="Calculation 5 2 5 3 3 4" xfId="16530"/>
    <cellStyle name="Calculation 5 2 5 3 4" xfId="10059"/>
    <cellStyle name="Calculation 5 2 5 3 4 2" xfId="29031"/>
    <cellStyle name="Calculation 5 2 5 3 4 3" xfId="39876"/>
    <cellStyle name="Calculation 5 2 5 3 4 4" xfId="18434"/>
    <cellStyle name="Calculation 5 2 5 3 5" xfId="20855"/>
    <cellStyle name="Calculation 5 2 5 3 6" xfId="31700"/>
    <cellStyle name="Calculation 5 2 5 3 7" xfId="12580"/>
    <cellStyle name="Calculation 5 2 5 4" xfId="2279"/>
    <cellStyle name="Calculation 5 2 5 4 2" xfId="5132"/>
    <cellStyle name="Calculation 5 2 5 4 2 2" xfId="24104"/>
    <cellStyle name="Calculation 5 2 5 4 2 3" xfId="34949"/>
    <cellStyle name="Calculation 5 2 5 4 2 4" xfId="14903"/>
    <cellStyle name="Calculation 5 2 5 4 3" xfId="7803"/>
    <cellStyle name="Calculation 5 2 5 4 3 2" xfId="26775"/>
    <cellStyle name="Calculation 5 2 5 4 3 3" xfId="37620"/>
    <cellStyle name="Calculation 5 2 5 4 3 4" xfId="16816"/>
    <cellStyle name="Calculation 5 2 5 4 4" xfId="10462"/>
    <cellStyle name="Calculation 5 2 5 4 4 2" xfId="29434"/>
    <cellStyle name="Calculation 5 2 5 4 4 3" xfId="40279"/>
    <cellStyle name="Calculation 5 2 5 4 4 4" xfId="18720"/>
    <cellStyle name="Calculation 5 2 5 4 5" xfId="21258"/>
    <cellStyle name="Calculation 5 2 5 4 6" xfId="32103"/>
    <cellStyle name="Calculation 5 2 5 4 7" xfId="12866"/>
    <cellStyle name="Calculation 5 2 5 5" xfId="2669"/>
    <cellStyle name="Calculation 5 2 5 5 2" xfId="5521"/>
    <cellStyle name="Calculation 5 2 5 5 2 2" xfId="24493"/>
    <cellStyle name="Calculation 5 2 5 5 2 3" xfId="35338"/>
    <cellStyle name="Calculation 5 2 5 5 2 4" xfId="15182"/>
    <cellStyle name="Calculation 5 2 5 5 3" xfId="8192"/>
    <cellStyle name="Calculation 5 2 5 5 3 2" xfId="27164"/>
    <cellStyle name="Calculation 5 2 5 5 3 3" xfId="38009"/>
    <cellStyle name="Calculation 5 2 5 5 3 4" xfId="17095"/>
    <cellStyle name="Calculation 5 2 5 5 4" xfId="10851"/>
    <cellStyle name="Calculation 5 2 5 5 4 2" xfId="29823"/>
    <cellStyle name="Calculation 5 2 5 5 4 3" xfId="40668"/>
    <cellStyle name="Calculation 5 2 5 5 4 4" xfId="18999"/>
    <cellStyle name="Calculation 5 2 5 5 5" xfId="21647"/>
    <cellStyle name="Calculation 5 2 5 5 6" xfId="32492"/>
    <cellStyle name="Calculation 5 2 5 5 7" xfId="13145"/>
    <cellStyle name="Calculation 5 2 5 6" xfId="3055"/>
    <cellStyle name="Calculation 5 2 5 6 2" xfId="5906"/>
    <cellStyle name="Calculation 5 2 5 6 2 2" xfId="24878"/>
    <cellStyle name="Calculation 5 2 5 6 2 3" xfId="35723"/>
    <cellStyle name="Calculation 5 2 5 6 2 4" xfId="15458"/>
    <cellStyle name="Calculation 5 2 5 6 3" xfId="8577"/>
    <cellStyle name="Calculation 5 2 5 6 3 2" xfId="27549"/>
    <cellStyle name="Calculation 5 2 5 6 3 3" xfId="38394"/>
    <cellStyle name="Calculation 5 2 5 6 3 4" xfId="17371"/>
    <cellStyle name="Calculation 5 2 5 6 4" xfId="11236"/>
    <cellStyle name="Calculation 5 2 5 6 4 2" xfId="30208"/>
    <cellStyle name="Calculation 5 2 5 6 4 3" xfId="41053"/>
    <cellStyle name="Calculation 5 2 5 6 4 4" xfId="19275"/>
    <cellStyle name="Calculation 5 2 5 6 5" xfId="22032"/>
    <cellStyle name="Calculation 5 2 5 6 6" xfId="32877"/>
    <cellStyle name="Calculation 5 2 5 6 7" xfId="13421"/>
    <cellStyle name="Calculation 5 2 5 7" xfId="3744"/>
    <cellStyle name="Calculation 5 2 5 7 2" xfId="22716"/>
    <cellStyle name="Calculation 5 2 5 7 3" xfId="33561"/>
    <cellStyle name="Calculation 5 2 5 7 4" xfId="13902"/>
    <cellStyle name="Calculation 5 2 5 8" xfId="6419"/>
    <cellStyle name="Calculation 5 2 5 8 2" xfId="25391"/>
    <cellStyle name="Calculation 5 2 5 8 3" xfId="36236"/>
    <cellStyle name="Calculation 5 2 5 8 4" xfId="15818"/>
    <cellStyle name="Calculation 5 2 5 9" xfId="9078"/>
    <cellStyle name="Calculation 5 2 5 9 2" xfId="28050"/>
    <cellStyle name="Calculation 5 2 5 9 3" xfId="38895"/>
    <cellStyle name="Calculation 5 2 5 9 4" xfId="17722"/>
    <cellStyle name="Calculation 5 2 6" xfId="1119"/>
    <cellStyle name="Calculation 5 2 6 2" xfId="3972"/>
    <cellStyle name="Calculation 5 2 6 2 2" xfId="22944"/>
    <cellStyle name="Calculation 5 2 6 2 3" xfId="33789"/>
    <cellStyle name="Calculation 5 2 6 2 4" xfId="14071"/>
    <cellStyle name="Calculation 5 2 6 3" xfId="6645"/>
    <cellStyle name="Calculation 5 2 6 3 2" xfId="25617"/>
    <cellStyle name="Calculation 5 2 6 3 3" xfId="36462"/>
    <cellStyle name="Calculation 5 2 6 3 4" xfId="15986"/>
    <cellStyle name="Calculation 5 2 6 4" xfId="9304"/>
    <cellStyle name="Calculation 5 2 6 4 2" xfId="28276"/>
    <cellStyle name="Calculation 5 2 6 4 3" xfId="39121"/>
    <cellStyle name="Calculation 5 2 6 4 4" xfId="17890"/>
    <cellStyle name="Calculation 5 2 6 5" xfId="20100"/>
    <cellStyle name="Calculation 5 2 6 6" xfId="30945"/>
    <cellStyle name="Calculation 5 2 6 7" xfId="12036"/>
    <cellStyle name="Calculation 5 2 7" xfId="1515"/>
    <cellStyle name="Calculation 5 2 7 2" xfId="4368"/>
    <cellStyle name="Calculation 5 2 7 2 2" xfId="23340"/>
    <cellStyle name="Calculation 5 2 7 2 3" xfId="34185"/>
    <cellStyle name="Calculation 5 2 7 2 4" xfId="14357"/>
    <cellStyle name="Calculation 5 2 7 3" xfId="7041"/>
    <cellStyle name="Calculation 5 2 7 3 2" xfId="26013"/>
    <cellStyle name="Calculation 5 2 7 3 3" xfId="36858"/>
    <cellStyle name="Calculation 5 2 7 3 4" xfId="16272"/>
    <cellStyle name="Calculation 5 2 7 4" xfId="9700"/>
    <cellStyle name="Calculation 5 2 7 4 2" xfId="28672"/>
    <cellStyle name="Calculation 5 2 7 4 3" xfId="39517"/>
    <cellStyle name="Calculation 5 2 7 4 4" xfId="18176"/>
    <cellStyle name="Calculation 5 2 7 5" xfId="20496"/>
    <cellStyle name="Calculation 5 2 7 6" xfId="31341"/>
    <cellStyle name="Calculation 5 2 7 7" xfId="12322"/>
    <cellStyle name="Calculation 5 2 8" xfId="1921"/>
    <cellStyle name="Calculation 5 2 8 2" xfId="4774"/>
    <cellStyle name="Calculation 5 2 8 2 2" xfId="23746"/>
    <cellStyle name="Calculation 5 2 8 2 3" xfId="34591"/>
    <cellStyle name="Calculation 5 2 8 2 4" xfId="14646"/>
    <cellStyle name="Calculation 5 2 8 3" xfId="7446"/>
    <cellStyle name="Calculation 5 2 8 3 2" xfId="26418"/>
    <cellStyle name="Calculation 5 2 8 3 3" xfId="37263"/>
    <cellStyle name="Calculation 5 2 8 3 4" xfId="16560"/>
    <cellStyle name="Calculation 5 2 8 4" xfId="10105"/>
    <cellStyle name="Calculation 5 2 8 4 2" xfId="29077"/>
    <cellStyle name="Calculation 5 2 8 4 3" xfId="39922"/>
    <cellStyle name="Calculation 5 2 8 4 4" xfId="18464"/>
    <cellStyle name="Calculation 5 2 8 5" xfId="20901"/>
    <cellStyle name="Calculation 5 2 8 6" xfId="31746"/>
    <cellStyle name="Calculation 5 2 8 7" xfId="12610"/>
    <cellStyle name="Calculation 5 2 9" xfId="2314"/>
    <cellStyle name="Calculation 5 2 9 2" xfId="5167"/>
    <cellStyle name="Calculation 5 2 9 2 2" xfId="24139"/>
    <cellStyle name="Calculation 5 2 9 2 3" xfId="34984"/>
    <cellStyle name="Calculation 5 2 9 2 4" xfId="14928"/>
    <cellStyle name="Calculation 5 2 9 3" xfId="7838"/>
    <cellStyle name="Calculation 5 2 9 3 2" xfId="26810"/>
    <cellStyle name="Calculation 5 2 9 3 3" xfId="37655"/>
    <cellStyle name="Calculation 5 2 9 3 4" xfId="16841"/>
    <cellStyle name="Calculation 5 2 9 4" xfId="10497"/>
    <cellStyle name="Calculation 5 2 9 4 2" xfId="29469"/>
    <cellStyle name="Calculation 5 2 9 4 3" xfId="40314"/>
    <cellStyle name="Calculation 5 2 9 4 4" xfId="18745"/>
    <cellStyle name="Calculation 5 2 9 5" xfId="21293"/>
    <cellStyle name="Calculation 5 2 9 6" xfId="32138"/>
    <cellStyle name="Calculation 5 2 9 7" xfId="12891"/>
    <cellStyle name="Calculation 5 3" xfId="601"/>
    <cellStyle name="Calculation 5 3 10" xfId="19608"/>
    <cellStyle name="Calculation 5 3 11" xfId="30453"/>
    <cellStyle name="Calculation 5 3 12" xfId="11663"/>
    <cellStyle name="Calculation 5 3 2" xfId="1205"/>
    <cellStyle name="Calculation 5 3 2 2" xfId="4058"/>
    <cellStyle name="Calculation 5 3 2 2 2" xfId="23030"/>
    <cellStyle name="Calculation 5 3 2 2 3" xfId="33875"/>
    <cellStyle name="Calculation 5 3 2 2 4" xfId="14138"/>
    <cellStyle name="Calculation 5 3 2 3" xfId="6731"/>
    <cellStyle name="Calculation 5 3 2 3 2" xfId="25703"/>
    <cellStyle name="Calculation 5 3 2 3 3" xfId="36548"/>
    <cellStyle name="Calculation 5 3 2 3 4" xfId="16053"/>
    <cellStyle name="Calculation 5 3 2 4" xfId="9390"/>
    <cellStyle name="Calculation 5 3 2 4 2" xfId="28362"/>
    <cellStyle name="Calculation 5 3 2 4 3" xfId="39207"/>
    <cellStyle name="Calculation 5 3 2 4 4" xfId="17957"/>
    <cellStyle name="Calculation 5 3 2 5" xfId="20186"/>
    <cellStyle name="Calculation 5 3 2 6" xfId="31031"/>
    <cellStyle name="Calculation 5 3 2 7" xfId="12103"/>
    <cellStyle name="Calculation 5 3 3" xfId="1603"/>
    <cellStyle name="Calculation 5 3 3 2" xfId="4456"/>
    <cellStyle name="Calculation 5 3 3 2 2" xfId="23428"/>
    <cellStyle name="Calculation 5 3 3 2 3" xfId="34273"/>
    <cellStyle name="Calculation 5 3 3 2 4" xfId="14425"/>
    <cellStyle name="Calculation 5 3 3 3" xfId="7128"/>
    <cellStyle name="Calculation 5 3 3 3 2" xfId="26100"/>
    <cellStyle name="Calculation 5 3 3 3 3" xfId="36945"/>
    <cellStyle name="Calculation 5 3 3 3 4" xfId="16339"/>
    <cellStyle name="Calculation 5 3 3 4" xfId="9787"/>
    <cellStyle name="Calculation 5 3 3 4 2" xfId="28759"/>
    <cellStyle name="Calculation 5 3 3 4 3" xfId="39604"/>
    <cellStyle name="Calculation 5 3 3 4 4" xfId="18243"/>
    <cellStyle name="Calculation 5 3 3 5" xfId="20583"/>
    <cellStyle name="Calculation 5 3 3 6" xfId="31428"/>
    <cellStyle name="Calculation 5 3 3 7" xfId="12389"/>
    <cellStyle name="Calculation 5 3 4" xfId="2005"/>
    <cellStyle name="Calculation 5 3 4 2" xfId="4858"/>
    <cellStyle name="Calculation 5 3 4 2 2" xfId="23830"/>
    <cellStyle name="Calculation 5 3 4 2 3" xfId="34675"/>
    <cellStyle name="Calculation 5 3 4 2 4" xfId="14711"/>
    <cellStyle name="Calculation 5 3 4 3" xfId="7530"/>
    <cellStyle name="Calculation 5 3 4 3 2" xfId="26502"/>
    <cellStyle name="Calculation 5 3 4 3 3" xfId="37347"/>
    <cellStyle name="Calculation 5 3 4 3 4" xfId="16625"/>
    <cellStyle name="Calculation 5 3 4 4" xfId="10189"/>
    <cellStyle name="Calculation 5 3 4 4 2" xfId="29161"/>
    <cellStyle name="Calculation 5 3 4 4 3" xfId="40006"/>
    <cellStyle name="Calculation 5 3 4 4 4" xfId="18529"/>
    <cellStyle name="Calculation 5 3 4 5" xfId="20985"/>
    <cellStyle name="Calculation 5 3 4 6" xfId="31830"/>
    <cellStyle name="Calculation 5 3 4 7" xfId="12675"/>
    <cellStyle name="Calculation 5 3 5" xfId="2397"/>
    <cellStyle name="Calculation 5 3 5 2" xfId="5250"/>
    <cellStyle name="Calculation 5 3 5 2 2" xfId="24222"/>
    <cellStyle name="Calculation 5 3 5 2 3" xfId="35067"/>
    <cellStyle name="Calculation 5 3 5 2 4" xfId="14992"/>
    <cellStyle name="Calculation 5 3 5 3" xfId="7921"/>
    <cellStyle name="Calculation 5 3 5 3 2" xfId="26893"/>
    <cellStyle name="Calculation 5 3 5 3 3" xfId="37738"/>
    <cellStyle name="Calculation 5 3 5 3 4" xfId="16905"/>
    <cellStyle name="Calculation 5 3 5 4" xfId="10580"/>
    <cellStyle name="Calculation 5 3 5 4 2" xfId="29552"/>
    <cellStyle name="Calculation 5 3 5 4 3" xfId="40397"/>
    <cellStyle name="Calculation 5 3 5 4 4" xfId="18809"/>
    <cellStyle name="Calculation 5 3 5 5" xfId="21376"/>
    <cellStyle name="Calculation 5 3 5 6" xfId="32221"/>
    <cellStyle name="Calculation 5 3 5 7" xfId="12955"/>
    <cellStyle name="Calculation 5 3 6" xfId="2786"/>
    <cellStyle name="Calculation 5 3 6 2" xfId="5638"/>
    <cellStyle name="Calculation 5 3 6 2 2" xfId="24610"/>
    <cellStyle name="Calculation 5 3 6 2 3" xfId="35455"/>
    <cellStyle name="Calculation 5 3 6 2 4" xfId="15270"/>
    <cellStyle name="Calculation 5 3 6 3" xfId="8309"/>
    <cellStyle name="Calculation 5 3 6 3 2" xfId="27281"/>
    <cellStyle name="Calculation 5 3 6 3 3" xfId="38126"/>
    <cellStyle name="Calculation 5 3 6 3 4" xfId="17183"/>
    <cellStyle name="Calculation 5 3 6 4" xfId="10968"/>
    <cellStyle name="Calculation 5 3 6 4 2" xfId="29940"/>
    <cellStyle name="Calculation 5 3 6 4 3" xfId="40785"/>
    <cellStyle name="Calculation 5 3 6 4 4" xfId="19087"/>
    <cellStyle name="Calculation 5 3 6 5" xfId="21764"/>
    <cellStyle name="Calculation 5 3 6 6" xfId="32609"/>
    <cellStyle name="Calculation 5 3 6 7" xfId="13233"/>
    <cellStyle name="Calculation 5 3 7" xfId="3477"/>
    <cellStyle name="Calculation 5 3 7 2" xfId="22449"/>
    <cellStyle name="Calculation 5 3 7 3" xfId="33294"/>
    <cellStyle name="Calculation 5 3 7 4" xfId="13715"/>
    <cellStyle name="Calculation 5 3 8" xfId="6153"/>
    <cellStyle name="Calculation 5 3 8 2" xfId="25125"/>
    <cellStyle name="Calculation 5 3 8 3" xfId="35970"/>
    <cellStyle name="Calculation 5 3 8 4" xfId="15632"/>
    <cellStyle name="Calculation 5 3 9" xfId="8812"/>
    <cellStyle name="Calculation 5 3 9 2" xfId="27784"/>
    <cellStyle name="Calculation 5 3 9 3" xfId="38629"/>
    <cellStyle name="Calculation 5 3 9 4" xfId="17536"/>
    <cellStyle name="Calculation 5 4" xfId="11487"/>
    <cellStyle name="Calculation 6" xfId="247"/>
    <cellStyle name="Calculation 6 2" xfId="422"/>
    <cellStyle name="Calculation 6 2 10" xfId="2704"/>
    <cellStyle name="Calculation 6 2 10 2" xfId="5556"/>
    <cellStyle name="Calculation 6 2 10 2 2" xfId="24528"/>
    <cellStyle name="Calculation 6 2 10 2 3" xfId="35373"/>
    <cellStyle name="Calculation 6 2 10 2 4" xfId="15207"/>
    <cellStyle name="Calculation 6 2 10 3" xfId="8227"/>
    <cellStyle name="Calculation 6 2 10 3 2" xfId="27199"/>
    <cellStyle name="Calculation 6 2 10 3 3" xfId="38044"/>
    <cellStyle name="Calculation 6 2 10 3 4" xfId="17120"/>
    <cellStyle name="Calculation 6 2 10 4" xfId="10886"/>
    <cellStyle name="Calculation 6 2 10 4 2" xfId="29858"/>
    <cellStyle name="Calculation 6 2 10 4 3" xfId="40703"/>
    <cellStyle name="Calculation 6 2 10 4 4" xfId="19024"/>
    <cellStyle name="Calculation 6 2 10 5" xfId="21682"/>
    <cellStyle name="Calculation 6 2 10 6" xfId="32527"/>
    <cellStyle name="Calculation 6 2 10 7" xfId="13170"/>
    <cellStyle name="Calculation 6 2 11" xfId="3089"/>
    <cellStyle name="Calculation 6 2 11 2" xfId="5940"/>
    <cellStyle name="Calculation 6 2 11 2 2" xfId="24912"/>
    <cellStyle name="Calculation 6 2 11 2 3" xfId="35757"/>
    <cellStyle name="Calculation 6 2 11 2 4" xfId="15482"/>
    <cellStyle name="Calculation 6 2 11 3" xfId="8611"/>
    <cellStyle name="Calculation 6 2 11 3 2" xfId="27583"/>
    <cellStyle name="Calculation 6 2 11 3 3" xfId="38428"/>
    <cellStyle name="Calculation 6 2 11 3 4" xfId="17395"/>
    <cellStyle name="Calculation 6 2 11 4" xfId="11270"/>
    <cellStyle name="Calculation 6 2 11 4 2" xfId="30242"/>
    <cellStyle name="Calculation 6 2 11 4 3" xfId="41087"/>
    <cellStyle name="Calculation 6 2 11 4 4" xfId="19299"/>
    <cellStyle name="Calculation 6 2 11 5" xfId="22066"/>
    <cellStyle name="Calculation 6 2 11 6" xfId="32911"/>
    <cellStyle name="Calculation 6 2 11 7" xfId="13445"/>
    <cellStyle name="Calculation 6 2 12" xfId="3146"/>
    <cellStyle name="Calculation 6 2 12 2" xfId="5997"/>
    <cellStyle name="Calculation 6 2 12 2 2" xfId="24969"/>
    <cellStyle name="Calculation 6 2 12 2 3" xfId="35814"/>
    <cellStyle name="Calculation 6 2 12 2 4" xfId="15519"/>
    <cellStyle name="Calculation 6 2 12 3" xfId="8668"/>
    <cellStyle name="Calculation 6 2 12 3 2" xfId="27640"/>
    <cellStyle name="Calculation 6 2 12 3 3" xfId="38485"/>
    <cellStyle name="Calculation 6 2 12 3 4" xfId="17432"/>
    <cellStyle name="Calculation 6 2 12 4" xfId="11327"/>
    <cellStyle name="Calculation 6 2 12 4 2" xfId="30299"/>
    <cellStyle name="Calculation 6 2 12 4 3" xfId="41144"/>
    <cellStyle name="Calculation 6 2 12 4 4" xfId="19336"/>
    <cellStyle name="Calculation 6 2 12 5" xfId="22123"/>
    <cellStyle name="Calculation 6 2 12 6" xfId="32968"/>
    <cellStyle name="Calculation 6 2 12 7" xfId="13482"/>
    <cellStyle name="Calculation 6 2 13" xfId="3203"/>
    <cellStyle name="Calculation 6 2 13 2" xfId="6054"/>
    <cellStyle name="Calculation 6 2 13 2 2" xfId="25026"/>
    <cellStyle name="Calculation 6 2 13 2 3" xfId="35871"/>
    <cellStyle name="Calculation 6 2 13 2 4" xfId="15556"/>
    <cellStyle name="Calculation 6 2 13 3" xfId="8725"/>
    <cellStyle name="Calculation 6 2 13 3 2" xfId="27697"/>
    <cellStyle name="Calculation 6 2 13 3 3" xfId="38542"/>
    <cellStyle name="Calculation 6 2 13 3 4" xfId="17469"/>
    <cellStyle name="Calculation 6 2 13 4" xfId="11384"/>
    <cellStyle name="Calculation 6 2 13 4 2" xfId="30356"/>
    <cellStyle name="Calculation 6 2 13 4 3" xfId="41201"/>
    <cellStyle name="Calculation 6 2 13 4 4" xfId="19373"/>
    <cellStyle name="Calculation 6 2 13 5" xfId="22180"/>
    <cellStyle name="Calculation 6 2 13 6" xfId="33025"/>
    <cellStyle name="Calculation 6 2 13 7" xfId="13519"/>
    <cellStyle name="Calculation 6 2 14" xfId="3372"/>
    <cellStyle name="Calculation 6 2 14 2" xfId="22346"/>
    <cellStyle name="Calculation 6 2 14 3" xfId="33191"/>
    <cellStyle name="Calculation 6 2 14 4" xfId="13636"/>
    <cellStyle name="Calculation 6 2 15" xfId="3316"/>
    <cellStyle name="Calculation 6 2 15 2" xfId="22290"/>
    <cellStyle name="Calculation 6 2 15 3" xfId="33135"/>
    <cellStyle name="Calculation 6 2 15 4" xfId="13599"/>
    <cellStyle name="Calculation 6 2 16" xfId="6070"/>
    <cellStyle name="Calculation 6 2 16 2" xfId="25042"/>
    <cellStyle name="Calculation 6 2 16 3" xfId="35887"/>
    <cellStyle name="Calculation 6 2 16 4" xfId="15564"/>
    <cellStyle name="Calculation 6 2 17" xfId="19500"/>
    <cellStyle name="Calculation 6 2 18" xfId="19386"/>
    <cellStyle name="Calculation 6 2 19" xfId="11549"/>
    <cellStyle name="Calculation 6 2 2" xfId="713"/>
    <cellStyle name="Calculation 6 2 2 10" xfId="19698"/>
    <cellStyle name="Calculation 6 2 2 11" xfId="30543"/>
    <cellStyle name="Calculation 6 2 2 12" xfId="11752"/>
    <cellStyle name="Calculation 6 2 2 2" xfId="1300"/>
    <cellStyle name="Calculation 6 2 2 2 2" xfId="4153"/>
    <cellStyle name="Calculation 6 2 2 2 2 2" xfId="23125"/>
    <cellStyle name="Calculation 6 2 2 2 2 3" xfId="33970"/>
    <cellStyle name="Calculation 6 2 2 2 2 4" xfId="14213"/>
    <cellStyle name="Calculation 6 2 2 2 3" xfId="6826"/>
    <cellStyle name="Calculation 6 2 2 2 3 2" xfId="25798"/>
    <cellStyle name="Calculation 6 2 2 2 3 3" xfId="36643"/>
    <cellStyle name="Calculation 6 2 2 2 3 4" xfId="16128"/>
    <cellStyle name="Calculation 6 2 2 2 4" xfId="9485"/>
    <cellStyle name="Calculation 6 2 2 2 4 2" xfId="28457"/>
    <cellStyle name="Calculation 6 2 2 2 4 3" xfId="39302"/>
    <cellStyle name="Calculation 6 2 2 2 4 4" xfId="18032"/>
    <cellStyle name="Calculation 6 2 2 2 5" xfId="20281"/>
    <cellStyle name="Calculation 6 2 2 2 6" xfId="31126"/>
    <cellStyle name="Calculation 6 2 2 2 7" xfId="12178"/>
    <cellStyle name="Calculation 6 2 2 3" xfId="1699"/>
    <cellStyle name="Calculation 6 2 2 3 2" xfId="4552"/>
    <cellStyle name="Calculation 6 2 2 3 2 2" xfId="23524"/>
    <cellStyle name="Calculation 6 2 2 3 2 3" xfId="34369"/>
    <cellStyle name="Calculation 6 2 2 3 2 4" xfId="14500"/>
    <cellStyle name="Calculation 6 2 2 3 3" xfId="7224"/>
    <cellStyle name="Calculation 6 2 2 3 3 2" xfId="26196"/>
    <cellStyle name="Calculation 6 2 2 3 3 3" xfId="37041"/>
    <cellStyle name="Calculation 6 2 2 3 3 4" xfId="16414"/>
    <cellStyle name="Calculation 6 2 2 3 4" xfId="9883"/>
    <cellStyle name="Calculation 6 2 2 3 4 2" xfId="28855"/>
    <cellStyle name="Calculation 6 2 2 3 4 3" xfId="39700"/>
    <cellStyle name="Calculation 6 2 2 3 4 4" xfId="18318"/>
    <cellStyle name="Calculation 6 2 2 3 5" xfId="20679"/>
    <cellStyle name="Calculation 6 2 2 3 6" xfId="31524"/>
    <cellStyle name="Calculation 6 2 2 3 7" xfId="12464"/>
    <cellStyle name="Calculation 6 2 2 4" xfId="2103"/>
    <cellStyle name="Calculation 6 2 2 4 2" xfId="4956"/>
    <cellStyle name="Calculation 6 2 2 4 2 2" xfId="23928"/>
    <cellStyle name="Calculation 6 2 2 4 2 3" xfId="34773"/>
    <cellStyle name="Calculation 6 2 2 4 2 4" xfId="14787"/>
    <cellStyle name="Calculation 6 2 2 4 3" xfId="7627"/>
    <cellStyle name="Calculation 6 2 2 4 3 2" xfId="26599"/>
    <cellStyle name="Calculation 6 2 2 4 3 3" xfId="37444"/>
    <cellStyle name="Calculation 6 2 2 4 3 4" xfId="16700"/>
    <cellStyle name="Calculation 6 2 2 4 4" xfId="10286"/>
    <cellStyle name="Calculation 6 2 2 4 4 2" xfId="29258"/>
    <cellStyle name="Calculation 6 2 2 4 4 3" xfId="40103"/>
    <cellStyle name="Calculation 6 2 2 4 4 4" xfId="18604"/>
    <cellStyle name="Calculation 6 2 2 4 5" xfId="21082"/>
    <cellStyle name="Calculation 6 2 2 4 6" xfId="31927"/>
    <cellStyle name="Calculation 6 2 2 4 7" xfId="12750"/>
    <cellStyle name="Calculation 6 2 2 5" xfId="2493"/>
    <cellStyle name="Calculation 6 2 2 5 2" xfId="5345"/>
    <cellStyle name="Calculation 6 2 2 5 2 2" xfId="24317"/>
    <cellStyle name="Calculation 6 2 2 5 2 3" xfId="35162"/>
    <cellStyle name="Calculation 6 2 2 5 2 4" xfId="15066"/>
    <cellStyle name="Calculation 6 2 2 5 3" xfId="8016"/>
    <cellStyle name="Calculation 6 2 2 5 3 2" xfId="26988"/>
    <cellStyle name="Calculation 6 2 2 5 3 3" xfId="37833"/>
    <cellStyle name="Calculation 6 2 2 5 3 4" xfId="16979"/>
    <cellStyle name="Calculation 6 2 2 5 4" xfId="10675"/>
    <cellStyle name="Calculation 6 2 2 5 4 2" xfId="29647"/>
    <cellStyle name="Calculation 6 2 2 5 4 3" xfId="40492"/>
    <cellStyle name="Calculation 6 2 2 5 4 4" xfId="18883"/>
    <cellStyle name="Calculation 6 2 2 5 5" xfId="21471"/>
    <cellStyle name="Calculation 6 2 2 5 6" xfId="32316"/>
    <cellStyle name="Calculation 6 2 2 5 7" xfId="13029"/>
    <cellStyle name="Calculation 6 2 2 6" xfId="2879"/>
    <cellStyle name="Calculation 6 2 2 6 2" xfId="5730"/>
    <cellStyle name="Calculation 6 2 2 6 2 2" xfId="24702"/>
    <cellStyle name="Calculation 6 2 2 6 2 3" xfId="35547"/>
    <cellStyle name="Calculation 6 2 2 6 2 4" xfId="15342"/>
    <cellStyle name="Calculation 6 2 2 6 3" xfId="8401"/>
    <cellStyle name="Calculation 6 2 2 6 3 2" xfId="27373"/>
    <cellStyle name="Calculation 6 2 2 6 3 3" xfId="38218"/>
    <cellStyle name="Calculation 6 2 2 6 3 4" xfId="17255"/>
    <cellStyle name="Calculation 6 2 2 6 4" xfId="11060"/>
    <cellStyle name="Calculation 6 2 2 6 4 2" xfId="30032"/>
    <cellStyle name="Calculation 6 2 2 6 4 3" xfId="40877"/>
    <cellStyle name="Calculation 6 2 2 6 4 4" xfId="19159"/>
    <cellStyle name="Calculation 6 2 2 6 5" xfId="21856"/>
    <cellStyle name="Calculation 6 2 2 6 6" xfId="32701"/>
    <cellStyle name="Calculation 6 2 2 6 7" xfId="13305"/>
    <cellStyle name="Calculation 6 2 2 7" xfId="3568"/>
    <cellStyle name="Calculation 6 2 2 7 2" xfId="22540"/>
    <cellStyle name="Calculation 6 2 2 7 3" xfId="33385"/>
    <cellStyle name="Calculation 6 2 2 7 4" xfId="13786"/>
    <cellStyle name="Calculation 6 2 2 8" xfId="6243"/>
    <cellStyle name="Calculation 6 2 2 8 2" xfId="25215"/>
    <cellStyle name="Calculation 6 2 2 8 3" xfId="36060"/>
    <cellStyle name="Calculation 6 2 2 8 4" xfId="15702"/>
    <cellStyle name="Calculation 6 2 2 9" xfId="8902"/>
    <cellStyle name="Calculation 6 2 2 9 2" xfId="27874"/>
    <cellStyle name="Calculation 6 2 2 9 3" xfId="38719"/>
    <cellStyle name="Calculation 6 2 2 9 4" xfId="17606"/>
    <cellStyle name="Calculation 6 2 3" xfId="772"/>
    <cellStyle name="Calculation 6 2 3 10" xfId="19757"/>
    <cellStyle name="Calculation 6 2 3 11" xfId="30602"/>
    <cellStyle name="Calculation 6 2 3 12" xfId="11791"/>
    <cellStyle name="Calculation 6 2 3 2" xfId="1359"/>
    <cellStyle name="Calculation 6 2 3 2 2" xfId="4212"/>
    <cellStyle name="Calculation 6 2 3 2 2 2" xfId="23184"/>
    <cellStyle name="Calculation 6 2 3 2 2 3" xfId="34029"/>
    <cellStyle name="Calculation 6 2 3 2 2 4" xfId="14252"/>
    <cellStyle name="Calculation 6 2 3 2 3" xfId="6885"/>
    <cellStyle name="Calculation 6 2 3 2 3 2" xfId="25857"/>
    <cellStyle name="Calculation 6 2 3 2 3 3" xfId="36702"/>
    <cellStyle name="Calculation 6 2 3 2 3 4" xfId="16167"/>
    <cellStyle name="Calculation 6 2 3 2 4" xfId="9544"/>
    <cellStyle name="Calculation 6 2 3 2 4 2" xfId="28516"/>
    <cellStyle name="Calculation 6 2 3 2 4 3" xfId="39361"/>
    <cellStyle name="Calculation 6 2 3 2 4 4" xfId="18071"/>
    <cellStyle name="Calculation 6 2 3 2 5" xfId="20340"/>
    <cellStyle name="Calculation 6 2 3 2 6" xfId="31185"/>
    <cellStyle name="Calculation 6 2 3 2 7" xfId="12217"/>
    <cellStyle name="Calculation 6 2 3 3" xfId="1758"/>
    <cellStyle name="Calculation 6 2 3 3 2" xfId="4611"/>
    <cellStyle name="Calculation 6 2 3 3 2 2" xfId="23583"/>
    <cellStyle name="Calculation 6 2 3 3 2 3" xfId="34428"/>
    <cellStyle name="Calculation 6 2 3 3 2 4" xfId="14539"/>
    <cellStyle name="Calculation 6 2 3 3 3" xfId="7283"/>
    <cellStyle name="Calculation 6 2 3 3 3 2" xfId="26255"/>
    <cellStyle name="Calculation 6 2 3 3 3 3" xfId="37100"/>
    <cellStyle name="Calculation 6 2 3 3 3 4" xfId="16453"/>
    <cellStyle name="Calculation 6 2 3 3 4" xfId="9942"/>
    <cellStyle name="Calculation 6 2 3 3 4 2" xfId="28914"/>
    <cellStyle name="Calculation 6 2 3 3 4 3" xfId="39759"/>
    <cellStyle name="Calculation 6 2 3 3 4 4" xfId="18357"/>
    <cellStyle name="Calculation 6 2 3 3 5" xfId="20738"/>
    <cellStyle name="Calculation 6 2 3 3 6" xfId="31583"/>
    <cellStyle name="Calculation 6 2 3 3 7" xfId="12503"/>
    <cellStyle name="Calculation 6 2 3 4" xfId="2162"/>
    <cellStyle name="Calculation 6 2 3 4 2" xfId="5015"/>
    <cellStyle name="Calculation 6 2 3 4 2 2" xfId="23987"/>
    <cellStyle name="Calculation 6 2 3 4 2 3" xfId="34832"/>
    <cellStyle name="Calculation 6 2 3 4 2 4" xfId="14826"/>
    <cellStyle name="Calculation 6 2 3 4 3" xfId="7686"/>
    <cellStyle name="Calculation 6 2 3 4 3 2" xfId="26658"/>
    <cellStyle name="Calculation 6 2 3 4 3 3" xfId="37503"/>
    <cellStyle name="Calculation 6 2 3 4 3 4" xfId="16739"/>
    <cellStyle name="Calculation 6 2 3 4 4" xfId="10345"/>
    <cellStyle name="Calculation 6 2 3 4 4 2" xfId="29317"/>
    <cellStyle name="Calculation 6 2 3 4 4 3" xfId="40162"/>
    <cellStyle name="Calculation 6 2 3 4 4 4" xfId="18643"/>
    <cellStyle name="Calculation 6 2 3 4 5" xfId="21141"/>
    <cellStyle name="Calculation 6 2 3 4 6" xfId="31986"/>
    <cellStyle name="Calculation 6 2 3 4 7" xfId="12789"/>
    <cellStyle name="Calculation 6 2 3 5" xfId="2552"/>
    <cellStyle name="Calculation 6 2 3 5 2" xfId="5404"/>
    <cellStyle name="Calculation 6 2 3 5 2 2" xfId="24376"/>
    <cellStyle name="Calculation 6 2 3 5 2 3" xfId="35221"/>
    <cellStyle name="Calculation 6 2 3 5 2 4" xfId="15105"/>
    <cellStyle name="Calculation 6 2 3 5 3" xfId="8075"/>
    <cellStyle name="Calculation 6 2 3 5 3 2" xfId="27047"/>
    <cellStyle name="Calculation 6 2 3 5 3 3" xfId="37892"/>
    <cellStyle name="Calculation 6 2 3 5 3 4" xfId="17018"/>
    <cellStyle name="Calculation 6 2 3 5 4" xfId="10734"/>
    <cellStyle name="Calculation 6 2 3 5 4 2" xfId="29706"/>
    <cellStyle name="Calculation 6 2 3 5 4 3" xfId="40551"/>
    <cellStyle name="Calculation 6 2 3 5 4 4" xfId="18922"/>
    <cellStyle name="Calculation 6 2 3 5 5" xfId="21530"/>
    <cellStyle name="Calculation 6 2 3 5 6" xfId="32375"/>
    <cellStyle name="Calculation 6 2 3 5 7" xfId="13068"/>
    <cellStyle name="Calculation 6 2 3 6" xfId="2938"/>
    <cellStyle name="Calculation 6 2 3 6 2" xfId="5789"/>
    <cellStyle name="Calculation 6 2 3 6 2 2" xfId="24761"/>
    <cellStyle name="Calculation 6 2 3 6 2 3" xfId="35606"/>
    <cellStyle name="Calculation 6 2 3 6 2 4" xfId="15381"/>
    <cellStyle name="Calculation 6 2 3 6 3" xfId="8460"/>
    <cellStyle name="Calculation 6 2 3 6 3 2" xfId="27432"/>
    <cellStyle name="Calculation 6 2 3 6 3 3" xfId="38277"/>
    <cellStyle name="Calculation 6 2 3 6 3 4" xfId="17294"/>
    <cellStyle name="Calculation 6 2 3 6 4" xfId="11119"/>
    <cellStyle name="Calculation 6 2 3 6 4 2" xfId="30091"/>
    <cellStyle name="Calculation 6 2 3 6 4 3" xfId="40936"/>
    <cellStyle name="Calculation 6 2 3 6 4 4" xfId="19198"/>
    <cellStyle name="Calculation 6 2 3 6 5" xfId="21915"/>
    <cellStyle name="Calculation 6 2 3 6 6" xfId="32760"/>
    <cellStyle name="Calculation 6 2 3 6 7" xfId="13344"/>
    <cellStyle name="Calculation 6 2 3 7" xfId="3627"/>
    <cellStyle name="Calculation 6 2 3 7 2" xfId="22599"/>
    <cellStyle name="Calculation 6 2 3 7 3" xfId="33444"/>
    <cellStyle name="Calculation 6 2 3 7 4" xfId="13825"/>
    <cellStyle name="Calculation 6 2 3 8" xfId="6302"/>
    <cellStyle name="Calculation 6 2 3 8 2" xfId="25274"/>
    <cellStyle name="Calculation 6 2 3 8 3" xfId="36119"/>
    <cellStyle name="Calculation 6 2 3 8 4" xfId="15741"/>
    <cellStyle name="Calculation 6 2 3 9" xfId="8961"/>
    <cellStyle name="Calculation 6 2 3 9 2" xfId="27933"/>
    <cellStyle name="Calculation 6 2 3 9 3" xfId="38778"/>
    <cellStyle name="Calculation 6 2 3 9 4" xfId="17645"/>
    <cellStyle name="Calculation 6 2 4" xfId="831"/>
    <cellStyle name="Calculation 6 2 4 10" xfId="19816"/>
    <cellStyle name="Calculation 6 2 4 11" xfId="30661"/>
    <cellStyle name="Calculation 6 2 4 12" xfId="11830"/>
    <cellStyle name="Calculation 6 2 4 2" xfId="1418"/>
    <cellStyle name="Calculation 6 2 4 2 2" xfId="4271"/>
    <cellStyle name="Calculation 6 2 4 2 2 2" xfId="23243"/>
    <cellStyle name="Calculation 6 2 4 2 2 3" xfId="34088"/>
    <cellStyle name="Calculation 6 2 4 2 2 4" xfId="14291"/>
    <cellStyle name="Calculation 6 2 4 2 3" xfId="6944"/>
    <cellStyle name="Calculation 6 2 4 2 3 2" xfId="25916"/>
    <cellStyle name="Calculation 6 2 4 2 3 3" xfId="36761"/>
    <cellStyle name="Calculation 6 2 4 2 3 4" xfId="16206"/>
    <cellStyle name="Calculation 6 2 4 2 4" xfId="9603"/>
    <cellStyle name="Calculation 6 2 4 2 4 2" xfId="28575"/>
    <cellStyle name="Calculation 6 2 4 2 4 3" xfId="39420"/>
    <cellStyle name="Calculation 6 2 4 2 4 4" xfId="18110"/>
    <cellStyle name="Calculation 6 2 4 2 5" xfId="20399"/>
    <cellStyle name="Calculation 6 2 4 2 6" xfId="31244"/>
    <cellStyle name="Calculation 6 2 4 2 7" xfId="12256"/>
    <cellStyle name="Calculation 6 2 4 3" xfId="1817"/>
    <cellStyle name="Calculation 6 2 4 3 2" xfId="4670"/>
    <cellStyle name="Calculation 6 2 4 3 2 2" xfId="23642"/>
    <cellStyle name="Calculation 6 2 4 3 2 3" xfId="34487"/>
    <cellStyle name="Calculation 6 2 4 3 2 4" xfId="14578"/>
    <cellStyle name="Calculation 6 2 4 3 3" xfId="7342"/>
    <cellStyle name="Calculation 6 2 4 3 3 2" xfId="26314"/>
    <cellStyle name="Calculation 6 2 4 3 3 3" xfId="37159"/>
    <cellStyle name="Calculation 6 2 4 3 3 4" xfId="16492"/>
    <cellStyle name="Calculation 6 2 4 3 4" xfId="10001"/>
    <cellStyle name="Calculation 6 2 4 3 4 2" xfId="28973"/>
    <cellStyle name="Calculation 6 2 4 3 4 3" xfId="39818"/>
    <cellStyle name="Calculation 6 2 4 3 4 4" xfId="18396"/>
    <cellStyle name="Calculation 6 2 4 3 5" xfId="20797"/>
    <cellStyle name="Calculation 6 2 4 3 6" xfId="31642"/>
    <cellStyle name="Calculation 6 2 4 3 7" xfId="12542"/>
    <cellStyle name="Calculation 6 2 4 4" xfId="2221"/>
    <cellStyle name="Calculation 6 2 4 4 2" xfId="5074"/>
    <cellStyle name="Calculation 6 2 4 4 2 2" xfId="24046"/>
    <cellStyle name="Calculation 6 2 4 4 2 3" xfId="34891"/>
    <cellStyle name="Calculation 6 2 4 4 2 4" xfId="14865"/>
    <cellStyle name="Calculation 6 2 4 4 3" xfId="7745"/>
    <cellStyle name="Calculation 6 2 4 4 3 2" xfId="26717"/>
    <cellStyle name="Calculation 6 2 4 4 3 3" xfId="37562"/>
    <cellStyle name="Calculation 6 2 4 4 3 4" xfId="16778"/>
    <cellStyle name="Calculation 6 2 4 4 4" xfId="10404"/>
    <cellStyle name="Calculation 6 2 4 4 4 2" xfId="29376"/>
    <cellStyle name="Calculation 6 2 4 4 4 3" xfId="40221"/>
    <cellStyle name="Calculation 6 2 4 4 4 4" xfId="18682"/>
    <cellStyle name="Calculation 6 2 4 4 5" xfId="21200"/>
    <cellStyle name="Calculation 6 2 4 4 6" xfId="32045"/>
    <cellStyle name="Calculation 6 2 4 4 7" xfId="12828"/>
    <cellStyle name="Calculation 6 2 4 5" xfId="2611"/>
    <cellStyle name="Calculation 6 2 4 5 2" xfId="5463"/>
    <cellStyle name="Calculation 6 2 4 5 2 2" xfId="24435"/>
    <cellStyle name="Calculation 6 2 4 5 2 3" xfId="35280"/>
    <cellStyle name="Calculation 6 2 4 5 2 4" xfId="15144"/>
    <cellStyle name="Calculation 6 2 4 5 3" xfId="8134"/>
    <cellStyle name="Calculation 6 2 4 5 3 2" xfId="27106"/>
    <cellStyle name="Calculation 6 2 4 5 3 3" xfId="37951"/>
    <cellStyle name="Calculation 6 2 4 5 3 4" xfId="17057"/>
    <cellStyle name="Calculation 6 2 4 5 4" xfId="10793"/>
    <cellStyle name="Calculation 6 2 4 5 4 2" xfId="29765"/>
    <cellStyle name="Calculation 6 2 4 5 4 3" xfId="40610"/>
    <cellStyle name="Calculation 6 2 4 5 4 4" xfId="18961"/>
    <cellStyle name="Calculation 6 2 4 5 5" xfId="21589"/>
    <cellStyle name="Calculation 6 2 4 5 6" xfId="32434"/>
    <cellStyle name="Calculation 6 2 4 5 7" xfId="13107"/>
    <cellStyle name="Calculation 6 2 4 6" xfId="2997"/>
    <cellStyle name="Calculation 6 2 4 6 2" xfId="5848"/>
    <cellStyle name="Calculation 6 2 4 6 2 2" xfId="24820"/>
    <cellStyle name="Calculation 6 2 4 6 2 3" xfId="35665"/>
    <cellStyle name="Calculation 6 2 4 6 2 4" xfId="15420"/>
    <cellStyle name="Calculation 6 2 4 6 3" xfId="8519"/>
    <cellStyle name="Calculation 6 2 4 6 3 2" xfId="27491"/>
    <cellStyle name="Calculation 6 2 4 6 3 3" xfId="38336"/>
    <cellStyle name="Calculation 6 2 4 6 3 4" xfId="17333"/>
    <cellStyle name="Calculation 6 2 4 6 4" xfId="11178"/>
    <cellStyle name="Calculation 6 2 4 6 4 2" xfId="30150"/>
    <cellStyle name="Calculation 6 2 4 6 4 3" xfId="40995"/>
    <cellStyle name="Calculation 6 2 4 6 4 4" xfId="19237"/>
    <cellStyle name="Calculation 6 2 4 6 5" xfId="21974"/>
    <cellStyle name="Calculation 6 2 4 6 6" xfId="32819"/>
    <cellStyle name="Calculation 6 2 4 6 7" xfId="13383"/>
    <cellStyle name="Calculation 6 2 4 7" xfId="3686"/>
    <cellStyle name="Calculation 6 2 4 7 2" xfId="22658"/>
    <cellStyle name="Calculation 6 2 4 7 3" xfId="33503"/>
    <cellStyle name="Calculation 6 2 4 7 4" xfId="13864"/>
    <cellStyle name="Calculation 6 2 4 8" xfId="6361"/>
    <cellStyle name="Calculation 6 2 4 8 2" xfId="25333"/>
    <cellStyle name="Calculation 6 2 4 8 3" xfId="36178"/>
    <cellStyle name="Calculation 6 2 4 8 4" xfId="15780"/>
    <cellStyle name="Calculation 6 2 4 9" xfId="9020"/>
    <cellStyle name="Calculation 6 2 4 9 2" xfId="27992"/>
    <cellStyle name="Calculation 6 2 4 9 3" xfId="38837"/>
    <cellStyle name="Calculation 6 2 4 9 4" xfId="17684"/>
    <cellStyle name="Calculation 6 2 5" xfId="890"/>
    <cellStyle name="Calculation 6 2 5 10" xfId="19875"/>
    <cellStyle name="Calculation 6 2 5 11" xfId="30720"/>
    <cellStyle name="Calculation 6 2 5 12" xfId="11869"/>
    <cellStyle name="Calculation 6 2 5 2" xfId="1477"/>
    <cellStyle name="Calculation 6 2 5 2 2" xfId="4330"/>
    <cellStyle name="Calculation 6 2 5 2 2 2" xfId="23302"/>
    <cellStyle name="Calculation 6 2 5 2 2 3" xfId="34147"/>
    <cellStyle name="Calculation 6 2 5 2 2 4" xfId="14330"/>
    <cellStyle name="Calculation 6 2 5 2 3" xfId="7003"/>
    <cellStyle name="Calculation 6 2 5 2 3 2" xfId="25975"/>
    <cellStyle name="Calculation 6 2 5 2 3 3" xfId="36820"/>
    <cellStyle name="Calculation 6 2 5 2 3 4" xfId="16245"/>
    <cellStyle name="Calculation 6 2 5 2 4" xfId="9662"/>
    <cellStyle name="Calculation 6 2 5 2 4 2" xfId="28634"/>
    <cellStyle name="Calculation 6 2 5 2 4 3" xfId="39479"/>
    <cellStyle name="Calculation 6 2 5 2 4 4" xfId="18149"/>
    <cellStyle name="Calculation 6 2 5 2 5" xfId="20458"/>
    <cellStyle name="Calculation 6 2 5 2 6" xfId="31303"/>
    <cellStyle name="Calculation 6 2 5 2 7" xfId="12295"/>
    <cellStyle name="Calculation 6 2 5 3" xfId="1876"/>
    <cellStyle name="Calculation 6 2 5 3 2" xfId="4729"/>
    <cellStyle name="Calculation 6 2 5 3 2 2" xfId="23701"/>
    <cellStyle name="Calculation 6 2 5 3 2 3" xfId="34546"/>
    <cellStyle name="Calculation 6 2 5 3 2 4" xfId="14617"/>
    <cellStyle name="Calculation 6 2 5 3 3" xfId="7401"/>
    <cellStyle name="Calculation 6 2 5 3 3 2" xfId="26373"/>
    <cellStyle name="Calculation 6 2 5 3 3 3" xfId="37218"/>
    <cellStyle name="Calculation 6 2 5 3 3 4" xfId="16531"/>
    <cellStyle name="Calculation 6 2 5 3 4" xfId="10060"/>
    <cellStyle name="Calculation 6 2 5 3 4 2" xfId="29032"/>
    <cellStyle name="Calculation 6 2 5 3 4 3" xfId="39877"/>
    <cellStyle name="Calculation 6 2 5 3 4 4" xfId="18435"/>
    <cellStyle name="Calculation 6 2 5 3 5" xfId="20856"/>
    <cellStyle name="Calculation 6 2 5 3 6" xfId="31701"/>
    <cellStyle name="Calculation 6 2 5 3 7" xfId="12581"/>
    <cellStyle name="Calculation 6 2 5 4" xfId="2280"/>
    <cellStyle name="Calculation 6 2 5 4 2" xfId="5133"/>
    <cellStyle name="Calculation 6 2 5 4 2 2" xfId="24105"/>
    <cellStyle name="Calculation 6 2 5 4 2 3" xfId="34950"/>
    <cellStyle name="Calculation 6 2 5 4 2 4" xfId="14904"/>
    <cellStyle name="Calculation 6 2 5 4 3" xfId="7804"/>
    <cellStyle name="Calculation 6 2 5 4 3 2" xfId="26776"/>
    <cellStyle name="Calculation 6 2 5 4 3 3" xfId="37621"/>
    <cellStyle name="Calculation 6 2 5 4 3 4" xfId="16817"/>
    <cellStyle name="Calculation 6 2 5 4 4" xfId="10463"/>
    <cellStyle name="Calculation 6 2 5 4 4 2" xfId="29435"/>
    <cellStyle name="Calculation 6 2 5 4 4 3" xfId="40280"/>
    <cellStyle name="Calculation 6 2 5 4 4 4" xfId="18721"/>
    <cellStyle name="Calculation 6 2 5 4 5" xfId="21259"/>
    <cellStyle name="Calculation 6 2 5 4 6" xfId="32104"/>
    <cellStyle name="Calculation 6 2 5 4 7" xfId="12867"/>
    <cellStyle name="Calculation 6 2 5 5" xfId="2670"/>
    <cellStyle name="Calculation 6 2 5 5 2" xfId="5522"/>
    <cellStyle name="Calculation 6 2 5 5 2 2" xfId="24494"/>
    <cellStyle name="Calculation 6 2 5 5 2 3" xfId="35339"/>
    <cellStyle name="Calculation 6 2 5 5 2 4" xfId="15183"/>
    <cellStyle name="Calculation 6 2 5 5 3" xfId="8193"/>
    <cellStyle name="Calculation 6 2 5 5 3 2" xfId="27165"/>
    <cellStyle name="Calculation 6 2 5 5 3 3" xfId="38010"/>
    <cellStyle name="Calculation 6 2 5 5 3 4" xfId="17096"/>
    <cellStyle name="Calculation 6 2 5 5 4" xfId="10852"/>
    <cellStyle name="Calculation 6 2 5 5 4 2" xfId="29824"/>
    <cellStyle name="Calculation 6 2 5 5 4 3" xfId="40669"/>
    <cellStyle name="Calculation 6 2 5 5 4 4" xfId="19000"/>
    <cellStyle name="Calculation 6 2 5 5 5" xfId="21648"/>
    <cellStyle name="Calculation 6 2 5 5 6" xfId="32493"/>
    <cellStyle name="Calculation 6 2 5 5 7" xfId="13146"/>
    <cellStyle name="Calculation 6 2 5 6" xfId="3056"/>
    <cellStyle name="Calculation 6 2 5 6 2" xfId="5907"/>
    <cellStyle name="Calculation 6 2 5 6 2 2" xfId="24879"/>
    <cellStyle name="Calculation 6 2 5 6 2 3" xfId="35724"/>
    <cellStyle name="Calculation 6 2 5 6 2 4" xfId="15459"/>
    <cellStyle name="Calculation 6 2 5 6 3" xfId="8578"/>
    <cellStyle name="Calculation 6 2 5 6 3 2" xfId="27550"/>
    <cellStyle name="Calculation 6 2 5 6 3 3" xfId="38395"/>
    <cellStyle name="Calculation 6 2 5 6 3 4" xfId="17372"/>
    <cellStyle name="Calculation 6 2 5 6 4" xfId="11237"/>
    <cellStyle name="Calculation 6 2 5 6 4 2" xfId="30209"/>
    <cellStyle name="Calculation 6 2 5 6 4 3" xfId="41054"/>
    <cellStyle name="Calculation 6 2 5 6 4 4" xfId="19276"/>
    <cellStyle name="Calculation 6 2 5 6 5" xfId="22033"/>
    <cellStyle name="Calculation 6 2 5 6 6" xfId="32878"/>
    <cellStyle name="Calculation 6 2 5 6 7" xfId="13422"/>
    <cellStyle name="Calculation 6 2 5 7" xfId="3745"/>
    <cellStyle name="Calculation 6 2 5 7 2" xfId="22717"/>
    <cellStyle name="Calculation 6 2 5 7 3" xfId="33562"/>
    <cellStyle name="Calculation 6 2 5 7 4" xfId="13903"/>
    <cellStyle name="Calculation 6 2 5 8" xfId="6420"/>
    <cellStyle name="Calculation 6 2 5 8 2" xfId="25392"/>
    <cellStyle name="Calculation 6 2 5 8 3" xfId="36237"/>
    <cellStyle name="Calculation 6 2 5 8 4" xfId="15819"/>
    <cellStyle name="Calculation 6 2 5 9" xfId="9079"/>
    <cellStyle name="Calculation 6 2 5 9 2" xfId="28051"/>
    <cellStyle name="Calculation 6 2 5 9 3" xfId="38896"/>
    <cellStyle name="Calculation 6 2 5 9 4" xfId="17723"/>
    <cellStyle name="Calculation 6 2 6" xfId="1120"/>
    <cellStyle name="Calculation 6 2 6 2" xfId="3973"/>
    <cellStyle name="Calculation 6 2 6 2 2" xfId="22945"/>
    <cellStyle name="Calculation 6 2 6 2 3" xfId="33790"/>
    <cellStyle name="Calculation 6 2 6 2 4" xfId="14072"/>
    <cellStyle name="Calculation 6 2 6 3" xfId="6646"/>
    <cellStyle name="Calculation 6 2 6 3 2" xfId="25618"/>
    <cellStyle name="Calculation 6 2 6 3 3" xfId="36463"/>
    <cellStyle name="Calculation 6 2 6 3 4" xfId="15987"/>
    <cellStyle name="Calculation 6 2 6 4" xfId="9305"/>
    <cellStyle name="Calculation 6 2 6 4 2" xfId="28277"/>
    <cellStyle name="Calculation 6 2 6 4 3" xfId="39122"/>
    <cellStyle name="Calculation 6 2 6 4 4" xfId="17891"/>
    <cellStyle name="Calculation 6 2 6 5" xfId="20101"/>
    <cellStyle name="Calculation 6 2 6 6" xfId="30946"/>
    <cellStyle name="Calculation 6 2 6 7" xfId="12037"/>
    <cellStyle name="Calculation 6 2 7" xfId="1516"/>
    <cellStyle name="Calculation 6 2 7 2" xfId="4369"/>
    <cellStyle name="Calculation 6 2 7 2 2" xfId="23341"/>
    <cellStyle name="Calculation 6 2 7 2 3" xfId="34186"/>
    <cellStyle name="Calculation 6 2 7 2 4" xfId="14358"/>
    <cellStyle name="Calculation 6 2 7 3" xfId="7042"/>
    <cellStyle name="Calculation 6 2 7 3 2" xfId="26014"/>
    <cellStyle name="Calculation 6 2 7 3 3" xfId="36859"/>
    <cellStyle name="Calculation 6 2 7 3 4" xfId="16273"/>
    <cellStyle name="Calculation 6 2 7 4" xfId="9701"/>
    <cellStyle name="Calculation 6 2 7 4 2" xfId="28673"/>
    <cellStyle name="Calculation 6 2 7 4 3" xfId="39518"/>
    <cellStyle name="Calculation 6 2 7 4 4" xfId="18177"/>
    <cellStyle name="Calculation 6 2 7 5" xfId="20497"/>
    <cellStyle name="Calculation 6 2 7 6" xfId="31342"/>
    <cellStyle name="Calculation 6 2 7 7" xfId="12323"/>
    <cellStyle name="Calculation 6 2 8" xfId="1922"/>
    <cellStyle name="Calculation 6 2 8 2" xfId="4775"/>
    <cellStyle name="Calculation 6 2 8 2 2" xfId="23747"/>
    <cellStyle name="Calculation 6 2 8 2 3" xfId="34592"/>
    <cellStyle name="Calculation 6 2 8 2 4" xfId="14647"/>
    <cellStyle name="Calculation 6 2 8 3" xfId="7447"/>
    <cellStyle name="Calculation 6 2 8 3 2" xfId="26419"/>
    <cellStyle name="Calculation 6 2 8 3 3" xfId="37264"/>
    <cellStyle name="Calculation 6 2 8 3 4" xfId="16561"/>
    <cellStyle name="Calculation 6 2 8 4" xfId="10106"/>
    <cellStyle name="Calculation 6 2 8 4 2" xfId="29078"/>
    <cellStyle name="Calculation 6 2 8 4 3" xfId="39923"/>
    <cellStyle name="Calculation 6 2 8 4 4" xfId="18465"/>
    <cellStyle name="Calculation 6 2 8 5" xfId="20902"/>
    <cellStyle name="Calculation 6 2 8 6" xfId="31747"/>
    <cellStyle name="Calculation 6 2 8 7" xfId="12611"/>
    <cellStyle name="Calculation 6 2 9" xfId="2315"/>
    <cellStyle name="Calculation 6 2 9 2" xfId="5168"/>
    <cellStyle name="Calculation 6 2 9 2 2" xfId="24140"/>
    <cellStyle name="Calculation 6 2 9 2 3" xfId="34985"/>
    <cellStyle name="Calculation 6 2 9 2 4" xfId="14929"/>
    <cellStyle name="Calculation 6 2 9 3" xfId="7839"/>
    <cellStyle name="Calculation 6 2 9 3 2" xfId="26811"/>
    <cellStyle name="Calculation 6 2 9 3 3" xfId="37656"/>
    <cellStyle name="Calculation 6 2 9 3 4" xfId="16842"/>
    <cellStyle name="Calculation 6 2 9 4" xfId="10498"/>
    <cellStyle name="Calculation 6 2 9 4 2" xfId="29470"/>
    <cellStyle name="Calculation 6 2 9 4 3" xfId="40315"/>
    <cellStyle name="Calculation 6 2 9 4 4" xfId="18746"/>
    <cellStyle name="Calculation 6 2 9 5" xfId="21294"/>
    <cellStyle name="Calculation 6 2 9 6" xfId="32139"/>
    <cellStyle name="Calculation 6 2 9 7" xfId="12892"/>
    <cellStyle name="Calculation 6 3" xfId="602"/>
    <cellStyle name="Calculation 6 3 10" xfId="19609"/>
    <cellStyle name="Calculation 6 3 11" xfId="30454"/>
    <cellStyle name="Calculation 6 3 12" xfId="11664"/>
    <cellStyle name="Calculation 6 3 2" xfId="1206"/>
    <cellStyle name="Calculation 6 3 2 2" xfId="4059"/>
    <cellStyle name="Calculation 6 3 2 2 2" xfId="23031"/>
    <cellStyle name="Calculation 6 3 2 2 3" xfId="33876"/>
    <cellStyle name="Calculation 6 3 2 2 4" xfId="14139"/>
    <cellStyle name="Calculation 6 3 2 3" xfId="6732"/>
    <cellStyle name="Calculation 6 3 2 3 2" xfId="25704"/>
    <cellStyle name="Calculation 6 3 2 3 3" xfId="36549"/>
    <cellStyle name="Calculation 6 3 2 3 4" xfId="16054"/>
    <cellStyle name="Calculation 6 3 2 4" xfId="9391"/>
    <cellStyle name="Calculation 6 3 2 4 2" xfId="28363"/>
    <cellStyle name="Calculation 6 3 2 4 3" xfId="39208"/>
    <cellStyle name="Calculation 6 3 2 4 4" xfId="17958"/>
    <cellStyle name="Calculation 6 3 2 5" xfId="20187"/>
    <cellStyle name="Calculation 6 3 2 6" xfId="31032"/>
    <cellStyle name="Calculation 6 3 2 7" xfId="12104"/>
    <cellStyle name="Calculation 6 3 3" xfId="1604"/>
    <cellStyle name="Calculation 6 3 3 2" xfId="4457"/>
    <cellStyle name="Calculation 6 3 3 2 2" xfId="23429"/>
    <cellStyle name="Calculation 6 3 3 2 3" xfId="34274"/>
    <cellStyle name="Calculation 6 3 3 2 4" xfId="14426"/>
    <cellStyle name="Calculation 6 3 3 3" xfId="7129"/>
    <cellStyle name="Calculation 6 3 3 3 2" xfId="26101"/>
    <cellStyle name="Calculation 6 3 3 3 3" xfId="36946"/>
    <cellStyle name="Calculation 6 3 3 3 4" xfId="16340"/>
    <cellStyle name="Calculation 6 3 3 4" xfId="9788"/>
    <cellStyle name="Calculation 6 3 3 4 2" xfId="28760"/>
    <cellStyle name="Calculation 6 3 3 4 3" xfId="39605"/>
    <cellStyle name="Calculation 6 3 3 4 4" xfId="18244"/>
    <cellStyle name="Calculation 6 3 3 5" xfId="20584"/>
    <cellStyle name="Calculation 6 3 3 6" xfId="31429"/>
    <cellStyle name="Calculation 6 3 3 7" xfId="12390"/>
    <cellStyle name="Calculation 6 3 4" xfId="2006"/>
    <cellStyle name="Calculation 6 3 4 2" xfId="4859"/>
    <cellStyle name="Calculation 6 3 4 2 2" xfId="23831"/>
    <cellStyle name="Calculation 6 3 4 2 3" xfId="34676"/>
    <cellStyle name="Calculation 6 3 4 2 4" xfId="14712"/>
    <cellStyle name="Calculation 6 3 4 3" xfId="7531"/>
    <cellStyle name="Calculation 6 3 4 3 2" xfId="26503"/>
    <cellStyle name="Calculation 6 3 4 3 3" xfId="37348"/>
    <cellStyle name="Calculation 6 3 4 3 4" xfId="16626"/>
    <cellStyle name="Calculation 6 3 4 4" xfId="10190"/>
    <cellStyle name="Calculation 6 3 4 4 2" xfId="29162"/>
    <cellStyle name="Calculation 6 3 4 4 3" xfId="40007"/>
    <cellStyle name="Calculation 6 3 4 4 4" xfId="18530"/>
    <cellStyle name="Calculation 6 3 4 5" xfId="20986"/>
    <cellStyle name="Calculation 6 3 4 6" xfId="31831"/>
    <cellStyle name="Calculation 6 3 4 7" xfId="12676"/>
    <cellStyle name="Calculation 6 3 5" xfId="2398"/>
    <cellStyle name="Calculation 6 3 5 2" xfId="5251"/>
    <cellStyle name="Calculation 6 3 5 2 2" xfId="24223"/>
    <cellStyle name="Calculation 6 3 5 2 3" xfId="35068"/>
    <cellStyle name="Calculation 6 3 5 2 4" xfId="14993"/>
    <cellStyle name="Calculation 6 3 5 3" xfId="7922"/>
    <cellStyle name="Calculation 6 3 5 3 2" xfId="26894"/>
    <cellStyle name="Calculation 6 3 5 3 3" xfId="37739"/>
    <cellStyle name="Calculation 6 3 5 3 4" xfId="16906"/>
    <cellStyle name="Calculation 6 3 5 4" xfId="10581"/>
    <cellStyle name="Calculation 6 3 5 4 2" xfId="29553"/>
    <cellStyle name="Calculation 6 3 5 4 3" xfId="40398"/>
    <cellStyle name="Calculation 6 3 5 4 4" xfId="18810"/>
    <cellStyle name="Calculation 6 3 5 5" xfId="21377"/>
    <cellStyle name="Calculation 6 3 5 6" xfId="32222"/>
    <cellStyle name="Calculation 6 3 5 7" xfId="12956"/>
    <cellStyle name="Calculation 6 3 6" xfId="2787"/>
    <cellStyle name="Calculation 6 3 6 2" xfId="5639"/>
    <cellStyle name="Calculation 6 3 6 2 2" xfId="24611"/>
    <cellStyle name="Calculation 6 3 6 2 3" xfId="35456"/>
    <cellStyle name="Calculation 6 3 6 2 4" xfId="15271"/>
    <cellStyle name="Calculation 6 3 6 3" xfId="8310"/>
    <cellStyle name="Calculation 6 3 6 3 2" xfId="27282"/>
    <cellStyle name="Calculation 6 3 6 3 3" xfId="38127"/>
    <cellStyle name="Calculation 6 3 6 3 4" xfId="17184"/>
    <cellStyle name="Calculation 6 3 6 4" xfId="10969"/>
    <cellStyle name="Calculation 6 3 6 4 2" xfId="29941"/>
    <cellStyle name="Calculation 6 3 6 4 3" xfId="40786"/>
    <cellStyle name="Calculation 6 3 6 4 4" xfId="19088"/>
    <cellStyle name="Calculation 6 3 6 5" xfId="21765"/>
    <cellStyle name="Calculation 6 3 6 6" xfId="32610"/>
    <cellStyle name="Calculation 6 3 6 7" xfId="13234"/>
    <cellStyle name="Calculation 6 3 7" xfId="3478"/>
    <cellStyle name="Calculation 6 3 7 2" xfId="22450"/>
    <cellStyle name="Calculation 6 3 7 3" xfId="33295"/>
    <cellStyle name="Calculation 6 3 7 4" xfId="13716"/>
    <cellStyle name="Calculation 6 3 8" xfId="6154"/>
    <cellStyle name="Calculation 6 3 8 2" xfId="25126"/>
    <cellStyle name="Calculation 6 3 8 3" xfId="35971"/>
    <cellStyle name="Calculation 6 3 8 4" xfId="15633"/>
    <cellStyle name="Calculation 6 3 9" xfId="8813"/>
    <cellStyle name="Calculation 6 3 9 2" xfId="27785"/>
    <cellStyle name="Calculation 6 3 9 3" xfId="38630"/>
    <cellStyle name="Calculation 6 3 9 4" xfId="17537"/>
    <cellStyle name="Calculation 6 4" xfId="11488"/>
    <cellStyle name="Calculation 7" xfId="347"/>
    <cellStyle name="Calculation 7 10" xfId="1905"/>
    <cellStyle name="Calculation 7 10 2" xfId="4758"/>
    <cellStyle name="Calculation 7 10 2 2" xfId="23730"/>
    <cellStyle name="Calculation 7 10 2 3" xfId="34575"/>
    <cellStyle name="Calculation 7 10 2 4" xfId="14634"/>
    <cellStyle name="Calculation 7 10 3" xfId="7430"/>
    <cellStyle name="Calculation 7 10 3 2" xfId="26402"/>
    <cellStyle name="Calculation 7 10 3 3" xfId="37247"/>
    <cellStyle name="Calculation 7 10 3 4" xfId="16548"/>
    <cellStyle name="Calculation 7 10 4" xfId="10089"/>
    <cellStyle name="Calculation 7 10 4 2" xfId="29061"/>
    <cellStyle name="Calculation 7 10 4 3" xfId="39906"/>
    <cellStyle name="Calculation 7 10 4 4" xfId="18452"/>
    <cellStyle name="Calculation 7 10 5" xfId="20885"/>
    <cellStyle name="Calculation 7 10 6" xfId="31730"/>
    <cellStyle name="Calculation 7 10 7" xfId="12598"/>
    <cellStyle name="Calculation 7 11" xfId="2299"/>
    <cellStyle name="Calculation 7 11 2" xfId="5152"/>
    <cellStyle name="Calculation 7 11 2 2" xfId="24124"/>
    <cellStyle name="Calculation 7 11 2 3" xfId="34969"/>
    <cellStyle name="Calculation 7 11 2 4" xfId="14916"/>
    <cellStyle name="Calculation 7 11 3" xfId="7823"/>
    <cellStyle name="Calculation 7 11 3 2" xfId="26795"/>
    <cellStyle name="Calculation 7 11 3 3" xfId="37640"/>
    <cellStyle name="Calculation 7 11 3 4" xfId="16829"/>
    <cellStyle name="Calculation 7 11 4" xfId="10482"/>
    <cellStyle name="Calculation 7 11 4 2" xfId="29454"/>
    <cellStyle name="Calculation 7 11 4 3" xfId="40299"/>
    <cellStyle name="Calculation 7 11 4 4" xfId="18733"/>
    <cellStyle name="Calculation 7 11 5" xfId="21278"/>
    <cellStyle name="Calculation 7 11 6" xfId="32123"/>
    <cellStyle name="Calculation 7 11 7" xfId="12879"/>
    <cellStyle name="Calculation 7 12" xfId="2699"/>
    <cellStyle name="Calculation 7 12 2" xfId="5551"/>
    <cellStyle name="Calculation 7 12 2 2" xfId="24523"/>
    <cellStyle name="Calculation 7 12 2 3" xfId="35368"/>
    <cellStyle name="Calculation 7 12 2 4" xfId="15205"/>
    <cellStyle name="Calculation 7 12 3" xfId="8222"/>
    <cellStyle name="Calculation 7 12 3 2" xfId="27194"/>
    <cellStyle name="Calculation 7 12 3 3" xfId="38039"/>
    <cellStyle name="Calculation 7 12 3 4" xfId="17118"/>
    <cellStyle name="Calculation 7 12 4" xfId="10881"/>
    <cellStyle name="Calculation 7 12 4 2" xfId="29853"/>
    <cellStyle name="Calculation 7 12 4 3" xfId="40698"/>
    <cellStyle name="Calculation 7 12 4 4" xfId="19022"/>
    <cellStyle name="Calculation 7 12 5" xfId="21677"/>
    <cellStyle name="Calculation 7 12 6" xfId="32522"/>
    <cellStyle name="Calculation 7 12 7" xfId="13168"/>
    <cellStyle name="Calculation 7 13" xfId="1109"/>
    <cellStyle name="Calculation 7 13 2" xfId="3962"/>
    <cellStyle name="Calculation 7 13 2 2" xfId="22934"/>
    <cellStyle name="Calculation 7 13 2 3" xfId="33779"/>
    <cellStyle name="Calculation 7 13 2 4" xfId="14065"/>
    <cellStyle name="Calculation 7 13 3" xfId="6636"/>
    <cellStyle name="Calculation 7 13 3 2" xfId="25608"/>
    <cellStyle name="Calculation 7 13 3 3" xfId="36453"/>
    <cellStyle name="Calculation 7 13 3 4" xfId="15981"/>
    <cellStyle name="Calculation 7 13 4" xfId="9295"/>
    <cellStyle name="Calculation 7 13 4 2" xfId="28267"/>
    <cellStyle name="Calculation 7 13 4 3" xfId="39112"/>
    <cellStyle name="Calculation 7 13 4 4" xfId="17885"/>
    <cellStyle name="Calculation 7 13 5" xfId="20091"/>
    <cellStyle name="Calculation 7 13 6" xfId="30936"/>
    <cellStyle name="Calculation 7 13 7" xfId="12031"/>
    <cellStyle name="Calculation 7 14" xfId="3298"/>
    <cellStyle name="Calculation 7 14 2" xfId="22272"/>
    <cellStyle name="Calculation 7 14 3" xfId="33117"/>
    <cellStyle name="Calculation 7 14 4" xfId="13585"/>
    <cellStyle name="Calculation 7 15" xfId="3307"/>
    <cellStyle name="Calculation 7 15 2" xfId="22281"/>
    <cellStyle name="Calculation 7 15 3" xfId="33126"/>
    <cellStyle name="Calculation 7 15 4" xfId="13592"/>
    <cellStyle name="Calculation 7 16" xfId="500"/>
    <cellStyle name="Calculation 7 16 2" xfId="19533"/>
    <cellStyle name="Calculation 7 16 3" xfId="30378"/>
    <cellStyle name="Calculation 7 16 4" xfId="11579"/>
    <cellStyle name="Calculation 7 17" xfId="19444"/>
    <cellStyle name="Calculation 7 18" xfId="19442"/>
    <cellStyle name="Calculation 7 19" xfId="11503"/>
    <cellStyle name="Calculation 7 2" xfId="655"/>
    <cellStyle name="Calculation 7 2 10" xfId="19640"/>
    <cellStyle name="Calculation 7 2 11" xfId="30485"/>
    <cellStyle name="Calculation 7 2 12" xfId="11707"/>
    <cellStyle name="Calculation 7 2 2" xfId="1242"/>
    <cellStyle name="Calculation 7 2 2 2" xfId="4095"/>
    <cellStyle name="Calculation 7 2 2 2 2" xfId="23067"/>
    <cellStyle name="Calculation 7 2 2 2 3" xfId="33912"/>
    <cellStyle name="Calculation 7 2 2 2 4" xfId="14168"/>
    <cellStyle name="Calculation 7 2 2 3" xfId="6768"/>
    <cellStyle name="Calculation 7 2 2 3 2" xfId="25740"/>
    <cellStyle name="Calculation 7 2 2 3 3" xfId="36585"/>
    <cellStyle name="Calculation 7 2 2 3 4" xfId="16083"/>
    <cellStyle name="Calculation 7 2 2 4" xfId="9427"/>
    <cellStyle name="Calculation 7 2 2 4 2" xfId="28399"/>
    <cellStyle name="Calculation 7 2 2 4 3" xfId="39244"/>
    <cellStyle name="Calculation 7 2 2 4 4" xfId="17987"/>
    <cellStyle name="Calculation 7 2 2 5" xfId="20223"/>
    <cellStyle name="Calculation 7 2 2 6" xfId="31068"/>
    <cellStyle name="Calculation 7 2 2 7" xfId="12133"/>
    <cellStyle name="Calculation 7 2 3" xfId="1641"/>
    <cellStyle name="Calculation 7 2 3 2" xfId="4494"/>
    <cellStyle name="Calculation 7 2 3 2 2" xfId="23466"/>
    <cellStyle name="Calculation 7 2 3 2 3" xfId="34311"/>
    <cellStyle name="Calculation 7 2 3 2 4" xfId="14455"/>
    <cellStyle name="Calculation 7 2 3 3" xfId="7166"/>
    <cellStyle name="Calculation 7 2 3 3 2" xfId="26138"/>
    <cellStyle name="Calculation 7 2 3 3 3" xfId="36983"/>
    <cellStyle name="Calculation 7 2 3 3 4" xfId="16369"/>
    <cellStyle name="Calculation 7 2 3 4" xfId="9825"/>
    <cellStyle name="Calculation 7 2 3 4 2" xfId="28797"/>
    <cellStyle name="Calculation 7 2 3 4 3" xfId="39642"/>
    <cellStyle name="Calculation 7 2 3 4 4" xfId="18273"/>
    <cellStyle name="Calculation 7 2 3 5" xfId="20621"/>
    <cellStyle name="Calculation 7 2 3 6" xfId="31466"/>
    <cellStyle name="Calculation 7 2 3 7" xfId="12419"/>
    <cellStyle name="Calculation 7 2 4" xfId="2045"/>
    <cellStyle name="Calculation 7 2 4 2" xfId="4898"/>
    <cellStyle name="Calculation 7 2 4 2 2" xfId="23870"/>
    <cellStyle name="Calculation 7 2 4 2 3" xfId="34715"/>
    <cellStyle name="Calculation 7 2 4 2 4" xfId="14742"/>
    <cellStyle name="Calculation 7 2 4 3" xfId="7569"/>
    <cellStyle name="Calculation 7 2 4 3 2" xfId="26541"/>
    <cellStyle name="Calculation 7 2 4 3 3" xfId="37386"/>
    <cellStyle name="Calculation 7 2 4 3 4" xfId="16655"/>
    <cellStyle name="Calculation 7 2 4 4" xfId="10228"/>
    <cellStyle name="Calculation 7 2 4 4 2" xfId="29200"/>
    <cellStyle name="Calculation 7 2 4 4 3" xfId="40045"/>
    <cellStyle name="Calculation 7 2 4 4 4" xfId="18559"/>
    <cellStyle name="Calculation 7 2 4 5" xfId="21024"/>
    <cellStyle name="Calculation 7 2 4 6" xfId="31869"/>
    <cellStyle name="Calculation 7 2 4 7" xfId="12705"/>
    <cellStyle name="Calculation 7 2 5" xfId="2435"/>
    <cellStyle name="Calculation 7 2 5 2" xfId="5287"/>
    <cellStyle name="Calculation 7 2 5 2 2" xfId="24259"/>
    <cellStyle name="Calculation 7 2 5 2 3" xfId="35104"/>
    <cellStyle name="Calculation 7 2 5 2 4" xfId="15021"/>
    <cellStyle name="Calculation 7 2 5 3" xfId="7958"/>
    <cellStyle name="Calculation 7 2 5 3 2" xfId="26930"/>
    <cellStyle name="Calculation 7 2 5 3 3" xfId="37775"/>
    <cellStyle name="Calculation 7 2 5 3 4" xfId="16934"/>
    <cellStyle name="Calculation 7 2 5 4" xfId="10617"/>
    <cellStyle name="Calculation 7 2 5 4 2" xfId="29589"/>
    <cellStyle name="Calculation 7 2 5 4 3" xfId="40434"/>
    <cellStyle name="Calculation 7 2 5 4 4" xfId="18838"/>
    <cellStyle name="Calculation 7 2 5 5" xfId="21413"/>
    <cellStyle name="Calculation 7 2 5 6" xfId="32258"/>
    <cellStyle name="Calculation 7 2 5 7" xfId="12984"/>
    <cellStyle name="Calculation 7 2 6" xfId="2821"/>
    <cellStyle name="Calculation 7 2 6 2" xfId="5672"/>
    <cellStyle name="Calculation 7 2 6 2 2" xfId="24644"/>
    <cellStyle name="Calculation 7 2 6 2 3" xfId="35489"/>
    <cellStyle name="Calculation 7 2 6 2 4" xfId="15297"/>
    <cellStyle name="Calculation 7 2 6 3" xfId="8343"/>
    <cellStyle name="Calculation 7 2 6 3 2" xfId="27315"/>
    <cellStyle name="Calculation 7 2 6 3 3" xfId="38160"/>
    <cellStyle name="Calculation 7 2 6 3 4" xfId="17210"/>
    <cellStyle name="Calculation 7 2 6 4" xfId="11002"/>
    <cellStyle name="Calculation 7 2 6 4 2" xfId="29974"/>
    <cellStyle name="Calculation 7 2 6 4 3" xfId="40819"/>
    <cellStyle name="Calculation 7 2 6 4 4" xfId="19114"/>
    <cellStyle name="Calculation 7 2 6 5" xfId="21798"/>
    <cellStyle name="Calculation 7 2 6 6" xfId="32643"/>
    <cellStyle name="Calculation 7 2 6 7" xfId="13260"/>
    <cellStyle name="Calculation 7 2 7" xfId="3510"/>
    <cellStyle name="Calculation 7 2 7 2" xfId="22482"/>
    <cellStyle name="Calculation 7 2 7 3" xfId="33327"/>
    <cellStyle name="Calculation 7 2 7 4" xfId="13741"/>
    <cellStyle name="Calculation 7 2 8" xfId="6185"/>
    <cellStyle name="Calculation 7 2 8 2" xfId="25157"/>
    <cellStyle name="Calculation 7 2 8 3" xfId="36002"/>
    <cellStyle name="Calculation 7 2 8 4" xfId="15657"/>
    <cellStyle name="Calculation 7 2 9" xfId="8844"/>
    <cellStyle name="Calculation 7 2 9 2" xfId="27816"/>
    <cellStyle name="Calculation 7 2 9 3" xfId="38661"/>
    <cellStyle name="Calculation 7 2 9 4" xfId="17561"/>
    <cellStyle name="Calculation 7 3" xfId="547"/>
    <cellStyle name="Calculation 7 3 10" xfId="19557"/>
    <cellStyle name="Calculation 7 3 11" xfId="30402"/>
    <cellStyle name="Calculation 7 3 12" xfId="11621"/>
    <cellStyle name="Calculation 7 3 2" xfId="1153"/>
    <cellStyle name="Calculation 7 3 2 2" xfId="4006"/>
    <cellStyle name="Calculation 7 3 2 2 2" xfId="22978"/>
    <cellStyle name="Calculation 7 3 2 2 3" xfId="33823"/>
    <cellStyle name="Calculation 7 3 2 2 4" xfId="14098"/>
    <cellStyle name="Calculation 7 3 2 3" xfId="6679"/>
    <cellStyle name="Calculation 7 3 2 3 2" xfId="25651"/>
    <cellStyle name="Calculation 7 3 2 3 3" xfId="36496"/>
    <cellStyle name="Calculation 7 3 2 3 4" xfId="16013"/>
    <cellStyle name="Calculation 7 3 2 4" xfId="9338"/>
    <cellStyle name="Calculation 7 3 2 4 2" xfId="28310"/>
    <cellStyle name="Calculation 7 3 2 4 3" xfId="39155"/>
    <cellStyle name="Calculation 7 3 2 4 4" xfId="17917"/>
    <cellStyle name="Calculation 7 3 2 5" xfId="20134"/>
    <cellStyle name="Calculation 7 3 2 6" xfId="30979"/>
    <cellStyle name="Calculation 7 3 2 7" xfId="12063"/>
    <cellStyle name="Calculation 7 3 3" xfId="1550"/>
    <cellStyle name="Calculation 7 3 3 2" xfId="4403"/>
    <cellStyle name="Calculation 7 3 3 2 2" xfId="23375"/>
    <cellStyle name="Calculation 7 3 3 2 3" xfId="34220"/>
    <cellStyle name="Calculation 7 3 3 2 4" xfId="14384"/>
    <cellStyle name="Calculation 7 3 3 3" xfId="7075"/>
    <cellStyle name="Calculation 7 3 3 3 2" xfId="26047"/>
    <cellStyle name="Calculation 7 3 3 3 3" xfId="36892"/>
    <cellStyle name="Calculation 7 3 3 3 4" xfId="16298"/>
    <cellStyle name="Calculation 7 3 3 4" xfId="9734"/>
    <cellStyle name="Calculation 7 3 3 4 2" xfId="28706"/>
    <cellStyle name="Calculation 7 3 3 4 3" xfId="39551"/>
    <cellStyle name="Calculation 7 3 3 4 4" xfId="18202"/>
    <cellStyle name="Calculation 7 3 3 5" xfId="20530"/>
    <cellStyle name="Calculation 7 3 3 6" xfId="31375"/>
    <cellStyle name="Calculation 7 3 3 7" xfId="12348"/>
    <cellStyle name="Calculation 7 3 4" xfId="1954"/>
    <cellStyle name="Calculation 7 3 4 2" xfId="4807"/>
    <cellStyle name="Calculation 7 3 4 2 2" xfId="23779"/>
    <cellStyle name="Calculation 7 3 4 2 3" xfId="34624"/>
    <cellStyle name="Calculation 7 3 4 2 4" xfId="14672"/>
    <cellStyle name="Calculation 7 3 4 3" xfId="7479"/>
    <cellStyle name="Calculation 7 3 4 3 2" xfId="26451"/>
    <cellStyle name="Calculation 7 3 4 3 3" xfId="37296"/>
    <cellStyle name="Calculation 7 3 4 3 4" xfId="16586"/>
    <cellStyle name="Calculation 7 3 4 4" xfId="10138"/>
    <cellStyle name="Calculation 7 3 4 4 2" xfId="29110"/>
    <cellStyle name="Calculation 7 3 4 4 3" xfId="39955"/>
    <cellStyle name="Calculation 7 3 4 4 4" xfId="18490"/>
    <cellStyle name="Calculation 7 3 4 5" xfId="20934"/>
    <cellStyle name="Calculation 7 3 4 6" xfId="31779"/>
    <cellStyle name="Calculation 7 3 4 7" xfId="12636"/>
    <cellStyle name="Calculation 7 3 5" xfId="2346"/>
    <cellStyle name="Calculation 7 3 5 2" xfId="5199"/>
    <cellStyle name="Calculation 7 3 5 2 2" xfId="24171"/>
    <cellStyle name="Calculation 7 3 5 2 3" xfId="35016"/>
    <cellStyle name="Calculation 7 3 5 2 4" xfId="14953"/>
    <cellStyle name="Calculation 7 3 5 3" xfId="7870"/>
    <cellStyle name="Calculation 7 3 5 3 2" xfId="26842"/>
    <cellStyle name="Calculation 7 3 5 3 3" xfId="37687"/>
    <cellStyle name="Calculation 7 3 5 3 4" xfId="16866"/>
    <cellStyle name="Calculation 7 3 5 4" xfId="10529"/>
    <cellStyle name="Calculation 7 3 5 4 2" xfId="29501"/>
    <cellStyle name="Calculation 7 3 5 4 3" xfId="40346"/>
    <cellStyle name="Calculation 7 3 5 4 4" xfId="18770"/>
    <cellStyle name="Calculation 7 3 5 5" xfId="21325"/>
    <cellStyle name="Calculation 7 3 5 6" xfId="32170"/>
    <cellStyle name="Calculation 7 3 5 7" xfId="12916"/>
    <cellStyle name="Calculation 7 3 6" xfId="2735"/>
    <cellStyle name="Calculation 7 3 6 2" xfId="5587"/>
    <cellStyle name="Calculation 7 3 6 2 2" xfId="24559"/>
    <cellStyle name="Calculation 7 3 6 2 3" xfId="35404"/>
    <cellStyle name="Calculation 7 3 6 2 4" xfId="15231"/>
    <cellStyle name="Calculation 7 3 6 3" xfId="8258"/>
    <cellStyle name="Calculation 7 3 6 3 2" xfId="27230"/>
    <cellStyle name="Calculation 7 3 6 3 3" xfId="38075"/>
    <cellStyle name="Calculation 7 3 6 3 4" xfId="17144"/>
    <cellStyle name="Calculation 7 3 6 4" xfId="10917"/>
    <cellStyle name="Calculation 7 3 6 4 2" xfId="29889"/>
    <cellStyle name="Calculation 7 3 6 4 3" xfId="40734"/>
    <cellStyle name="Calculation 7 3 6 4 4" xfId="19048"/>
    <cellStyle name="Calculation 7 3 6 5" xfId="21713"/>
    <cellStyle name="Calculation 7 3 6 6" xfId="32558"/>
    <cellStyle name="Calculation 7 3 6 7" xfId="13194"/>
    <cellStyle name="Calculation 7 3 7" xfId="3426"/>
    <cellStyle name="Calculation 7 3 7 2" xfId="22398"/>
    <cellStyle name="Calculation 7 3 7 3" xfId="33243"/>
    <cellStyle name="Calculation 7 3 7 4" xfId="13676"/>
    <cellStyle name="Calculation 7 3 8" xfId="6102"/>
    <cellStyle name="Calculation 7 3 8 2" xfId="25074"/>
    <cellStyle name="Calculation 7 3 8 3" xfId="35919"/>
    <cellStyle name="Calculation 7 3 8 4" xfId="15593"/>
    <cellStyle name="Calculation 7 3 9" xfId="8761"/>
    <cellStyle name="Calculation 7 3 9 2" xfId="27733"/>
    <cellStyle name="Calculation 7 3 9 3" xfId="38578"/>
    <cellStyle name="Calculation 7 3 9 4" xfId="17497"/>
    <cellStyle name="Calculation 7 4" xfId="534"/>
    <cellStyle name="Calculation 7 4 10" xfId="19544"/>
    <cellStyle name="Calculation 7 4 11" xfId="30389"/>
    <cellStyle name="Calculation 7 4 12" xfId="11608"/>
    <cellStyle name="Calculation 7 4 2" xfId="1140"/>
    <cellStyle name="Calculation 7 4 2 2" xfId="3993"/>
    <cellStyle name="Calculation 7 4 2 2 2" xfId="22965"/>
    <cellStyle name="Calculation 7 4 2 2 3" xfId="33810"/>
    <cellStyle name="Calculation 7 4 2 2 4" xfId="14085"/>
    <cellStyle name="Calculation 7 4 2 3" xfId="6666"/>
    <cellStyle name="Calculation 7 4 2 3 2" xfId="25638"/>
    <cellStyle name="Calculation 7 4 2 3 3" xfId="36483"/>
    <cellStyle name="Calculation 7 4 2 3 4" xfId="16000"/>
    <cellStyle name="Calculation 7 4 2 4" xfId="9325"/>
    <cellStyle name="Calculation 7 4 2 4 2" xfId="28297"/>
    <cellStyle name="Calculation 7 4 2 4 3" xfId="39142"/>
    <cellStyle name="Calculation 7 4 2 4 4" xfId="17904"/>
    <cellStyle name="Calculation 7 4 2 5" xfId="20121"/>
    <cellStyle name="Calculation 7 4 2 6" xfId="30966"/>
    <cellStyle name="Calculation 7 4 2 7" xfId="12050"/>
    <cellStyle name="Calculation 7 4 3" xfId="1537"/>
    <cellStyle name="Calculation 7 4 3 2" xfId="4390"/>
    <cellStyle name="Calculation 7 4 3 2 2" xfId="23362"/>
    <cellStyle name="Calculation 7 4 3 2 3" xfId="34207"/>
    <cellStyle name="Calculation 7 4 3 2 4" xfId="14371"/>
    <cellStyle name="Calculation 7 4 3 3" xfId="7062"/>
    <cellStyle name="Calculation 7 4 3 3 2" xfId="26034"/>
    <cellStyle name="Calculation 7 4 3 3 3" xfId="36879"/>
    <cellStyle name="Calculation 7 4 3 3 4" xfId="16285"/>
    <cellStyle name="Calculation 7 4 3 4" xfId="9721"/>
    <cellStyle name="Calculation 7 4 3 4 2" xfId="28693"/>
    <cellStyle name="Calculation 7 4 3 4 3" xfId="39538"/>
    <cellStyle name="Calculation 7 4 3 4 4" xfId="18189"/>
    <cellStyle name="Calculation 7 4 3 5" xfId="20517"/>
    <cellStyle name="Calculation 7 4 3 6" xfId="31362"/>
    <cellStyle name="Calculation 7 4 3 7" xfId="12335"/>
    <cellStyle name="Calculation 7 4 4" xfId="1941"/>
    <cellStyle name="Calculation 7 4 4 2" xfId="4794"/>
    <cellStyle name="Calculation 7 4 4 2 2" xfId="23766"/>
    <cellStyle name="Calculation 7 4 4 2 3" xfId="34611"/>
    <cellStyle name="Calculation 7 4 4 2 4" xfId="14659"/>
    <cellStyle name="Calculation 7 4 4 3" xfId="7466"/>
    <cellStyle name="Calculation 7 4 4 3 2" xfId="26438"/>
    <cellStyle name="Calculation 7 4 4 3 3" xfId="37283"/>
    <cellStyle name="Calculation 7 4 4 3 4" xfId="16573"/>
    <cellStyle name="Calculation 7 4 4 4" xfId="10125"/>
    <cellStyle name="Calculation 7 4 4 4 2" xfId="29097"/>
    <cellStyle name="Calculation 7 4 4 4 3" xfId="39942"/>
    <cellStyle name="Calculation 7 4 4 4 4" xfId="18477"/>
    <cellStyle name="Calculation 7 4 4 5" xfId="20921"/>
    <cellStyle name="Calculation 7 4 4 6" xfId="31766"/>
    <cellStyle name="Calculation 7 4 4 7" xfId="12623"/>
    <cellStyle name="Calculation 7 4 5" xfId="2333"/>
    <cellStyle name="Calculation 7 4 5 2" xfId="5186"/>
    <cellStyle name="Calculation 7 4 5 2 2" xfId="24158"/>
    <cellStyle name="Calculation 7 4 5 2 3" xfId="35003"/>
    <cellStyle name="Calculation 7 4 5 2 4" xfId="14940"/>
    <cellStyle name="Calculation 7 4 5 3" xfId="7857"/>
    <cellStyle name="Calculation 7 4 5 3 2" xfId="26829"/>
    <cellStyle name="Calculation 7 4 5 3 3" xfId="37674"/>
    <cellStyle name="Calculation 7 4 5 3 4" xfId="16853"/>
    <cellStyle name="Calculation 7 4 5 4" xfId="10516"/>
    <cellStyle name="Calculation 7 4 5 4 2" xfId="29488"/>
    <cellStyle name="Calculation 7 4 5 4 3" xfId="40333"/>
    <cellStyle name="Calculation 7 4 5 4 4" xfId="18757"/>
    <cellStyle name="Calculation 7 4 5 5" xfId="21312"/>
    <cellStyle name="Calculation 7 4 5 6" xfId="32157"/>
    <cellStyle name="Calculation 7 4 5 7" xfId="12903"/>
    <cellStyle name="Calculation 7 4 6" xfId="2722"/>
    <cellStyle name="Calculation 7 4 6 2" xfId="5574"/>
    <cellStyle name="Calculation 7 4 6 2 2" xfId="24546"/>
    <cellStyle name="Calculation 7 4 6 2 3" xfId="35391"/>
    <cellStyle name="Calculation 7 4 6 2 4" xfId="15218"/>
    <cellStyle name="Calculation 7 4 6 3" xfId="8245"/>
    <cellStyle name="Calculation 7 4 6 3 2" xfId="27217"/>
    <cellStyle name="Calculation 7 4 6 3 3" xfId="38062"/>
    <cellStyle name="Calculation 7 4 6 3 4" xfId="17131"/>
    <cellStyle name="Calculation 7 4 6 4" xfId="10904"/>
    <cellStyle name="Calculation 7 4 6 4 2" xfId="29876"/>
    <cellStyle name="Calculation 7 4 6 4 3" xfId="40721"/>
    <cellStyle name="Calculation 7 4 6 4 4" xfId="19035"/>
    <cellStyle name="Calculation 7 4 6 5" xfId="21700"/>
    <cellStyle name="Calculation 7 4 6 6" xfId="32545"/>
    <cellStyle name="Calculation 7 4 6 7" xfId="13181"/>
    <cellStyle name="Calculation 7 4 7" xfId="3413"/>
    <cellStyle name="Calculation 7 4 7 2" xfId="22385"/>
    <cellStyle name="Calculation 7 4 7 3" xfId="33230"/>
    <cellStyle name="Calculation 7 4 7 4" xfId="13663"/>
    <cellStyle name="Calculation 7 4 8" xfId="6089"/>
    <cellStyle name="Calculation 7 4 8 2" xfId="25061"/>
    <cellStyle name="Calculation 7 4 8 3" xfId="35906"/>
    <cellStyle name="Calculation 7 4 8 4" xfId="15580"/>
    <cellStyle name="Calculation 7 4 9" xfId="8748"/>
    <cellStyle name="Calculation 7 4 9 2" xfId="27720"/>
    <cellStyle name="Calculation 7 4 9 3" xfId="38565"/>
    <cellStyle name="Calculation 7 4 9 4" xfId="17484"/>
    <cellStyle name="Calculation 7 5" xfId="707"/>
    <cellStyle name="Calculation 7 5 10" xfId="19692"/>
    <cellStyle name="Calculation 7 5 11" xfId="30537"/>
    <cellStyle name="Calculation 7 5 12" xfId="11749"/>
    <cellStyle name="Calculation 7 5 2" xfId="1294"/>
    <cellStyle name="Calculation 7 5 2 2" xfId="4147"/>
    <cellStyle name="Calculation 7 5 2 2 2" xfId="23119"/>
    <cellStyle name="Calculation 7 5 2 2 3" xfId="33964"/>
    <cellStyle name="Calculation 7 5 2 2 4" xfId="14210"/>
    <cellStyle name="Calculation 7 5 2 3" xfId="6820"/>
    <cellStyle name="Calculation 7 5 2 3 2" xfId="25792"/>
    <cellStyle name="Calculation 7 5 2 3 3" xfId="36637"/>
    <cellStyle name="Calculation 7 5 2 3 4" xfId="16125"/>
    <cellStyle name="Calculation 7 5 2 4" xfId="9479"/>
    <cellStyle name="Calculation 7 5 2 4 2" xfId="28451"/>
    <cellStyle name="Calculation 7 5 2 4 3" xfId="39296"/>
    <cellStyle name="Calculation 7 5 2 4 4" xfId="18029"/>
    <cellStyle name="Calculation 7 5 2 5" xfId="20275"/>
    <cellStyle name="Calculation 7 5 2 6" xfId="31120"/>
    <cellStyle name="Calculation 7 5 2 7" xfId="12175"/>
    <cellStyle name="Calculation 7 5 3" xfId="1693"/>
    <cellStyle name="Calculation 7 5 3 2" xfId="4546"/>
    <cellStyle name="Calculation 7 5 3 2 2" xfId="23518"/>
    <cellStyle name="Calculation 7 5 3 2 3" xfId="34363"/>
    <cellStyle name="Calculation 7 5 3 2 4" xfId="14497"/>
    <cellStyle name="Calculation 7 5 3 3" xfId="7218"/>
    <cellStyle name="Calculation 7 5 3 3 2" xfId="26190"/>
    <cellStyle name="Calculation 7 5 3 3 3" xfId="37035"/>
    <cellStyle name="Calculation 7 5 3 3 4" xfId="16411"/>
    <cellStyle name="Calculation 7 5 3 4" xfId="9877"/>
    <cellStyle name="Calculation 7 5 3 4 2" xfId="28849"/>
    <cellStyle name="Calculation 7 5 3 4 3" xfId="39694"/>
    <cellStyle name="Calculation 7 5 3 4 4" xfId="18315"/>
    <cellStyle name="Calculation 7 5 3 5" xfId="20673"/>
    <cellStyle name="Calculation 7 5 3 6" xfId="31518"/>
    <cellStyle name="Calculation 7 5 3 7" xfId="12461"/>
    <cellStyle name="Calculation 7 5 4" xfId="2097"/>
    <cellStyle name="Calculation 7 5 4 2" xfId="4950"/>
    <cellStyle name="Calculation 7 5 4 2 2" xfId="23922"/>
    <cellStyle name="Calculation 7 5 4 2 3" xfId="34767"/>
    <cellStyle name="Calculation 7 5 4 2 4" xfId="14784"/>
    <cellStyle name="Calculation 7 5 4 3" xfId="7621"/>
    <cellStyle name="Calculation 7 5 4 3 2" xfId="26593"/>
    <cellStyle name="Calculation 7 5 4 3 3" xfId="37438"/>
    <cellStyle name="Calculation 7 5 4 3 4" xfId="16697"/>
    <cellStyle name="Calculation 7 5 4 4" xfId="10280"/>
    <cellStyle name="Calculation 7 5 4 4 2" xfId="29252"/>
    <cellStyle name="Calculation 7 5 4 4 3" xfId="40097"/>
    <cellStyle name="Calculation 7 5 4 4 4" xfId="18601"/>
    <cellStyle name="Calculation 7 5 4 5" xfId="21076"/>
    <cellStyle name="Calculation 7 5 4 6" xfId="31921"/>
    <cellStyle name="Calculation 7 5 4 7" xfId="12747"/>
    <cellStyle name="Calculation 7 5 5" xfId="2487"/>
    <cellStyle name="Calculation 7 5 5 2" xfId="5339"/>
    <cellStyle name="Calculation 7 5 5 2 2" xfId="24311"/>
    <cellStyle name="Calculation 7 5 5 2 3" xfId="35156"/>
    <cellStyle name="Calculation 7 5 5 2 4" xfId="15063"/>
    <cellStyle name="Calculation 7 5 5 3" xfId="8010"/>
    <cellStyle name="Calculation 7 5 5 3 2" xfId="26982"/>
    <cellStyle name="Calculation 7 5 5 3 3" xfId="37827"/>
    <cellStyle name="Calculation 7 5 5 3 4" xfId="16976"/>
    <cellStyle name="Calculation 7 5 5 4" xfId="10669"/>
    <cellStyle name="Calculation 7 5 5 4 2" xfId="29641"/>
    <cellStyle name="Calculation 7 5 5 4 3" xfId="40486"/>
    <cellStyle name="Calculation 7 5 5 4 4" xfId="18880"/>
    <cellStyle name="Calculation 7 5 5 5" xfId="21465"/>
    <cellStyle name="Calculation 7 5 5 6" xfId="32310"/>
    <cellStyle name="Calculation 7 5 5 7" xfId="13026"/>
    <cellStyle name="Calculation 7 5 6" xfId="2873"/>
    <cellStyle name="Calculation 7 5 6 2" xfId="5724"/>
    <cellStyle name="Calculation 7 5 6 2 2" xfId="24696"/>
    <cellStyle name="Calculation 7 5 6 2 3" xfId="35541"/>
    <cellStyle name="Calculation 7 5 6 2 4" xfId="15339"/>
    <cellStyle name="Calculation 7 5 6 3" xfId="8395"/>
    <cellStyle name="Calculation 7 5 6 3 2" xfId="27367"/>
    <cellStyle name="Calculation 7 5 6 3 3" xfId="38212"/>
    <cellStyle name="Calculation 7 5 6 3 4" xfId="17252"/>
    <cellStyle name="Calculation 7 5 6 4" xfId="11054"/>
    <cellStyle name="Calculation 7 5 6 4 2" xfId="30026"/>
    <cellStyle name="Calculation 7 5 6 4 3" xfId="40871"/>
    <cellStyle name="Calculation 7 5 6 4 4" xfId="19156"/>
    <cellStyle name="Calculation 7 5 6 5" xfId="21850"/>
    <cellStyle name="Calculation 7 5 6 6" xfId="32695"/>
    <cellStyle name="Calculation 7 5 6 7" xfId="13302"/>
    <cellStyle name="Calculation 7 5 7" xfId="3562"/>
    <cellStyle name="Calculation 7 5 7 2" xfId="22534"/>
    <cellStyle name="Calculation 7 5 7 3" xfId="33379"/>
    <cellStyle name="Calculation 7 5 7 4" xfId="13783"/>
    <cellStyle name="Calculation 7 5 8" xfId="6237"/>
    <cellStyle name="Calculation 7 5 8 2" xfId="25209"/>
    <cellStyle name="Calculation 7 5 8 3" xfId="36054"/>
    <cellStyle name="Calculation 7 5 8 4" xfId="15699"/>
    <cellStyle name="Calculation 7 5 9" xfId="8896"/>
    <cellStyle name="Calculation 7 5 9 2" xfId="27868"/>
    <cellStyle name="Calculation 7 5 9 3" xfId="38713"/>
    <cellStyle name="Calculation 7 5 9 4" xfId="17603"/>
    <cellStyle name="Calculation 7 6" xfId="1053"/>
    <cellStyle name="Calculation 7 6 2" xfId="3906"/>
    <cellStyle name="Calculation 7 6 2 2" xfId="22878"/>
    <cellStyle name="Calculation 7 6 2 3" xfId="33723"/>
    <cellStyle name="Calculation 7 6 2 4" xfId="14019"/>
    <cellStyle name="Calculation 7 6 3" xfId="6580"/>
    <cellStyle name="Calculation 7 6 3 2" xfId="25552"/>
    <cellStyle name="Calculation 7 6 3 3" xfId="36397"/>
    <cellStyle name="Calculation 7 6 3 4" xfId="15935"/>
    <cellStyle name="Calculation 7 6 4" xfId="9239"/>
    <cellStyle name="Calculation 7 6 4 2" xfId="28211"/>
    <cellStyle name="Calculation 7 6 4 3" xfId="39056"/>
    <cellStyle name="Calculation 7 6 4 4" xfId="17839"/>
    <cellStyle name="Calculation 7 6 5" xfId="20035"/>
    <cellStyle name="Calculation 7 6 6" xfId="30880"/>
    <cellStyle name="Calculation 7 6 7" xfId="11985"/>
    <cellStyle name="Calculation 7 7" xfId="1006"/>
    <cellStyle name="Calculation 7 7 2" xfId="3859"/>
    <cellStyle name="Calculation 7 7 2 2" xfId="22831"/>
    <cellStyle name="Calculation 7 7 2 3" xfId="33676"/>
    <cellStyle name="Calculation 7 7 2 4" xfId="13987"/>
    <cellStyle name="Calculation 7 7 3" xfId="6533"/>
    <cellStyle name="Calculation 7 7 3 2" xfId="25505"/>
    <cellStyle name="Calculation 7 7 3 3" xfId="36350"/>
    <cellStyle name="Calculation 7 7 3 4" xfId="15903"/>
    <cellStyle name="Calculation 7 7 4" xfId="9192"/>
    <cellStyle name="Calculation 7 7 4 2" xfId="28164"/>
    <cellStyle name="Calculation 7 7 4 3" xfId="39009"/>
    <cellStyle name="Calculation 7 7 4 4" xfId="17807"/>
    <cellStyle name="Calculation 7 7 5" xfId="19988"/>
    <cellStyle name="Calculation 7 7 6" xfId="30833"/>
    <cellStyle name="Calculation 7 7 7" xfId="11953"/>
    <cellStyle name="Calculation 7 8" xfId="1040"/>
    <cellStyle name="Calculation 7 8 2" xfId="3893"/>
    <cellStyle name="Calculation 7 8 2 2" xfId="22865"/>
    <cellStyle name="Calculation 7 8 2 3" xfId="33710"/>
    <cellStyle name="Calculation 7 8 2 4" xfId="14010"/>
    <cellStyle name="Calculation 7 8 3" xfId="6567"/>
    <cellStyle name="Calculation 7 8 3 2" xfId="25539"/>
    <cellStyle name="Calculation 7 8 3 3" xfId="36384"/>
    <cellStyle name="Calculation 7 8 3 4" xfId="15926"/>
    <cellStyle name="Calculation 7 8 4" xfId="9226"/>
    <cellStyle name="Calculation 7 8 4 2" xfId="28198"/>
    <cellStyle name="Calculation 7 8 4 3" xfId="39043"/>
    <cellStyle name="Calculation 7 8 4 4" xfId="17830"/>
    <cellStyle name="Calculation 7 8 5" xfId="20022"/>
    <cellStyle name="Calculation 7 8 6" xfId="30867"/>
    <cellStyle name="Calculation 7 8 7" xfId="11976"/>
    <cellStyle name="Calculation 7 9" xfId="1035"/>
    <cellStyle name="Calculation 7 9 2" xfId="3888"/>
    <cellStyle name="Calculation 7 9 2 2" xfId="22860"/>
    <cellStyle name="Calculation 7 9 2 3" xfId="33705"/>
    <cellStyle name="Calculation 7 9 2 4" xfId="14007"/>
    <cellStyle name="Calculation 7 9 3" xfId="6562"/>
    <cellStyle name="Calculation 7 9 3 2" xfId="25534"/>
    <cellStyle name="Calculation 7 9 3 3" xfId="36379"/>
    <cellStyle name="Calculation 7 9 3 4" xfId="15923"/>
    <cellStyle name="Calculation 7 9 4" xfId="9221"/>
    <cellStyle name="Calculation 7 9 4 2" xfId="28193"/>
    <cellStyle name="Calculation 7 9 4 3" xfId="39038"/>
    <cellStyle name="Calculation 7 9 4 4" xfId="17827"/>
    <cellStyle name="Calculation 7 9 5" xfId="20017"/>
    <cellStyle name="Calculation 7 9 6" xfId="30862"/>
    <cellStyle name="Calculation 7 9 7" xfId="11973"/>
    <cellStyle name="Calculation 8" xfId="535"/>
    <cellStyle name="Calculation 8 10" xfId="19545"/>
    <cellStyle name="Calculation 8 11" xfId="30390"/>
    <cellStyle name="Calculation 8 12" xfId="11609"/>
    <cellStyle name="Calculation 8 2" xfId="1141"/>
    <cellStyle name="Calculation 8 2 2" xfId="3994"/>
    <cellStyle name="Calculation 8 2 2 2" xfId="22966"/>
    <cellStyle name="Calculation 8 2 2 3" xfId="33811"/>
    <cellStyle name="Calculation 8 2 2 4" xfId="14086"/>
    <cellStyle name="Calculation 8 2 3" xfId="6667"/>
    <cellStyle name="Calculation 8 2 3 2" xfId="25639"/>
    <cellStyle name="Calculation 8 2 3 3" xfId="36484"/>
    <cellStyle name="Calculation 8 2 3 4" xfId="16001"/>
    <cellStyle name="Calculation 8 2 4" xfId="9326"/>
    <cellStyle name="Calculation 8 2 4 2" xfId="28298"/>
    <cellStyle name="Calculation 8 2 4 3" xfId="39143"/>
    <cellStyle name="Calculation 8 2 4 4" xfId="17905"/>
    <cellStyle name="Calculation 8 2 5" xfId="20122"/>
    <cellStyle name="Calculation 8 2 6" xfId="30967"/>
    <cellStyle name="Calculation 8 2 7" xfId="12051"/>
    <cellStyle name="Calculation 8 3" xfId="1538"/>
    <cellStyle name="Calculation 8 3 2" xfId="4391"/>
    <cellStyle name="Calculation 8 3 2 2" xfId="23363"/>
    <cellStyle name="Calculation 8 3 2 3" xfId="34208"/>
    <cellStyle name="Calculation 8 3 2 4" xfId="14372"/>
    <cellStyle name="Calculation 8 3 3" xfId="7063"/>
    <cellStyle name="Calculation 8 3 3 2" xfId="26035"/>
    <cellStyle name="Calculation 8 3 3 3" xfId="36880"/>
    <cellStyle name="Calculation 8 3 3 4" xfId="16286"/>
    <cellStyle name="Calculation 8 3 4" xfId="9722"/>
    <cellStyle name="Calculation 8 3 4 2" xfId="28694"/>
    <cellStyle name="Calculation 8 3 4 3" xfId="39539"/>
    <cellStyle name="Calculation 8 3 4 4" xfId="18190"/>
    <cellStyle name="Calculation 8 3 5" xfId="20518"/>
    <cellStyle name="Calculation 8 3 6" xfId="31363"/>
    <cellStyle name="Calculation 8 3 7" xfId="12336"/>
    <cellStyle name="Calculation 8 4" xfId="1942"/>
    <cellStyle name="Calculation 8 4 2" xfId="4795"/>
    <cellStyle name="Calculation 8 4 2 2" xfId="23767"/>
    <cellStyle name="Calculation 8 4 2 3" xfId="34612"/>
    <cellStyle name="Calculation 8 4 2 4" xfId="14660"/>
    <cellStyle name="Calculation 8 4 3" xfId="7467"/>
    <cellStyle name="Calculation 8 4 3 2" xfId="26439"/>
    <cellStyle name="Calculation 8 4 3 3" xfId="37284"/>
    <cellStyle name="Calculation 8 4 3 4" xfId="16574"/>
    <cellStyle name="Calculation 8 4 4" xfId="10126"/>
    <cellStyle name="Calculation 8 4 4 2" xfId="29098"/>
    <cellStyle name="Calculation 8 4 4 3" xfId="39943"/>
    <cellStyle name="Calculation 8 4 4 4" xfId="18478"/>
    <cellStyle name="Calculation 8 4 5" xfId="20922"/>
    <cellStyle name="Calculation 8 4 6" xfId="31767"/>
    <cellStyle name="Calculation 8 4 7" xfId="12624"/>
    <cellStyle name="Calculation 8 5" xfId="2334"/>
    <cellStyle name="Calculation 8 5 2" xfId="5187"/>
    <cellStyle name="Calculation 8 5 2 2" xfId="24159"/>
    <cellStyle name="Calculation 8 5 2 3" xfId="35004"/>
    <cellStyle name="Calculation 8 5 2 4" xfId="14941"/>
    <cellStyle name="Calculation 8 5 3" xfId="7858"/>
    <cellStyle name="Calculation 8 5 3 2" xfId="26830"/>
    <cellStyle name="Calculation 8 5 3 3" xfId="37675"/>
    <cellStyle name="Calculation 8 5 3 4" xfId="16854"/>
    <cellStyle name="Calculation 8 5 4" xfId="10517"/>
    <cellStyle name="Calculation 8 5 4 2" xfId="29489"/>
    <cellStyle name="Calculation 8 5 4 3" xfId="40334"/>
    <cellStyle name="Calculation 8 5 4 4" xfId="18758"/>
    <cellStyle name="Calculation 8 5 5" xfId="21313"/>
    <cellStyle name="Calculation 8 5 6" xfId="32158"/>
    <cellStyle name="Calculation 8 5 7" xfId="12904"/>
    <cellStyle name="Calculation 8 6" xfId="2723"/>
    <cellStyle name="Calculation 8 6 2" xfId="5575"/>
    <cellStyle name="Calculation 8 6 2 2" xfId="24547"/>
    <cellStyle name="Calculation 8 6 2 3" xfId="35392"/>
    <cellStyle name="Calculation 8 6 2 4" xfId="15219"/>
    <cellStyle name="Calculation 8 6 3" xfId="8246"/>
    <cellStyle name="Calculation 8 6 3 2" xfId="27218"/>
    <cellStyle name="Calculation 8 6 3 3" xfId="38063"/>
    <cellStyle name="Calculation 8 6 3 4" xfId="17132"/>
    <cellStyle name="Calculation 8 6 4" xfId="10905"/>
    <cellStyle name="Calculation 8 6 4 2" xfId="29877"/>
    <cellStyle name="Calculation 8 6 4 3" xfId="40722"/>
    <cellStyle name="Calculation 8 6 4 4" xfId="19036"/>
    <cellStyle name="Calculation 8 6 5" xfId="21701"/>
    <cellStyle name="Calculation 8 6 6" xfId="32546"/>
    <cellStyle name="Calculation 8 6 7" xfId="13182"/>
    <cellStyle name="Calculation 8 7" xfId="3414"/>
    <cellStyle name="Calculation 8 7 2" xfId="22386"/>
    <cellStyle name="Calculation 8 7 3" xfId="33231"/>
    <cellStyle name="Calculation 8 7 4" xfId="13664"/>
    <cellStyle name="Calculation 8 8" xfId="6090"/>
    <cellStyle name="Calculation 8 8 2" xfId="25062"/>
    <cellStyle name="Calculation 8 8 3" xfId="35907"/>
    <cellStyle name="Calculation 8 8 4" xfId="15581"/>
    <cellStyle name="Calculation 8 9" xfId="8749"/>
    <cellStyle name="Calculation 8 9 2" xfId="27721"/>
    <cellStyle name="Calculation 8 9 3" xfId="38566"/>
    <cellStyle name="Calculation 8 9 4" xfId="17485"/>
    <cellStyle name="Calculation 9" xfId="474"/>
    <cellStyle name="Calculation 9 2" xfId="3400"/>
    <cellStyle name="Calculation 9 2 2" xfId="22372"/>
    <cellStyle name="Calculation 9 2 3" xfId="33217"/>
    <cellStyle name="Calculation 9 2 4" xfId="13653"/>
    <cellStyle name="Calculation 9 3" xfId="6080"/>
    <cellStyle name="Calculation 9 3 2" xfId="25052"/>
    <cellStyle name="Calculation 9 3 3" xfId="35897"/>
    <cellStyle name="Calculation 9 3 4" xfId="15572"/>
    <cellStyle name="Calculation 9 4" xfId="8739"/>
    <cellStyle name="Calculation 9 4 2" xfId="27711"/>
    <cellStyle name="Calculation 9 4 3" xfId="38556"/>
    <cellStyle name="Calculation 9 4 4" xfId="17476"/>
    <cellStyle name="Calculation 9 5" xfId="19524"/>
    <cellStyle name="Calculation 9 6" xfId="19443"/>
    <cellStyle name="Calculation 9 7" xfId="11568"/>
    <cellStyle name="cents" xfId="68"/>
    <cellStyle name="cents 2" xfId="358"/>
    <cellStyle name="Check Cell" xfId="69" builtinId="23" customBuiltin="1"/>
    <cellStyle name="Check Cell 2" xfId="70"/>
    <cellStyle name="Check Cell 3" xfId="248"/>
    <cellStyle name="Check Cell 4" xfId="475"/>
    <cellStyle name="Check Cell 5" xfId="11438"/>
    <cellStyle name="Comma" xfId="71" builtinId="3"/>
    <cellStyle name="Comma [0] 2" xfId="72"/>
    <cellStyle name="Comma [0] 2 2" xfId="73"/>
    <cellStyle name="Comma [0] 2 2 2" xfId="361"/>
    <cellStyle name="Comma [0] 2 3" xfId="360"/>
    <cellStyle name="Comma 10" xfId="249"/>
    <cellStyle name="Comma 11" xfId="250"/>
    <cellStyle name="Comma 12" xfId="251"/>
    <cellStyle name="Comma 13" xfId="252"/>
    <cellStyle name="Comma 14" xfId="253"/>
    <cellStyle name="Comma 15" xfId="254"/>
    <cellStyle name="Comma 16" xfId="255"/>
    <cellStyle name="Comma 17" xfId="256"/>
    <cellStyle name="Comma 18" xfId="257"/>
    <cellStyle name="Comma 19" xfId="258"/>
    <cellStyle name="Comma 2" xfId="74"/>
    <cellStyle name="Comma 2 10" xfId="41705"/>
    <cellStyle name="Comma 2 10 2" xfId="41706"/>
    <cellStyle name="Comma 2 11" xfId="41707"/>
    <cellStyle name="Comma 2 11 2" xfId="41708"/>
    <cellStyle name="Comma 2 12" xfId="41709"/>
    <cellStyle name="Comma 2 2" xfId="75"/>
    <cellStyle name="Comma 2 2 10" xfId="41710"/>
    <cellStyle name="Comma 2 2 10 2" xfId="41711"/>
    <cellStyle name="Comma 2 2 11" xfId="41712"/>
    <cellStyle name="Comma 2 2 2" xfId="76"/>
    <cellStyle name="Comma 2 2 2 2" xfId="362"/>
    <cellStyle name="Comma 2 2 2 2 2" xfId="41263"/>
    <cellStyle name="Comma 2 2 2 2 2 2" xfId="41518"/>
    <cellStyle name="Comma 2 2 2 2 2 2 2" xfId="41713"/>
    <cellStyle name="Comma 2 2 2 2 2 3" xfId="41714"/>
    <cellStyle name="Comma 2 2 2 2 2 3 2" xfId="41715"/>
    <cellStyle name="Comma 2 2 2 2 2 4" xfId="41716"/>
    <cellStyle name="Comma 2 2 2 2 3" xfId="41264"/>
    <cellStyle name="Comma 2 2 2 2 3 2" xfId="41717"/>
    <cellStyle name="Comma 2 2 2 2 4" xfId="41718"/>
    <cellStyle name="Comma 2 2 2 2 4 2" xfId="41719"/>
    <cellStyle name="Comma 2 2 2 2 5" xfId="41720"/>
    <cellStyle name="Comma 2 2 2 3" xfId="41265"/>
    <cellStyle name="Comma 2 2 2 3 2" xfId="42485"/>
    <cellStyle name="Comma 2 2 2 3 2 2" xfId="42486"/>
    <cellStyle name="Comma 2 2 2 3 3" xfId="42487"/>
    <cellStyle name="Comma 2 2 2 4" xfId="41266"/>
    <cellStyle name="Comma 2 2 2 4 2" xfId="41519"/>
    <cellStyle name="Comma 2 2 2 4 2 2" xfId="41721"/>
    <cellStyle name="Comma 2 2 2 4 3" xfId="41722"/>
    <cellStyle name="Comma 2 2 2 4 3 2" xfId="41723"/>
    <cellStyle name="Comma 2 2 2 4 4" xfId="41724"/>
    <cellStyle name="Comma 2 2 2 5" xfId="41267"/>
    <cellStyle name="Comma 2 2 2 5 2" xfId="41725"/>
    <cellStyle name="Comma 2 2 2 6" xfId="41726"/>
    <cellStyle name="Comma 2 2 2 6 2" xfId="41727"/>
    <cellStyle name="Comma 2 2 2 7" xfId="41728"/>
    <cellStyle name="Comma 2 2 2 7 2" xfId="41729"/>
    <cellStyle name="Comma 2 2 2 8" xfId="41730"/>
    <cellStyle name="Comma 2 2 3" xfId="336"/>
    <cellStyle name="Comma 2 2 3 2" xfId="41268"/>
    <cellStyle name="Comma 2 2 3 2 2" xfId="41520"/>
    <cellStyle name="Comma 2 2 3 2 2 2" xfId="41731"/>
    <cellStyle name="Comma 2 2 3 2 3" xfId="41732"/>
    <cellStyle name="Comma 2 2 3 2 3 2" xfId="41733"/>
    <cellStyle name="Comma 2 2 3 2 4" xfId="41734"/>
    <cellStyle name="Comma 2 2 3 3" xfId="41269"/>
    <cellStyle name="Comma 2 2 3 3 2" xfId="41521"/>
    <cellStyle name="Comma 2 2 3 3 2 2" xfId="41735"/>
    <cellStyle name="Comma 2 2 3 3 3" xfId="41736"/>
    <cellStyle name="Comma 2 2 3 3 3 2" xfId="41737"/>
    <cellStyle name="Comma 2 2 3 3 4" xfId="41738"/>
    <cellStyle name="Comma 2 2 3 4" xfId="41270"/>
    <cellStyle name="Comma 2 2 3 4 2" xfId="41739"/>
    <cellStyle name="Comma 2 2 3 5" xfId="41740"/>
    <cellStyle name="Comma 2 2 3 5 2" xfId="41741"/>
    <cellStyle name="Comma 2 2 3 6" xfId="41742"/>
    <cellStyle name="Comma 2 2 4" xfId="41271"/>
    <cellStyle name="Comma 2 2 4 2" xfId="41522"/>
    <cellStyle name="Comma 2 2 4 2 2" xfId="41743"/>
    <cellStyle name="Comma 2 2 4 2 3" xfId="42488"/>
    <cellStyle name="Comma 2 2 4 3" xfId="41744"/>
    <cellStyle name="Comma 2 2 4 3 2" xfId="41745"/>
    <cellStyle name="Comma 2 2 4 4" xfId="41746"/>
    <cellStyle name="Comma 2 2 4 5" xfId="42489"/>
    <cellStyle name="Comma 2 2 5" xfId="41272"/>
    <cellStyle name="Comma 2 2 5 2" xfId="41523"/>
    <cellStyle name="Comma 2 2 5 2 2" xfId="41747"/>
    <cellStyle name="Comma 2 2 5 2 3" xfId="42490"/>
    <cellStyle name="Comma 2 2 5 3" xfId="41748"/>
    <cellStyle name="Comma 2 2 5 3 2" xfId="41749"/>
    <cellStyle name="Comma 2 2 5 4" xfId="41750"/>
    <cellStyle name="Comma 2 2 6" xfId="41273"/>
    <cellStyle name="Comma 2 2 6 2" xfId="41524"/>
    <cellStyle name="Comma 2 2 6 2 2" xfId="41751"/>
    <cellStyle name="Comma 2 2 6 3" xfId="41752"/>
    <cellStyle name="Comma 2 2 6 3 2" xfId="41753"/>
    <cellStyle name="Comma 2 2 6 4" xfId="41754"/>
    <cellStyle name="Comma 2 2 7" xfId="41274"/>
    <cellStyle name="Comma 2 2 7 2" xfId="41525"/>
    <cellStyle name="Comma 2 2 7 2 2" xfId="41755"/>
    <cellStyle name="Comma 2 2 7 3" xfId="41756"/>
    <cellStyle name="Comma 2 2 7 3 2" xfId="41757"/>
    <cellStyle name="Comma 2 2 7 4" xfId="41758"/>
    <cellStyle name="Comma 2 2 8" xfId="41275"/>
    <cellStyle name="Comma 2 2 8 2" xfId="41759"/>
    <cellStyle name="Comma 2 2 9" xfId="41760"/>
    <cellStyle name="Comma 2 2 9 2" xfId="41761"/>
    <cellStyle name="Comma 2 3" xfId="41229"/>
    <cellStyle name="Comma 2 3 10" xfId="41762"/>
    <cellStyle name="Comma 2 3 2" xfId="41276"/>
    <cellStyle name="Comma 2 3 2 2" xfId="41277"/>
    <cellStyle name="Comma 2 3 2 2 2" xfId="42491"/>
    <cellStyle name="Comma 2 3 2 2 2 2" xfId="42492"/>
    <cellStyle name="Comma 2 3 2 2 3" xfId="42493"/>
    <cellStyle name="Comma 2 3 2 3" xfId="41278"/>
    <cellStyle name="Comma 2 3 2 3 2" xfId="41526"/>
    <cellStyle name="Comma 2 3 2 3 2 2" xfId="41763"/>
    <cellStyle name="Comma 2 3 2 3 3" xfId="41764"/>
    <cellStyle name="Comma 2 3 2 3 3 2" xfId="41765"/>
    <cellStyle name="Comma 2 3 2 3 4" xfId="41766"/>
    <cellStyle name="Comma 2 3 2 4" xfId="41527"/>
    <cellStyle name="Comma 2 3 2 4 2" xfId="41767"/>
    <cellStyle name="Comma 2 3 2 5" xfId="41768"/>
    <cellStyle name="Comma 2 3 2 5 2" xfId="41769"/>
    <cellStyle name="Comma 2 3 2 6" xfId="41770"/>
    <cellStyle name="Comma 2 3 3" xfId="41279"/>
    <cellStyle name="Comma 2 3 3 2" xfId="41528"/>
    <cellStyle name="Comma 2 3 3 2 2" xfId="41771"/>
    <cellStyle name="Comma 2 3 3 2 3" xfId="42494"/>
    <cellStyle name="Comma 2 3 3 3" xfId="41772"/>
    <cellStyle name="Comma 2 3 3 3 2" xfId="41773"/>
    <cellStyle name="Comma 2 3 3 4" xfId="41774"/>
    <cellStyle name="Comma 2 3 3 5" xfId="42495"/>
    <cellStyle name="Comma 2 3 4" xfId="41280"/>
    <cellStyle name="Comma 2 3 4 2" xfId="41529"/>
    <cellStyle name="Comma 2 3 4 2 2" xfId="41775"/>
    <cellStyle name="Comma 2 3 4 2 3" xfId="42496"/>
    <cellStyle name="Comma 2 3 4 3" xfId="41776"/>
    <cellStyle name="Comma 2 3 4 3 2" xfId="41777"/>
    <cellStyle name="Comma 2 3 4 4" xfId="41778"/>
    <cellStyle name="Comma 2 3 5" xfId="41281"/>
    <cellStyle name="Comma 2 3 5 2" xfId="41530"/>
    <cellStyle name="Comma 2 3 5 2 2" xfId="41779"/>
    <cellStyle name="Comma 2 3 5 3" xfId="41780"/>
    <cellStyle name="Comma 2 3 5 3 2" xfId="41781"/>
    <cellStyle name="Comma 2 3 5 4" xfId="41782"/>
    <cellStyle name="Comma 2 3 6" xfId="41282"/>
    <cellStyle name="Comma 2 3 6 2" xfId="41531"/>
    <cellStyle name="Comma 2 3 6 2 2" xfId="41783"/>
    <cellStyle name="Comma 2 3 6 3" xfId="41784"/>
    <cellStyle name="Comma 2 3 6 3 2" xfId="41785"/>
    <cellStyle name="Comma 2 3 6 4" xfId="41786"/>
    <cellStyle name="Comma 2 3 7" xfId="41532"/>
    <cellStyle name="Comma 2 3 7 2" xfId="41787"/>
    <cellStyle name="Comma 2 3 8" xfId="41788"/>
    <cellStyle name="Comma 2 3 8 2" xfId="41789"/>
    <cellStyle name="Comma 2 3 9" xfId="41790"/>
    <cellStyle name="Comma 2 3 9 2" xfId="41791"/>
    <cellStyle name="Comma 2 4" xfId="41283"/>
    <cellStyle name="Comma 2 4 2" xfId="41284"/>
    <cellStyle name="Comma 2 4 2 2" xfId="41533"/>
    <cellStyle name="Comma 2 4 2 2 2" xfId="41792"/>
    <cellStyle name="Comma 2 4 2 2 3" xfId="42497"/>
    <cellStyle name="Comma 2 4 2 3" xfId="41793"/>
    <cellStyle name="Comma 2 4 2 3 2" xfId="41794"/>
    <cellStyle name="Comma 2 4 2 4" xfId="41795"/>
    <cellStyle name="Comma 2 4 2 5" xfId="42498"/>
    <cellStyle name="Comma 2 4 3" xfId="41285"/>
    <cellStyle name="Comma 2 4 3 2" xfId="41534"/>
    <cellStyle name="Comma 2 4 3 2 2" xfId="41796"/>
    <cellStyle name="Comma 2 4 3 2 3" xfId="42499"/>
    <cellStyle name="Comma 2 4 3 3" xfId="41797"/>
    <cellStyle name="Comma 2 4 3 3 2" xfId="41798"/>
    <cellStyle name="Comma 2 4 3 4" xfId="41799"/>
    <cellStyle name="Comma 2 4 4" xfId="41236"/>
    <cellStyle name="Comma 2 4 4 2" xfId="41535"/>
    <cellStyle name="Comma 2 4 4 2 2" xfId="41800"/>
    <cellStyle name="Comma 2 4 4 3" xfId="41801"/>
    <cellStyle name="Comma 2 4 4 3 2" xfId="41802"/>
    <cellStyle name="Comma 2 4 4 4" xfId="41803"/>
    <cellStyle name="Comma 2 4 5" xfId="41286"/>
    <cellStyle name="Comma 2 4 5 2" xfId="41536"/>
    <cellStyle name="Comma 2 4 5 2 2" xfId="41804"/>
    <cellStyle name="Comma 2 4 5 3" xfId="41805"/>
    <cellStyle name="Comma 2 4 5 3 2" xfId="41806"/>
    <cellStyle name="Comma 2 4 5 4" xfId="41807"/>
    <cellStyle name="Comma 2 4 6" xfId="41537"/>
    <cellStyle name="Comma 2 4 6 2" xfId="41808"/>
    <cellStyle name="Comma 2 4 7" xfId="41809"/>
    <cellStyle name="Comma 2 4 7 2" xfId="41810"/>
    <cellStyle name="Comma 2 4 8" xfId="41811"/>
    <cellStyle name="Comma 2 5" xfId="41287"/>
    <cellStyle name="Comma 2 5 2" xfId="41288"/>
    <cellStyle name="Comma 2 5 2 2" xfId="41538"/>
    <cellStyle name="Comma 2 5 2 2 2" xfId="41812"/>
    <cellStyle name="Comma 2 5 2 2 3" xfId="42500"/>
    <cellStyle name="Comma 2 5 2 3" xfId="41813"/>
    <cellStyle name="Comma 2 5 2 3 2" xfId="41814"/>
    <cellStyle name="Comma 2 5 2 4" xfId="41815"/>
    <cellStyle name="Comma 2 5 3" xfId="41289"/>
    <cellStyle name="Comma 2 5 3 2" xfId="41539"/>
    <cellStyle name="Comma 2 5 3 2 2" xfId="41816"/>
    <cellStyle name="Comma 2 5 3 2 3" xfId="42501"/>
    <cellStyle name="Comma 2 5 3 3" xfId="41817"/>
    <cellStyle name="Comma 2 5 3 3 2" xfId="41818"/>
    <cellStyle name="Comma 2 5 3 4" xfId="41819"/>
    <cellStyle name="Comma 2 5 4" xfId="42502"/>
    <cellStyle name="Comma 2 5 4 2" xfId="42503"/>
    <cellStyle name="Comma 2 5 4 3" xfId="42504"/>
    <cellStyle name="Comma 2 5 5" xfId="42505"/>
    <cellStyle name="Comma 2 5 6" xfId="42506"/>
    <cellStyle name="Comma 2 5 6 2" xfId="42507"/>
    <cellStyle name="Comma 2 5 7" xfId="42508"/>
    <cellStyle name="Comma 2 5 8" xfId="42509"/>
    <cellStyle name="Comma 2 6" xfId="41290"/>
    <cellStyle name="Comma 2 6 2" xfId="41540"/>
    <cellStyle name="Comma 2 6 2 2" xfId="41820"/>
    <cellStyle name="Comma 2 6 3" xfId="41821"/>
    <cellStyle name="Comma 2 6 3 2" xfId="41822"/>
    <cellStyle name="Comma 2 6 4" xfId="41823"/>
    <cellStyle name="Comma 2 7" xfId="41291"/>
    <cellStyle name="Comma 2 7 2" xfId="41541"/>
    <cellStyle name="Comma 2 7 2 2" xfId="41824"/>
    <cellStyle name="Comma 2 7 3" xfId="41825"/>
    <cellStyle name="Comma 2 7 3 2" xfId="41826"/>
    <cellStyle name="Comma 2 7 4" xfId="41827"/>
    <cellStyle name="Comma 2 8" xfId="41292"/>
    <cellStyle name="Comma 2 8 2" xfId="41542"/>
    <cellStyle name="Comma 2 8 2 2" xfId="41828"/>
    <cellStyle name="Comma 2 8 3" xfId="41829"/>
    <cellStyle name="Comma 2 8 3 2" xfId="41830"/>
    <cellStyle name="Comma 2 8 4" xfId="41831"/>
    <cellStyle name="Comma 2 9" xfId="41293"/>
    <cellStyle name="Comma 2 9 2" xfId="41832"/>
    <cellStyle name="Comma 20" xfId="259"/>
    <cellStyle name="Comma 21" xfId="260"/>
    <cellStyle name="Comma 22" xfId="261"/>
    <cellStyle name="Comma 23" xfId="262"/>
    <cellStyle name="Comma 24" xfId="263"/>
    <cellStyle name="Comma 25" xfId="264"/>
    <cellStyle name="Comma 26" xfId="265"/>
    <cellStyle name="Comma 27" xfId="266"/>
    <cellStyle name="Comma 28" xfId="267"/>
    <cellStyle name="Comma 29" xfId="268"/>
    <cellStyle name="Comma 3" xfId="77"/>
    <cellStyle name="Comma 3 2" xfId="41219"/>
    <cellStyle name="Comma 3 3" xfId="42635"/>
    <cellStyle name="Comma 30" xfId="269"/>
    <cellStyle name="Comma 31" xfId="270"/>
    <cellStyle name="Comma 32" xfId="271"/>
    <cellStyle name="Comma 33" xfId="272"/>
    <cellStyle name="Comma 34" xfId="273"/>
    <cellStyle name="Comma 35" xfId="274"/>
    <cellStyle name="Comma 36" xfId="275"/>
    <cellStyle name="Comma 37" xfId="276"/>
    <cellStyle name="Comma 38" xfId="277"/>
    <cellStyle name="Comma 39" xfId="278"/>
    <cellStyle name="Comma 4" xfId="78"/>
    <cellStyle name="Comma 4 2" xfId="363"/>
    <cellStyle name="Comma 4 2 2" xfId="41294"/>
    <cellStyle name="Comma 4 3" xfId="41295"/>
    <cellStyle name="Comma 40" xfId="279"/>
    <cellStyle name="Comma 41" xfId="280"/>
    <cellStyle name="Comma 42" xfId="281"/>
    <cellStyle name="Comma 43" xfId="282"/>
    <cellStyle name="Comma 44" xfId="283"/>
    <cellStyle name="Comma 45" xfId="284"/>
    <cellStyle name="Comma 46" xfId="285"/>
    <cellStyle name="Comma 47" xfId="408"/>
    <cellStyle name="Comma 48" xfId="359"/>
    <cellStyle name="Comma 48 2" xfId="632"/>
    <cellStyle name="Comma 48 3" xfId="511"/>
    <cellStyle name="Comma 49" xfId="476"/>
    <cellStyle name="Comma 5" xfId="192"/>
    <cellStyle name="Comma 5 2" xfId="41296"/>
    <cellStyle name="Comma 5 2 2" xfId="41543"/>
    <cellStyle name="Comma 5 2 2 2" xfId="41833"/>
    <cellStyle name="Comma 5 2 3" xfId="41834"/>
    <cellStyle name="Comma 5 2 3 2" xfId="41835"/>
    <cellStyle name="Comma 5 2 4" xfId="41836"/>
    <cellStyle name="Comma 5 3" xfId="41297"/>
    <cellStyle name="Comma 5 3 2" xfId="41837"/>
    <cellStyle name="Comma 5 4" xfId="41838"/>
    <cellStyle name="Comma 5 4 2" xfId="41839"/>
    <cellStyle name="Comma 5 5" xfId="41840"/>
    <cellStyle name="Comma 50" xfId="943"/>
    <cellStyle name="Comma 51" xfId="1117"/>
    <cellStyle name="Comma 52" xfId="1532"/>
    <cellStyle name="Comma 53" xfId="2039"/>
    <cellStyle name="Comma 54" xfId="2430"/>
    <cellStyle name="Comma 55" xfId="2817"/>
    <cellStyle name="Comma 56" xfId="1002"/>
    <cellStyle name="Comma 57" xfId="929"/>
    <cellStyle name="Comma 58" xfId="445"/>
    <cellStyle name="Comma 58 2" xfId="11565"/>
    <cellStyle name="Comma 59" xfId="502"/>
    <cellStyle name="Comma 59 2" xfId="11580"/>
    <cellStyle name="Comma 6" xfId="196"/>
    <cellStyle name="Comma 6 2" xfId="41298"/>
    <cellStyle name="Comma 6 2 2" xfId="41544"/>
    <cellStyle name="Comma 6 2 2 2" xfId="41841"/>
    <cellStyle name="Comma 6 2 2 3" xfId="42510"/>
    <cellStyle name="Comma 6 2 3" xfId="41842"/>
    <cellStyle name="Comma 6 2 3 2" xfId="41843"/>
    <cellStyle name="Comma 6 2 4" xfId="41844"/>
    <cellStyle name="Comma 6 3" xfId="41299"/>
    <cellStyle name="Comma 6 3 2" xfId="41545"/>
    <cellStyle name="Comma 6 3 2 2" xfId="41845"/>
    <cellStyle name="Comma 6 3 2 3" xfId="42511"/>
    <cellStyle name="Comma 6 3 3" xfId="41846"/>
    <cellStyle name="Comma 6 3 3 2" xfId="41847"/>
    <cellStyle name="Comma 6 3 4" xfId="41848"/>
    <cellStyle name="Comma 6 4" xfId="42512"/>
    <cellStyle name="Comma 6 4 2" xfId="42513"/>
    <cellStyle name="Comma 6 4 3" xfId="42514"/>
    <cellStyle name="Comma 6 5" xfId="42515"/>
    <cellStyle name="Comma 6 6" xfId="42516"/>
    <cellStyle name="Comma 60" xfId="3253"/>
    <cellStyle name="Comma 61" xfId="3244"/>
    <cellStyle name="Comma 62" xfId="3386"/>
    <cellStyle name="Comma 63" xfId="3263"/>
    <cellStyle name="Comma 63 2" xfId="13564"/>
    <cellStyle name="Comma 64" xfId="11439"/>
    <cellStyle name="Comma 65" xfId="19408"/>
    <cellStyle name="Comma 66" xfId="19409"/>
    <cellStyle name="Comma 67" xfId="11400"/>
    <cellStyle name="Comma 68" xfId="41221"/>
    <cellStyle name="Comma 69" xfId="41228"/>
    <cellStyle name="Comma 7" xfId="200"/>
    <cellStyle name="Comma 7 2" xfId="417"/>
    <cellStyle name="Comma 7 2 2" xfId="41300"/>
    <cellStyle name="Comma 7 2 2 2" xfId="41849"/>
    <cellStyle name="Comma 7 2 2 3" xfId="42517"/>
    <cellStyle name="Comma 7 2 3" xfId="41850"/>
    <cellStyle name="Comma 7 2 3 2" xfId="41851"/>
    <cellStyle name="Comma 7 2 4" xfId="41852"/>
    <cellStyle name="Comma 7 3" xfId="41301"/>
    <cellStyle name="Comma 7 3 2" xfId="41546"/>
    <cellStyle name="Comma 7 3 2 2" xfId="41853"/>
    <cellStyle name="Comma 7 3 2 3" xfId="42518"/>
    <cellStyle name="Comma 7 3 3" xfId="41854"/>
    <cellStyle name="Comma 7 3 3 2" xfId="41855"/>
    <cellStyle name="Comma 7 3 4" xfId="41856"/>
    <cellStyle name="Comma 7 4" xfId="41302"/>
    <cellStyle name="Comma 7 4 2" xfId="41857"/>
    <cellStyle name="Comma 7 4 3" xfId="42519"/>
    <cellStyle name="Comma 7 5" xfId="41858"/>
    <cellStyle name="Comma 7 5 2" xfId="41859"/>
    <cellStyle name="Comma 7 6" xfId="41860"/>
    <cellStyle name="Comma 70" xfId="41234"/>
    <cellStyle name="Comma 71" xfId="41239"/>
    <cellStyle name="Comma 72" xfId="41303"/>
    <cellStyle name="Comma 73" xfId="41304"/>
    <cellStyle name="Comma 74" xfId="41305"/>
    <cellStyle name="Comma 75" xfId="41306"/>
    <cellStyle name="Comma 76" xfId="41307"/>
    <cellStyle name="Comma 77" xfId="41308"/>
    <cellStyle name="Comma 78" xfId="41309"/>
    <cellStyle name="Comma 79" xfId="41510"/>
    <cellStyle name="Comma 8" xfId="203"/>
    <cellStyle name="Comma 8 2" xfId="420"/>
    <cellStyle name="Comma 8 2 2" xfId="643"/>
    <cellStyle name="Comma 8 2 2 2" xfId="11695"/>
    <cellStyle name="Comma 8 2 3" xfId="521"/>
    <cellStyle name="Comma 8 2 3 2" xfId="11595"/>
    <cellStyle name="Comma 8 2 4" xfId="11547"/>
    <cellStyle name="Comma 8 3" xfId="598"/>
    <cellStyle name="Comma 8 3 2" xfId="11660"/>
    <cellStyle name="Comma 8 4" xfId="496"/>
    <cellStyle name="Comma 8 4 2" xfId="11575"/>
    <cellStyle name="Comma 8 5" xfId="11486"/>
    <cellStyle name="Comma 8 6" xfId="41310"/>
    <cellStyle name="Comma 80" xfId="41513"/>
    <cellStyle name="Comma 81" xfId="42643"/>
    <cellStyle name="Comma 9" xfId="286"/>
    <cellStyle name="Comma 9 2" xfId="41311"/>
    <cellStyle name="Comma0" xfId="193"/>
    <cellStyle name="Comma0 2" xfId="288"/>
    <cellStyle name="Comma0_Inputs Yr 1" xfId="287"/>
    <cellStyle name="Currency" xfId="79" builtinId="4"/>
    <cellStyle name="Currency 10" xfId="364"/>
    <cellStyle name="Currency 10 2" xfId="634"/>
    <cellStyle name="Currency 10 3" xfId="512"/>
    <cellStyle name="Currency 10 4" xfId="41312"/>
    <cellStyle name="Currency 11" xfId="477"/>
    <cellStyle name="Currency 12" xfId="446"/>
    <cellStyle name="Currency 12 2" xfId="11566"/>
    <cellStyle name="Currency 13" xfId="11440"/>
    <cellStyle name="Currency 14" xfId="41220"/>
    <cellStyle name="Currency 15" xfId="42642"/>
    <cellStyle name="Currency 2" xfId="80"/>
    <cellStyle name="Currency 2 10" xfId="41313"/>
    <cellStyle name="Currency 2 10 2" xfId="41547"/>
    <cellStyle name="Currency 2 10 2 2" xfId="41861"/>
    <cellStyle name="Currency 2 10 3" xfId="41862"/>
    <cellStyle name="Currency 2 10 3 2" xfId="41863"/>
    <cellStyle name="Currency 2 10 4" xfId="41864"/>
    <cellStyle name="Currency 2 11" xfId="41314"/>
    <cellStyle name="Currency 2 11 2" xfId="41548"/>
    <cellStyle name="Currency 2 11 2 2" xfId="41865"/>
    <cellStyle name="Currency 2 11 3" xfId="41866"/>
    <cellStyle name="Currency 2 11 3 2" xfId="41867"/>
    <cellStyle name="Currency 2 11 4" xfId="41868"/>
    <cellStyle name="Currency 2 12" xfId="41315"/>
    <cellStyle name="Currency 2 12 2" xfId="41869"/>
    <cellStyle name="Currency 2 13" xfId="41870"/>
    <cellStyle name="Currency 2 13 2" xfId="41871"/>
    <cellStyle name="Currency 2 14" xfId="41872"/>
    <cellStyle name="Currency 2 14 2" xfId="41873"/>
    <cellStyle name="Currency 2 15" xfId="41874"/>
    <cellStyle name="Currency 2 2" xfId="185"/>
    <cellStyle name="Currency 2 2 10" xfId="41875"/>
    <cellStyle name="Currency 2 2 10 2" xfId="41876"/>
    <cellStyle name="Currency 2 2 11" xfId="41877"/>
    <cellStyle name="Currency 2 2 2" xfId="338"/>
    <cellStyle name="Currency 2 2 2 2" xfId="41316"/>
    <cellStyle name="Currency 2 2 2 2 2" xfId="41317"/>
    <cellStyle name="Currency 2 2 2 2 2 2" xfId="41549"/>
    <cellStyle name="Currency 2 2 2 2 2 2 2" xfId="41878"/>
    <cellStyle name="Currency 2 2 2 2 2 3" xfId="41879"/>
    <cellStyle name="Currency 2 2 2 2 2 3 2" xfId="41880"/>
    <cellStyle name="Currency 2 2 2 2 2 4" xfId="41881"/>
    <cellStyle name="Currency 2 2 2 2 3" xfId="41550"/>
    <cellStyle name="Currency 2 2 2 2 3 2" xfId="41882"/>
    <cellStyle name="Currency 2 2 2 2 4" xfId="41883"/>
    <cellStyle name="Currency 2 2 2 2 4 2" xfId="41884"/>
    <cellStyle name="Currency 2 2 2 2 5" xfId="41885"/>
    <cellStyle name="Currency 2 2 2 3" xfId="41318"/>
    <cellStyle name="Currency 2 2 2 3 2" xfId="42520"/>
    <cellStyle name="Currency 2 2 2 3 2 2" xfId="42521"/>
    <cellStyle name="Currency 2 2 2 3 3" xfId="42522"/>
    <cellStyle name="Currency 2 2 2 4" xfId="41319"/>
    <cellStyle name="Currency 2 2 2 4 2" xfId="41551"/>
    <cellStyle name="Currency 2 2 2 4 2 2" xfId="41886"/>
    <cellStyle name="Currency 2 2 2 4 3" xfId="41887"/>
    <cellStyle name="Currency 2 2 2 4 3 2" xfId="41888"/>
    <cellStyle name="Currency 2 2 2 4 4" xfId="41889"/>
    <cellStyle name="Currency 2 2 2 5" xfId="41320"/>
    <cellStyle name="Currency 2 2 2 5 2" xfId="41890"/>
    <cellStyle name="Currency 2 2 2 6" xfId="41891"/>
    <cellStyle name="Currency 2 2 2 6 2" xfId="41892"/>
    <cellStyle name="Currency 2 2 2 7" xfId="41893"/>
    <cellStyle name="Currency 2 2 2 7 2" xfId="41894"/>
    <cellStyle name="Currency 2 2 2 8" xfId="41895"/>
    <cellStyle name="Currency 2 2 3" xfId="41321"/>
    <cellStyle name="Currency 2 2 3 2" xfId="41322"/>
    <cellStyle name="Currency 2 2 3 2 2" xfId="41552"/>
    <cellStyle name="Currency 2 2 3 2 2 2" xfId="41896"/>
    <cellStyle name="Currency 2 2 3 2 3" xfId="41897"/>
    <cellStyle name="Currency 2 2 3 2 3 2" xfId="41898"/>
    <cellStyle name="Currency 2 2 3 2 4" xfId="41899"/>
    <cellStyle name="Currency 2 2 3 3" xfId="41323"/>
    <cellStyle name="Currency 2 2 3 3 2" xfId="41553"/>
    <cellStyle name="Currency 2 2 3 3 2 2" xfId="41900"/>
    <cellStyle name="Currency 2 2 3 3 3" xfId="41901"/>
    <cellStyle name="Currency 2 2 3 3 3 2" xfId="41902"/>
    <cellStyle name="Currency 2 2 3 3 4" xfId="41903"/>
    <cellStyle name="Currency 2 2 3 4" xfId="41554"/>
    <cellStyle name="Currency 2 2 3 4 2" xfId="41904"/>
    <cellStyle name="Currency 2 2 3 5" xfId="41905"/>
    <cellStyle name="Currency 2 2 3 5 2" xfId="41906"/>
    <cellStyle name="Currency 2 2 3 6" xfId="41907"/>
    <cellStyle name="Currency 2 2 4" xfId="41324"/>
    <cellStyle name="Currency 2 2 4 2" xfId="41555"/>
    <cellStyle name="Currency 2 2 4 2 2" xfId="41908"/>
    <cellStyle name="Currency 2 2 4 2 3" xfId="42523"/>
    <cellStyle name="Currency 2 2 4 3" xfId="41909"/>
    <cellStyle name="Currency 2 2 4 3 2" xfId="41910"/>
    <cellStyle name="Currency 2 2 4 4" xfId="41911"/>
    <cellStyle name="Currency 2 2 4 5" xfId="42524"/>
    <cellStyle name="Currency 2 2 5" xfId="41325"/>
    <cellStyle name="Currency 2 2 5 2" xfId="41556"/>
    <cellStyle name="Currency 2 2 5 2 2" xfId="41912"/>
    <cellStyle name="Currency 2 2 5 2 3" xfId="42525"/>
    <cellStyle name="Currency 2 2 5 3" xfId="41913"/>
    <cellStyle name="Currency 2 2 5 3 2" xfId="41914"/>
    <cellStyle name="Currency 2 2 5 4" xfId="41915"/>
    <cellStyle name="Currency 2 2 6" xfId="41326"/>
    <cellStyle name="Currency 2 2 6 2" xfId="41557"/>
    <cellStyle name="Currency 2 2 6 2 2" xfId="41916"/>
    <cellStyle name="Currency 2 2 6 3" xfId="41917"/>
    <cellStyle name="Currency 2 2 6 3 2" xfId="41918"/>
    <cellStyle name="Currency 2 2 6 4" xfId="41919"/>
    <cellStyle name="Currency 2 2 7" xfId="41327"/>
    <cellStyle name="Currency 2 2 7 2" xfId="41558"/>
    <cellStyle name="Currency 2 2 7 2 2" xfId="41920"/>
    <cellStyle name="Currency 2 2 7 3" xfId="41921"/>
    <cellStyle name="Currency 2 2 7 3 2" xfId="41922"/>
    <cellStyle name="Currency 2 2 7 4" xfId="41923"/>
    <cellStyle name="Currency 2 2 8" xfId="41328"/>
    <cellStyle name="Currency 2 2 8 2" xfId="41924"/>
    <cellStyle name="Currency 2 2 9" xfId="41925"/>
    <cellStyle name="Currency 2 2 9 2" xfId="41926"/>
    <cellStyle name="Currency 2 3" xfId="41230"/>
    <cellStyle name="Currency 2 3 10" xfId="41927"/>
    <cellStyle name="Currency 2 3 2" xfId="41329"/>
    <cellStyle name="Currency 2 3 2 2" xfId="41330"/>
    <cellStyle name="Currency 2 3 2 2 2" xfId="42526"/>
    <cellStyle name="Currency 2 3 2 2 2 2" xfId="42527"/>
    <cellStyle name="Currency 2 3 2 2 3" xfId="42528"/>
    <cellStyle name="Currency 2 3 2 3" xfId="41331"/>
    <cellStyle name="Currency 2 3 2 3 2" xfId="41559"/>
    <cellStyle name="Currency 2 3 2 3 2 2" xfId="41928"/>
    <cellStyle name="Currency 2 3 2 3 3" xfId="41929"/>
    <cellStyle name="Currency 2 3 2 3 3 2" xfId="41930"/>
    <cellStyle name="Currency 2 3 2 3 4" xfId="41931"/>
    <cellStyle name="Currency 2 3 2 4" xfId="41560"/>
    <cellStyle name="Currency 2 3 2 4 2" xfId="41932"/>
    <cellStyle name="Currency 2 3 2 5" xfId="41933"/>
    <cellStyle name="Currency 2 3 2 5 2" xfId="41934"/>
    <cellStyle name="Currency 2 3 2 6" xfId="41935"/>
    <cellStyle name="Currency 2 3 3" xfId="41332"/>
    <cellStyle name="Currency 2 3 3 2" xfId="41561"/>
    <cellStyle name="Currency 2 3 3 2 2" xfId="41936"/>
    <cellStyle name="Currency 2 3 3 2 3" xfId="42529"/>
    <cellStyle name="Currency 2 3 3 3" xfId="41937"/>
    <cellStyle name="Currency 2 3 3 3 2" xfId="41938"/>
    <cellStyle name="Currency 2 3 3 4" xfId="41939"/>
    <cellStyle name="Currency 2 3 3 5" xfId="42530"/>
    <cellStyle name="Currency 2 3 4" xfId="41333"/>
    <cellStyle name="Currency 2 3 4 2" xfId="41562"/>
    <cellStyle name="Currency 2 3 4 2 2" xfId="41940"/>
    <cellStyle name="Currency 2 3 4 2 3" xfId="42531"/>
    <cellStyle name="Currency 2 3 4 3" xfId="41941"/>
    <cellStyle name="Currency 2 3 4 3 2" xfId="41942"/>
    <cellStyle name="Currency 2 3 4 4" xfId="41943"/>
    <cellStyle name="Currency 2 3 5" xfId="41334"/>
    <cellStyle name="Currency 2 3 5 2" xfId="41563"/>
    <cellStyle name="Currency 2 3 5 2 2" xfId="41944"/>
    <cellStyle name="Currency 2 3 5 3" xfId="41945"/>
    <cellStyle name="Currency 2 3 5 3 2" xfId="41946"/>
    <cellStyle name="Currency 2 3 5 4" xfId="41947"/>
    <cellStyle name="Currency 2 3 6" xfId="41335"/>
    <cellStyle name="Currency 2 3 6 2" xfId="41564"/>
    <cellStyle name="Currency 2 3 6 2 2" xfId="41948"/>
    <cellStyle name="Currency 2 3 6 3" xfId="41949"/>
    <cellStyle name="Currency 2 3 6 3 2" xfId="41950"/>
    <cellStyle name="Currency 2 3 6 4" xfId="41951"/>
    <cellStyle name="Currency 2 3 7" xfId="41565"/>
    <cellStyle name="Currency 2 3 7 2" xfId="41952"/>
    <cellStyle name="Currency 2 3 8" xfId="41953"/>
    <cellStyle name="Currency 2 3 8 2" xfId="41954"/>
    <cellStyle name="Currency 2 3 9" xfId="41955"/>
    <cellStyle name="Currency 2 3 9 2" xfId="41956"/>
    <cellStyle name="Currency 2 4" xfId="41336"/>
    <cellStyle name="Currency 2 4 2" xfId="41337"/>
    <cellStyle name="Currency 2 4 2 2" xfId="41338"/>
    <cellStyle name="Currency 2 4 2 2 2" xfId="41566"/>
    <cellStyle name="Currency 2 4 2 2 2 2" xfId="41957"/>
    <cellStyle name="Currency 2 4 2 2 3" xfId="41958"/>
    <cellStyle name="Currency 2 4 2 2 3 2" xfId="41959"/>
    <cellStyle name="Currency 2 4 2 2 4" xfId="41960"/>
    <cellStyle name="Currency 2 4 2 3" xfId="41339"/>
    <cellStyle name="Currency 2 4 2 3 2" xfId="41567"/>
    <cellStyle name="Currency 2 4 2 3 2 2" xfId="41961"/>
    <cellStyle name="Currency 2 4 2 3 3" xfId="41962"/>
    <cellStyle name="Currency 2 4 2 3 3 2" xfId="41963"/>
    <cellStyle name="Currency 2 4 2 3 4" xfId="41964"/>
    <cellStyle name="Currency 2 4 2 4" xfId="41568"/>
    <cellStyle name="Currency 2 4 2 4 2" xfId="41965"/>
    <cellStyle name="Currency 2 4 2 5" xfId="41966"/>
    <cellStyle name="Currency 2 4 2 5 2" xfId="41967"/>
    <cellStyle name="Currency 2 4 2 6" xfId="41968"/>
    <cellStyle name="Currency 2 4 3" xfId="41340"/>
    <cellStyle name="Currency 2 4 3 2" xfId="41569"/>
    <cellStyle name="Currency 2 4 3 2 2" xfId="41969"/>
    <cellStyle name="Currency 2 4 3 2 3" xfId="42532"/>
    <cellStyle name="Currency 2 4 3 3" xfId="41970"/>
    <cellStyle name="Currency 2 4 3 3 2" xfId="41971"/>
    <cellStyle name="Currency 2 4 3 4" xfId="41972"/>
    <cellStyle name="Currency 2 4 3 5" xfId="42533"/>
    <cellStyle name="Currency 2 4 4" xfId="41341"/>
    <cellStyle name="Currency 2 4 4 2" xfId="41570"/>
    <cellStyle name="Currency 2 4 4 2 2" xfId="41973"/>
    <cellStyle name="Currency 2 4 4 3" xfId="41974"/>
    <cellStyle name="Currency 2 4 4 3 2" xfId="41975"/>
    <cellStyle name="Currency 2 4 4 4" xfId="41976"/>
    <cellStyle name="Currency 2 4 5" xfId="41342"/>
    <cellStyle name="Currency 2 4 5 2" xfId="41571"/>
    <cellStyle name="Currency 2 4 5 2 2" xfId="41977"/>
    <cellStyle name="Currency 2 4 5 3" xfId="41978"/>
    <cellStyle name="Currency 2 4 5 3 2" xfId="41979"/>
    <cellStyle name="Currency 2 4 5 4" xfId="41980"/>
    <cellStyle name="Currency 2 4 6" xfId="41572"/>
    <cellStyle name="Currency 2 4 6 2" xfId="41981"/>
    <cellStyle name="Currency 2 4 7" xfId="41982"/>
    <cellStyle name="Currency 2 4 7 2" xfId="41983"/>
    <cellStyle name="Currency 2 4 8" xfId="41984"/>
    <cellStyle name="Currency 2 4 8 2" xfId="41985"/>
    <cellStyle name="Currency 2 4 9" xfId="41986"/>
    <cellStyle name="Currency 2 5" xfId="41343"/>
    <cellStyle name="Currency 2 5 2" xfId="41344"/>
    <cellStyle name="Currency 2 5 2 2" xfId="41573"/>
    <cellStyle name="Currency 2 5 2 2 2" xfId="41987"/>
    <cellStyle name="Currency 2 5 2 2 3" xfId="42534"/>
    <cellStyle name="Currency 2 5 2 3" xfId="41988"/>
    <cellStyle name="Currency 2 5 2 3 2" xfId="41989"/>
    <cellStyle name="Currency 2 5 2 4" xfId="41990"/>
    <cellStyle name="Currency 2 5 2 5" xfId="42535"/>
    <cellStyle name="Currency 2 5 3" xfId="41345"/>
    <cellStyle name="Currency 2 5 3 2" xfId="41574"/>
    <cellStyle name="Currency 2 5 3 2 2" xfId="41991"/>
    <cellStyle name="Currency 2 5 3 2 3" xfId="42536"/>
    <cellStyle name="Currency 2 5 3 3" xfId="41992"/>
    <cellStyle name="Currency 2 5 3 3 2" xfId="41993"/>
    <cellStyle name="Currency 2 5 3 4" xfId="41994"/>
    <cellStyle name="Currency 2 5 4" xfId="41346"/>
    <cellStyle name="Currency 2 5 4 2" xfId="41575"/>
    <cellStyle name="Currency 2 5 4 2 2" xfId="41995"/>
    <cellStyle name="Currency 2 5 4 3" xfId="41996"/>
    <cellStyle name="Currency 2 5 4 3 2" xfId="41997"/>
    <cellStyle name="Currency 2 5 4 4" xfId="41998"/>
    <cellStyle name="Currency 2 5 5" xfId="41347"/>
    <cellStyle name="Currency 2 5 5 2" xfId="41576"/>
    <cellStyle name="Currency 2 5 5 2 2" xfId="41999"/>
    <cellStyle name="Currency 2 5 5 3" xfId="42000"/>
    <cellStyle name="Currency 2 5 5 3 2" xfId="42001"/>
    <cellStyle name="Currency 2 5 5 4" xfId="42002"/>
    <cellStyle name="Currency 2 5 6" xfId="41577"/>
    <cellStyle name="Currency 2 5 6 2" xfId="42003"/>
    <cellStyle name="Currency 2 5 7" xfId="42004"/>
    <cellStyle name="Currency 2 5 7 2" xfId="42005"/>
    <cellStyle name="Currency 2 5 8" xfId="42006"/>
    <cellStyle name="Currency 2 6" xfId="41348"/>
    <cellStyle name="Currency 2 6 2" xfId="41578"/>
    <cellStyle name="Currency 2 6 2 2" xfId="42007"/>
    <cellStyle name="Currency 2 6 2 3" xfId="42537"/>
    <cellStyle name="Currency 2 6 3" xfId="42008"/>
    <cellStyle name="Currency 2 6 3 2" xfId="42009"/>
    <cellStyle name="Currency 2 6 4" xfId="42010"/>
    <cellStyle name="Currency 2 6 5" xfId="42538"/>
    <cellStyle name="Currency 2 7" xfId="41349"/>
    <cellStyle name="Currency 2 7 2" xfId="41579"/>
    <cellStyle name="Currency 2 7 2 2" xfId="42011"/>
    <cellStyle name="Currency 2 7 2 3" xfId="42539"/>
    <cellStyle name="Currency 2 7 3" xfId="42012"/>
    <cellStyle name="Currency 2 7 3 2" xfId="42013"/>
    <cellStyle name="Currency 2 7 4" xfId="42014"/>
    <cellStyle name="Currency 2 7 5" xfId="42540"/>
    <cellStyle name="Currency 2 8" xfId="41350"/>
    <cellStyle name="Currency 2 8 2" xfId="41580"/>
    <cellStyle name="Currency 2 8 2 2" xfId="42015"/>
    <cellStyle name="Currency 2 8 2 3" xfId="42541"/>
    <cellStyle name="Currency 2 8 3" xfId="42016"/>
    <cellStyle name="Currency 2 8 3 2" xfId="42017"/>
    <cellStyle name="Currency 2 8 4" xfId="42018"/>
    <cellStyle name="Currency 2 9" xfId="41351"/>
    <cellStyle name="Currency 2 9 2" xfId="41581"/>
    <cellStyle name="Currency 2 9 2 2" xfId="42019"/>
    <cellStyle name="Currency 2 9 3" xfId="42020"/>
    <cellStyle name="Currency 2 9 3 2" xfId="42021"/>
    <cellStyle name="Currency 2 9 4" xfId="42022"/>
    <cellStyle name="Currency 3" xfId="168"/>
    <cellStyle name="Currency 3 2" xfId="412"/>
    <cellStyle name="Currency 3 3" xfId="41218"/>
    <cellStyle name="Currency 3 3 2" xfId="41352"/>
    <cellStyle name="Currency 3 3 2 2" xfId="41582"/>
    <cellStyle name="Currency 3 3 2 2 2" xfId="42023"/>
    <cellStyle name="Currency 3 3 2 3" xfId="42024"/>
    <cellStyle name="Currency 3 3 2 3 2" xfId="42025"/>
    <cellStyle name="Currency 3 3 2 4" xfId="42026"/>
    <cellStyle name="Currency 3 3 3" xfId="41583"/>
    <cellStyle name="Currency 3 3 3 2" xfId="42027"/>
    <cellStyle name="Currency 3 3 4" xfId="42028"/>
    <cellStyle name="Currency 3 3 4 2" xfId="42029"/>
    <cellStyle name="Currency 3 3 5" xfId="42030"/>
    <cellStyle name="Currency 3 3 6" xfId="42644"/>
    <cellStyle name="Currency 3 4" xfId="41353"/>
    <cellStyle name="Currency 3 4 2" xfId="41354"/>
    <cellStyle name="Currency 3 4 2 2" xfId="41584"/>
    <cellStyle name="Currency 3 4 2 2 2" xfId="42031"/>
    <cellStyle name="Currency 3 4 2 2 3" xfId="42542"/>
    <cellStyle name="Currency 3 4 2 3" xfId="42032"/>
    <cellStyle name="Currency 3 4 2 3 2" xfId="42033"/>
    <cellStyle name="Currency 3 4 2 4" xfId="42034"/>
    <cellStyle name="Currency 3 4 3" xfId="41355"/>
    <cellStyle name="Currency 3 4 3 2" xfId="41585"/>
    <cellStyle name="Currency 3 4 3 2 2" xfId="42035"/>
    <cellStyle name="Currency 3 4 3 2 3" xfId="42543"/>
    <cellStyle name="Currency 3 4 3 3" xfId="42036"/>
    <cellStyle name="Currency 3 4 3 3 2" xfId="42037"/>
    <cellStyle name="Currency 3 4 3 4" xfId="42038"/>
    <cellStyle name="Currency 3 4 4" xfId="41586"/>
    <cellStyle name="Currency 3 4 4 2" xfId="42039"/>
    <cellStyle name="Currency 3 4 4 3" xfId="42544"/>
    <cellStyle name="Currency 3 4 5" xfId="42040"/>
    <cellStyle name="Currency 3 4 5 2" xfId="42041"/>
    <cellStyle name="Currency 3 4 6" xfId="42042"/>
    <cellStyle name="Currency 3 4 7" xfId="42545"/>
    <cellStyle name="Currency 3 5" xfId="41356"/>
    <cellStyle name="Currency 3 5 2" xfId="41587"/>
    <cellStyle name="Currency 3 5 2 2" xfId="42043"/>
    <cellStyle name="Currency 3 5 3" xfId="42044"/>
    <cellStyle name="Currency 3 5 3 2" xfId="42045"/>
    <cellStyle name="Currency 3 5 4" xfId="42046"/>
    <cellStyle name="Currency 3 6" xfId="41357"/>
    <cellStyle name="Currency 3 6 2" xfId="42047"/>
    <cellStyle name="Currency 3 6 3" xfId="42546"/>
    <cellStyle name="Currency 3 7" xfId="42048"/>
    <cellStyle name="Currency 3 7 2" xfId="42049"/>
    <cellStyle name="Currency 3 8" xfId="42050"/>
    <cellStyle name="Currency 3 8 2" xfId="42051"/>
    <cellStyle name="Currency 3 9" xfId="42052"/>
    <cellStyle name="Currency 4" xfId="202"/>
    <cellStyle name="Currency 4 2" xfId="419"/>
    <cellStyle name="Currency 4 2 2" xfId="642"/>
    <cellStyle name="Currency 4 2 2 2" xfId="11694"/>
    <cellStyle name="Currency 4 2 2 2 2" xfId="41358"/>
    <cellStyle name="Currency 4 2 2 2 2 2" xfId="42053"/>
    <cellStyle name="Currency 4 2 2 2 2 3" xfId="42547"/>
    <cellStyle name="Currency 4 2 2 2 3" xfId="42054"/>
    <cellStyle name="Currency 4 2 2 2 3 2" xfId="42055"/>
    <cellStyle name="Currency 4 2 2 2 4" xfId="42056"/>
    <cellStyle name="Currency 4 2 2 3" xfId="41359"/>
    <cellStyle name="Currency 4 2 2 3 2" xfId="41588"/>
    <cellStyle name="Currency 4 2 2 3 2 2" xfId="42057"/>
    <cellStyle name="Currency 4 2 2 3 2 3" xfId="42548"/>
    <cellStyle name="Currency 4 2 2 3 3" xfId="42058"/>
    <cellStyle name="Currency 4 2 2 3 3 2" xfId="42059"/>
    <cellStyle name="Currency 4 2 2 3 4" xfId="42060"/>
    <cellStyle name="Currency 4 2 2 4" xfId="41360"/>
    <cellStyle name="Currency 4 2 2 4 2" xfId="42061"/>
    <cellStyle name="Currency 4 2 2 4 3" xfId="42549"/>
    <cellStyle name="Currency 4 2 2 5" xfId="42062"/>
    <cellStyle name="Currency 4 2 2 5 2" xfId="42063"/>
    <cellStyle name="Currency 4 2 2 6" xfId="42064"/>
    <cellStyle name="Currency 4 2 3" xfId="520"/>
    <cellStyle name="Currency 4 2 3 2" xfId="11594"/>
    <cellStyle name="Currency 4 2 3 2 2" xfId="42065"/>
    <cellStyle name="Currency 4 2 3 2 3" xfId="42550"/>
    <cellStyle name="Currency 4 2 3 3" xfId="41361"/>
    <cellStyle name="Currency 4 2 3 3 2" xfId="42066"/>
    <cellStyle name="Currency 4 2 3 4" xfId="42067"/>
    <cellStyle name="Currency 4 2 4" xfId="11546"/>
    <cellStyle name="Currency 4 2 4 2" xfId="41362"/>
    <cellStyle name="Currency 4 2 4 2 2" xfId="42068"/>
    <cellStyle name="Currency 4 2 4 2 3" xfId="42551"/>
    <cellStyle name="Currency 4 2 4 3" xfId="42069"/>
    <cellStyle name="Currency 4 2 4 3 2" xfId="42070"/>
    <cellStyle name="Currency 4 2 4 4" xfId="42071"/>
    <cellStyle name="Currency 4 2 5" xfId="41363"/>
    <cellStyle name="Currency 4 2 5 2" xfId="42072"/>
    <cellStyle name="Currency 4 2 5 3" xfId="42552"/>
    <cellStyle name="Currency 4 2 6" xfId="42073"/>
    <cellStyle name="Currency 4 2 6 2" xfId="42074"/>
    <cellStyle name="Currency 4 2 7" xfId="42075"/>
    <cellStyle name="Currency 4 3" xfId="597"/>
    <cellStyle name="Currency 4 3 2" xfId="11659"/>
    <cellStyle name="Currency 4 3 2 2" xfId="42076"/>
    <cellStyle name="Currency 4 3 3" xfId="41364"/>
    <cellStyle name="Currency 4 3 3 2" xfId="42077"/>
    <cellStyle name="Currency 4 3 4" xfId="42078"/>
    <cellStyle name="Currency 4 4" xfId="495"/>
    <cellStyle name="Currency 4 4 2" xfId="11574"/>
    <cellStyle name="Currency 4 5" xfId="11485"/>
    <cellStyle name="Currency 4 5 2" xfId="42079"/>
    <cellStyle name="Currency 4 6" xfId="41365"/>
    <cellStyle name="Currency 5" xfId="289"/>
    <cellStyle name="Currency 5 2" xfId="41366"/>
    <cellStyle name="Currency 6" xfId="290"/>
    <cellStyle name="Currency 6 2" xfId="41367"/>
    <cellStyle name="Currency 7" xfId="291"/>
    <cellStyle name="Currency 7 2" xfId="41368"/>
    <cellStyle name="Currency 8" xfId="331"/>
    <cellStyle name="Currency 8 2" xfId="41369"/>
    <cellStyle name="Currency 8 2 2" xfId="42080"/>
    <cellStyle name="Currency 8 3" xfId="42081"/>
    <cellStyle name="Currency 8 3 2" xfId="42082"/>
    <cellStyle name="Currency 8 4" xfId="42083"/>
    <cellStyle name="Currency 9" xfId="409"/>
    <cellStyle name="Currency 9 2" xfId="41370"/>
    <cellStyle name="Currency 9 2 2" xfId="42084"/>
    <cellStyle name="Currency 9 3" xfId="42085"/>
    <cellStyle name="Currency 9 3 2" xfId="42086"/>
    <cellStyle name="Currency 9 4" xfId="42087"/>
    <cellStyle name="Euro" xfId="194"/>
    <cellStyle name="Euro 2" xfId="416"/>
    <cellStyle name="Explanatory Text" xfId="81" builtinId="53" customBuiltin="1"/>
    <cellStyle name="Explanatory Text 2" xfId="82"/>
    <cellStyle name="Explanatory Text 3" xfId="292"/>
    <cellStyle name="Explanatory Text 4" xfId="478"/>
    <cellStyle name="Explanatory Text 5" xfId="11441"/>
    <cellStyle name="Good" xfId="83" builtinId="26" customBuiltin="1"/>
    <cellStyle name="Good 2" xfId="84"/>
    <cellStyle name="Good 3" xfId="293"/>
    <cellStyle name="Good 4" xfId="479"/>
    <cellStyle name="Good 5" xfId="11442"/>
    <cellStyle name="Header" xfId="85"/>
    <cellStyle name="Heading 1" xfId="86" builtinId="16" customBuiltin="1"/>
    <cellStyle name="Heading 1 2" xfId="87"/>
    <cellStyle name="Heading 1 2 2" xfId="186"/>
    <cellStyle name="Heading 1 3" xfId="294"/>
    <cellStyle name="Heading 1 4" xfId="295"/>
    <cellStyle name="Heading 1 5" xfId="480"/>
    <cellStyle name="Heading 1 6" xfId="11443"/>
    <cellStyle name="Heading 2" xfId="88" builtinId="17" customBuiltin="1"/>
    <cellStyle name="Heading 2 2" xfId="89"/>
    <cellStyle name="Heading 2 2 2" xfId="187"/>
    <cellStyle name="Heading 2 3" xfId="296"/>
    <cellStyle name="Heading 2 4" xfId="297"/>
    <cellStyle name="Heading 2 5" xfId="481"/>
    <cellStyle name="Heading 2 6" xfId="11444"/>
    <cellStyle name="Heading 3" xfId="90" builtinId="18" customBuiltin="1"/>
    <cellStyle name="Heading 3 2" xfId="91"/>
    <cellStyle name="Heading 3 2 2" xfId="188"/>
    <cellStyle name="Heading 3 3" xfId="298"/>
    <cellStyle name="Heading 3 4" xfId="299"/>
    <cellStyle name="Heading 3 5" xfId="482"/>
    <cellStyle name="Heading 3 6" xfId="11445"/>
    <cellStyle name="Heading 4" xfId="92" builtinId="19" customBuiltin="1"/>
    <cellStyle name="Heading 4 2" xfId="93"/>
    <cellStyle name="Heading 4 3" xfId="300"/>
    <cellStyle name="Heading 4 4" xfId="301"/>
    <cellStyle name="Heading 4 5" xfId="483"/>
    <cellStyle name="Heading 4 6" xfId="11446"/>
    <cellStyle name="heading1" xfId="41371"/>
    <cellStyle name="Hyperlink" xfId="42645" builtinId="8"/>
    <cellStyle name="Hyperlink 2" xfId="94"/>
    <cellStyle name="Hyperlink 2 2" xfId="41372"/>
    <cellStyle name="Hyperlink 2 3" xfId="41373"/>
    <cellStyle name="Hyperlink 3" xfId="41374"/>
    <cellStyle name="Input" xfId="95" builtinId="20" customBuiltin="1"/>
    <cellStyle name="Input 2" xfId="96"/>
    <cellStyle name="Input 2 10" xfId="550"/>
    <cellStyle name="Input 2 10 10" xfId="19560"/>
    <cellStyle name="Input 2 10 11" xfId="30405"/>
    <cellStyle name="Input 2 10 12" xfId="11624"/>
    <cellStyle name="Input 2 10 2" xfId="1156"/>
    <cellStyle name="Input 2 10 2 2" xfId="4009"/>
    <cellStyle name="Input 2 10 2 2 2" xfId="22981"/>
    <cellStyle name="Input 2 10 2 2 3" xfId="33826"/>
    <cellStyle name="Input 2 10 2 2 4" xfId="14101"/>
    <cellStyle name="Input 2 10 2 3" xfId="6682"/>
    <cellStyle name="Input 2 10 2 3 2" xfId="25654"/>
    <cellStyle name="Input 2 10 2 3 3" xfId="36499"/>
    <cellStyle name="Input 2 10 2 3 4" xfId="16016"/>
    <cellStyle name="Input 2 10 2 4" xfId="9341"/>
    <cellStyle name="Input 2 10 2 4 2" xfId="28313"/>
    <cellStyle name="Input 2 10 2 4 3" xfId="39158"/>
    <cellStyle name="Input 2 10 2 4 4" xfId="17920"/>
    <cellStyle name="Input 2 10 2 5" xfId="20137"/>
    <cellStyle name="Input 2 10 2 6" xfId="30982"/>
    <cellStyle name="Input 2 10 2 7" xfId="12066"/>
    <cellStyle name="Input 2 10 3" xfId="1553"/>
    <cellStyle name="Input 2 10 3 2" xfId="4406"/>
    <cellStyle name="Input 2 10 3 2 2" xfId="23378"/>
    <cellStyle name="Input 2 10 3 2 3" xfId="34223"/>
    <cellStyle name="Input 2 10 3 2 4" xfId="14387"/>
    <cellStyle name="Input 2 10 3 3" xfId="7078"/>
    <cellStyle name="Input 2 10 3 3 2" xfId="26050"/>
    <cellStyle name="Input 2 10 3 3 3" xfId="36895"/>
    <cellStyle name="Input 2 10 3 3 4" xfId="16301"/>
    <cellStyle name="Input 2 10 3 4" xfId="9737"/>
    <cellStyle name="Input 2 10 3 4 2" xfId="28709"/>
    <cellStyle name="Input 2 10 3 4 3" xfId="39554"/>
    <cellStyle name="Input 2 10 3 4 4" xfId="18205"/>
    <cellStyle name="Input 2 10 3 5" xfId="20533"/>
    <cellStyle name="Input 2 10 3 6" xfId="31378"/>
    <cellStyle name="Input 2 10 3 7" xfId="12351"/>
    <cellStyle name="Input 2 10 4" xfId="1957"/>
    <cellStyle name="Input 2 10 4 2" xfId="4810"/>
    <cellStyle name="Input 2 10 4 2 2" xfId="23782"/>
    <cellStyle name="Input 2 10 4 2 3" xfId="34627"/>
    <cellStyle name="Input 2 10 4 2 4" xfId="14675"/>
    <cellStyle name="Input 2 10 4 3" xfId="7482"/>
    <cellStyle name="Input 2 10 4 3 2" xfId="26454"/>
    <cellStyle name="Input 2 10 4 3 3" xfId="37299"/>
    <cellStyle name="Input 2 10 4 3 4" xfId="16589"/>
    <cellStyle name="Input 2 10 4 4" xfId="10141"/>
    <cellStyle name="Input 2 10 4 4 2" xfId="29113"/>
    <cellStyle name="Input 2 10 4 4 3" xfId="39958"/>
    <cellStyle name="Input 2 10 4 4 4" xfId="18493"/>
    <cellStyle name="Input 2 10 4 5" xfId="20937"/>
    <cellStyle name="Input 2 10 4 6" xfId="31782"/>
    <cellStyle name="Input 2 10 4 7" xfId="12639"/>
    <cellStyle name="Input 2 10 5" xfId="2349"/>
    <cellStyle name="Input 2 10 5 2" xfId="5202"/>
    <cellStyle name="Input 2 10 5 2 2" xfId="24174"/>
    <cellStyle name="Input 2 10 5 2 3" xfId="35019"/>
    <cellStyle name="Input 2 10 5 2 4" xfId="14956"/>
    <cellStyle name="Input 2 10 5 3" xfId="7873"/>
    <cellStyle name="Input 2 10 5 3 2" xfId="26845"/>
    <cellStyle name="Input 2 10 5 3 3" xfId="37690"/>
    <cellStyle name="Input 2 10 5 3 4" xfId="16869"/>
    <cellStyle name="Input 2 10 5 4" xfId="10532"/>
    <cellStyle name="Input 2 10 5 4 2" xfId="29504"/>
    <cellStyle name="Input 2 10 5 4 3" xfId="40349"/>
    <cellStyle name="Input 2 10 5 4 4" xfId="18773"/>
    <cellStyle name="Input 2 10 5 5" xfId="21328"/>
    <cellStyle name="Input 2 10 5 6" xfId="32173"/>
    <cellStyle name="Input 2 10 5 7" xfId="12919"/>
    <cellStyle name="Input 2 10 6" xfId="2738"/>
    <cellStyle name="Input 2 10 6 2" xfId="5590"/>
    <cellStyle name="Input 2 10 6 2 2" xfId="24562"/>
    <cellStyle name="Input 2 10 6 2 3" xfId="35407"/>
    <cellStyle name="Input 2 10 6 2 4" xfId="15234"/>
    <cellStyle name="Input 2 10 6 3" xfId="8261"/>
    <cellStyle name="Input 2 10 6 3 2" xfId="27233"/>
    <cellStyle name="Input 2 10 6 3 3" xfId="38078"/>
    <cellStyle name="Input 2 10 6 3 4" xfId="17147"/>
    <cellStyle name="Input 2 10 6 4" xfId="10920"/>
    <cellStyle name="Input 2 10 6 4 2" xfId="29892"/>
    <cellStyle name="Input 2 10 6 4 3" xfId="40737"/>
    <cellStyle name="Input 2 10 6 4 4" xfId="19051"/>
    <cellStyle name="Input 2 10 6 5" xfId="21716"/>
    <cellStyle name="Input 2 10 6 6" xfId="32561"/>
    <cellStyle name="Input 2 10 6 7" xfId="13197"/>
    <cellStyle name="Input 2 10 7" xfId="3429"/>
    <cellStyle name="Input 2 10 7 2" xfId="22401"/>
    <cellStyle name="Input 2 10 7 3" xfId="33246"/>
    <cellStyle name="Input 2 10 7 4" xfId="13679"/>
    <cellStyle name="Input 2 10 8" xfId="6105"/>
    <cellStyle name="Input 2 10 8 2" xfId="25077"/>
    <cellStyle name="Input 2 10 8 3" xfId="35922"/>
    <cellStyle name="Input 2 10 8 4" xfId="15596"/>
    <cellStyle name="Input 2 10 9" xfId="8764"/>
    <cellStyle name="Input 2 10 9 2" xfId="27736"/>
    <cellStyle name="Input 2 10 9 3" xfId="38581"/>
    <cellStyle name="Input 2 10 9 4" xfId="17500"/>
    <cellStyle name="Input 2 11" xfId="11448"/>
    <cellStyle name="Input 2 2" xfId="97"/>
    <cellStyle name="Input 2 2 2" xfId="367"/>
    <cellStyle name="Input 2 2 2 10" xfId="1039"/>
    <cellStyle name="Input 2 2 2 10 2" xfId="3892"/>
    <cellStyle name="Input 2 2 2 10 2 2" xfId="22864"/>
    <cellStyle name="Input 2 2 2 10 2 3" xfId="33709"/>
    <cellStyle name="Input 2 2 2 10 2 4" xfId="14009"/>
    <cellStyle name="Input 2 2 2 10 3" xfId="6566"/>
    <cellStyle name="Input 2 2 2 10 3 2" xfId="25538"/>
    <cellStyle name="Input 2 2 2 10 3 3" xfId="36383"/>
    <cellStyle name="Input 2 2 2 10 3 4" xfId="15925"/>
    <cellStyle name="Input 2 2 2 10 4" xfId="9225"/>
    <cellStyle name="Input 2 2 2 10 4 2" xfId="28197"/>
    <cellStyle name="Input 2 2 2 10 4 3" xfId="39042"/>
    <cellStyle name="Input 2 2 2 10 4 4" xfId="17829"/>
    <cellStyle name="Input 2 2 2 10 5" xfId="20021"/>
    <cellStyle name="Input 2 2 2 10 6" xfId="30866"/>
    <cellStyle name="Input 2 2 2 10 7" xfId="11975"/>
    <cellStyle name="Input 2 2 2 11" xfId="947"/>
    <cellStyle name="Input 2 2 2 11 2" xfId="3800"/>
    <cellStyle name="Input 2 2 2 11 2 2" xfId="22772"/>
    <cellStyle name="Input 2 2 2 11 2 3" xfId="33617"/>
    <cellStyle name="Input 2 2 2 11 2 4" xfId="13945"/>
    <cellStyle name="Input 2 2 2 11 3" xfId="6475"/>
    <cellStyle name="Input 2 2 2 11 3 2" xfId="25447"/>
    <cellStyle name="Input 2 2 2 11 3 3" xfId="36292"/>
    <cellStyle name="Input 2 2 2 11 3 4" xfId="15861"/>
    <cellStyle name="Input 2 2 2 11 4" xfId="9134"/>
    <cellStyle name="Input 2 2 2 11 4 2" xfId="28106"/>
    <cellStyle name="Input 2 2 2 11 4 3" xfId="38951"/>
    <cellStyle name="Input 2 2 2 11 4 4" xfId="17765"/>
    <cellStyle name="Input 2 2 2 11 5" xfId="19930"/>
    <cellStyle name="Input 2 2 2 11 6" xfId="30775"/>
    <cellStyle name="Input 2 2 2 11 7" xfId="11911"/>
    <cellStyle name="Input 2 2 2 12" xfId="3103"/>
    <cellStyle name="Input 2 2 2 12 2" xfId="5954"/>
    <cellStyle name="Input 2 2 2 12 2 2" xfId="24926"/>
    <cellStyle name="Input 2 2 2 12 2 3" xfId="35771"/>
    <cellStyle name="Input 2 2 2 12 2 4" xfId="15489"/>
    <cellStyle name="Input 2 2 2 12 3" xfId="8625"/>
    <cellStyle name="Input 2 2 2 12 3 2" xfId="27597"/>
    <cellStyle name="Input 2 2 2 12 3 3" xfId="38442"/>
    <cellStyle name="Input 2 2 2 12 3 4" xfId="17402"/>
    <cellStyle name="Input 2 2 2 12 4" xfId="11284"/>
    <cellStyle name="Input 2 2 2 12 4 2" xfId="30256"/>
    <cellStyle name="Input 2 2 2 12 4 3" xfId="41101"/>
    <cellStyle name="Input 2 2 2 12 4 4" xfId="19306"/>
    <cellStyle name="Input 2 2 2 12 5" xfId="22080"/>
    <cellStyle name="Input 2 2 2 12 6" xfId="32925"/>
    <cellStyle name="Input 2 2 2 12 7" xfId="13452"/>
    <cellStyle name="Input 2 2 2 13" xfId="3160"/>
    <cellStyle name="Input 2 2 2 13 2" xfId="6011"/>
    <cellStyle name="Input 2 2 2 13 2 2" xfId="24983"/>
    <cellStyle name="Input 2 2 2 13 2 3" xfId="35828"/>
    <cellStyle name="Input 2 2 2 13 2 4" xfId="15526"/>
    <cellStyle name="Input 2 2 2 13 3" xfId="8682"/>
    <cellStyle name="Input 2 2 2 13 3 2" xfId="27654"/>
    <cellStyle name="Input 2 2 2 13 3 3" xfId="38499"/>
    <cellStyle name="Input 2 2 2 13 3 4" xfId="17439"/>
    <cellStyle name="Input 2 2 2 13 4" xfId="11341"/>
    <cellStyle name="Input 2 2 2 13 4 2" xfId="30313"/>
    <cellStyle name="Input 2 2 2 13 4 3" xfId="41158"/>
    <cellStyle name="Input 2 2 2 13 4 4" xfId="19343"/>
    <cellStyle name="Input 2 2 2 13 5" xfId="22137"/>
    <cellStyle name="Input 2 2 2 13 6" xfId="32982"/>
    <cellStyle name="Input 2 2 2 13 7" xfId="13489"/>
    <cellStyle name="Input 2 2 2 14" xfId="3326"/>
    <cellStyle name="Input 2 2 2 14 2" xfId="22300"/>
    <cellStyle name="Input 2 2 2 14 3" xfId="33145"/>
    <cellStyle name="Input 2 2 2 14 4" xfId="13606"/>
    <cellStyle name="Input 2 2 2 15" xfId="3228"/>
    <cellStyle name="Input 2 2 2 15 2" xfId="22205"/>
    <cellStyle name="Input 2 2 2 15 3" xfId="33050"/>
    <cellStyle name="Input 2 2 2 15 4" xfId="13536"/>
    <cellStyle name="Input 2 2 2 16" xfId="3325"/>
    <cellStyle name="Input 2 2 2 16 2" xfId="22299"/>
    <cellStyle name="Input 2 2 2 16 3" xfId="33144"/>
    <cellStyle name="Input 2 2 2 16 4" xfId="13605"/>
    <cellStyle name="Input 2 2 2 17" xfId="19457"/>
    <cellStyle name="Input 2 2 2 18" xfId="19418"/>
    <cellStyle name="Input 2 2 2 19" xfId="11516"/>
    <cellStyle name="Input 2 2 2 2" xfId="668"/>
    <cellStyle name="Input 2 2 2 2 10" xfId="19653"/>
    <cellStyle name="Input 2 2 2 2 11" xfId="30498"/>
    <cellStyle name="Input 2 2 2 2 12" xfId="11720"/>
    <cellStyle name="Input 2 2 2 2 2" xfId="1255"/>
    <cellStyle name="Input 2 2 2 2 2 2" xfId="4108"/>
    <cellStyle name="Input 2 2 2 2 2 2 2" xfId="23080"/>
    <cellStyle name="Input 2 2 2 2 2 2 3" xfId="33925"/>
    <cellStyle name="Input 2 2 2 2 2 2 4" xfId="14181"/>
    <cellStyle name="Input 2 2 2 2 2 3" xfId="6781"/>
    <cellStyle name="Input 2 2 2 2 2 3 2" xfId="25753"/>
    <cellStyle name="Input 2 2 2 2 2 3 3" xfId="36598"/>
    <cellStyle name="Input 2 2 2 2 2 3 4" xfId="16096"/>
    <cellStyle name="Input 2 2 2 2 2 4" xfId="9440"/>
    <cellStyle name="Input 2 2 2 2 2 4 2" xfId="28412"/>
    <cellStyle name="Input 2 2 2 2 2 4 3" xfId="39257"/>
    <cellStyle name="Input 2 2 2 2 2 4 4" xfId="18000"/>
    <cellStyle name="Input 2 2 2 2 2 5" xfId="20236"/>
    <cellStyle name="Input 2 2 2 2 2 6" xfId="31081"/>
    <cellStyle name="Input 2 2 2 2 2 7" xfId="12146"/>
    <cellStyle name="Input 2 2 2 2 3" xfId="1654"/>
    <cellStyle name="Input 2 2 2 2 3 2" xfId="4507"/>
    <cellStyle name="Input 2 2 2 2 3 2 2" xfId="23479"/>
    <cellStyle name="Input 2 2 2 2 3 2 3" xfId="34324"/>
    <cellStyle name="Input 2 2 2 2 3 2 4" xfId="14468"/>
    <cellStyle name="Input 2 2 2 2 3 3" xfId="7179"/>
    <cellStyle name="Input 2 2 2 2 3 3 2" xfId="26151"/>
    <cellStyle name="Input 2 2 2 2 3 3 3" xfId="36996"/>
    <cellStyle name="Input 2 2 2 2 3 3 4" xfId="16382"/>
    <cellStyle name="Input 2 2 2 2 3 4" xfId="9838"/>
    <cellStyle name="Input 2 2 2 2 3 4 2" xfId="28810"/>
    <cellStyle name="Input 2 2 2 2 3 4 3" xfId="39655"/>
    <cellStyle name="Input 2 2 2 2 3 4 4" xfId="18286"/>
    <cellStyle name="Input 2 2 2 2 3 5" xfId="20634"/>
    <cellStyle name="Input 2 2 2 2 3 6" xfId="31479"/>
    <cellStyle name="Input 2 2 2 2 3 7" xfId="12432"/>
    <cellStyle name="Input 2 2 2 2 4" xfId="2058"/>
    <cellStyle name="Input 2 2 2 2 4 2" xfId="4911"/>
    <cellStyle name="Input 2 2 2 2 4 2 2" xfId="23883"/>
    <cellStyle name="Input 2 2 2 2 4 2 3" xfId="34728"/>
    <cellStyle name="Input 2 2 2 2 4 2 4" xfId="14755"/>
    <cellStyle name="Input 2 2 2 2 4 3" xfId="7582"/>
    <cellStyle name="Input 2 2 2 2 4 3 2" xfId="26554"/>
    <cellStyle name="Input 2 2 2 2 4 3 3" xfId="37399"/>
    <cellStyle name="Input 2 2 2 2 4 3 4" xfId="16668"/>
    <cellStyle name="Input 2 2 2 2 4 4" xfId="10241"/>
    <cellStyle name="Input 2 2 2 2 4 4 2" xfId="29213"/>
    <cellStyle name="Input 2 2 2 2 4 4 3" xfId="40058"/>
    <cellStyle name="Input 2 2 2 2 4 4 4" xfId="18572"/>
    <cellStyle name="Input 2 2 2 2 4 5" xfId="21037"/>
    <cellStyle name="Input 2 2 2 2 4 6" xfId="31882"/>
    <cellStyle name="Input 2 2 2 2 4 7" xfId="12718"/>
    <cellStyle name="Input 2 2 2 2 5" xfId="2448"/>
    <cellStyle name="Input 2 2 2 2 5 2" xfId="5300"/>
    <cellStyle name="Input 2 2 2 2 5 2 2" xfId="24272"/>
    <cellStyle name="Input 2 2 2 2 5 2 3" xfId="35117"/>
    <cellStyle name="Input 2 2 2 2 5 2 4" xfId="15034"/>
    <cellStyle name="Input 2 2 2 2 5 3" xfId="7971"/>
    <cellStyle name="Input 2 2 2 2 5 3 2" xfId="26943"/>
    <cellStyle name="Input 2 2 2 2 5 3 3" xfId="37788"/>
    <cellStyle name="Input 2 2 2 2 5 3 4" xfId="16947"/>
    <cellStyle name="Input 2 2 2 2 5 4" xfId="10630"/>
    <cellStyle name="Input 2 2 2 2 5 4 2" xfId="29602"/>
    <cellStyle name="Input 2 2 2 2 5 4 3" xfId="40447"/>
    <cellStyle name="Input 2 2 2 2 5 4 4" xfId="18851"/>
    <cellStyle name="Input 2 2 2 2 5 5" xfId="21426"/>
    <cellStyle name="Input 2 2 2 2 5 6" xfId="32271"/>
    <cellStyle name="Input 2 2 2 2 5 7" xfId="12997"/>
    <cellStyle name="Input 2 2 2 2 6" xfId="2834"/>
    <cellStyle name="Input 2 2 2 2 6 2" xfId="5685"/>
    <cellStyle name="Input 2 2 2 2 6 2 2" xfId="24657"/>
    <cellStyle name="Input 2 2 2 2 6 2 3" xfId="35502"/>
    <cellStyle name="Input 2 2 2 2 6 2 4" xfId="15310"/>
    <cellStyle name="Input 2 2 2 2 6 3" xfId="8356"/>
    <cellStyle name="Input 2 2 2 2 6 3 2" xfId="27328"/>
    <cellStyle name="Input 2 2 2 2 6 3 3" xfId="38173"/>
    <cellStyle name="Input 2 2 2 2 6 3 4" xfId="17223"/>
    <cellStyle name="Input 2 2 2 2 6 4" xfId="11015"/>
    <cellStyle name="Input 2 2 2 2 6 4 2" xfId="29987"/>
    <cellStyle name="Input 2 2 2 2 6 4 3" xfId="40832"/>
    <cellStyle name="Input 2 2 2 2 6 4 4" xfId="19127"/>
    <cellStyle name="Input 2 2 2 2 6 5" xfId="21811"/>
    <cellStyle name="Input 2 2 2 2 6 6" xfId="32656"/>
    <cellStyle name="Input 2 2 2 2 6 7" xfId="13273"/>
    <cellStyle name="Input 2 2 2 2 7" xfId="3523"/>
    <cellStyle name="Input 2 2 2 2 7 2" xfId="22495"/>
    <cellStyle name="Input 2 2 2 2 7 3" xfId="33340"/>
    <cellStyle name="Input 2 2 2 2 7 4" xfId="13754"/>
    <cellStyle name="Input 2 2 2 2 8" xfId="6198"/>
    <cellStyle name="Input 2 2 2 2 8 2" xfId="25170"/>
    <cellStyle name="Input 2 2 2 2 8 3" xfId="36015"/>
    <cellStyle name="Input 2 2 2 2 8 4" xfId="15670"/>
    <cellStyle name="Input 2 2 2 2 9" xfId="8857"/>
    <cellStyle name="Input 2 2 2 2 9 2" xfId="27829"/>
    <cellStyle name="Input 2 2 2 2 9 3" xfId="38674"/>
    <cellStyle name="Input 2 2 2 2 9 4" xfId="17574"/>
    <cellStyle name="Input 2 2 2 3" xfId="728"/>
    <cellStyle name="Input 2 2 2 3 10" xfId="19713"/>
    <cellStyle name="Input 2 2 2 3 11" xfId="30558"/>
    <cellStyle name="Input 2 2 2 3 12" xfId="11760"/>
    <cellStyle name="Input 2 2 2 3 2" xfId="1315"/>
    <cellStyle name="Input 2 2 2 3 2 2" xfId="4168"/>
    <cellStyle name="Input 2 2 2 3 2 2 2" xfId="23140"/>
    <cellStyle name="Input 2 2 2 3 2 2 3" xfId="33985"/>
    <cellStyle name="Input 2 2 2 3 2 2 4" xfId="14221"/>
    <cellStyle name="Input 2 2 2 3 2 3" xfId="6841"/>
    <cellStyle name="Input 2 2 2 3 2 3 2" xfId="25813"/>
    <cellStyle name="Input 2 2 2 3 2 3 3" xfId="36658"/>
    <cellStyle name="Input 2 2 2 3 2 3 4" xfId="16136"/>
    <cellStyle name="Input 2 2 2 3 2 4" xfId="9500"/>
    <cellStyle name="Input 2 2 2 3 2 4 2" xfId="28472"/>
    <cellStyle name="Input 2 2 2 3 2 4 3" xfId="39317"/>
    <cellStyle name="Input 2 2 2 3 2 4 4" xfId="18040"/>
    <cellStyle name="Input 2 2 2 3 2 5" xfId="20296"/>
    <cellStyle name="Input 2 2 2 3 2 6" xfId="31141"/>
    <cellStyle name="Input 2 2 2 3 2 7" xfId="12186"/>
    <cellStyle name="Input 2 2 2 3 3" xfId="1714"/>
    <cellStyle name="Input 2 2 2 3 3 2" xfId="4567"/>
    <cellStyle name="Input 2 2 2 3 3 2 2" xfId="23539"/>
    <cellStyle name="Input 2 2 2 3 3 2 3" xfId="34384"/>
    <cellStyle name="Input 2 2 2 3 3 2 4" xfId="14508"/>
    <cellStyle name="Input 2 2 2 3 3 3" xfId="7239"/>
    <cellStyle name="Input 2 2 2 3 3 3 2" xfId="26211"/>
    <cellStyle name="Input 2 2 2 3 3 3 3" xfId="37056"/>
    <cellStyle name="Input 2 2 2 3 3 3 4" xfId="16422"/>
    <cellStyle name="Input 2 2 2 3 3 4" xfId="9898"/>
    <cellStyle name="Input 2 2 2 3 3 4 2" xfId="28870"/>
    <cellStyle name="Input 2 2 2 3 3 4 3" xfId="39715"/>
    <cellStyle name="Input 2 2 2 3 3 4 4" xfId="18326"/>
    <cellStyle name="Input 2 2 2 3 3 5" xfId="20694"/>
    <cellStyle name="Input 2 2 2 3 3 6" xfId="31539"/>
    <cellStyle name="Input 2 2 2 3 3 7" xfId="12472"/>
    <cellStyle name="Input 2 2 2 3 4" xfId="2118"/>
    <cellStyle name="Input 2 2 2 3 4 2" xfId="4971"/>
    <cellStyle name="Input 2 2 2 3 4 2 2" xfId="23943"/>
    <cellStyle name="Input 2 2 2 3 4 2 3" xfId="34788"/>
    <cellStyle name="Input 2 2 2 3 4 2 4" xfId="14795"/>
    <cellStyle name="Input 2 2 2 3 4 3" xfId="7642"/>
    <cellStyle name="Input 2 2 2 3 4 3 2" xfId="26614"/>
    <cellStyle name="Input 2 2 2 3 4 3 3" xfId="37459"/>
    <cellStyle name="Input 2 2 2 3 4 3 4" xfId="16708"/>
    <cellStyle name="Input 2 2 2 3 4 4" xfId="10301"/>
    <cellStyle name="Input 2 2 2 3 4 4 2" xfId="29273"/>
    <cellStyle name="Input 2 2 2 3 4 4 3" xfId="40118"/>
    <cellStyle name="Input 2 2 2 3 4 4 4" xfId="18612"/>
    <cellStyle name="Input 2 2 2 3 4 5" xfId="21097"/>
    <cellStyle name="Input 2 2 2 3 4 6" xfId="31942"/>
    <cellStyle name="Input 2 2 2 3 4 7" xfId="12758"/>
    <cellStyle name="Input 2 2 2 3 5" xfId="2508"/>
    <cellStyle name="Input 2 2 2 3 5 2" xfId="5360"/>
    <cellStyle name="Input 2 2 2 3 5 2 2" xfId="24332"/>
    <cellStyle name="Input 2 2 2 3 5 2 3" xfId="35177"/>
    <cellStyle name="Input 2 2 2 3 5 2 4" xfId="15074"/>
    <cellStyle name="Input 2 2 2 3 5 3" xfId="8031"/>
    <cellStyle name="Input 2 2 2 3 5 3 2" xfId="27003"/>
    <cellStyle name="Input 2 2 2 3 5 3 3" xfId="37848"/>
    <cellStyle name="Input 2 2 2 3 5 3 4" xfId="16987"/>
    <cellStyle name="Input 2 2 2 3 5 4" xfId="10690"/>
    <cellStyle name="Input 2 2 2 3 5 4 2" xfId="29662"/>
    <cellStyle name="Input 2 2 2 3 5 4 3" xfId="40507"/>
    <cellStyle name="Input 2 2 2 3 5 4 4" xfId="18891"/>
    <cellStyle name="Input 2 2 2 3 5 5" xfId="21486"/>
    <cellStyle name="Input 2 2 2 3 5 6" xfId="32331"/>
    <cellStyle name="Input 2 2 2 3 5 7" xfId="13037"/>
    <cellStyle name="Input 2 2 2 3 6" xfId="2894"/>
    <cellStyle name="Input 2 2 2 3 6 2" xfId="5745"/>
    <cellStyle name="Input 2 2 2 3 6 2 2" xfId="24717"/>
    <cellStyle name="Input 2 2 2 3 6 2 3" xfId="35562"/>
    <cellStyle name="Input 2 2 2 3 6 2 4" xfId="15350"/>
    <cellStyle name="Input 2 2 2 3 6 3" xfId="8416"/>
    <cellStyle name="Input 2 2 2 3 6 3 2" xfId="27388"/>
    <cellStyle name="Input 2 2 2 3 6 3 3" xfId="38233"/>
    <cellStyle name="Input 2 2 2 3 6 3 4" xfId="17263"/>
    <cellStyle name="Input 2 2 2 3 6 4" xfId="11075"/>
    <cellStyle name="Input 2 2 2 3 6 4 2" xfId="30047"/>
    <cellStyle name="Input 2 2 2 3 6 4 3" xfId="40892"/>
    <cellStyle name="Input 2 2 2 3 6 4 4" xfId="19167"/>
    <cellStyle name="Input 2 2 2 3 6 5" xfId="21871"/>
    <cellStyle name="Input 2 2 2 3 6 6" xfId="32716"/>
    <cellStyle name="Input 2 2 2 3 6 7" xfId="13313"/>
    <cellStyle name="Input 2 2 2 3 7" xfId="3583"/>
    <cellStyle name="Input 2 2 2 3 7 2" xfId="22555"/>
    <cellStyle name="Input 2 2 2 3 7 3" xfId="33400"/>
    <cellStyle name="Input 2 2 2 3 7 4" xfId="13794"/>
    <cellStyle name="Input 2 2 2 3 8" xfId="6258"/>
    <cellStyle name="Input 2 2 2 3 8 2" xfId="25230"/>
    <cellStyle name="Input 2 2 2 3 8 3" xfId="36075"/>
    <cellStyle name="Input 2 2 2 3 8 4" xfId="15710"/>
    <cellStyle name="Input 2 2 2 3 9" xfId="8917"/>
    <cellStyle name="Input 2 2 2 3 9 2" xfId="27889"/>
    <cellStyle name="Input 2 2 2 3 9 3" xfId="38734"/>
    <cellStyle name="Input 2 2 2 3 9 4" xfId="17614"/>
    <cellStyle name="Input 2 2 2 4" xfId="788"/>
    <cellStyle name="Input 2 2 2 4 10" xfId="19773"/>
    <cellStyle name="Input 2 2 2 4 11" xfId="30618"/>
    <cellStyle name="Input 2 2 2 4 12" xfId="11800"/>
    <cellStyle name="Input 2 2 2 4 2" xfId="1375"/>
    <cellStyle name="Input 2 2 2 4 2 2" xfId="4228"/>
    <cellStyle name="Input 2 2 2 4 2 2 2" xfId="23200"/>
    <cellStyle name="Input 2 2 2 4 2 2 3" xfId="34045"/>
    <cellStyle name="Input 2 2 2 4 2 2 4" xfId="14261"/>
    <cellStyle name="Input 2 2 2 4 2 3" xfId="6901"/>
    <cellStyle name="Input 2 2 2 4 2 3 2" xfId="25873"/>
    <cellStyle name="Input 2 2 2 4 2 3 3" xfId="36718"/>
    <cellStyle name="Input 2 2 2 4 2 3 4" xfId="16176"/>
    <cellStyle name="Input 2 2 2 4 2 4" xfId="9560"/>
    <cellStyle name="Input 2 2 2 4 2 4 2" xfId="28532"/>
    <cellStyle name="Input 2 2 2 4 2 4 3" xfId="39377"/>
    <cellStyle name="Input 2 2 2 4 2 4 4" xfId="18080"/>
    <cellStyle name="Input 2 2 2 4 2 5" xfId="20356"/>
    <cellStyle name="Input 2 2 2 4 2 6" xfId="31201"/>
    <cellStyle name="Input 2 2 2 4 2 7" xfId="12226"/>
    <cellStyle name="Input 2 2 2 4 3" xfId="1774"/>
    <cellStyle name="Input 2 2 2 4 3 2" xfId="4627"/>
    <cellStyle name="Input 2 2 2 4 3 2 2" xfId="23599"/>
    <cellStyle name="Input 2 2 2 4 3 2 3" xfId="34444"/>
    <cellStyle name="Input 2 2 2 4 3 2 4" xfId="14548"/>
    <cellStyle name="Input 2 2 2 4 3 3" xfId="7299"/>
    <cellStyle name="Input 2 2 2 4 3 3 2" xfId="26271"/>
    <cellStyle name="Input 2 2 2 4 3 3 3" xfId="37116"/>
    <cellStyle name="Input 2 2 2 4 3 3 4" xfId="16462"/>
    <cellStyle name="Input 2 2 2 4 3 4" xfId="9958"/>
    <cellStyle name="Input 2 2 2 4 3 4 2" xfId="28930"/>
    <cellStyle name="Input 2 2 2 4 3 4 3" xfId="39775"/>
    <cellStyle name="Input 2 2 2 4 3 4 4" xfId="18366"/>
    <cellStyle name="Input 2 2 2 4 3 5" xfId="20754"/>
    <cellStyle name="Input 2 2 2 4 3 6" xfId="31599"/>
    <cellStyle name="Input 2 2 2 4 3 7" xfId="12512"/>
    <cellStyle name="Input 2 2 2 4 4" xfId="2178"/>
    <cellStyle name="Input 2 2 2 4 4 2" xfId="5031"/>
    <cellStyle name="Input 2 2 2 4 4 2 2" xfId="24003"/>
    <cellStyle name="Input 2 2 2 4 4 2 3" xfId="34848"/>
    <cellStyle name="Input 2 2 2 4 4 2 4" xfId="14835"/>
    <cellStyle name="Input 2 2 2 4 4 3" xfId="7702"/>
    <cellStyle name="Input 2 2 2 4 4 3 2" xfId="26674"/>
    <cellStyle name="Input 2 2 2 4 4 3 3" xfId="37519"/>
    <cellStyle name="Input 2 2 2 4 4 3 4" xfId="16748"/>
    <cellStyle name="Input 2 2 2 4 4 4" xfId="10361"/>
    <cellStyle name="Input 2 2 2 4 4 4 2" xfId="29333"/>
    <cellStyle name="Input 2 2 2 4 4 4 3" xfId="40178"/>
    <cellStyle name="Input 2 2 2 4 4 4 4" xfId="18652"/>
    <cellStyle name="Input 2 2 2 4 4 5" xfId="21157"/>
    <cellStyle name="Input 2 2 2 4 4 6" xfId="32002"/>
    <cellStyle name="Input 2 2 2 4 4 7" xfId="12798"/>
    <cellStyle name="Input 2 2 2 4 5" xfId="2568"/>
    <cellStyle name="Input 2 2 2 4 5 2" xfId="5420"/>
    <cellStyle name="Input 2 2 2 4 5 2 2" xfId="24392"/>
    <cellStyle name="Input 2 2 2 4 5 2 3" xfId="35237"/>
    <cellStyle name="Input 2 2 2 4 5 2 4" xfId="15114"/>
    <cellStyle name="Input 2 2 2 4 5 3" xfId="8091"/>
    <cellStyle name="Input 2 2 2 4 5 3 2" xfId="27063"/>
    <cellStyle name="Input 2 2 2 4 5 3 3" xfId="37908"/>
    <cellStyle name="Input 2 2 2 4 5 3 4" xfId="17027"/>
    <cellStyle name="Input 2 2 2 4 5 4" xfId="10750"/>
    <cellStyle name="Input 2 2 2 4 5 4 2" xfId="29722"/>
    <cellStyle name="Input 2 2 2 4 5 4 3" xfId="40567"/>
    <cellStyle name="Input 2 2 2 4 5 4 4" xfId="18931"/>
    <cellStyle name="Input 2 2 2 4 5 5" xfId="21546"/>
    <cellStyle name="Input 2 2 2 4 5 6" xfId="32391"/>
    <cellStyle name="Input 2 2 2 4 5 7" xfId="13077"/>
    <cellStyle name="Input 2 2 2 4 6" xfId="2954"/>
    <cellStyle name="Input 2 2 2 4 6 2" xfId="5805"/>
    <cellStyle name="Input 2 2 2 4 6 2 2" xfId="24777"/>
    <cellStyle name="Input 2 2 2 4 6 2 3" xfId="35622"/>
    <cellStyle name="Input 2 2 2 4 6 2 4" xfId="15390"/>
    <cellStyle name="Input 2 2 2 4 6 3" xfId="8476"/>
    <cellStyle name="Input 2 2 2 4 6 3 2" xfId="27448"/>
    <cellStyle name="Input 2 2 2 4 6 3 3" xfId="38293"/>
    <cellStyle name="Input 2 2 2 4 6 3 4" xfId="17303"/>
    <cellStyle name="Input 2 2 2 4 6 4" xfId="11135"/>
    <cellStyle name="Input 2 2 2 4 6 4 2" xfId="30107"/>
    <cellStyle name="Input 2 2 2 4 6 4 3" xfId="40952"/>
    <cellStyle name="Input 2 2 2 4 6 4 4" xfId="19207"/>
    <cellStyle name="Input 2 2 2 4 6 5" xfId="21931"/>
    <cellStyle name="Input 2 2 2 4 6 6" xfId="32776"/>
    <cellStyle name="Input 2 2 2 4 6 7" xfId="13353"/>
    <cellStyle name="Input 2 2 2 4 7" xfId="3643"/>
    <cellStyle name="Input 2 2 2 4 7 2" xfId="22615"/>
    <cellStyle name="Input 2 2 2 4 7 3" xfId="33460"/>
    <cellStyle name="Input 2 2 2 4 7 4" xfId="13834"/>
    <cellStyle name="Input 2 2 2 4 8" xfId="6318"/>
    <cellStyle name="Input 2 2 2 4 8 2" xfId="25290"/>
    <cellStyle name="Input 2 2 2 4 8 3" xfId="36135"/>
    <cellStyle name="Input 2 2 2 4 8 4" xfId="15750"/>
    <cellStyle name="Input 2 2 2 4 9" xfId="8977"/>
    <cellStyle name="Input 2 2 2 4 9 2" xfId="27949"/>
    <cellStyle name="Input 2 2 2 4 9 3" xfId="38794"/>
    <cellStyle name="Input 2 2 2 4 9 4" xfId="17654"/>
    <cellStyle name="Input 2 2 2 5" xfId="847"/>
    <cellStyle name="Input 2 2 2 5 10" xfId="19832"/>
    <cellStyle name="Input 2 2 2 5 11" xfId="30677"/>
    <cellStyle name="Input 2 2 2 5 12" xfId="11839"/>
    <cellStyle name="Input 2 2 2 5 2" xfId="1434"/>
    <cellStyle name="Input 2 2 2 5 2 2" xfId="4287"/>
    <cellStyle name="Input 2 2 2 5 2 2 2" xfId="23259"/>
    <cellStyle name="Input 2 2 2 5 2 2 3" xfId="34104"/>
    <cellStyle name="Input 2 2 2 5 2 2 4" xfId="14300"/>
    <cellStyle name="Input 2 2 2 5 2 3" xfId="6960"/>
    <cellStyle name="Input 2 2 2 5 2 3 2" xfId="25932"/>
    <cellStyle name="Input 2 2 2 5 2 3 3" xfId="36777"/>
    <cellStyle name="Input 2 2 2 5 2 3 4" xfId="16215"/>
    <cellStyle name="Input 2 2 2 5 2 4" xfId="9619"/>
    <cellStyle name="Input 2 2 2 5 2 4 2" xfId="28591"/>
    <cellStyle name="Input 2 2 2 5 2 4 3" xfId="39436"/>
    <cellStyle name="Input 2 2 2 5 2 4 4" xfId="18119"/>
    <cellStyle name="Input 2 2 2 5 2 5" xfId="20415"/>
    <cellStyle name="Input 2 2 2 5 2 6" xfId="31260"/>
    <cellStyle name="Input 2 2 2 5 2 7" xfId="12265"/>
    <cellStyle name="Input 2 2 2 5 3" xfId="1833"/>
    <cellStyle name="Input 2 2 2 5 3 2" xfId="4686"/>
    <cellStyle name="Input 2 2 2 5 3 2 2" xfId="23658"/>
    <cellStyle name="Input 2 2 2 5 3 2 3" xfId="34503"/>
    <cellStyle name="Input 2 2 2 5 3 2 4" xfId="14587"/>
    <cellStyle name="Input 2 2 2 5 3 3" xfId="7358"/>
    <cellStyle name="Input 2 2 2 5 3 3 2" xfId="26330"/>
    <cellStyle name="Input 2 2 2 5 3 3 3" xfId="37175"/>
    <cellStyle name="Input 2 2 2 5 3 3 4" xfId="16501"/>
    <cellStyle name="Input 2 2 2 5 3 4" xfId="10017"/>
    <cellStyle name="Input 2 2 2 5 3 4 2" xfId="28989"/>
    <cellStyle name="Input 2 2 2 5 3 4 3" xfId="39834"/>
    <cellStyle name="Input 2 2 2 5 3 4 4" xfId="18405"/>
    <cellStyle name="Input 2 2 2 5 3 5" xfId="20813"/>
    <cellStyle name="Input 2 2 2 5 3 6" xfId="31658"/>
    <cellStyle name="Input 2 2 2 5 3 7" xfId="12551"/>
    <cellStyle name="Input 2 2 2 5 4" xfId="2237"/>
    <cellStyle name="Input 2 2 2 5 4 2" xfId="5090"/>
    <cellStyle name="Input 2 2 2 5 4 2 2" xfId="24062"/>
    <cellStyle name="Input 2 2 2 5 4 2 3" xfId="34907"/>
    <cellStyle name="Input 2 2 2 5 4 2 4" xfId="14874"/>
    <cellStyle name="Input 2 2 2 5 4 3" xfId="7761"/>
    <cellStyle name="Input 2 2 2 5 4 3 2" xfId="26733"/>
    <cellStyle name="Input 2 2 2 5 4 3 3" xfId="37578"/>
    <cellStyle name="Input 2 2 2 5 4 3 4" xfId="16787"/>
    <cellStyle name="Input 2 2 2 5 4 4" xfId="10420"/>
    <cellStyle name="Input 2 2 2 5 4 4 2" xfId="29392"/>
    <cellStyle name="Input 2 2 2 5 4 4 3" xfId="40237"/>
    <cellStyle name="Input 2 2 2 5 4 4 4" xfId="18691"/>
    <cellStyle name="Input 2 2 2 5 4 5" xfId="21216"/>
    <cellStyle name="Input 2 2 2 5 4 6" xfId="32061"/>
    <cellStyle name="Input 2 2 2 5 4 7" xfId="12837"/>
    <cellStyle name="Input 2 2 2 5 5" xfId="2627"/>
    <cellStyle name="Input 2 2 2 5 5 2" xfId="5479"/>
    <cellStyle name="Input 2 2 2 5 5 2 2" xfId="24451"/>
    <cellStyle name="Input 2 2 2 5 5 2 3" xfId="35296"/>
    <cellStyle name="Input 2 2 2 5 5 2 4" xfId="15153"/>
    <cellStyle name="Input 2 2 2 5 5 3" xfId="8150"/>
    <cellStyle name="Input 2 2 2 5 5 3 2" xfId="27122"/>
    <cellStyle name="Input 2 2 2 5 5 3 3" xfId="37967"/>
    <cellStyle name="Input 2 2 2 5 5 3 4" xfId="17066"/>
    <cellStyle name="Input 2 2 2 5 5 4" xfId="10809"/>
    <cellStyle name="Input 2 2 2 5 5 4 2" xfId="29781"/>
    <cellStyle name="Input 2 2 2 5 5 4 3" xfId="40626"/>
    <cellStyle name="Input 2 2 2 5 5 4 4" xfId="18970"/>
    <cellStyle name="Input 2 2 2 5 5 5" xfId="21605"/>
    <cellStyle name="Input 2 2 2 5 5 6" xfId="32450"/>
    <cellStyle name="Input 2 2 2 5 5 7" xfId="13116"/>
    <cellStyle name="Input 2 2 2 5 6" xfId="3013"/>
    <cellStyle name="Input 2 2 2 5 6 2" xfId="5864"/>
    <cellStyle name="Input 2 2 2 5 6 2 2" xfId="24836"/>
    <cellStyle name="Input 2 2 2 5 6 2 3" xfId="35681"/>
    <cellStyle name="Input 2 2 2 5 6 2 4" xfId="15429"/>
    <cellStyle name="Input 2 2 2 5 6 3" xfId="8535"/>
    <cellStyle name="Input 2 2 2 5 6 3 2" xfId="27507"/>
    <cellStyle name="Input 2 2 2 5 6 3 3" xfId="38352"/>
    <cellStyle name="Input 2 2 2 5 6 3 4" xfId="17342"/>
    <cellStyle name="Input 2 2 2 5 6 4" xfId="11194"/>
    <cellStyle name="Input 2 2 2 5 6 4 2" xfId="30166"/>
    <cellStyle name="Input 2 2 2 5 6 4 3" xfId="41011"/>
    <cellStyle name="Input 2 2 2 5 6 4 4" xfId="19246"/>
    <cellStyle name="Input 2 2 2 5 6 5" xfId="21990"/>
    <cellStyle name="Input 2 2 2 5 6 6" xfId="32835"/>
    <cellStyle name="Input 2 2 2 5 6 7" xfId="13392"/>
    <cellStyle name="Input 2 2 2 5 7" xfId="3702"/>
    <cellStyle name="Input 2 2 2 5 7 2" xfId="22674"/>
    <cellStyle name="Input 2 2 2 5 7 3" xfId="33519"/>
    <cellStyle name="Input 2 2 2 5 7 4" xfId="13873"/>
    <cellStyle name="Input 2 2 2 5 8" xfId="6377"/>
    <cellStyle name="Input 2 2 2 5 8 2" xfId="25349"/>
    <cellStyle name="Input 2 2 2 5 8 3" xfId="36194"/>
    <cellStyle name="Input 2 2 2 5 8 4" xfId="15789"/>
    <cellStyle name="Input 2 2 2 5 9" xfId="9036"/>
    <cellStyle name="Input 2 2 2 5 9 2" xfId="28008"/>
    <cellStyle name="Input 2 2 2 5 9 3" xfId="38853"/>
    <cellStyle name="Input 2 2 2 5 9 4" xfId="17693"/>
    <cellStyle name="Input 2 2 2 6" xfId="1069"/>
    <cellStyle name="Input 2 2 2 6 2" xfId="3922"/>
    <cellStyle name="Input 2 2 2 6 2 2" xfId="22894"/>
    <cellStyle name="Input 2 2 2 6 2 3" xfId="33739"/>
    <cellStyle name="Input 2 2 2 6 2 4" xfId="14035"/>
    <cellStyle name="Input 2 2 2 6 3" xfId="6596"/>
    <cellStyle name="Input 2 2 2 6 3 2" xfId="25568"/>
    <cellStyle name="Input 2 2 2 6 3 3" xfId="36413"/>
    <cellStyle name="Input 2 2 2 6 3 4" xfId="15951"/>
    <cellStyle name="Input 2 2 2 6 4" xfId="9255"/>
    <cellStyle name="Input 2 2 2 6 4 2" xfId="28227"/>
    <cellStyle name="Input 2 2 2 6 4 3" xfId="39072"/>
    <cellStyle name="Input 2 2 2 6 4 4" xfId="17855"/>
    <cellStyle name="Input 2 2 2 6 5" xfId="20051"/>
    <cellStyle name="Input 2 2 2 6 6" xfId="30896"/>
    <cellStyle name="Input 2 2 2 6 7" xfId="12001"/>
    <cellStyle name="Input 2 2 2 7" xfId="1000"/>
    <cellStyle name="Input 2 2 2 7 2" xfId="3853"/>
    <cellStyle name="Input 2 2 2 7 2 2" xfId="22825"/>
    <cellStyle name="Input 2 2 2 7 2 3" xfId="33670"/>
    <cellStyle name="Input 2 2 2 7 2 4" xfId="13982"/>
    <cellStyle name="Input 2 2 2 7 3" xfId="6528"/>
    <cellStyle name="Input 2 2 2 7 3 2" xfId="25500"/>
    <cellStyle name="Input 2 2 2 7 3 3" xfId="36345"/>
    <cellStyle name="Input 2 2 2 7 3 4" xfId="15898"/>
    <cellStyle name="Input 2 2 2 7 4" xfId="9187"/>
    <cellStyle name="Input 2 2 2 7 4 2" xfId="28159"/>
    <cellStyle name="Input 2 2 2 7 4 3" xfId="39004"/>
    <cellStyle name="Input 2 2 2 7 4 4" xfId="17802"/>
    <cellStyle name="Input 2 2 2 7 5" xfId="19983"/>
    <cellStyle name="Input 2 2 2 7 6" xfId="30828"/>
    <cellStyle name="Input 2 2 2 7 7" xfId="11948"/>
    <cellStyle name="Input 2 2 2 8" xfId="1064"/>
    <cellStyle name="Input 2 2 2 8 2" xfId="3917"/>
    <cellStyle name="Input 2 2 2 8 2 2" xfId="22889"/>
    <cellStyle name="Input 2 2 2 8 2 3" xfId="33734"/>
    <cellStyle name="Input 2 2 2 8 2 4" xfId="14030"/>
    <cellStyle name="Input 2 2 2 8 3" xfId="6591"/>
    <cellStyle name="Input 2 2 2 8 3 2" xfId="25563"/>
    <cellStyle name="Input 2 2 2 8 3 3" xfId="36408"/>
    <cellStyle name="Input 2 2 2 8 3 4" xfId="15946"/>
    <cellStyle name="Input 2 2 2 8 4" xfId="9250"/>
    <cellStyle name="Input 2 2 2 8 4 2" xfId="28222"/>
    <cellStyle name="Input 2 2 2 8 4 3" xfId="39067"/>
    <cellStyle name="Input 2 2 2 8 4 4" xfId="17850"/>
    <cellStyle name="Input 2 2 2 8 5" xfId="20046"/>
    <cellStyle name="Input 2 2 2 8 6" xfId="30891"/>
    <cellStyle name="Input 2 2 2 8 7" xfId="11996"/>
    <cellStyle name="Input 2 2 2 9" xfId="935"/>
    <cellStyle name="Input 2 2 2 9 2" xfId="3789"/>
    <cellStyle name="Input 2 2 2 9 2 2" xfId="22761"/>
    <cellStyle name="Input 2 2 2 9 2 3" xfId="33606"/>
    <cellStyle name="Input 2 2 2 9 2 4" xfId="13934"/>
    <cellStyle name="Input 2 2 2 9 3" xfId="6464"/>
    <cellStyle name="Input 2 2 2 9 3 2" xfId="25436"/>
    <cellStyle name="Input 2 2 2 9 3 3" xfId="36281"/>
    <cellStyle name="Input 2 2 2 9 3 4" xfId="15850"/>
    <cellStyle name="Input 2 2 2 9 4" xfId="9123"/>
    <cellStyle name="Input 2 2 2 9 4 2" xfId="28095"/>
    <cellStyle name="Input 2 2 2 9 4 3" xfId="38940"/>
    <cellStyle name="Input 2 2 2 9 4 4" xfId="17754"/>
    <cellStyle name="Input 2 2 2 9 5" xfId="19919"/>
    <cellStyle name="Input 2 2 2 9 6" xfId="30764"/>
    <cellStyle name="Input 2 2 2 9 7" xfId="11900"/>
    <cellStyle name="Input 2 2 3" xfId="551"/>
    <cellStyle name="Input 2 2 3 10" xfId="19561"/>
    <cellStyle name="Input 2 2 3 11" xfId="30406"/>
    <cellStyle name="Input 2 2 3 12" xfId="11625"/>
    <cellStyle name="Input 2 2 3 2" xfId="1157"/>
    <cellStyle name="Input 2 2 3 2 2" xfId="4010"/>
    <cellStyle name="Input 2 2 3 2 2 2" xfId="22982"/>
    <cellStyle name="Input 2 2 3 2 2 3" xfId="33827"/>
    <cellStyle name="Input 2 2 3 2 2 4" xfId="14102"/>
    <cellStyle name="Input 2 2 3 2 3" xfId="6683"/>
    <cellStyle name="Input 2 2 3 2 3 2" xfId="25655"/>
    <cellStyle name="Input 2 2 3 2 3 3" xfId="36500"/>
    <cellStyle name="Input 2 2 3 2 3 4" xfId="16017"/>
    <cellStyle name="Input 2 2 3 2 4" xfId="9342"/>
    <cellStyle name="Input 2 2 3 2 4 2" xfId="28314"/>
    <cellStyle name="Input 2 2 3 2 4 3" xfId="39159"/>
    <cellStyle name="Input 2 2 3 2 4 4" xfId="17921"/>
    <cellStyle name="Input 2 2 3 2 5" xfId="20138"/>
    <cellStyle name="Input 2 2 3 2 6" xfId="30983"/>
    <cellStyle name="Input 2 2 3 2 7" xfId="12067"/>
    <cellStyle name="Input 2 2 3 3" xfId="1554"/>
    <cellStyle name="Input 2 2 3 3 2" xfId="4407"/>
    <cellStyle name="Input 2 2 3 3 2 2" xfId="23379"/>
    <cellStyle name="Input 2 2 3 3 2 3" xfId="34224"/>
    <cellStyle name="Input 2 2 3 3 2 4" xfId="14388"/>
    <cellStyle name="Input 2 2 3 3 3" xfId="7079"/>
    <cellStyle name="Input 2 2 3 3 3 2" xfId="26051"/>
    <cellStyle name="Input 2 2 3 3 3 3" xfId="36896"/>
    <cellStyle name="Input 2 2 3 3 3 4" xfId="16302"/>
    <cellStyle name="Input 2 2 3 3 4" xfId="9738"/>
    <cellStyle name="Input 2 2 3 3 4 2" xfId="28710"/>
    <cellStyle name="Input 2 2 3 3 4 3" xfId="39555"/>
    <cellStyle name="Input 2 2 3 3 4 4" xfId="18206"/>
    <cellStyle name="Input 2 2 3 3 5" xfId="20534"/>
    <cellStyle name="Input 2 2 3 3 6" xfId="31379"/>
    <cellStyle name="Input 2 2 3 3 7" xfId="12352"/>
    <cellStyle name="Input 2 2 3 4" xfId="1958"/>
    <cellStyle name="Input 2 2 3 4 2" xfId="4811"/>
    <cellStyle name="Input 2 2 3 4 2 2" xfId="23783"/>
    <cellStyle name="Input 2 2 3 4 2 3" xfId="34628"/>
    <cellStyle name="Input 2 2 3 4 2 4" xfId="14676"/>
    <cellStyle name="Input 2 2 3 4 3" xfId="7483"/>
    <cellStyle name="Input 2 2 3 4 3 2" xfId="26455"/>
    <cellStyle name="Input 2 2 3 4 3 3" xfId="37300"/>
    <cellStyle name="Input 2 2 3 4 3 4" xfId="16590"/>
    <cellStyle name="Input 2 2 3 4 4" xfId="10142"/>
    <cellStyle name="Input 2 2 3 4 4 2" xfId="29114"/>
    <cellStyle name="Input 2 2 3 4 4 3" xfId="39959"/>
    <cellStyle name="Input 2 2 3 4 4 4" xfId="18494"/>
    <cellStyle name="Input 2 2 3 4 5" xfId="20938"/>
    <cellStyle name="Input 2 2 3 4 6" xfId="31783"/>
    <cellStyle name="Input 2 2 3 4 7" xfId="12640"/>
    <cellStyle name="Input 2 2 3 5" xfId="2350"/>
    <cellStyle name="Input 2 2 3 5 2" xfId="5203"/>
    <cellStyle name="Input 2 2 3 5 2 2" xfId="24175"/>
    <cellStyle name="Input 2 2 3 5 2 3" xfId="35020"/>
    <cellStyle name="Input 2 2 3 5 2 4" xfId="14957"/>
    <cellStyle name="Input 2 2 3 5 3" xfId="7874"/>
    <cellStyle name="Input 2 2 3 5 3 2" xfId="26846"/>
    <cellStyle name="Input 2 2 3 5 3 3" xfId="37691"/>
    <cellStyle name="Input 2 2 3 5 3 4" xfId="16870"/>
    <cellStyle name="Input 2 2 3 5 4" xfId="10533"/>
    <cellStyle name="Input 2 2 3 5 4 2" xfId="29505"/>
    <cellStyle name="Input 2 2 3 5 4 3" xfId="40350"/>
    <cellStyle name="Input 2 2 3 5 4 4" xfId="18774"/>
    <cellStyle name="Input 2 2 3 5 5" xfId="21329"/>
    <cellStyle name="Input 2 2 3 5 6" xfId="32174"/>
    <cellStyle name="Input 2 2 3 5 7" xfId="12920"/>
    <cellStyle name="Input 2 2 3 6" xfId="2739"/>
    <cellStyle name="Input 2 2 3 6 2" xfId="5591"/>
    <cellStyle name="Input 2 2 3 6 2 2" xfId="24563"/>
    <cellStyle name="Input 2 2 3 6 2 3" xfId="35408"/>
    <cellStyle name="Input 2 2 3 6 2 4" xfId="15235"/>
    <cellStyle name="Input 2 2 3 6 3" xfId="8262"/>
    <cellStyle name="Input 2 2 3 6 3 2" xfId="27234"/>
    <cellStyle name="Input 2 2 3 6 3 3" xfId="38079"/>
    <cellStyle name="Input 2 2 3 6 3 4" xfId="17148"/>
    <cellStyle name="Input 2 2 3 6 4" xfId="10921"/>
    <cellStyle name="Input 2 2 3 6 4 2" xfId="29893"/>
    <cellStyle name="Input 2 2 3 6 4 3" xfId="40738"/>
    <cellStyle name="Input 2 2 3 6 4 4" xfId="19052"/>
    <cellStyle name="Input 2 2 3 6 5" xfId="21717"/>
    <cellStyle name="Input 2 2 3 6 6" xfId="32562"/>
    <cellStyle name="Input 2 2 3 6 7" xfId="13198"/>
    <cellStyle name="Input 2 2 3 7" xfId="3430"/>
    <cellStyle name="Input 2 2 3 7 2" xfId="22402"/>
    <cellStyle name="Input 2 2 3 7 3" xfId="33247"/>
    <cellStyle name="Input 2 2 3 7 4" xfId="13680"/>
    <cellStyle name="Input 2 2 3 8" xfId="6106"/>
    <cellStyle name="Input 2 2 3 8 2" xfId="25078"/>
    <cellStyle name="Input 2 2 3 8 3" xfId="35923"/>
    <cellStyle name="Input 2 2 3 8 4" xfId="15597"/>
    <cellStyle name="Input 2 2 3 9" xfId="8765"/>
    <cellStyle name="Input 2 2 3 9 2" xfId="27737"/>
    <cellStyle name="Input 2 2 3 9 3" xfId="38582"/>
    <cellStyle name="Input 2 2 3 9 4" xfId="17501"/>
    <cellStyle name="Input 2 2 4" xfId="11449"/>
    <cellStyle name="Input 2 3" xfId="98"/>
    <cellStyle name="Input 2 3 2" xfId="368"/>
    <cellStyle name="Input 2 3 2 10" xfId="1047"/>
    <cellStyle name="Input 2 3 2 10 2" xfId="3900"/>
    <cellStyle name="Input 2 3 2 10 2 2" xfId="22872"/>
    <cellStyle name="Input 2 3 2 10 2 3" xfId="33717"/>
    <cellStyle name="Input 2 3 2 10 2 4" xfId="14016"/>
    <cellStyle name="Input 2 3 2 10 3" xfId="6574"/>
    <cellStyle name="Input 2 3 2 10 3 2" xfId="25546"/>
    <cellStyle name="Input 2 3 2 10 3 3" xfId="36391"/>
    <cellStyle name="Input 2 3 2 10 3 4" xfId="15932"/>
    <cellStyle name="Input 2 3 2 10 4" xfId="9233"/>
    <cellStyle name="Input 2 3 2 10 4 2" xfId="28205"/>
    <cellStyle name="Input 2 3 2 10 4 3" xfId="39050"/>
    <cellStyle name="Input 2 3 2 10 4 4" xfId="17836"/>
    <cellStyle name="Input 2 3 2 10 5" xfId="20029"/>
    <cellStyle name="Input 2 3 2 10 6" xfId="30874"/>
    <cellStyle name="Input 2 3 2 10 7" xfId="11982"/>
    <cellStyle name="Input 2 3 2 11" xfId="1022"/>
    <cellStyle name="Input 2 3 2 11 2" xfId="3875"/>
    <cellStyle name="Input 2 3 2 11 2 2" xfId="22847"/>
    <cellStyle name="Input 2 3 2 11 2 3" xfId="33692"/>
    <cellStyle name="Input 2 3 2 11 2 4" xfId="13997"/>
    <cellStyle name="Input 2 3 2 11 3" xfId="6549"/>
    <cellStyle name="Input 2 3 2 11 3 2" xfId="25521"/>
    <cellStyle name="Input 2 3 2 11 3 3" xfId="36366"/>
    <cellStyle name="Input 2 3 2 11 3 4" xfId="15913"/>
    <cellStyle name="Input 2 3 2 11 4" xfId="9208"/>
    <cellStyle name="Input 2 3 2 11 4 2" xfId="28180"/>
    <cellStyle name="Input 2 3 2 11 4 3" xfId="39025"/>
    <cellStyle name="Input 2 3 2 11 4 4" xfId="17817"/>
    <cellStyle name="Input 2 3 2 11 5" xfId="20004"/>
    <cellStyle name="Input 2 3 2 11 6" xfId="30849"/>
    <cellStyle name="Input 2 3 2 11 7" xfId="11963"/>
    <cellStyle name="Input 2 3 2 12" xfId="3104"/>
    <cellStyle name="Input 2 3 2 12 2" xfId="5955"/>
    <cellStyle name="Input 2 3 2 12 2 2" xfId="24927"/>
    <cellStyle name="Input 2 3 2 12 2 3" xfId="35772"/>
    <cellStyle name="Input 2 3 2 12 2 4" xfId="15490"/>
    <cellStyle name="Input 2 3 2 12 3" xfId="8626"/>
    <cellStyle name="Input 2 3 2 12 3 2" xfId="27598"/>
    <cellStyle name="Input 2 3 2 12 3 3" xfId="38443"/>
    <cellStyle name="Input 2 3 2 12 3 4" xfId="17403"/>
    <cellStyle name="Input 2 3 2 12 4" xfId="11285"/>
    <cellStyle name="Input 2 3 2 12 4 2" xfId="30257"/>
    <cellStyle name="Input 2 3 2 12 4 3" xfId="41102"/>
    <cellStyle name="Input 2 3 2 12 4 4" xfId="19307"/>
    <cellStyle name="Input 2 3 2 12 5" xfId="22081"/>
    <cellStyle name="Input 2 3 2 12 6" xfId="32926"/>
    <cellStyle name="Input 2 3 2 12 7" xfId="13453"/>
    <cellStyle name="Input 2 3 2 13" xfId="3161"/>
    <cellStyle name="Input 2 3 2 13 2" xfId="6012"/>
    <cellStyle name="Input 2 3 2 13 2 2" xfId="24984"/>
    <cellStyle name="Input 2 3 2 13 2 3" xfId="35829"/>
    <cellStyle name="Input 2 3 2 13 2 4" xfId="15527"/>
    <cellStyle name="Input 2 3 2 13 3" xfId="8683"/>
    <cellStyle name="Input 2 3 2 13 3 2" xfId="27655"/>
    <cellStyle name="Input 2 3 2 13 3 3" xfId="38500"/>
    <cellStyle name="Input 2 3 2 13 3 4" xfId="17440"/>
    <cellStyle name="Input 2 3 2 13 4" xfId="11342"/>
    <cellStyle name="Input 2 3 2 13 4 2" xfId="30314"/>
    <cellStyle name="Input 2 3 2 13 4 3" xfId="41159"/>
    <cellStyle name="Input 2 3 2 13 4 4" xfId="19344"/>
    <cellStyle name="Input 2 3 2 13 5" xfId="22138"/>
    <cellStyle name="Input 2 3 2 13 6" xfId="32983"/>
    <cellStyle name="Input 2 3 2 13 7" xfId="13490"/>
    <cellStyle name="Input 2 3 2 14" xfId="3327"/>
    <cellStyle name="Input 2 3 2 14 2" xfId="22301"/>
    <cellStyle name="Input 2 3 2 14 3" xfId="33146"/>
    <cellStyle name="Input 2 3 2 14 4" xfId="13607"/>
    <cellStyle name="Input 2 3 2 15" xfId="3291"/>
    <cellStyle name="Input 2 3 2 15 2" xfId="22265"/>
    <cellStyle name="Input 2 3 2 15 3" xfId="33110"/>
    <cellStyle name="Input 2 3 2 15 4" xfId="13581"/>
    <cellStyle name="Input 2 3 2 16" xfId="3238"/>
    <cellStyle name="Input 2 3 2 16 2" xfId="22215"/>
    <cellStyle name="Input 2 3 2 16 3" xfId="33060"/>
    <cellStyle name="Input 2 3 2 16 4" xfId="13543"/>
    <cellStyle name="Input 2 3 2 17" xfId="19458"/>
    <cellStyle name="Input 2 3 2 18" xfId="19403"/>
    <cellStyle name="Input 2 3 2 19" xfId="11517"/>
    <cellStyle name="Input 2 3 2 2" xfId="669"/>
    <cellStyle name="Input 2 3 2 2 10" xfId="19654"/>
    <cellStyle name="Input 2 3 2 2 11" xfId="30499"/>
    <cellStyle name="Input 2 3 2 2 12" xfId="11721"/>
    <cellStyle name="Input 2 3 2 2 2" xfId="1256"/>
    <cellStyle name="Input 2 3 2 2 2 2" xfId="4109"/>
    <cellStyle name="Input 2 3 2 2 2 2 2" xfId="23081"/>
    <cellStyle name="Input 2 3 2 2 2 2 3" xfId="33926"/>
    <cellStyle name="Input 2 3 2 2 2 2 4" xfId="14182"/>
    <cellStyle name="Input 2 3 2 2 2 3" xfId="6782"/>
    <cellStyle name="Input 2 3 2 2 2 3 2" xfId="25754"/>
    <cellStyle name="Input 2 3 2 2 2 3 3" xfId="36599"/>
    <cellStyle name="Input 2 3 2 2 2 3 4" xfId="16097"/>
    <cellStyle name="Input 2 3 2 2 2 4" xfId="9441"/>
    <cellStyle name="Input 2 3 2 2 2 4 2" xfId="28413"/>
    <cellStyle name="Input 2 3 2 2 2 4 3" xfId="39258"/>
    <cellStyle name="Input 2 3 2 2 2 4 4" xfId="18001"/>
    <cellStyle name="Input 2 3 2 2 2 5" xfId="20237"/>
    <cellStyle name="Input 2 3 2 2 2 6" xfId="31082"/>
    <cellStyle name="Input 2 3 2 2 2 7" xfId="12147"/>
    <cellStyle name="Input 2 3 2 2 3" xfId="1655"/>
    <cellStyle name="Input 2 3 2 2 3 2" xfId="4508"/>
    <cellStyle name="Input 2 3 2 2 3 2 2" xfId="23480"/>
    <cellStyle name="Input 2 3 2 2 3 2 3" xfId="34325"/>
    <cellStyle name="Input 2 3 2 2 3 2 4" xfId="14469"/>
    <cellStyle name="Input 2 3 2 2 3 3" xfId="7180"/>
    <cellStyle name="Input 2 3 2 2 3 3 2" xfId="26152"/>
    <cellStyle name="Input 2 3 2 2 3 3 3" xfId="36997"/>
    <cellStyle name="Input 2 3 2 2 3 3 4" xfId="16383"/>
    <cellStyle name="Input 2 3 2 2 3 4" xfId="9839"/>
    <cellStyle name="Input 2 3 2 2 3 4 2" xfId="28811"/>
    <cellStyle name="Input 2 3 2 2 3 4 3" xfId="39656"/>
    <cellStyle name="Input 2 3 2 2 3 4 4" xfId="18287"/>
    <cellStyle name="Input 2 3 2 2 3 5" xfId="20635"/>
    <cellStyle name="Input 2 3 2 2 3 6" xfId="31480"/>
    <cellStyle name="Input 2 3 2 2 3 7" xfId="12433"/>
    <cellStyle name="Input 2 3 2 2 4" xfId="2059"/>
    <cellStyle name="Input 2 3 2 2 4 2" xfId="4912"/>
    <cellStyle name="Input 2 3 2 2 4 2 2" xfId="23884"/>
    <cellStyle name="Input 2 3 2 2 4 2 3" xfId="34729"/>
    <cellStyle name="Input 2 3 2 2 4 2 4" xfId="14756"/>
    <cellStyle name="Input 2 3 2 2 4 3" xfId="7583"/>
    <cellStyle name="Input 2 3 2 2 4 3 2" xfId="26555"/>
    <cellStyle name="Input 2 3 2 2 4 3 3" xfId="37400"/>
    <cellStyle name="Input 2 3 2 2 4 3 4" xfId="16669"/>
    <cellStyle name="Input 2 3 2 2 4 4" xfId="10242"/>
    <cellStyle name="Input 2 3 2 2 4 4 2" xfId="29214"/>
    <cellStyle name="Input 2 3 2 2 4 4 3" xfId="40059"/>
    <cellStyle name="Input 2 3 2 2 4 4 4" xfId="18573"/>
    <cellStyle name="Input 2 3 2 2 4 5" xfId="21038"/>
    <cellStyle name="Input 2 3 2 2 4 6" xfId="31883"/>
    <cellStyle name="Input 2 3 2 2 4 7" xfId="12719"/>
    <cellStyle name="Input 2 3 2 2 5" xfId="2449"/>
    <cellStyle name="Input 2 3 2 2 5 2" xfId="5301"/>
    <cellStyle name="Input 2 3 2 2 5 2 2" xfId="24273"/>
    <cellStyle name="Input 2 3 2 2 5 2 3" xfId="35118"/>
    <cellStyle name="Input 2 3 2 2 5 2 4" xfId="15035"/>
    <cellStyle name="Input 2 3 2 2 5 3" xfId="7972"/>
    <cellStyle name="Input 2 3 2 2 5 3 2" xfId="26944"/>
    <cellStyle name="Input 2 3 2 2 5 3 3" xfId="37789"/>
    <cellStyle name="Input 2 3 2 2 5 3 4" xfId="16948"/>
    <cellStyle name="Input 2 3 2 2 5 4" xfId="10631"/>
    <cellStyle name="Input 2 3 2 2 5 4 2" xfId="29603"/>
    <cellStyle name="Input 2 3 2 2 5 4 3" xfId="40448"/>
    <cellStyle name="Input 2 3 2 2 5 4 4" xfId="18852"/>
    <cellStyle name="Input 2 3 2 2 5 5" xfId="21427"/>
    <cellStyle name="Input 2 3 2 2 5 6" xfId="32272"/>
    <cellStyle name="Input 2 3 2 2 5 7" xfId="12998"/>
    <cellStyle name="Input 2 3 2 2 6" xfId="2835"/>
    <cellStyle name="Input 2 3 2 2 6 2" xfId="5686"/>
    <cellStyle name="Input 2 3 2 2 6 2 2" xfId="24658"/>
    <cellStyle name="Input 2 3 2 2 6 2 3" xfId="35503"/>
    <cellStyle name="Input 2 3 2 2 6 2 4" xfId="15311"/>
    <cellStyle name="Input 2 3 2 2 6 3" xfId="8357"/>
    <cellStyle name="Input 2 3 2 2 6 3 2" xfId="27329"/>
    <cellStyle name="Input 2 3 2 2 6 3 3" xfId="38174"/>
    <cellStyle name="Input 2 3 2 2 6 3 4" xfId="17224"/>
    <cellStyle name="Input 2 3 2 2 6 4" xfId="11016"/>
    <cellStyle name="Input 2 3 2 2 6 4 2" xfId="29988"/>
    <cellStyle name="Input 2 3 2 2 6 4 3" xfId="40833"/>
    <cellStyle name="Input 2 3 2 2 6 4 4" xfId="19128"/>
    <cellStyle name="Input 2 3 2 2 6 5" xfId="21812"/>
    <cellStyle name="Input 2 3 2 2 6 6" xfId="32657"/>
    <cellStyle name="Input 2 3 2 2 6 7" xfId="13274"/>
    <cellStyle name="Input 2 3 2 2 7" xfId="3524"/>
    <cellStyle name="Input 2 3 2 2 7 2" xfId="22496"/>
    <cellStyle name="Input 2 3 2 2 7 3" xfId="33341"/>
    <cellStyle name="Input 2 3 2 2 7 4" xfId="13755"/>
    <cellStyle name="Input 2 3 2 2 8" xfId="6199"/>
    <cellStyle name="Input 2 3 2 2 8 2" xfId="25171"/>
    <cellStyle name="Input 2 3 2 2 8 3" xfId="36016"/>
    <cellStyle name="Input 2 3 2 2 8 4" xfId="15671"/>
    <cellStyle name="Input 2 3 2 2 9" xfId="8858"/>
    <cellStyle name="Input 2 3 2 2 9 2" xfId="27830"/>
    <cellStyle name="Input 2 3 2 2 9 3" xfId="38675"/>
    <cellStyle name="Input 2 3 2 2 9 4" xfId="17575"/>
    <cellStyle name="Input 2 3 2 3" xfId="729"/>
    <cellStyle name="Input 2 3 2 3 10" xfId="19714"/>
    <cellStyle name="Input 2 3 2 3 11" xfId="30559"/>
    <cellStyle name="Input 2 3 2 3 12" xfId="11761"/>
    <cellStyle name="Input 2 3 2 3 2" xfId="1316"/>
    <cellStyle name="Input 2 3 2 3 2 2" xfId="4169"/>
    <cellStyle name="Input 2 3 2 3 2 2 2" xfId="23141"/>
    <cellStyle name="Input 2 3 2 3 2 2 3" xfId="33986"/>
    <cellStyle name="Input 2 3 2 3 2 2 4" xfId="14222"/>
    <cellStyle name="Input 2 3 2 3 2 3" xfId="6842"/>
    <cellStyle name="Input 2 3 2 3 2 3 2" xfId="25814"/>
    <cellStyle name="Input 2 3 2 3 2 3 3" xfId="36659"/>
    <cellStyle name="Input 2 3 2 3 2 3 4" xfId="16137"/>
    <cellStyle name="Input 2 3 2 3 2 4" xfId="9501"/>
    <cellStyle name="Input 2 3 2 3 2 4 2" xfId="28473"/>
    <cellStyle name="Input 2 3 2 3 2 4 3" xfId="39318"/>
    <cellStyle name="Input 2 3 2 3 2 4 4" xfId="18041"/>
    <cellStyle name="Input 2 3 2 3 2 5" xfId="20297"/>
    <cellStyle name="Input 2 3 2 3 2 6" xfId="31142"/>
    <cellStyle name="Input 2 3 2 3 2 7" xfId="12187"/>
    <cellStyle name="Input 2 3 2 3 3" xfId="1715"/>
    <cellStyle name="Input 2 3 2 3 3 2" xfId="4568"/>
    <cellStyle name="Input 2 3 2 3 3 2 2" xfId="23540"/>
    <cellStyle name="Input 2 3 2 3 3 2 3" xfId="34385"/>
    <cellStyle name="Input 2 3 2 3 3 2 4" xfId="14509"/>
    <cellStyle name="Input 2 3 2 3 3 3" xfId="7240"/>
    <cellStyle name="Input 2 3 2 3 3 3 2" xfId="26212"/>
    <cellStyle name="Input 2 3 2 3 3 3 3" xfId="37057"/>
    <cellStyle name="Input 2 3 2 3 3 3 4" xfId="16423"/>
    <cellStyle name="Input 2 3 2 3 3 4" xfId="9899"/>
    <cellStyle name="Input 2 3 2 3 3 4 2" xfId="28871"/>
    <cellStyle name="Input 2 3 2 3 3 4 3" xfId="39716"/>
    <cellStyle name="Input 2 3 2 3 3 4 4" xfId="18327"/>
    <cellStyle name="Input 2 3 2 3 3 5" xfId="20695"/>
    <cellStyle name="Input 2 3 2 3 3 6" xfId="31540"/>
    <cellStyle name="Input 2 3 2 3 3 7" xfId="12473"/>
    <cellStyle name="Input 2 3 2 3 4" xfId="2119"/>
    <cellStyle name="Input 2 3 2 3 4 2" xfId="4972"/>
    <cellStyle name="Input 2 3 2 3 4 2 2" xfId="23944"/>
    <cellStyle name="Input 2 3 2 3 4 2 3" xfId="34789"/>
    <cellStyle name="Input 2 3 2 3 4 2 4" xfId="14796"/>
    <cellStyle name="Input 2 3 2 3 4 3" xfId="7643"/>
    <cellStyle name="Input 2 3 2 3 4 3 2" xfId="26615"/>
    <cellStyle name="Input 2 3 2 3 4 3 3" xfId="37460"/>
    <cellStyle name="Input 2 3 2 3 4 3 4" xfId="16709"/>
    <cellStyle name="Input 2 3 2 3 4 4" xfId="10302"/>
    <cellStyle name="Input 2 3 2 3 4 4 2" xfId="29274"/>
    <cellStyle name="Input 2 3 2 3 4 4 3" xfId="40119"/>
    <cellStyle name="Input 2 3 2 3 4 4 4" xfId="18613"/>
    <cellStyle name="Input 2 3 2 3 4 5" xfId="21098"/>
    <cellStyle name="Input 2 3 2 3 4 6" xfId="31943"/>
    <cellStyle name="Input 2 3 2 3 4 7" xfId="12759"/>
    <cellStyle name="Input 2 3 2 3 5" xfId="2509"/>
    <cellStyle name="Input 2 3 2 3 5 2" xfId="5361"/>
    <cellStyle name="Input 2 3 2 3 5 2 2" xfId="24333"/>
    <cellStyle name="Input 2 3 2 3 5 2 3" xfId="35178"/>
    <cellStyle name="Input 2 3 2 3 5 2 4" xfId="15075"/>
    <cellStyle name="Input 2 3 2 3 5 3" xfId="8032"/>
    <cellStyle name="Input 2 3 2 3 5 3 2" xfId="27004"/>
    <cellStyle name="Input 2 3 2 3 5 3 3" xfId="37849"/>
    <cellStyle name="Input 2 3 2 3 5 3 4" xfId="16988"/>
    <cellStyle name="Input 2 3 2 3 5 4" xfId="10691"/>
    <cellStyle name="Input 2 3 2 3 5 4 2" xfId="29663"/>
    <cellStyle name="Input 2 3 2 3 5 4 3" xfId="40508"/>
    <cellStyle name="Input 2 3 2 3 5 4 4" xfId="18892"/>
    <cellStyle name="Input 2 3 2 3 5 5" xfId="21487"/>
    <cellStyle name="Input 2 3 2 3 5 6" xfId="32332"/>
    <cellStyle name="Input 2 3 2 3 5 7" xfId="13038"/>
    <cellStyle name="Input 2 3 2 3 6" xfId="2895"/>
    <cellStyle name="Input 2 3 2 3 6 2" xfId="5746"/>
    <cellStyle name="Input 2 3 2 3 6 2 2" xfId="24718"/>
    <cellStyle name="Input 2 3 2 3 6 2 3" xfId="35563"/>
    <cellStyle name="Input 2 3 2 3 6 2 4" xfId="15351"/>
    <cellStyle name="Input 2 3 2 3 6 3" xfId="8417"/>
    <cellStyle name="Input 2 3 2 3 6 3 2" xfId="27389"/>
    <cellStyle name="Input 2 3 2 3 6 3 3" xfId="38234"/>
    <cellStyle name="Input 2 3 2 3 6 3 4" xfId="17264"/>
    <cellStyle name="Input 2 3 2 3 6 4" xfId="11076"/>
    <cellStyle name="Input 2 3 2 3 6 4 2" xfId="30048"/>
    <cellStyle name="Input 2 3 2 3 6 4 3" xfId="40893"/>
    <cellStyle name="Input 2 3 2 3 6 4 4" xfId="19168"/>
    <cellStyle name="Input 2 3 2 3 6 5" xfId="21872"/>
    <cellStyle name="Input 2 3 2 3 6 6" xfId="32717"/>
    <cellStyle name="Input 2 3 2 3 6 7" xfId="13314"/>
    <cellStyle name="Input 2 3 2 3 7" xfId="3584"/>
    <cellStyle name="Input 2 3 2 3 7 2" xfId="22556"/>
    <cellStyle name="Input 2 3 2 3 7 3" xfId="33401"/>
    <cellStyle name="Input 2 3 2 3 7 4" xfId="13795"/>
    <cellStyle name="Input 2 3 2 3 8" xfId="6259"/>
    <cellStyle name="Input 2 3 2 3 8 2" xfId="25231"/>
    <cellStyle name="Input 2 3 2 3 8 3" xfId="36076"/>
    <cellStyle name="Input 2 3 2 3 8 4" xfId="15711"/>
    <cellStyle name="Input 2 3 2 3 9" xfId="8918"/>
    <cellStyle name="Input 2 3 2 3 9 2" xfId="27890"/>
    <cellStyle name="Input 2 3 2 3 9 3" xfId="38735"/>
    <cellStyle name="Input 2 3 2 3 9 4" xfId="17615"/>
    <cellStyle name="Input 2 3 2 4" xfId="789"/>
    <cellStyle name="Input 2 3 2 4 10" xfId="19774"/>
    <cellStyle name="Input 2 3 2 4 11" xfId="30619"/>
    <cellStyle name="Input 2 3 2 4 12" xfId="11801"/>
    <cellStyle name="Input 2 3 2 4 2" xfId="1376"/>
    <cellStyle name="Input 2 3 2 4 2 2" xfId="4229"/>
    <cellStyle name="Input 2 3 2 4 2 2 2" xfId="23201"/>
    <cellStyle name="Input 2 3 2 4 2 2 3" xfId="34046"/>
    <cellStyle name="Input 2 3 2 4 2 2 4" xfId="14262"/>
    <cellStyle name="Input 2 3 2 4 2 3" xfId="6902"/>
    <cellStyle name="Input 2 3 2 4 2 3 2" xfId="25874"/>
    <cellStyle name="Input 2 3 2 4 2 3 3" xfId="36719"/>
    <cellStyle name="Input 2 3 2 4 2 3 4" xfId="16177"/>
    <cellStyle name="Input 2 3 2 4 2 4" xfId="9561"/>
    <cellStyle name="Input 2 3 2 4 2 4 2" xfId="28533"/>
    <cellStyle name="Input 2 3 2 4 2 4 3" xfId="39378"/>
    <cellStyle name="Input 2 3 2 4 2 4 4" xfId="18081"/>
    <cellStyle name="Input 2 3 2 4 2 5" xfId="20357"/>
    <cellStyle name="Input 2 3 2 4 2 6" xfId="31202"/>
    <cellStyle name="Input 2 3 2 4 2 7" xfId="12227"/>
    <cellStyle name="Input 2 3 2 4 3" xfId="1775"/>
    <cellStyle name="Input 2 3 2 4 3 2" xfId="4628"/>
    <cellStyle name="Input 2 3 2 4 3 2 2" xfId="23600"/>
    <cellStyle name="Input 2 3 2 4 3 2 3" xfId="34445"/>
    <cellStyle name="Input 2 3 2 4 3 2 4" xfId="14549"/>
    <cellStyle name="Input 2 3 2 4 3 3" xfId="7300"/>
    <cellStyle name="Input 2 3 2 4 3 3 2" xfId="26272"/>
    <cellStyle name="Input 2 3 2 4 3 3 3" xfId="37117"/>
    <cellStyle name="Input 2 3 2 4 3 3 4" xfId="16463"/>
    <cellStyle name="Input 2 3 2 4 3 4" xfId="9959"/>
    <cellStyle name="Input 2 3 2 4 3 4 2" xfId="28931"/>
    <cellStyle name="Input 2 3 2 4 3 4 3" xfId="39776"/>
    <cellStyle name="Input 2 3 2 4 3 4 4" xfId="18367"/>
    <cellStyle name="Input 2 3 2 4 3 5" xfId="20755"/>
    <cellStyle name="Input 2 3 2 4 3 6" xfId="31600"/>
    <cellStyle name="Input 2 3 2 4 3 7" xfId="12513"/>
    <cellStyle name="Input 2 3 2 4 4" xfId="2179"/>
    <cellStyle name="Input 2 3 2 4 4 2" xfId="5032"/>
    <cellStyle name="Input 2 3 2 4 4 2 2" xfId="24004"/>
    <cellStyle name="Input 2 3 2 4 4 2 3" xfId="34849"/>
    <cellStyle name="Input 2 3 2 4 4 2 4" xfId="14836"/>
    <cellStyle name="Input 2 3 2 4 4 3" xfId="7703"/>
    <cellStyle name="Input 2 3 2 4 4 3 2" xfId="26675"/>
    <cellStyle name="Input 2 3 2 4 4 3 3" xfId="37520"/>
    <cellStyle name="Input 2 3 2 4 4 3 4" xfId="16749"/>
    <cellStyle name="Input 2 3 2 4 4 4" xfId="10362"/>
    <cellStyle name="Input 2 3 2 4 4 4 2" xfId="29334"/>
    <cellStyle name="Input 2 3 2 4 4 4 3" xfId="40179"/>
    <cellStyle name="Input 2 3 2 4 4 4 4" xfId="18653"/>
    <cellStyle name="Input 2 3 2 4 4 5" xfId="21158"/>
    <cellStyle name="Input 2 3 2 4 4 6" xfId="32003"/>
    <cellStyle name="Input 2 3 2 4 4 7" xfId="12799"/>
    <cellStyle name="Input 2 3 2 4 5" xfId="2569"/>
    <cellStyle name="Input 2 3 2 4 5 2" xfId="5421"/>
    <cellStyle name="Input 2 3 2 4 5 2 2" xfId="24393"/>
    <cellStyle name="Input 2 3 2 4 5 2 3" xfId="35238"/>
    <cellStyle name="Input 2 3 2 4 5 2 4" xfId="15115"/>
    <cellStyle name="Input 2 3 2 4 5 3" xfId="8092"/>
    <cellStyle name="Input 2 3 2 4 5 3 2" xfId="27064"/>
    <cellStyle name="Input 2 3 2 4 5 3 3" xfId="37909"/>
    <cellStyle name="Input 2 3 2 4 5 3 4" xfId="17028"/>
    <cellStyle name="Input 2 3 2 4 5 4" xfId="10751"/>
    <cellStyle name="Input 2 3 2 4 5 4 2" xfId="29723"/>
    <cellStyle name="Input 2 3 2 4 5 4 3" xfId="40568"/>
    <cellStyle name="Input 2 3 2 4 5 4 4" xfId="18932"/>
    <cellStyle name="Input 2 3 2 4 5 5" xfId="21547"/>
    <cellStyle name="Input 2 3 2 4 5 6" xfId="32392"/>
    <cellStyle name="Input 2 3 2 4 5 7" xfId="13078"/>
    <cellStyle name="Input 2 3 2 4 6" xfId="2955"/>
    <cellStyle name="Input 2 3 2 4 6 2" xfId="5806"/>
    <cellStyle name="Input 2 3 2 4 6 2 2" xfId="24778"/>
    <cellStyle name="Input 2 3 2 4 6 2 3" xfId="35623"/>
    <cellStyle name="Input 2 3 2 4 6 2 4" xfId="15391"/>
    <cellStyle name="Input 2 3 2 4 6 3" xfId="8477"/>
    <cellStyle name="Input 2 3 2 4 6 3 2" xfId="27449"/>
    <cellStyle name="Input 2 3 2 4 6 3 3" xfId="38294"/>
    <cellStyle name="Input 2 3 2 4 6 3 4" xfId="17304"/>
    <cellStyle name="Input 2 3 2 4 6 4" xfId="11136"/>
    <cellStyle name="Input 2 3 2 4 6 4 2" xfId="30108"/>
    <cellStyle name="Input 2 3 2 4 6 4 3" xfId="40953"/>
    <cellStyle name="Input 2 3 2 4 6 4 4" xfId="19208"/>
    <cellStyle name="Input 2 3 2 4 6 5" xfId="21932"/>
    <cellStyle name="Input 2 3 2 4 6 6" xfId="32777"/>
    <cellStyle name="Input 2 3 2 4 6 7" xfId="13354"/>
    <cellStyle name="Input 2 3 2 4 7" xfId="3644"/>
    <cellStyle name="Input 2 3 2 4 7 2" xfId="22616"/>
    <cellStyle name="Input 2 3 2 4 7 3" xfId="33461"/>
    <cellStyle name="Input 2 3 2 4 7 4" xfId="13835"/>
    <cellStyle name="Input 2 3 2 4 8" xfId="6319"/>
    <cellStyle name="Input 2 3 2 4 8 2" xfId="25291"/>
    <cellStyle name="Input 2 3 2 4 8 3" xfId="36136"/>
    <cellStyle name="Input 2 3 2 4 8 4" xfId="15751"/>
    <cellStyle name="Input 2 3 2 4 9" xfId="8978"/>
    <cellStyle name="Input 2 3 2 4 9 2" xfId="27950"/>
    <cellStyle name="Input 2 3 2 4 9 3" xfId="38795"/>
    <cellStyle name="Input 2 3 2 4 9 4" xfId="17655"/>
    <cellStyle name="Input 2 3 2 5" xfId="848"/>
    <cellStyle name="Input 2 3 2 5 10" xfId="19833"/>
    <cellStyle name="Input 2 3 2 5 11" xfId="30678"/>
    <cellStyle name="Input 2 3 2 5 12" xfId="11840"/>
    <cellStyle name="Input 2 3 2 5 2" xfId="1435"/>
    <cellStyle name="Input 2 3 2 5 2 2" xfId="4288"/>
    <cellStyle name="Input 2 3 2 5 2 2 2" xfId="23260"/>
    <cellStyle name="Input 2 3 2 5 2 2 3" xfId="34105"/>
    <cellStyle name="Input 2 3 2 5 2 2 4" xfId="14301"/>
    <cellStyle name="Input 2 3 2 5 2 3" xfId="6961"/>
    <cellStyle name="Input 2 3 2 5 2 3 2" xfId="25933"/>
    <cellStyle name="Input 2 3 2 5 2 3 3" xfId="36778"/>
    <cellStyle name="Input 2 3 2 5 2 3 4" xfId="16216"/>
    <cellStyle name="Input 2 3 2 5 2 4" xfId="9620"/>
    <cellStyle name="Input 2 3 2 5 2 4 2" xfId="28592"/>
    <cellStyle name="Input 2 3 2 5 2 4 3" xfId="39437"/>
    <cellStyle name="Input 2 3 2 5 2 4 4" xfId="18120"/>
    <cellStyle name="Input 2 3 2 5 2 5" xfId="20416"/>
    <cellStyle name="Input 2 3 2 5 2 6" xfId="31261"/>
    <cellStyle name="Input 2 3 2 5 2 7" xfId="12266"/>
    <cellStyle name="Input 2 3 2 5 3" xfId="1834"/>
    <cellStyle name="Input 2 3 2 5 3 2" xfId="4687"/>
    <cellStyle name="Input 2 3 2 5 3 2 2" xfId="23659"/>
    <cellStyle name="Input 2 3 2 5 3 2 3" xfId="34504"/>
    <cellStyle name="Input 2 3 2 5 3 2 4" xfId="14588"/>
    <cellStyle name="Input 2 3 2 5 3 3" xfId="7359"/>
    <cellStyle name="Input 2 3 2 5 3 3 2" xfId="26331"/>
    <cellStyle name="Input 2 3 2 5 3 3 3" xfId="37176"/>
    <cellStyle name="Input 2 3 2 5 3 3 4" xfId="16502"/>
    <cellStyle name="Input 2 3 2 5 3 4" xfId="10018"/>
    <cellStyle name="Input 2 3 2 5 3 4 2" xfId="28990"/>
    <cellStyle name="Input 2 3 2 5 3 4 3" xfId="39835"/>
    <cellStyle name="Input 2 3 2 5 3 4 4" xfId="18406"/>
    <cellStyle name="Input 2 3 2 5 3 5" xfId="20814"/>
    <cellStyle name="Input 2 3 2 5 3 6" xfId="31659"/>
    <cellStyle name="Input 2 3 2 5 3 7" xfId="12552"/>
    <cellStyle name="Input 2 3 2 5 4" xfId="2238"/>
    <cellStyle name="Input 2 3 2 5 4 2" xfId="5091"/>
    <cellStyle name="Input 2 3 2 5 4 2 2" xfId="24063"/>
    <cellStyle name="Input 2 3 2 5 4 2 3" xfId="34908"/>
    <cellStyle name="Input 2 3 2 5 4 2 4" xfId="14875"/>
    <cellStyle name="Input 2 3 2 5 4 3" xfId="7762"/>
    <cellStyle name="Input 2 3 2 5 4 3 2" xfId="26734"/>
    <cellStyle name="Input 2 3 2 5 4 3 3" xfId="37579"/>
    <cellStyle name="Input 2 3 2 5 4 3 4" xfId="16788"/>
    <cellStyle name="Input 2 3 2 5 4 4" xfId="10421"/>
    <cellStyle name="Input 2 3 2 5 4 4 2" xfId="29393"/>
    <cellStyle name="Input 2 3 2 5 4 4 3" xfId="40238"/>
    <cellStyle name="Input 2 3 2 5 4 4 4" xfId="18692"/>
    <cellStyle name="Input 2 3 2 5 4 5" xfId="21217"/>
    <cellStyle name="Input 2 3 2 5 4 6" xfId="32062"/>
    <cellStyle name="Input 2 3 2 5 4 7" xfId="12838"/>
    <cellStyle name="Input 2 3 2 5 5" xfId="2628"/>
    <cellStyle name="Input 2 3 2 5 5 2" xfId="5480"/>
    <cellStyle name="Input 2 3 2 5 5 2 2" xfId="24452"/>
    <cellStyle name="Input 2 3 2 5 5 2 3" xfId="35297"/>
    <cellStyle name="Input 2 3 2 5 5 2 4" xfId="15154"/>
    <cellStyle name="Input 2 3 2 5 5 3" xfId="8151"/>
    <cellStyle name="Input 2 3 2 5 5 3 2" xfId="27123"/>
    <cellStyle name="Input 2 3 2 5 5 3 3" xfId="37968"/>
    <cellStyle name="Input 2 3 2 5 5 3 4" xfId="17067"/>
    <cellStyle name="Input 2 3 2 5 5 4" xfId="10810"/>
    <cellStyle name="Input 2 3 2 5 5 4 2" xfId="29782"/>
    <cellStyle name="Input 2 3 2 5 5 4 3" xfId="40627"/>
    <cellStyle name="Input 2 3 2 5 5 4 4" xfId="18971"/>
    <cellStyle name="Input 2 3 2 5 5 5" xfId="21606"/>
    <cellStyle name="Input 2 3 2 5 5 6" xfId="32451"/>
    <cellStyle name="Input 2 3 2 5 5 7" xfId="13117"/>
    <cellStyle name="Input 2 3 2 5 6" xfId="3014"/>
    <cellStyle name="Input 2 3 2 5 6 2" xfId="5865"/>
    <cellStyle name="Input 2 3 2 5 6 2 2" xfId="24837"/>
    <cellStyle name="Input 2 3 2 5 6 2 3" xfId="35682"/>
    <cellStyle name="Input 2 3 2 5 6 2 4" xfId="15430"/>
    <cellStyle name="Input 2 3 2 5 6 3" xfId="8536"/>
    <cellStyle name="Input 2 3 2 5 6 3 2" xfId="27508"/>
    <cellStyle name="Input 2 3 2 5 6 3 3" xfId="38353"/>
    <cellStyle name="Input 2 3 2 5 6 3 4" xfId="17343"/>
    <cellStyle name="Input 2 3 2 5 6 4" xfId="11195"/>
    <cellStyle name="Input 2 3 2 5 6 4 2" xfId="30167"/>
    <cellStyle name="Input 2 3 2 5 6 4 3" xfId="41012"/>
    <cellStyle name="Input 2 3 2 5 6 4 4" xfId="19247"/>
    <cellStyle name="Input 2 3 2 5 6 5" xfId="21991"/>
    <cellStyle name="Input 2 3 2 5 6 6" xfId="32836"/>
    <cellStyle name="Input 2 3 2 5 6 7" xfId="13393"/>
    <cellStyle name="Input 2 3 2 5 7" xfId="3703"/>
    <cellStyle name="Input 2 3 2 5 7 2" xfId="22675"/>
    <cellStyle name="Input 2 3 2 5 7 3" xfId="33520"/>
    <cellStyle name="Input 2 3 2 5 7 4" xfId="13874"/>
    <cellStyle name="Input 2 3 2 5 8" xfId="6378"/>
    <cellStyle name="Input 2 3 2 5 8 2" xfId="25350"/>
    <cellStyle name="Input 2 3 2 5 8 3" xfId="36195"/>
    <cellStyle name="Input 2 3 2 5 8 4" xfId="15790"/>
    <cellStyle name="Input 2 3 2 5 9" xfId="9037"/>
    <cellStyle name="Input 2 3 2 5 9 2" xfId="28009"/>
    <cellStyle name="Input 2 3 2 5 9 3" xfId="38854"/>
    <cellStyle name="Input 2 3 2 5 9 4" xfId="17694"/>
    <cellStyle name="Input 2 3 2 6" xfId="1070"/>
    <cellStyle name="Input 2 3 2 6 2" xfId="3923"/>
    <cellStyle name="Input 2 3 2 6 2 2" xfId="22895"/>
    <cellStyle name="Input 2 3 2 6 2 3" xfId="33740"/>
    <cellStyle name="Input 2 3 2 6 2 4" xfId="14036"/>
    <cellStyle name="Input 2 3 2 6 3" xfId="6597"/>
    <cellStyle name="Input 2 3 2 6 3 2" xfId="25569"/>
    <cellStyle name="Input 2 3 2 6 3 3" xfId="36414"/>
    <cellStyle name="Input 2 3 2 6 3 4" xfId="15952"/>
    <cellStyle name="Input 2 3 2 6 4" xfId="9256"/>
    <cellStyle name="Input 2 3 2 6 4 2" xfId="28228"/>
    <cellStyle name="Input 2 3 2 6 4 3" xfId="39073"/>
    <cellStyle name="Input 2 3 2 6 4 4" xfId="17856"/>
    <cellStyle name="Input 2 3 2 6 5" xfId="20052"/>
    <cellStyle name="Input 2 3 2 6 6" xfId="30897"/>
    <cellStyle name="Input 2 3 2 6 7" xfId="12002"/>
    <cellStyle name="Input 2 3 2 7" xfId="983"/>
    <cellStyle name="Input 2 3 2 7 2" xfId="3836"/>
    <cellStyle name="Input 2 3 2 7 2 2" xfId="22808"/>
    <cellStyle name="Input 2 3 2 7 2 3" xfId="33653"/>
    <cellStyle name="Input 2 3 2 7 2 4" xfId="13971"/>
    <cellStyle name="Input 2 3 2 7 3" xfId="6511"/>
    <cellStyle name="Input 2 3 2 7 3 2" xfId="25483"/>
    <cellStyle name="Input 2 3 2 7 3 3" xfId="36328"/>
    <cellStyle name="Input 2 3 2 7 3 4" xfId="15887"/>
    <cellStyle name="Input 2 3 2 7 4" xfId="9170"/>
    <cellStyle name="Input 2 3 2 7 4 2" xfId="28142"/>
    <cellStyle name="Input 2 3 2 7 4 3" xfId="38987"/>
    <cellStyle name="Input 2 3 2 7 4 4" xfId="17791"/>
    <cellStyle name="Input 2 3 2 7 5" xfId="19966"/>
    <cellStyle name="Input 2 3 2 7 6" xfId="30811"/>
    <cellStyle name="Input 2 3 2 7 7" xfId="11937"/>
    <cellStyle name="Input 2 3 2 8" xfId="1229"/>
    <cellStyle name="Input 2 3 2 8 2" xfId="4082"/>
    <cellStyle name="Input 2 3 2 8 2 2" xfId="23054"/>
    <cellStyle name="Input 2 3 2 8 2 3" xfId="33899"/>
    <cellStyle name="Input 2 3 2 8 2 4" xfId="14155"/>
    <cellStyle name="Input 2 3 2 8 3" xfId="6755"/>
    <cellStyle name="Input 2 3 2 8 3 2" xfId="25727"/>
    <cellStyle name="Input 2 3 2 8 3 3" xfId="36572"/>
    <cellStyle name="Input 2 3 2 8 3 4" xfId="16070"/>
    <cellStyle name="Input 2 3 2 8 4" xfId="9414"/>
    <cellStyle name="Input 2 3 2 8 4 2" xfId="28386"/>
    <cellStyle name="Input 2 3 2 8 4 3" xfId="39231"/>
    <cellStyle name="Input 2 3 2 8 4 4" xfId="17974"/>
    <cellStyle name="Input 2 3 2 8 5" xfId="20210"/>
    <cellStyle name="Input 2 3 2 8 6" xfId="31055"/>
    <cellStyle name="Input 2 3 2 8 7" xfId="12120"/>
    <cellStyle name="Input 2 3 2 9" xfId="934"/>
    <cellStyle name="Input 2 3 2 9 2" xfId="3788"/>
    <cellStyle name="Input 2 3 2 9 2 2" xfId="22760"/>
    <cellStyle name="Input 2 3 2 9 2 3" xfId="33605"/>
    <cellStyle name="Input 2 3 2 9 2 4" xfId="13933"/>
    <cellStyle name="Input 2 3 2 9 3" xfId="6463"/>
    <cellStyle name="Input 2 3 2 9 3 2" xfId="25435"/>
    <cellStyle name="Input 2 3 2 9 3 3" xfId="36280"/>
    <cellStyle name="Input 2 3 2 9 3 4" xfId="15849"/>
    <cellStyle name="Input 2 3 2 9 4" xfId="9122"/>
    <cellStyle name="Input 2 3 2 9 4 2" xfId="28094"/>
    <cellStyle name="Input 2 3 2 9 4 3" xfId="38939"/>
    <cellStyle name="Input 2 3 2 9 4 4" xfId="17753"/>
    <cellStyle name="Input 2 3 2 9 5" xfId="19918"/>
    <cellStyle name="Input 2 3 2 9 6" xfId="30763"/>
    <cellStyle name="Input 2 3 2 9 7" xfId="11899"/>
    <cellStyle name="Input 2 3 3" xfId="552"/>
    <cellStyle name="Input 2 3 3 10" xfId="19562"/>
    <cellStyle name="Input 2 3 3 11" xfId="30407"/>
    <cellStyle name="Input 2 3 3 12" xfId="11626"/>
    <cellStyle name="Input 2 3 3 2" xfId="1158"/>
    <cellStyle name="Input 2 3 3 2 2" xfId="4011"/>
    <cellStyle name="Input 2 3 3 2 2 2" xfId="22983"/>
    <cellStyle name="Input 2 3 3 2 2 3" xfId="33828"/>
    <cellStyle name="Input 2 3 3 2 2 4" xfId="14103"/>
    <cellStyle name="Input 2 3 3 2 3" xfId="6684"/>
    <cellStyle name="Input 2 3 3 2 3 2" xfId="25656"/>
    <cellStyle name="Input 2 3 3 2 3 3" xfId="36501"/>
    <cellStyle name="Input 2 3 3 2 3 4" xfId="16018"/>
    <cellStyle name="Input 2 3 3 2 4" xfId="9343"/>
    <cellStyle name="Input 2 3 3 2 4 2" xfId="28315"/>
    <cellStyle name="Input 2 3 3 2 4 3" xfId="39160"/>
    <cellStyle name="Input 2 3 3 2 4 4" xfId="17922"/>
    <cellStyle name="Input 2 3 3 2 5" xfId="20139"/>
    <cellStyle name="Input 2 3 3 2 6" xfId="30984"/>
    <cellStyle name="Input 2 3 3 2 7" xfId="12068"/>
    <cellStyle name="Input 2 3 3 3" xfId="1555"/>
    <cellStyle name="Input 2 3 3 3 2" xfId="4408"/>
    <cellStyle name="Input 2 3 3 3 2 2" xfId="23380"/>
    <cellStyle name="Input 2 3 3 3 2 3" xfId="34225"/>
    <cellStyle name="Input 2 3 3 3 2 4" xfId="14389"/>
    <cellStyle name="Input 2 3 3 3 3" xfId="7080"/>
    <cellStyle name="Input 2 3 3 3 3 2" xfId="26052"/>
    <cellStyle name="Input 2 3 3 3 3 3" xfId="36897"/>
    <cellStyle name="Input 2 3 3 3 3 4" xfId="16303"/>
    <cellStyle name="Input 2 3 3 3 4" xfId="9739"/>
    <cellStyle name="Input 2 3 3 3 4 2" xfId="28711"/>
    <cellStyle name="Input 2 3 3 3 4 3" xfId="39556"/>
    <cellStyle name="Input 2 3 3 3 4 4" xfId="18207"/>
    <cellStyle name="Input 2 3 3 3 5" xfId="20535"/>
    <cellStyle name="Input 2 3 3 3 6" xfId="31380"/>
    <cellStyle name="Input 2 3 3 3 7" xfId="12353"/>
    <cellStyle name="Input 2 3 3 4" xfId="1959"/>
    <cellStyle name="Input 2 3 3 4 2" xfId="4812"/>
    <cellStyle name="Input 2 3 3 4 2 2" xfId="23784"/>
    <cellStyle name="Input 2 3 3 4 2 3" xfId="34629"/>
    <cellStyle name="Input 2 3 3 4 2 4" xfId="14677"/>
    <cellStyle name="Input 2 3 3 4 3" xfId="7484"/>
    <cellStyle name="Input 2 3 3 4 3 2" xfId="26456"/>
    <cellStyle name="Input 2 3 3 4 3 3" xfId="37301"/>
    <cellStyle name="Input 2 3 3 4 3 4" xfId="16591"/>
    <cellStyle name="Input 2 3 3 4 4" xfId="10143"/>
    <cellStyle name="Input 2 3 3 4 4 2" xfId="29115"/>
    <cellStyle name="Input 2 3 3 4 4 3" xfId="39960"/>
    <cellStyle name="Input 2 3 3 4 4 4" xfId="18495"/>
    <cellStyle name="Input 2 3 3 4 5" xfId="20939"/>
    <cellStyle name="Input 2 3 3 4 6" xfId="31784"/>
    <cellStyle name="Input 2 3 3 4 7" xfId="12641"/>
    <cellStyle name="Input 2 3 3 5" xfId="2351"/>
    <cellStyle name="Input 2 3 3 5 2" xfId="5204"/>
    <cellStyle name="Input 2 3 3 5 2 2" xfId="24176"/>
    <cellStyle name="Input 2 3 3 5 2 3" xfId="35021"/>
    <cellStyle name="Input 2 3 3 5 2 4" xfId="14958"/>
    <cellStyle name="Input 2 3 3 5 3" xfId="7875"/>
    <cellStyle name="Input 2 3 3 5 3 2" xfId="26847"/>
    <cellStyle name="Input 2 3 3 5 3 3" xfId="37692"/>
    <cellStyle name="Input 2 3 3 5 3 4" xfId="16871"/>
    <cellStyle name="Input 2 3 3 5 4" xfId="10534"/>
    <cellStyle name="Input 2 3 3 5 4 2" xfId="29506"/>
    <cellStyle name="Input 2 3 3 5 4 3" xfId="40351"/>
    <cellStyle name="Input 2 3 3 5 4 4" xfId="18775"/>
    <cellStyle name="Input 2 3 3 5 5" xfId="21330"/>
    <cellStyle name="Input 2 3 3 5 6" xfId="32175"/>
    <cellStyle name="Input 2 3 3 5 7" xfId="12921"/>
    <cellStyle name="Input 2 3 3 6" xfId="2740"/>
    <cellStyle name="Input 2 3 3 6 2" xfId="5592"/>
    <cellStyle name="Input 2 3 3 6 2 2" xfId="24564"/>
    <cellStyle name="Input 2 3 3 6 2 3" xfId="35409"/>
    <cellStyle name="Input 2 3 3 6 2 4" xfId="15236"/>
    <cellStyle name="Input 2 3 3 6 3" xfId="8263"/>
    <cellStyle name="Input 2 3 3 6 3 2" xfId="27235"/>
    <cellStyle name="Input 2 3 3 6 3 3" xfId="38080"/>
    <cellStyle name="Input 2 3 3 6 3 4" xfId="17149"/>
    <cellStyle name="Input 2 3 3 6 4" xfId="10922"/>
    <cellStyle name="Input 2 3 3 6 4 2" xfId="29894"/>
    <cellStyle name="Input 2 3 3 6 4 3" xfId="40739"/>
    <cellStyle name="Input 2 3 3 6 4 4" xfId="19053"/>
    <cellStyle name="Input 2 3 3 6 5" xfId="21718"/>
    <cellStyle name="Input 2 3 3 6 6" xfId="32563"/>
    <cellStyle name="Input 2 3 3 6 7" xfId="13199"/>
    <cellStyle name="Input 2 3 3 7" xfId="3431"/>
    <cellStyle name="Input 2 3 3 7 2" xfId="22403"/>
    <cellStyle name="Input 2 3 3 7 3" xfId="33248"/>
    <cellStyle name="Input 2 3 3 7 4" xfId="13681"/>
    <cellStyle name="Input 2 3 3 8" xfId="6107"/>
    <cellStyle name="Input 2 3 3 8 2" xfId="25079"/>
    <cellStyle name="Input 2 3 3 8 3" xfId="35924"/>
    <cellStyle name="Input 2 3 3 8 4" xfId="15598"/>
    <cellStyle name="Input 2 3 3 9" xfId="8766"/>
    <cellStyle name="Input 2 3 3 9 2" xfId="27738"/>
    <cellStyle name="Input 2 3 3 9 3" xfId="38583"/>
    <cellStyle name="Input 2 3 3 9 4" xfId="17502"/>
    <cellStyle name="Input 2 3 4" xfId="11450"/>
    <cellStyle name="Input 2 4" xfId="99"/>
    <cellStyle name="Input 2 4 2" xfId="369"/>
    <cellStyle name="Input 2 4 2 10" xfId="1236"/>
    <cellStyle name="Input 2 4 2 10 2" xfId="4089"/>
    <cellStyle name="Input 2 4 2 10 2 2" xfId="23061"/>
    <cellStyle name="Input 2 4 2 10 2 3" xfId="33906"/>
    <cellStyle name="Input 2 4 2 10 2 4" xfId="14162"/>
    <cellStyle name="Input 2 4 2 10 3" xfId="6762"/>
    <cellStyle name="Input 2 4 2 10 3 2" xfId="25734"/>
    <cellStyle name="Input 2 4 2 10 3 3" xfId="36579"/>
    <cellStyle name="Input 2 4 2 10 3 4" xfId="16077"/>
    <cellStyle name="Input 2 4 2 10 4" xfId="9421"/>
    <cellStyle name="Input 2 4 2 10 4 2" xfId="28393"/>
    <cellStyle name="Input 2 4 2 10 4 3" xfId="39238"/>
    <cellStyle name="Input 2 4 2 10 4 4" xfId="17981"/>
    <cellStyle name="Input 2 4 2 10 5" xfId="20217"/>
    <cellStyle name="Input 2 4 2 10 6" xfId="31062"/>
    <cellStyle name="Input 2 4 2 10 7" xfId="12127"/>
    <cellStyle name="Input 2 4 2 11" xfId="932"/>
    <cellStyle name="Input 2 4 2 11 2" xfId="3786"/>
    <cellStyle name="Input 2 4 2 11 2 2" xfId="22758"/>
    <cellStyle name="Input 2 4 2 11 2 3" xfId="33603"/>
    <cellStyle name="Input 2 4 2 11 2 4" xfId="13932"/>
    <cellStyle name="Input 2 4 2 11 3" xfId="6461"/>
    <cellStyle name="Input 2 4 2 11 3 2" xfId="25433"/>
    <cellStyle name="Input 2 4 2 11 3 3" xfId="36278"/>
    <cellStyle name="Input 2 4 2 11 3 4" xfId="15848"/>
    <cellStyle name="Input 2 4 2 11 4" xfId="9120"/>
    <cellStyle name="Input 2 4 2 11 4 2" xfId="28092"/>
    <cellStyle name="Input 2 4 2 11 4 3" xfId="38937"/>
    <cellStyle name="Input 2 4 2 11 4 4" xfId="17752"/>
    <cellStyle name="Input 2 4 2 11 5" xfId="19916"/>
    <cellStyle name="Input 2 4 2 11 6" xfId="30761"/>
    <cellStyle name="Input 2 4 2 11 7" xfId="11898"/>
    <cellStyle name="Input 2 4 2 12" xfId="3105"/>
    <cellStyle name="Input 2 4 2 12 2" xfId="5956"/>
    <cellStyle name="Input 2 4 2 12 2 2" xfId="24928"/>
    <cellStyle name="Input 2 4 2 12 2 3" xfId="35773"/>
    <cellStyle name="Input 2 4 2 12 2 4" xfId="15491"/>
    <cellStyle name="Input 2 4 2 12 3" xfId="8627"/>
    <cellStyle name="Input 2 4 2 12 3 2" xfId="27599"/>
    <cellStyle name="Input 2 4 2 12 3 3" xfId="38444"/>
    <cellStyle name="Input 2 4 2 12 3 4" xfId="17404"/>
    <cellStyle name="Input 2 4 2 12 4" xfId="11286"/>
    <cellStyle name="Input 2 4 2 12 4 2" xfId="30258"/>
    <cellStyle name="Input 2 4 2 12 4 3" xfId="41103"/>
    <cellStyle name="Input 2 4 2 12 4 4" xfId="19308"/>
    <cellStyle name="Input 2 4 2 12 5" xfId="22082"/>
    <cellStyle name="Input 2 4 2 12 6" xfId="32927"/>
    <cellStyle name="Input 2 4 2 12 7" xfId="13454"/>
    <cellStyle name="Input 2 4 2 13" xfId="3162"/>
    <cellStyle name="Input 2 4 2 13 2" xfId="6013"/>
    <cellStyle name="Input 2 4 2 13 2 2" xfId="24985"/>
    <cellStyle name="Input 2 4 2 13 2 3" xfId="35830"/>
    <cellStyle name="Input 2 4 2 13 2 4" xfId="15528"/>
    <cellStyle name="Input 2 4 2 13 3" xfId="8684"/>
    <cellStyle name="Input 2 4 2 13 3 2" xfId="27656"/>
    <cellStyle name="Input 2 4 2 13 3 3" xfId="38501"/>
    <cellStyle name="Input 2 4 2 13 3 4" xfId="17441"/>
    <cellStyle name="Input 2 4 2 13 4" xfId="11343"/>
    <cellStyle name="Input 2 4 2 13 4 2" xfId="30315"/>
    <cellStyle name="Input 2 4 2 13 4 3" xfId="41160"/>
    <cellStyle name="Input 2 4 2 13 4 4" xfId="19345"/>
    <cellStyle name="Input 2 4 2 13 5" xfId="22139"/>
    <cellStyle name="Input 2 4 2 13 6" xfId="32984"/>
    <cellStyle name="Input 2 4 2 13 7" xfId="13491"/>
    <cellStyle name="Input 2 4 2 14" xfId="3328"/>
    <cellStyle name="Input 2 4 2 14 2" xfId="22302"/>
    <cellStyle name="Input 2 4 2 14 3" xfId="33147"/>
    <cellStyle name="Input 2 4 2 14 4" xfId="13608"/>
    <cellStyle name="Input 2 4 2 15" xfId="3249"/>
    <cellStyle name="Input 2 4 2 15 2" xfId="22225"/>
    <cellStyle name="Input 2 4 2 15 3" xfId="33070"/>
    <cellStyle name="Input 2 4 2 15 4" xfId="13551"/>
    <cellStyle name="Input 2 4 2 16" xfId="3265"/>
    <cellStyle name="Input 2 4 2 16 2" xfId="22239"/>
    <cellStyle name="Input 2 4 2 16 3" xfId="33084"/>
    <cellStyle name="Input 2 4 2 16 4" xfId="13565"/>
    <cellStyle name="Input 2 4 2 17" xfId="19459"/>
    <cellStyle name="Input 2 4 2 18" xfId="19402"/>
    <cellStyle name="Input 2 4 2 19" xfId="11518"/>
    <cellStyle name="Input 2 4 2 2" xfId="670"/>
    <cellStyle name="Input 2 4 2 2 10" xfId="19655"/>
    <cellStyle name="Input 2 4 2 2 11" xfId="30500"/>
    <cellStyle name="Input 2 4 2 2 12" xfId="11722"/>
    <cellStyle name="Input 2 4 2 2 2" xfId="1257"/>
    <cellStyle name="Input 2 4 2 2 2 2" xfId="4110"/>
    <cellStyle name="Input 2 4 2 2 2 2 2" xfId="23082"/>
    <cellStyle name="Input 2 4 2 2 2 2 3" xfId="33927"/>
    <cellStyle name="Input 2 4 2 2 2 2 4" xfId="14183"/>
    <cellStyle name="Input 2 4 2 2 2 3" xfId="6783"/>
    <cellStyle name="Input 2 4 2 2 2 3 2" xfId="25755"/>
    <cellStyle name="Input 2 4 2 2 2 3 3" xfId="36600"/>
    <cellStyle name="Input 2 4 2 2 2 3 4" xfId="16098"/>
    <cellStyle name="Input 2 4 2 2 2 4" xfId="9442"/>
    <cellStyle name="Input 2 4 2 2 2 4 2" xfId="28414"/>
    <cellStyle name="Input 2 4 2 2 2 4 3" xfId="39259"/>
    <cellStyle name="Input 2 4 2 2 2 4 4" xfId="18002"/>
    <cellStyle name="Input 2 4 2 2 2 5" xfId="20238"/>
    <cellStyle name="Input 2 4 2 2 2 6" xfId="31083"/>
    <cellStyle name="Input 2 4 2 2 2 7" xfId="12148"/>
    <cellStyle name="Input 2 4 2 2 3" xfId="1656"/>
    <cellStyle name="Input 2 4 2 2 3 2" xfId="4509"/>
    <cellStyle name="Input 2 4 2 2 3 2 2" xfId="23481"/>
    <cellStyle name="Input 2 4 2 2 3 2 3" xfId="34326"/>
    <cellStyle name="Input 2 4 2 2 3 2 4" xfId="14470"/>
    <cellStyle name="Input 2 4 2 2 3 3" xfId="7181"/>
    <cellStyle name="Input 2 4 2 2 3 3 2" xfId="26153"/>
    <cellStyle name="Input 2 4 2 2 3 3 3" xfId="36998"/>
    <cellStyle name="Input 2 4 2 2 3 3 4" xfId="16384"/>
    <cellStyle name="Input 2 4 2 2 3 4" xfId="9840"/>
    <cellStyle name="Input 2 4 2 2 3 4 2" xfId="28812"/>
    <cellStyle name="Input 2 4 2 2 3 4 3" xfId="39657"/>
    <cellStyle name="Input 2 4 2 2 3 4 4" xfId="18288"/>
    <cellStyle name="Input 2 4 2 2 3 5" xfId="20636"/>
    <cellStyle name="Input 2 4 2 2 3 6" xfId="31481"/>
    <cellStyle name="Input 2 4 2 2 3 7" xfId="12434"/>
    <cellStyle name="Input 2 4 2 2 4" xfId="2060"/>
    <cellStyle name="Input 2 4 2 2 4 2" xfId="4913"/>
    <cellStyle name="Input 2 4 2 2 4 2 2" xfId="23885"/>
    <cellStyle name="Input 2 4 2 2 4 2 3" xfId="34730"/>
    <cellStyle name="Input 2 4 2 2 4 2 4" xfId="14757"/>
    <cellStyle name="Input 2 4 2 2 4 3" xfId="7584"/>
    <cellStyle name="Input 2 4 2 2 4 3 2" xfId="26556"/>
    <cellStyle name="Input 2 4 2 2 4 3 3" xfId="37401"/>
    <cellStyle name="Input 2 4 2 2 4 3 4" xfId="16670"/>
    <cellStyle name="Input 2 4 2 2 4 4" xfId="10243"/>
    <cellStyle name="Input 2 4 2 2 4 4 2" xfId="29215"/>
    <cellStyle name="Input 2 4 2 2 4 4 3" xfId="40060"/>
    <cellStyle name="Input 2 4 2 2 4 4 4" xfId="18574"/>
    <cellStyle name="Input 2 4 2 2 4 5" xfId="21039"/>
    <cellStyle name="Input 2 4 2 2 4 6" xfId="31884"/>
    <cellStyle name="Input 2 4 2 2 4 7" xfId="12720"/>
    <cellStyle name="Input 2 4 2 2 5" xfId="2450"/>
    <cellStyle name="Input 2 4 2 2 5 2" xfId="5302"/>
    <cellStyle name="Input 2 4 2 2 5 2 2" xfId="24274"/>
    <cellStyle name="Input 2 4 2 2 5 2 3" xfId="35119"/>
    <cellStyle name="Input 2 4 2 2 5 2 4" xfId="15036"/>
    <cellStyle name="Input 2 4 2 2 5 3" xfId="7973"/>
    <cellStyle name="Input 2 4 2 2 5 3 2" xfId="26945"/>
    <cellStyle name="Input 2 4 2 2 5 3 3" xfId="37790"/>
    <cellStyle name="Input 2 4 2 2 5 3 4" xfId="16949"/>
    <cellStyle name="Input 2 4 2 2 5 4" xfId="10632"/>
    <cellStyle name="Input 2 4 2 2 5 4 2" xfId="29604"/>
    <cellStyle name="Input 2 4 2 2 5 4 3" xfId="40449"/>
    <cellStyle name="Input 2 4 2 2 5 4 4" xfId="18853"/>
    <cellStyle name="Input 2 4 2 2 5 5" xfId="21428"/>
    <cellStyle name="Input 2 4 2 2 5 6" xfId="32273"/>
    <cellStyle name="Input 2 4 2 2 5 7" xfId="12999"/>
    <cellStyle name="Input 2 4 2 2 6" xfId="2836"/>
    <cellStyle name="Input 2 4 2 2 6 2" xfId="5687"/>
    <cellStyle name="Input 2 4 2 2 6 2 2" xfId="24659"/>
    <cellStyle name="Input 2 4 2 2 6 2 3" xfId="35504"/>
    <cellStyle name="Input 2 4 2 2 6 2 4" xfId="15312"/>
    <cellStyle name="Input 2 4 2 2 6 3" xfId="8358"/>
    <cellStyle name="Input 2 4 2 2 6 3 2" xfId="27330"/>
    <cellStyle name="Input 2 4 2 2 6 3 3" xfId="38175"/>
    <cellStyle name="Input 2 4 2 2 6 3 4" xfId="17225"/>
    <cellStyle name="Input 2 4 2 2 6 4" xfId="11017"/>
    <cellStyle name="Input 2 4 2 2 6 4 2" xfId="29989"/>
    <cellStyle name="Input 2 4 2 2 6 4 3" xfId="40834"/>
    <cellStyle name="Input 2 4 2 2 6 4 4" xfId="19129"/>
    <cellStyle name="Input 2 4 2 2 6 5" xfId="21813"/>
    <cellStyle name="Input 2 4 2 2 6 6" xfId="32658"/>
    <cellStyle name="Input 2 4 2 2 6 7" xfId="13275"/>
    <cellStyle name="Input 2 4 2 2 7" xfId="3525"/>
    <cellStyle name="Input 2 4 2 2 7 2" xfId="22497"/>
    <cellStyle name="Input 2 4 2 2 7 3" xfId="33342"/>
    <cellStyle name="Input 2 4 2 2 7 4" xfId="13756"/>
    <cellStyle name="Input 2 4 2 2 8" xfId="6200"/>
    <cellStyle name="Input 2 4 2 2 8 2" xfId="25172"/>
    <cellStyle name="Input 2 4 2 2 8 3" xfId="36017"/>
    <cellStyle name="Input 2 4 2 2 8 4" xfId="15672"/>
    <cellStyle name="Input 2 4 2 2 9" xfId="8859"/>
    <cellStyle name="Input 2 4 2 2 9 2" xfId="27831"/>
    <cellStyle name="Input 2 4 2 2 9 3" xfId="38676"/>
    <cellStyle name="Input 2 4 2 2 9 4" xfId="17576"/>
    <cellStyle name="Input 2 4 2 3" xfId="730"/>
    <cellStyle name="Input 2 4 2 3 10" xfId="19715"/>
    <cellStyle name="Input 2 4 2 3 11" xfId="30560"/>
    <cellStyle name="Input 2 4 2 3 12" xfId="11762"/>
    <cellStyle name="Input 2 4 2 3 2" xfId="1317"/>
    <cellStyle name="Input 2 4 2 3 2 2" xfId="4170"/>
    <cellStyle name="Input 2 4 2 3 2 2 2" xfId="23142"/>
    <cellStyle name="Input 2 4 2 3 2 2 3" xfId="33987"/>
    <cellStyle name="Input 2 4 2 3 2 2 4" xfId="14223"/>
    <cellStyle name="Input 2 4 2 3 2 3" xfId="6843"/>
    <cellStyle name="Input 2 4 2 3 2 3 2" xfId="25815"/>
    <cellStyle name="Input 2 4 2 3 2 3 3" xfId="36660"/>
    <cellStyle name="Input 2 4 2 3 2 3 4" xfId="16138"/>
    <cellStyle name="Input 2 4 2 3 2 4" xfId="9502"/>
    <cellStyle name="Input 2 4 2 3 2 4 2" xfId="28474"/>
    <cellStyle name="Input 2 4 2 3 2 4 3" xfId="39319"/>
    <cellStyle name="Input 2 4 2 3 2 4 4" xfId="18042"/>
    <cellStyle name="Input 2 4 2 3 2 5" xfId="20298"/>
    <cellStyle name="Input 2 4 2 3 2 6" xfId="31143"/>
    <cellStyle name="Input 2 4 2 3 2 7" xfId="12188"/>
    <cellStyle name="Input 2 4 2 3 3" xfId="1716"/>
    <cellStyle name="Input 2 4 2 3 3 2" xfId="4569"/>
    <cellStyle name="Input 2 4 2 3 3 2 2" xfId="23541"/>
    <cellStyle name="Input 2 4 2 3 3 2 3" xfId="34386"/>
    <cellStyle name="Input 2 4 2 3 3 2 4" xfId="14510"/>
    <cellStyle name="Input 2 4 2 3 3 3" xfId="7241"/>
    <cellStyle name="Input 2 4 2 3 3 3 2" xfId="26213"/>
    <cellStyle name="Input 2 4 2 3 3 3 3" xfId="37058"/>
    <cellStyle name="Input 2 4 2 3 3 3 4" xfId="16424"/>
    <cellStyle name="Input 2 4 2 3 3 4" xfId="9900"/>
    <cellStyle name="Input 2 4 2 3 3 4 2" xfId="28872"/>
    <cellStyle name="Input 2 4 2 3 3 4 3" xfId="39717"/>
    <cellStyle name="Input 2 4 2 3 3 4 4" xfId="18328"/>
    <cellStyle name="Input 2 4 2 3 3 5" xfId="20696"/>
    <cellStyle name="Input 2 4 2 3 3 6" xfId="31541"/>
    <cellStyle name="Input 2 4 2 3 3 7" xfId="12474"/>
    <cellStyle name="Input 2 4 2 3 4" xfId="2120"/>
    <cellStyle name="Input 2 4 2 3 4 2" xfId="4973"/>
    <cellStyle name="Input 2 4 2 3 4 2 2" xfId="23945"/>
    <cellStyle name="Input 2 4 2 3 4 2 3" xfId="34790"/>
    <cellStyle name="Input 2 4 2 3 4 2 4" xfId="14797"/>
    <cellStyle name="Input 2 4 2 3 4 3" xfId="7644"/>
    <cellStyle name="Input 2 4 2 3 4 3 2" xfId="26616"/>
    <cellStyle name="Input 2 4 2 3 4 3 3" xfId="37461"/>
    <cellStyle name="Input 2 4 2 3 4 3 4" xfId="16710"/>
    <cellStyle name="Input 2 4 2 3 4 4" xfId="10303"/>
    <cellStyle name="Input 2 4 2 3 4 4 2" xfId="29275"/>
    <cellStyle name="Input 2 4 2 3 4 4 3" xfId="40120"/>
    <cellStyle name="Input 2 4 2 3 4 4 4" xfId="18614"/>
    <cellStyle name="Input 2 4 2 3 4 5" xfId="21099"/>
    <cellStyle name="Input 2 4 2 3 4 6" xfId="31944"/>
    <cellStyle name="Input 2 4 2 3 4 7" xfId="12760"/>
    <cellStyle name="Input 2 4 2 3 5" xfId="2510"/>
    <cellStyle name="Input 2 4 2 3 5 2" xfId="5362"/>
    <cellStyle name="Input 2 4 2 3 5 2 2" xfId="24334"/>
    <cellStyle name="Input 2 4 2 3 5 2 3" xfId="35179"/>
    <cellStyle name="Input 2 4 2 3 5 2 4" xfId="15076"/>
    <cellStyle name="Input 2 4 2 3 5 3" xfId="8033"/>
    <cellStyle name="Input 2 4 2 3 5 3 2" xfId="27005"/>
    <cellStyle name="Input 2 4 2 3 5 3 3" xfId="37850"/>
    <cellStyle name="Input 2 4 2 3 5 3 4" xfId="16989"/>
    <cellStyle name="Input 2 4 2 3 5 4" xfId="10692"/>
    <cellStyle name="Input 2 4 2 3 5 4 2" xfId="29664"/>
    <cellStyle name="Input 2 4 2 3 5 4 3" xfId="40509"/>
    <cellStyle name="Input 2 4 2 3 5 4 4" xfId="18893"/>
    <cellStyle name="Input 2 4 2 3 5 5" xfId="21488"/>
    <cellStyle name="Input 2 4 2 3 5 6" xfId="32333"/>
    <cellStyle name="Input 2 4 2 3 5 7" xfId="13039"/>
    <cellStyle name="Input 2 4 2 3 6" xfId="2896"/>
    <cellStyle name="Input 2 4 2 3 6 2" xfId="5747"/>
    <cellStyle name="Input 2 4 2 3 6 2 2" xfId="24719"/>
    <cellStyle name="Input 2 4 2 3 6 2 3" xfId="35564"/>
    <cellStyle name="Input 2 4 2 3 6 2 4" xfId="15352"/>
    <cellStyle name="Input 2 4 2 3 6 3" xfId="8418"/>
    <cellStyle name="Input 2 4 2 3 6 3 2" xfId="27390"/>
    <cellStyle name="Input 2 4 2 3 6 3 3" xfId="38235"/>
    <cellStyle name="Input 2 4 2 3 6 3 4" xfId="17265"/>
    <cellStyle name="Input 2 4 2 3 6 4" xfId="11077"/>
    <cellStyle name="Input 2 4 2 3 6 4 2" xfId="30049"/>
    <cellStyle name="Input 2 4 2 3 6 4 3" xfId="40894"/>
    <cellStyle name="Input 2 4 2 3 6 4 4" xfId="19169"/>
    <cellStyle name="Input 2 4 2 3 6 5" xfId="21873"/>
    <cellStyle name="Input 2 4 2 3 6 6" xfId="32718"/>
    <cellStyle name="Input 2 4 2 3 6 7" xfId="13315"/>
    <cellStyle name="Input 2 4 2 3 7" xfId="3585"/>
    <cellStyle name="Input 2 4 2 3 7 2" xfId="22557"/>
    <cellStyle name="Input 2 4 2 3 7 3" xfId="33402"/>
    <cellStyle name="Input 2 4 2 3 7 4" xfId="13796"/>
    <cellStyle name="Input 2 4 2 3 8" xfId="6260"/>
    <cellStyle name="Input 2 4 2 3 8 2" xfId="25232"/>
    <cellStyle name="Input 2 4 2 3 8 3" xfId="36077"/>
    <cellStyle name="Input 2 4 2 3 8 4" xfId="15712"/>
    <cellStyle name="Input 2 4 2 3 9" xfId="8919"/>
    <cellStyle name="Input 2 4 2 3 9 2" xfId="27891"/>
    <cellStyle name="Input 2 4 2 3 9 3" xfId="38736"/>
    <cellStyle name="Input 2 4 2 3 9 4" xfId="17616"/>
    <cellStyle name="Input 2 4 2 4" xfId="790"/>
    <cellStyle name="Input 2 4 2 4 10" xfId="19775"/>
    <cellStyle name="Input 2 4 2 4 11" xfId="30620"/>
    <cellStyle name="Input 2 4 2 4 12" xfId="11802"/>
    <cellStyle name="Input 2 4 2 4 2" xfId="1377"/>
    <cellStyle name="Input 2 4 2 4 2 2" xfId="4230"/>
    <cellStyle name="Input 2 4 2 4 2 2 2" xfId="23202"/>
    <cellStyle name="Input 2 4 2 4 2 2 3" xfId="34047"/>
    <cellStyle name="Input 2 4 2 4 2 2 4" xfId="14263"/>
    <cellStyle name="Input 2 4 2 4 2 3" xfId="6903"/>
    <cellStyle name="Input 2 4 2 4 2 3 2" xfId="25875"/>
    <cellStyle name="Input 2 4 2 4 2 3 3" xfId="36720"/>
    <cellStyle name="Input 2 4 2 4 2 3 4" xfId="16178"/>
    <cellStyle name="Input 2 4 2 4 2 4" xfId="9562"/>
    <cellStyle name="Input 2 4 2 4 2 4 2" xfId="28534"/>
    <cellStyle name="Input 2 4 2 4 2 4 3" xfId="39379"/>
    <cellStyle name="Input 2 4 2 4 2 4 4" xfId="18082"/>
    <cellStyle name="Input 2 4 2 4 2 5" xfId="20358"/>
    <cellStyle name="Input 2 4 2 4 2 6" xfId="31203"/>
    <cellStyle name="Input 2 4 2 4 2 7" xfId="12228"/>
    <cellStyle name="Input 2 4 2 4 3" xfId="1776"/>
    <cellStyle name="Input 2 4 2 4 3 2" xfId="4629"/>
    <cellStyle name="Input 2 4 2 4 3 2 2" xfId="23601"/>
    <cellStyle name="Input 2 4 2 4 3 2 3" xfId="34446"/>
    <cellStyle name="Input 2 4 2 4 3 2 4" xfId="14550"/>
    <cellStyle name="Input 2 4 2 4 3 3" xfId="7301"/>
    <cellStyle name="Input 2 4 2 4 3 3 2" xfId="26273"/>
    <cellStyle name="Input 2 4 2 4 3 3 3" xfId="37118"/>
    <cellStyle name="Input 2 4 2 4 3 3 4" xfId="16464"/>
    <cellStyle name="Input 2 4 2 4 3 4" xfId="9960"/>
    <cellStyle name="Input 2 4 2 4 3 4 2" xfId="28932"/>
    <cellStyle name="Input 2 4 2 4 3 4 3" xfId="39777"/>
    <cellStyle name="Input 2 4 2 4 3 4 4" xfId="18368"/>
    <cellStyle name="Input 2 4 2 4 3 5" xfId="20756"/>
    <cellStyle name="Input 2 4 2 4 3 6" xfId="31601"/>
    <cellStyle name="Input 2 4 2 4 3 7" xfId="12514"/>
    <cellStyle name="Input 2 4 2 4 4" xfId="2180"/>
    <cellStyle name="Input 2 4 2 4 4 2" xfId="5033"/>
    <cellStyle name="Input 2 4 2 4 4 2 2" xfId="24005"/>
    <cellStyle name="Input 2 4 2 4 4 2 3" xfId="34850"/>
    <cellStyle name="Input 2 4 2 4 4 2 4" xfId="14837"/>
    <cellStyle name="Input 2 4 2 4 4 3" xfId="7704"/>
    <cellStyle name="Input 2 4 2 4 4 3 2" xfId="26676"/>
    <cellStyle name="Input 2 4 2 4 4 3 3" xfId="37521"/>
    <cellStyle name="Input 2 4 2 4 4 3 4" xfId="16750"/>
    <cellStyle name="Input 2 4 2 4 4 4" xfId="10363"/>
    <cellStyle name="Input 2 4 2 4 4 4 2" xfId="29335"/>
    <cellStyle name="Input 2 4 2 4 4 4 3" xfId="40180"/>
    <cellStyle name="Input 2 4 2 4 4 4 4" xfId="18654"/>
    <cellStyle name="Input 2 4 2 4 4 5" xfId="21159"/>
    <cellStyle name="Input 2 4 2 4 4 6" xfId="32004"/>
    <cellStyle name="Input 2 4 2 4 4 7" xfId="12800"/>
    <cellStyle name="Input 2 4 2 4 5" xfId="2570"/>
    <cellStyle name="Input 2 4 2 4 5 2" xfId="5422"/>
    <cellStyle name="Input 2 4 2 4 5 2 2" xfId="24394"/>
    <cellStyle name="Input 2 4 2 4 5 2 3" xfId="35239"/>
    <cellStyle name="Input 2 4 2 4 5 2 4" xfId="15116"/>
    <cellStyle name="Input 2 4 2 4 5 3" xfId="8093"/>
    <cellStyle name="Input 2 4 2 4 5 3 2" xfId="27065"/>
    <cellStyle name="Input 2 4 2 4 5 3 3" xfId="37910"/>
    <cellStyle name="Input 2 4 2 4 5 3 4" xfId="17029"/>
    <cellStyle name="Input 2 4 2 4 5 4" xfId="10752"/>
    <cellStyle name="Input 2 4 2 4 5 4 2" xfId="29724"/>
    <cellStyle name="Input 2 4 2 4 5 4 3" xfId="40569"/>
    <cellStyle name="Input 2 4 2 4 5 4 4" xfId="18933"/>
    <cellStyle name="Input 2 4 2 4 5 5" xfId="21548"/>
    <cellStyle name="Input 2 4 2 4 5 6" xfId="32393"/>
    <cellStyle name="Input 2 4 2 4 5 7" xfId="13079"/>
    <cellStyle name="Input 2 4 2 4 6" xfId="2956"/>
    <cellStyle name="Input 2 4 2 4 6 2" xfId="5807"/>
    <cellStyle name="Input 2 4 2 4 6 2 2" xfId="24779"/>
    <cellStyle name="Input 2 4 2 4 6 2 3" xfId="35624"/>
    <cellStyle name="Input 2 4 2 4 6 2 4" xfId="15392"/>
    <cellStyle name="Input 2 4 2 4 6 3" xfId="8478"/>
    <cellStyle name="Input 2 4 2 4 6 3 2" xfId="27450"/>
    <cellStyle name="Input 2 4 2 4 6 3 3" xfId="38295"/>
    <cellStyle name="Input 2 4 2 4 6 3 4" xfId="17305"/>
    <cellStyle name="Input 2 4 2 4 6 4" xfId="11137"/>
    <cellStyle name="Input 2 4 2 4 6 4 2" xfId="30109"/>
    <cellStyle name="Input 2 4 2 4 6 4 3" xfId="40954"/>
    <cellStyle name="Input 2 4 2 4 6 4 4" xfId="19209"/>
    <cellStyle name="Input 2 4 2 4 6 5" xfId="21933"/>
    <cellStyle name="Input 2 4 2 4 6 6" xfId="32778"/>
    <cellStyle name="Input 2 4 2 4 6 7" xfId="13355"/>
    <cellStyle name="Input 2 4 2 4 7" xfId="3645"/>
    <cellStyle name="Input 2 4 2 4 7 2" xfId="22617"/>
    <cellStyle name="Input 2 4 2 4 7 3" xfId="33462"/>
    <cellStyle name="Input 2 4 2 4 7 4" xfId="13836"/>
    <cellStyle name="Input 2 4 2 4 8" xfId="6320"/>
    <cellStyle name="Input 2 4 2 4 8 2" xfId="25292"/>
    <cellStyle name="Input 2 4 2 4 8 3" xfId="36137"/>
    <cellStyle name="Input 2 4 2 4 8 4" xfId="15752"/>
    <cellStyle name="Input 2 4 2 4 9" xfId="8979"/>
    <cellStyle name="Input 2 4 2 4 9 2" xfId="27951"/>
    <cellStyle name="Input 2 4 2 4 9 3" xfId="38796"/>
    <cellStyle name="Input 2 4 2 4 9 4" xfId="17656"/>
    <cellStyle name="Input 2 4 2 5" xfId="849"/>
    <cellStyle name="Input 2 4 2 5 10" xfId="19834"/>
    <cellStyle name="Input 2 4 2 5 11" xfId="30679"/>
    <cellStyle name="Input 2 4 2 5 12" xfId="11841"/>
    <cellStyle name="Input 2 4 2 5 2" xfId="1436"/>
    <cellStyle name="Input 2 4 2 5 2 2" xfId="4289"/>
    <cellStyle name="Input 2 4 2 5 2 2 2" xfId="23261"/>
    <cellStyle name="Input 2 4 2 5 2 2 3" xfId="34106"/>
    <cellStyle name="Input 2 4 2 5 2 2 4" xfId="14302"/>
    <cellStyle name="Input 2 4 2 5 2 3" xfId="6962"/>
    <cellStyle name="Input 2 4 2 5 2 3 2" xfId="25934"/>
    <cellStyle name="Input 2 4 2 5 2 3 3" xfId="36779"/>
    <cellStyle name="Input 2 4 2 5 2 3 4" xfId="16217"/>
    <cellStyle name="Input 2 4 2 5 2 4" xfId="9621"/>
    <cellStyle name="Input 2 4 2 5 2 4 2" xfId="28593"/>
    <cellStyle name="Input 2 4 2 5 2 4 3" xfId="39438"/>
    <cellStyle name="Input 2 4 2 5 2 4 4" xfId="18121"/>
    <cellStyle name="Input 2 4 2 5 2 5" xfId="20417"/>
    <cellStyle name="Input 2 4 2 5 2 6" xfId="31262"/>
    <cellStyle name="Input 2 4 2 5 2 7" xfId="12267"/>
    <cellStyle name="Input 2 4 2 5 3" xfId="1835"/>
    <cellStyle name="Input 2 4 2 5 3 2" xfId="4688"/>
    <cellStyle name="Input 2 4 2 5 3 2 2" xfId="23660"/>
    <cellStyle name="Input 2 4 2 5 3 2 3" xfId="34505"/>
    <cellStyle name="Input 2 4 2 5 3 2 4" xfId="14589"/>
    <cellStyle name="Input 2 4 2 5 3 3" xfId="7360"/>
    <cellStyle name="Input 2 4 2 5 3 3 2" xfId="26332"/>
    <cellStyle name="Input 2 4 2 5 3 3 3" xfId="37177"/>
    <cellStyle name="Input 2 4 2 5 3 3 4" xfId="16503"/>
    <cellStyle name="Input 2 4 2 5 3 4" xfId="10019"/>
    <cellStyle name="Input 2 4 2 5 3 4 2" xfId="28991"/>
    <cellStyle name="Input 2 4 2 5 3 4 3" xfId="39836"/>
    <cellStyle name="Input 2 4 2 5 3 4 4" xfId="18407"/>
    <cellStyle name="Input 2 4 2 5 3 5" xfId="20815"/>
    <cellStyle name="Input 2 4 2 5 3 6" xfId="31660"/>
    <cellStyle name="Input 2 4 2 5 3 7" xfId="12553"/>
    <cellStyle name="Input 2 4 2 5 4" xfId="2239"/>
    <cellStyle name="Input 2 4 2 5 4 2" xfId="5092"/>
    <cellStyle name="Input 2 4 2 5 4 2 2" xfId="24064"/>
    <cellStyle name="Input 2 4 2 5 4 2 3" xfId="34909"/>
    <cellStyle name="Input 2 4 2 5 4 2 4" xfId="14876"/>
    <cellStyle name="Input 2 4 2 5 4 3" xfId="7763"/>
    <cellStyle name="Input 2 4 2 5 4 3 2" xfId="26735"/>
    <cellStyle name="Input 2 4 2 5 4 3 3" xfId="37580"/>
    <cellStyle name="Input 2 4 2 5 4 3 4" xfId="16789"/>
    <cellStyle name="Input 2 4 2 5 4 4" xfId="10422"/>
    <cellStyle name="Input 2 4 2 5 4 4 2" xfId="29394"/>
    <cellStyle name="Input 2 4 2 5 4 4 3" xfId="40239"/>
    <cellStyle name="Input 2 4 2 5 4 4 4" xfId="18693"/>
    <cellStyle name="Input 2 4 2 5 4 5" xfId="21218"/>
    <cellStyle name="Input 2 4 2 5 4 6" xfId="32063"/>
    <cellStyle name="Input 2 4 2 5 4 7" xfId="12839"/>
    <cellStyle name="Input 2 4 2 5 5" xfId="2629"/>
    <cellStyle name="Input 2 4 2 5 5 2" xfId="5481"/>
    <cellStyle name="Input 2 4 2 5 5 2 2" xfId="24453"/>
    <cellStyle name="Input 2 4 2 5 5 2 3" xfId="35298"/>
    <cellStyle name="Input 2 4 2 5 5 2 4" xfId="15155"/>
    <cellStyle name="Input 2 4 2 5 5 3" xfId="8152"/>
    <cellStyle name="Input 2 4 2 5 5 3 2" xfId="27124"/>
    <cellStyle name="Input 2 4 2 5 5 3 3" xfId="37969"/>
    <cellStyle name="Input 2 4 2 5 5 3 4" xfId="17068"/>
    <cellStyle name="Input 2 4 2 5 5 4" xfId="10811"/>
    <cellStyle name="Input 2 4 2 5 5 4 2" xfId="29783"/>
    <cellStyle name="Input 2 4 2 5 5 4 3" xfId="40628"/>
    <cellStyle name="Input 2 4 2 5 5 4 4" xfId="18972"/>
    <cellStyle name="Input 2 4 2 5 5 5" xfId="21607"/>
    <cellStyle name="Input 2 4 2 5 5 6" xfId="32452"/>
    <cellStyle name="Input 2 4 2 5 5 7" xfId="13118"/>
    <cellStyle name="Input 2 4 2 5 6" xfId="3015"/>
    <cellStyle name="Input 2 4 2 5 6 2" xfId="5866"/>
    <cellStyle name="Input 2 4 2 5 6 2 2" xfId="24838"/>
    <cellStyle name="Input 2 4 2 5 6 2 3" xfId="35683"/>
    <cellStyle name="Input 2 4 2 5 6 2 4" xfId="15431"/>
    <cellStyle name="Input 2 4 2 5 6 3" xfId="8537"/>
    <cellStyle name="Input 2 4 2 5 6 3 2" xfId="27509"/>
    <cellStyle name="Input 2 4 2 5 6 3 3" xfId="38354"/>
    <cellStyle name="Input 2 4 2 5 6 3 4" xfId="17344"/>
    <cellStyle name="Input 2 4 2 5 6 4" xfId="11196"/>
    <cellStyle name="Input 2 4 2 5 6 4 2" xfId="30168"/>
    <cellStyle name="Input 2 4 2 5 6 4 3" xfId="41013"/>
    <cellStyle name="Input 2 4 2 5 6 4 4" xfId="19248"/>
    <cellStyle name="Input 2 4 2 5 6 5" xfId="21992"/>
    <cellStyle name="Input 2 4 2 5 6 6" xfId="32837"/>
    <cellStyle name="Input 2 4 2 5 6 7" xfId="13394"/>
    <cellStyle name="Input 2 4 2 5 7" xfId="3704"/>
    <cellStyle name="Input 2 4 2 5 7 2" xfId="22676"/>
    <cellStyle name="Input 2 4 2 5 7 3" xfId="33521"/>
    <cellStyle name="Input 2 4 2 5 7 4" xfId="13875"/>
    <cellStyle name="Input 2 4 2 5 8" xfId="6379"/>
    <cellStyle name="Input 2 4 2 5 8 2" xfId="25351"/>
    <cellStyle name="Input 2 4 2 5 8 3" xfId="36196"/>
    <cellStyle name="Input 2 4 2 5 8 4" xfId="15791"/>
    <cellStyle name="Input 2 4 2 5 9" xfId="9038"/>
    <cellStyle name="Input 2 4 2 5 9 2" xfId="28010"/>
    <cellStyle name="Input 2 4 2 5 9 3" xfId="38855"/>
    <cellStyle name="Input 2 4 2 5 9 4" xfId="17695"/>
    <cellStyle name="Input 2 4 2 6" xfId="1071"/>
    <cellStyle name="Input 2 4 2 6 2" xfId="3924"/>
    <cellStyle name="Input 2 4 2 6 2 2" xfId="22896"/>
    <cellStyle name="Input 2 4 2 6 2 3" xfId="33741"/>
    <cellStyle name="Input 2 4 2 6 2 4" xfId="14037"/>
    <cellStyle name="Input 2 4 2 6 3" xfId="6598"/>
    <cellStyle name="Input 2 4 2 6 3 2" xfId="25570"/>
    <cellStyle name="Input 2 4 2 6 3 3" xfId="36415"/>
    <cellStyle name="Input 2 4 2 6 3 4" xfId="15953"/>
    <cellStyle name="Input 2 4 2 6 4" xfId="9257"/>
    <cellStyle name="Input 2 4 2 6 4 2" xfId="28229"/>
    <cellStyle name="Input 2 4 2 6 4 3" xfId="39074"/>
    <cellStyle name="Input 2 4 2 6 4 4" xfId="17857"/>
    <cellStyle name="Input 2 4 2 6 5" xfId="20053"/>
    <cellStyle name="Input 2 4 2 6 6" xfId="30898"/>
    <cellStyle name="Input 2 4 2 6 7" xfId="12003"/>
    <cellStyle name="Input 2 4 2 7" xfId="914"/>
    <cellStyle name="Input 2 4 2 7 2" xfId="3769"/>
    <cellStyle name="Input 2 4 2 7 2 2" xfId="22741"/>
    <cellStyle name="Input 2 4 2 7 2 3" xfId="33586"/>
    <cellStyle name="Input 2 4 2 7 2 4" xfId="13915"/>
    <cellStyle name="Input 2 4 2 7 3" xfId="6444"/>
    <cellStyle name="Input 2 4 2 7 3 2" xfId="25416"/>
    <cellStyle name="Input 2 4 2 7 3 3" xfId="36261"/>
    <cellStyle name="Input 2 4 2 7 3 4" xfId="15831"/>
    <cellStyle name="Input 2 4 2 7 4" xfId="9103"/>
    <cellStyle name="Input 2 4 2 7 4 2" xfId="28075"/>
    <cellStyle name="Input 2 4 2 7 4 3" xfId="38920"/>
    <cellStyle name="Input 2 4 2 7 4 4" xfId="17735"/>
    <cellStyle name="Input 2 4 2 7 5" xfId="19899"/>
    <cellStyle name="Input 2 4 2 7 6" xfId="30744"/>
    <cellStyle name="Input 2 4 2 7 7" xfId="11881"/>
    <cellStyle name="Input 2 4 2 8" xfId="950"/>
    <cellStyle name="Input 2 4 2 8 2" xfId="3803"/>
    <cellStyle name="Input 2 4 2 8 2 2" xfId="22775"/>
    <cellStyle name="Input 2 4 2 8 2 3" xfId="33620"/>
    <cellStyle name="Input 2 4 2 8 2 4" xfId="13948"/>
    <cellStyle name="Input 2 4 2 8 3" xfId="6478"/>
    <cellStyle name="Input 2 4 2 8 3 2" xfId="25450"/>
    <cellStyle name="Input 2 4 2 8 3 3" xfId="36295"/>
    <cellStyle name="Input 2 4 2 8 3 4" xfId="15864"/>
    <cellStyle name="Input 2 4 2 8 4" xfId="9137"/>
    <cellStyle name="Input 2 4 2 8 4 2" xfId="28109"/>
    <cellStyle name="Input 2 4 2 8 4 3" xfId="38954"/>
    <cellStyle name="Input 2 4 2 8 4 4" xfId="17768"/>
    <cellStyle name="Input 2 4 2 8 5" xfId="19933"/>
    <cellStyle name="Input 2 4 2 8 6" xfId="30778"/>
    <cellStyle name="Input 2 4 2 8 7" xfId="11914"/>
    <cellStyle name="Input 2 4 2 9" xfId="1599"/>
    <cellStyle name="Input 2 4 2 9 2" xfId="4452"/>
    <cellStyle name="Input 2 4 2 9 2 2" xfId="23424"/>
    <cellStyle name="Input 2 4 2 9 2 3" xfId="34269"/>
    <cellStyle name="Input 2 4 2 9 2 4" xfId="14421"/>
    <cellStyle name="Input 2 4 2 9 3" xfId="7124"/>
    <cellStyle name="Input 2 4 2 9 3 2" xfId="26096"/>
    <cellStyle name="Input 2 4 2 9 3 3" xfId="36941"/>
    <cellStyle name="Input 2 4 2 9 3 4" xfId="16335"/>
    <cellStyle name="Input 2 4 2 9 4" xfId="9783"/>
    <cellStyle name="Input 2 4 2 9 4 2" xfId="28755"/>
    <cellStyle name="Input 2 4 2 9 4 3" xfId="39600"/>
    <cellStyle name="Input 2 4 2 9 4 4" xfId="18239"/>
    <cellStyle name="Input 2 4 2 9 5" xfId="20579"/>
    <cellStyle name="Input 2 4 2 9 6" xfId="31424"/>
    <cellStyle name="Input 2 4 2 9 7" xfId="12385"/>
    <cellStyle name="Input 2 4 3" xfId="553"/>
    <cellStyle name="Input 2 4 3 10" xfId="19563"/>
    <cellStyle name="Input 2 4 3 11" xfId="30408"/>
    <cellStyle name="Input 2 4 3 12" xfId="11627"/>
    <cellStyle name="Input 2 4 3 2" xfId="1159"/>
    <cellStyle name="Input 2 4 3 2 2" xfId="4012"/>
    <cellStyle name="Input 2 4 3 2 2 2" xfId="22984"/>
    <cellStyle name="Input 2 4 3 2 2 3" xfId="33829"/>
    <cellStyle name="Input 2 4 3 2 2 4" xfId="14104"/>
    <cellStyle name="Input 2 4 3 2 3" xfId="6685"/>
    <cellStyle name="Input 2 4 3 2 3 2" xfId="25657"/>
    <cellStyle name="Input 2 4 3 2 3 3" xfId="36502"/>
    <cellStyle name="Input 2 4 3 2 3 4" xfId="16019"/>
    <cellStyle name="Input 2 4 3 2 4" xfId="9344"/>
    <cellStyle name="Input 2 4 3 2 4 2" xfId="28316"/>
    <cellStyle name="Input 2 4 3 2 4 3" xfId="39161"/>
    <cellStyle name="Input 2 4 3 2 4 4" xfId="17923"/>
    <cellStyle name="Input 2 4 3 2 5" xfId="20140"/>
    <cellStyle name="Input 2 4 3 2 6" xfId="30985"/>
    <cellStyle name="Input 2 4 3 2 7" xfId="12069"/>
    <cellStyle name="Input 2 4 3 3" xfId="1556"/>
    <cellStyle name="Input 2 4 3 3 2" xfId="4409"/>
    <cellStyle name="Input 2 4 3 3 2 2" xfId="23381"/>
    <cellStyle name="Input 2 4 3 3 2 3" xfId="34226"/>
    <cellStyle name="Input 2 4 3 3 2 4" xfId="14390"/>
    <cellStyle name="Input 2 4 3 3 3" xfId="7081"/>
    <cellStyle name="Input 2 4 3 3 3 2" xfId="26053"/>
    <cellStyle name="Input 2 4 3 3 3 3" xfId="36898"/>
    <cellStyle name="Input 2 4 3 3 3 4" xfId="16304"/>
    <cellStyle name="Input 2 4 3 3 4" xfId="9740"/>
    <cellStyle name="Input 2 4 3 3 4 2" xfId="28712"/>
    <cellStyle name="Input 2 4 3 3 4 3" xfId="39557"/>
    <cellStyle name="Input 2 4 3 3 4 4" xfId="18208"/>
    <cellStyle name="Input 2 4 3 3 5" xfId="20536"/>
    <cellStyle name="Input 2 4 3 3 6" xfId="31381"/>
    <cellStyle name="Input 2 4 3 3 7" xfId="12354"/>
    <cellStyle name="Input 2 4 3 4" xfId="1960"/>
    <cellStyle name="Input 2 4 3 4 2" xfId="4813"/>
    <cellStyle name="Input 2 4 3 4 2 2" xfId="23785"/>
    <cellStyle name="Input 2 4 3 4 2 3" xfId="34630"/>
    <cellStyle name="Input 2 4 3 4 2 4" xfId="14678"/>
    <cellStyle name="Input 2 4 3 4 3" xfId="7485"/>
    <cellStyle name="Input 2 4 3 4 3 2" xfId="26457"/>
    <cellStyle name="Input 2 4 3 4 3 3" xfId="37302"/>
    <cellStyle name="Input 2 4 3 4 3 4" xfId="16592"/>
    <cellStyle name="Input 2 4 3 4 4" xfId="10144"/>
    <cellStyle name="Input 2 4 3 4 4 2" xfId="29116"/>
    <cellStyle name="Input 2 4 3 4 4 3" xfId="39961"/>
    <cellStyle name="Input 2 4 3 4 4 4" xfId="18496"/>
    <cellStyle name="Input 2 4 3 4 5" xfId="20940"/>
    <cellStyle name="Input 2 4 3 4 6" xfId="31785"/>
    <cellStyle name="Input 2 4 3 4 7" xfId="12642"/>
    <cellStyle name="Input 2 4 3 5" xfId="2352"/>
    <cellStyle name="Input 2 4 3 5 2" xfId="5205"/>
    <cellStyle name="Input 2 4 3 5 2 2" xfId="24177"/>
    <cellStyle name="Input 2 4 3 5 2 3" xfId="35022"/>
    <cellStyle name="Input 2 4 3 5 2 4" xfId="14959"/>
    <cellStyle name="Input 2 4 3 5 3" xfId="7876"/>
    <cellStyle name="Input 2 4 3 5 3 2" xfId="26848"/>
    <cellStyle name="Input 2 4 3 5 3 3" xfId="37693"/>
    <cellStyle name="Input 2 4 3 5 3 4" xfId="16872"/>
    <cellStyle name="Input 2 4 3 5 4" xfId="10535"/>
    <cellStyle name="Input 2 4 3 5 4 2" xfId="29507"/>
    <cellStyle name="Input 2 4 3 5 4 3" xfId="40352"/>
    <cellStyle name="Input 2 4 3 5 4 4" xfId="18776"/>
    <cellStyle name="Input 2 4 3 5 5" xfId="21331"/>
    <cellStyle name="Input 2 4 3 5 6" xfId="32176"/>
    <cellStyle name="Input 2 4 3 5 7" xfId="12922"/>
    <cellStyle name="Input 2 4 3 6" xfId="2741"/>
    <cellStyle name="Input 2 4 3 6 2" xfId="5593"/>
    <cellStyle name="Input 2 4 3 6 2 2" xfId="24565"/>
    <cellStyle name="Input 2 4 3 6 2 3" xfId="35410"/>
    <cellStyle name="Input 2 4 3 6 2 4" xfId="15237"/>
    <cellStyle name="Input 2 4 3 6 3" xfId="8264"/>
    <cellStyle name="Input 2 4 3 6 3 2" xfId="27236"/>
    <cellStyle name="Input 2 4 3 6 3 3" xfId="38081"/>
    <cellStyle name="Input 2 4 3 6 3 4" xfId="17150"/>
    <cellStyle name="Input 2 4 3 6 4" xfId="10923"/>
    <cellStyle name="Input 2 4 3 6 4 2" xfId="29895"/>
    <cellStyle name="Input 2 4 3 6 4 3" xfId="40740"/>
    <cellStyle name="Input 2 4 3 6 4 4" xfId="19054"/>
    <cellStyle name="Input 2 4 3 6 5" xfId="21719"/>
    <cellStyle name="Input 2 4 3 6 6" xfId="32564"/>
    <cellStyle name="Input 2 4 3 6 7" xfId="13200"/>
    <cellStyle name="Input 2 4 3 7" xfId="3432"/>
    <cellStyle name="Input 2 4 3 7 2" xfId="22404"/>
    <cellStyle name="Input 2 4 3 7 3" xfId="33249"/>
    <cellStyle name="Input 2 4 3 7 4" xfId="13682"/>
    <cellStyle name="Input 2 4 3 8" xfId="6108"/>
    <cellStyle name="Input 2 4 3 8 2" xfId="25080"/>
    <cellStyle name="Input 2 4 3 8 3" xfId="35925"/>
    <cellStyle name="Input 2 4 3 8 4" xfId="15599"/>
    <cellStyle name="Input 2 4 3 9" xfId="8767"/>
    <cellStyle name="Input 2 4 3 9 2" xfId="27739"/>
    <cellStyle name="Input 2 4 3 9 3" xfId="38584"/>
    <cellStyle name="Input 2 4 3 9 4" xfId="17503"/>
    <cellStyle name="Input 2 4 4" xfId="11451"/>
    <cellStyle name="Input 2 5" xfId="100"/>
    <cellStyle name="Input 2 5 2" xfId="370"/>
    <cellStyle name="Input 2 5 2 10" xfId="1134"/>
    <cellStyle name="Input 2 5 2 10 2" xfId="3987"/>
    <cellStyle name="Input 2 5 2 10 2 2" xfId="22959"/>
    <cellStyle name="Input 2 5 2 10 2 3" xfId="33804"/>
    <cellStyle name="Input 2 5 2 10 2 4" xfId="14079"/>
    <cellStyle name="Input 2 5 2 10 3" xfId="6660"/>
    <cellStyle name="Input 2 5 2 10 3 2" xfId="25632"/>
    <cellStyle name="Input 2 5 2 10 3 3" xfId="36477"/>
    <cellStyle name="Input 2 5 2 10 3 4" xfId="15994"/>
    <cellStyle name="Input 2 5 2 10 4" xfId="9319"/>
    <cellStyle name="Input 2 5 2 10 4 2" xfId="28291"/>
    <cellStyle name="Input 2 5 2 10 4 3" xfId="39136"/>
    <cellStyle name="Input 2 5 2 10 4 4" xfId="17898"/>
    <cellStyle name="Input 2 5 2 10 5" xfId="20115"/>
    <cellStyle name="Input 2 5 2 10 6" xfId="30960"/>
    <cellStyle name="Input 2 5 2 10 7" xfId="12044"/>
    <cellStyle name="Input 2 5 2 11" xfId="1600"/>
    <cellStyle name="Input 2 5 2 11 2" xfId="4453"/>
    <cellStyle name="Input 2 5 2 11 2 2" xfId="23425"/>
    <cellStyle name="Input 2 5 2 11 2 3" xfId="34270"/>
    <cellStyle name="Input 2 5 2 11 2 4" xfId="14422"/>
    <cellStyle name="Input 2 5 2 11 3" xfId="7125"/>
    <cellStyle name="Input 2 5 2 11 3 2" xfId="26097"/>
    <cellStyle name="Input 2 5 2 11 3 3" xfId="36942"/>
    <cellStyle name="Input 2 5 2 11 3 4" xfId="16336"/>
    <cellStyle name="Input 2 5 2 11 4" xfId="9784"/>
    <cellStyle name="Input 2 5 2 11 4 2" xfId="28756"/>
    <cellStyle name="Input 2 5 2 11 4 3" xfId="39601"/>
    <cellStyle name="Input 2 5 2 11 4 4" xfId="18240"/>
    <cellStyle name="Input 2 5 2 11 5" xfId="20580"/>
    <cellStyle name="Input 2 5 2 11 6" xfId="31425"/>
    <cellStyle name="Input 2 5 2 11 7" xfId="12386"/>
    <cellStyle name="Input 2 5 2 12" xfId="3106"/>
    <cellStyle name="Input 2 5 2 12 2" xfId="5957"/>
    <cellStyle name="Input 2 5 2 12 2 2" xfId="24929"/>
    <cellStyle name="Input 2 5 2 12 2 3" xfId="35774"/>
    <cellStyle name="Input 2 5 2 12 2 4" xfId="15492"/>
    <cellStyle name="Input 2 5 2 12 3" xfId="8628"/>
    <cellStyle name="Input 2 5 2 12 3 2" xfId="27600"/>
    <cellStyle name="Input 2 5 2 12 3 3" xfId="38445"/>
    <cellStyle name="Input 2 5 2 12 3 4" xfId="17405"/>
    <cellStyle name="Input 2 5 2 12 4" xfId="11287"/>
    <cellStyle name="Input 2 5 2 12 4 2" xfId="30259"/>
    <cellStyle name="Input 2 5 2 12 4 3" xfId="41104"/>
    <cellStyle name="Input 2 5 2 12 4 4" xfId="19309"/>
    <cellStyle name="Input 2 5 2 12 5" xfId="22083"/>
    <cellStyle name="Input 2 5 2 12 6" xfId="32928"/>
    <cellStyle name="Input 2 5 2 12 7" xfId="13455"/>
    <cellStyle name="Input 2 5 2 13" xfId="3163"/>
    <cellStyle name="Input 2 5 2 13 2" xfId="6014"/>
    <cellStyle name="Input 2 5 2 13 2 2" xfId="24986"/>
    <cellStyle name="Input 2 5 2 13 2 3" xfId="35831"/>
    <cellStyle name="Input 2 5 2 13 2 4" xfId="15529"/>
    <cellStyle name="Input 2 5 2 13 3" xfId="8685"/>
    <cellStyle name="Input 2 5 2 13 3 2" xfId="27657"/>
    <cellStyle name="Input 2 5 2 13 3 3" xfId="38502"/>
    <cellStyle name="Input 2 5 2 13 3 4" xfId="17442"/>
    <cellStyle name="Input 2 5 2 13 4" xfId="11344"/>
    <cellStyle name="Input 2 5 2 13 4 2" xfId="30316"/>
    <cellStyle name="Input 2 5 2 13 4 3" xfId="41161"/>
    <cellStyle name="Input 2 5 2 13 4 4" xfId="19346"/>
    <cellStyle name="Input 2 5 2 13 5" xfId="22140"/>
    <cellStyle name="Input 2 5 2 13 6" xfId="32985"/>
    <cellStyle name="Input 2 5 2 13 7" xfId="13492"/>
    <cellStyle name="Input 2 5 2 14" xfId="3329"/>
    <cellStyle name="Input 2 5 2 14 2" xfId="22303"/>
    <cellStyle name="Input 2 5 2 14 3" xfId="33148"/>
    <cellStyle name="Input 2 5 2 14 4" xfId="13609"/>
    <cellStyle name="Input 2 5 2 15" xfId="3277"/>
    <cellStyle name="Input 2 5 2 15 2" xfId="22251"/>
    <cellStyle name="Input 2 5 2 15 3" xfId="33096"/>
    <cellStyle name="Input 2 5 2 15 4" xfId="13574"/>
    <cellStyle name="Input 2 5 2 16" xfId="6078"/>
    <cellStyle name="Input 2 5 2 16 2" xfId="25050"/>
    <cellStyle name="Input 2 5 2 16 3" xfId="35895"/>
    <cellStyle name="Input 2 5 2 16 4" xfId="15570"/>
    <cellStyle name="Input 2 5 2 17" xfId="19460"/>
    <cellStyle name="Input 2 5 2 18" xfId="19522"/>
    <cellStyle name="Input 2 5 2 19" xfId="11519"/>
    <cellStyle name="Input 2 5 2 2" xfId="671"/>
    <cellStyle name="Input 2 5 2 2 10" xfId="19656"/>
    <cellStyle name="Input 2 5 2 2 11" xfId="30501"/>
    <cellStyle name="Input 2 5 2 2 12" xfId="11723"/>
    <cellStyle name="Input 2 5 2 2 2" xfId="1258"/>
    <cellStyle name="Input 2 5 2 2 2 2" xfId="4111"/>
    <cellStyle name="Input 2 5 2 2 2 2 2" xfId="23083"/>
    <cellStyle name="Input 2 5 2 2 2 2 3" xfId="33928"/>
    <cellStyle name="Input 2 5 2 2 2 2 4" xfId="14184"/>
    <cellStyle name="Input 2 5 2 2 2 3" xfId="6784"/>
    <cellStyle name="Input 2 5 2 2 2 3 2" xfId="25756"/>
    <cellStyle name="Input 2 5 2 2 2 3 3" xfId="36601"/>
    <cellStyle name="Input 2 5 2 2 2 3 4" xfId="16099"/>
    <cellStyle name="Input 2 5 2 2 2 4" xfId="9443"/>
    <cellStyle name="Input 2 5 2 2 2 4 2" xfId="28415"/>
    <cellStyle name="Input 2 5 2 2 2 4 3" xfId="39260"/>
    <cellStyle name="Input 2 5 2 2 2 4 4" xfId="18003"/>
    <cellStyle name="Input 2 5 2 2 2 5" xfId="20239"/>
    <cellStyle name="Input 2 5 2 2 2 6" xfId="31084"/>
    <cellStyle name="Input 2 5 2 2 2 7" xfId="12149"/>
    <cellStyle name="Input 2 5 2 2 3" xfId="1657"/>
    <cellStyle name="Input 2 5 2 2 3 2" xfId="4510"/>
    <cellStyle name="Input 2 5 2 2 3 2 2" xfId="23482"/>
    <cellStyle name="Input 2 5 2 2 3 2 3" xfId="34327"/>
    <cellStyle name="Input 2 5 2 2 3 2 4" xfId="14471"/>
    <cellStyle name="Input 2 5 2 2 3 3" xfId="7182"/>
    <cellStyle name="Input 2 5 2 2 3 3 2" xfId="26154"/>
    <cellStyle name="Input 2 5 2 2 3 3 3" xfId="36999"/>
    <cellStyle name="Input 2 5 2 2 3 3 4" xfId="16385"/>
    <cellStyle name="Input 2 5 2 2 3 4" xfId="9841"/>
    <cellStyle name="Input 2 5 2 2 3 4 2" xfId="28813"/>
    <cellStyle name="Input 2 5 2 2 3 4 3" xfId="39658"/>
    <cellStyle name="Input 2 5 2 2 3 4 4" xfId="18289"/>
    <cellStyle name="Input 2 5 2 2 3 5" xfId="20637"/>
    <cellStyle name="Input 2 5 2 2 3 6" xfId="31482"/>
    <cellStyle name="Input 2 5 2 2 3 7" xfId="12435"/>
    <cellStyle name="Input 2 5 2 2 4" xfId="2061"/>
    <cellStyle name="Input 2 5 2 2 4 2" xfId="4914"/>
    <cellStyle name="Input 2 5 2 2 4 2 2" xfId="23886"/>
    <cellStyle name="Input 2 5 2 2 4 2 3" xfId="34731"/>
    <cellStyle name="Input 2 5 2 2 4 2 4" xfId="14758"/>
    <cellStyle name="Input 2 5 2 2 4 3" xfId="7585"/>
    <cellStyle name="Input 2 5 2 2 4 3 2" xfId="26557"/>
    <cellStyle name="Input 2 5 2 2 4 3 3" xfId="37402"/>
    <cellStyle name="Input 2 5 2 2 4 3 4" xfId="16671"/>
    <cellStyle name="Input 2 5 2 2 4 4" xfId="10244"/>
    <cellStyle name="Input 2 5 2 2 4 4 2" xfId="29216"/>
    <cellStyle name="Input 2 5 2 2 4 4 3" xfId="40061"/>
    <cellStyle name="Input 2 5 2 2 4 4 4" xfId="18575"/>
    <cellStyle name="Input 2 5 2 2 4 5" xfId="21040"/>
    <cellStyle name="Input 2 5 2 2 4 6" xfId="31885"/>
    <cellStyle name="Input 2 5 2 2 4 7" xfId="12721"/>
    <cellStyle name="Input 2 5 2 2 5" xfId="2451"/>
    <cellStyle name="Input 2 5 2 2 5 2" xfId="5303"/>
    <cellStyle name="Input 2 5 2 2 5 2 2" xfId="24275"/>
    <cellStyle name="Input 2 5 2 2 5 2 3" xfId="35120"/>
    <cellStyle name="Input 2 5 2 2 5 2 4" xfId="15037"/>
    <cellStyle name="Input 2 5 2 2 5 3" xfId="7974"/>
    <cellStyle name="Input 2 5 2 2 5 3 2" xfId="26946"/>
    <cellStyle name="Input 2 5 2 2 5 3 3" xfId="37791"/>
    <cellStyle name="Input 2 5 2 2 5 3 4" xfId="16950"/>
    <cellStyle name="Input 2 5 2 2 5 4" xfId="10633"/>
    <cellStyle name="Input 2 5 2 2 5 4 2" xfId="29605"/>
    <cellStyle name="Input 2 5 2 2 5 4 3" xfId="40450"/>
    <cellStyle name="Input 2 5 2 2 5 4 4" xfId="18854"/>
    <cellStyle name="Input 2 5 2 2 5 5" xfId="21429"/>
    <cellStyle name="Input 2 5 2 2 5 6" xfId="32274"/>
    <cellStyle name="Input 2 5 2 2 5 7" xfId="13000"/>
    <cellStyle name="Input 2 5 2 2 6" xfId="2837"/>
    <cellStyle name="Input 2 5 2 2 6 2" xfId="5688"/>
    <cellStyle name="Input 2 5 2 2 6 2 2" xfId="24660"/>
    <cellStyle name="Input 2 5 2 2 6 2 3" xfId="35505"/>
    <cellStyle name="Input 2 5 2 2 6 2 4" xfId="15313"/>
    <cellStyle name="Input 2 5 2 2 6 3" xfId="8359"/>
    <cellStyle name="Input 2 5 2 2 6 3 2" xfId="27331"/>
    <cellStyle name="Input 2 5 2 2 6 3 3" xfId="38176"/>
    <cellStyle name="Input 2 5 2 2 6 3 4" xfId="17226"/>
    <cellStyle name="Input 2 5 2 2 6 4" xfId="11018"/>
    <cellStyle name="Input 2 5 2 2 6 4 2" xfId="29990"/>
    <cellStyle name="Input 2 5 2 2 6 4 3" xfId="40835"/>
    <cellStyle name="Input 2 5 2 2 6 4 4" xfId="19130"/>
    <cellStyle name="Input 2 5 2 2 6 5" xfId="21814"/>
    <cellStyle name="Input 2 5 2 2 6 6" xfId="32659"/>
    <cellStyle name="Input 2 5 2 2 6 7" xfId="13276"/>
    <cellStyle name="Input 2 5 2 2 7" xfId="3526"/>
    <cellStyle name="Input 2 5 2 2 7 2" xfId="22498"/>
    <cellStyle name="Input 2 5 2 2 7 3" xfId="33343"/>
    <cellStyle name="Input 2 5 2 2 7 4" xfId="13757"/>
    <cellStyle name="Input 2 5 2 2 8" xfId="6201"/>
    <cellStyle name="Input 2 5 2 2 8 2" xfId="25173"/>
    <cellStyle name="Input 2 5 2 2 8 3" xfId="36018"/>
    <cellStyle name="Input 2 5 2 2 8 4" xfId="15673"/>
    <cellStyle name="Input 2 5 2 2 9" xfId="8860"/>
    <cellStyle name="Input 2 5 2 2 9 2" xfId="27832"/>
    <cellStyle name="Input 2 5 2 2 9 3" xfId="38677"/>
    <cellStyle name="Input 2 5 2 2 9 4" xfId="17577"/>
    <cellStyle name="Input 2 5 2 3" xfId="731"/>
    <cellStyle name="Input 2 5 2 3 10" xfId="19716"/>
    <cellStyle name="Input 2 5 2 3 11" xfId="30561"/>
    <cellStyle name="Input 2 5 2 3 12" xfId="11763"/>
    <cellStyle name="Input 2 5 2 3 2" xfId="1318"/>
    <cellStyle name="Input 2 5 2 3 2 2" xfId="4171"/>
    <cellStyle name="Input 2 5 2 3 2 2 2" xfId="23143"/>
    <cellStyle name="Input 2 5 2 3 2 2 3" xfId="33988"/>
    <cellStyle name="Input 2 5 2 3 2 2 4" xfId="14224"/>
    <cellStyle name="Input 2 5 2 3 2 3" xfId="6844"/>
    <cellStyle name="Input 2 5 2 3 2 3 2" xfId="25816"/>
    <cellStyle name="Input 2 5 2 3 2 3 3" xfId="36661"/>
    <cellStyle name="Input 2 5 2 3 2 3 4" xfId="16139"/>
    <cellStyle name="Input 2 5 2 3 2 4" xfId="9503"/>
    <cellStyle name="Input 2 5 2 3 2 4 2" xfId="28475"/>
    <cellStyle name="Input 2 5 2 3 2 4 3" xfId="39320"/>
    <cellStyle name="Input 2 5 2 3 2 4 4" xfId="18043"/>
    <cellStyle name="Input 2 5 2 3 2 5" xfId="20299"/>
    <cellStyle name="Input 2 5 2 3 2 6" xfId="31144"/>
    <cellStyle name="Input 2 5 2 3 2 7" xfId="12189"/>
    <cellStyle name="Input 2 5 2 3 3" xfId="1717"/>
    <cellStyle name="Input 2 5 2 3 3 2" xfId="4570"/>
    <cellStyle name="Input 2 5 2 3 3 2 2" xfId="23542"/>
    <cellStyle name="Input 2 5 2 3 3 2 3" xfId="34387"/>
    <cellStyle name="Input 2 5 2 3 3 2 4" xfId="14511"/>
    <cellStyle name="Input 2 5 2 3 3 3" xfId="7242"/>
    <cellStyle name="Input 2 5 2 3 3 3 2" xfId="26214"/>
    <cellStyle name="Input 2 5 2 3 3 3 3" xfId="37059"/>
    <cellStyle name="Input 2 5 2 3 3 3 4" xfId="16425"/>
    <cellStyle name="Input 2 5 2 3 3 4" xfId="9901"/>
    <cellStyle name="Input 2 5 2 3 3 4 2" xfId="28873"/>
    <cellStyle name="Input 2 5 2 3 3 4 3" xfId="39718"/>
    <cellStyle name="Input 2 5 2 3 3 4 4" xfId="18329"/>
    <cellStyle name="Input 2 5 2 3 3 5" xfId="20697"/>
    <cellStyle name="Input 2 5 2 3 3 6" xfId="31542"/>
    <cellStyle name="Input 2 5 2 3 3 7" xfId="12475"/>
    <cellStyle name="Input 2 5 2 3 4" xfId="2121"/>
    <cellStyle name="Input 2 5 2 3 4 2" xfId="4974"/>
    <cellStyle name="Input 2 5 2 3 4 2 2" xfId="23946"/>
    <cellStyle name="Input 2 5 2 3 4 2 3" xfId="34791"/>
    <cellStyle name="Input 2 5 2 3 4 2 4" xfId="14798"/>
    <cellStyle name="Input 2 5 2 3 4 3" xfId="7645"/>
    <cellStyle name="Input 2 5 2 3 4 3 2" xfId="26617"/>
    <cellStyle name="Input 2 5 2 3 4 3 3" xfId="37462"/>
    <cellStyle name="Input 2 5 2 3 4 3 4" xfId="16711"/>
    <cellStyle name="Input 2 5 2 3 4 4" xfId="10304"/>
    <cellStyle name="Input 2 5 2 3 4 4 2" xfId="29276"/>
    <cellStyle name="Input 2 5 2 3 4 4 3" xfId="40121"/>
    <cellStyle name="Input 2 5 2 3 4 4 4" xfId="18615"/>
    <cellStyle name="Input 2 5 2 3 4 5" xfId="21100"/>
    <cellStyle name="Input 2 5 2 3 4 6" xfId="31945"/>
    <cellStyle name="Input 2 5 2 3 4 7" xfId="12761"/>
    <cellStyle name="Input 2 5 2 3 5" xfId="2511"/>
    <cellStyle name="Input 2 5 2 3 5 2" xfId="5363"/>
    <cellStyle name="Input 2 5 2 3 5 2 2" xfId="24335"/>
    <cellStyle name="Input 2 5 2 3 5 2 3" xfId="35180"/>
    <cellStyle name="Input 2 5 2 3 5 2 4" xfId="15077"/>
    <cellStyle name="Input 2 5 2 3 5 3" xfId="8034"/>
    <cellStyle name="Input 2 5 2 3 5 3 2" xfId="27006"/>
    <cellStyle name="Input 2 5 2 3 5 3 3" xfId="37851"/>
    <cellStyle name="Input 2 5 2 3 5 3 4" xfId="16990"/>
    <cellStyle name="Input 2 5 2 3 5 4" xfId="10693"/>
    <cellStyle name="Input 2 5 2 3 5 4 2" xfId="29665"/>
    <cellStyle name="Input 2 5 2 3 5 4 3" xfId="40510"/>
    <cellStyle name="Input 2 5 2 3 5 4 4" xfId="18894"/>
    <cellStyle name="Input 2 5 2 3 5 5" xfId="21489"/>
    <cellStyle name="Input 2 5 2 3 5 6" xfId="32334"/>
    <cellStyle name="Input 2 5 2 3 5 7" xfId="13040"/>
    <cellStyle name="Input 2 5 2 3 6" xfId="2897"/>
    <cellStyle name="Input 2 5 2 3 6 2" xfId="5748"/>
    <cellStyle name="Input 2 5 2 3 6 2 2" xfId="24720"/>
    <cellStyle name="Input 2 5 2 3 6 2 3" xfId="35565"/>
    <cellStyle name="Input 2 5 2 3 6 2 4" xfId="15353"/>
    <cellStyle name="Input 2 5 2 3 6 3" xfId="8419"/>
    <cellStyle name="Input 2 5 2 3 6 3 2" xfId="27391"/>
    <cellStyle name="Input 2 5 2 3 6 3 3" xfId="38236"/>
    <cellStyle name="Input 2 5 2 3 6 3 4" xfId="17266"/>
    <cellStyle name="Input 2 5 2 3 6 4" xfId="11078"/>
    <cellStyle name="Input 2 5 2 3 6 4 2" xfId="30050"/>
    <cellStyle name="Input 2 5 2 3 6 4 3" xfId="40895"/>
    <cellStyle name="Input 2 5 2 3 6 4 4" xfId="19170"/>
    <cellStyle name="Input 2 5 2 3 6 5" xfId="21874"/>
    <cellStyle name="Input 2 5 2 3 6 6" xfId="32719"/>
    <cellStyle name="Input 2 5 2 3 6 7" xfId="13316"/>
    <cellStyle name="Input 2 5 2 3 7" xfId="3586"/>
    <cellStyle name="Input 2 5 2 3 7 2" xfId="22558"/>
    <cellStyle name="Input 2 5 2 3 7 3" xfId="33403"/>
    <cellStyle name="Input 2 5 2 3 7 4" xfId="13797"/>
    <cellStyle name="Input 2 5 2 3 8" xfId="6261"/>
    <cellStyle name="Input 2 5 2 3 8 2" xfId="25233"/>
    <cellStyle name="Input 2 5 2 3 8 3" xfId="36078"/>
    <cellStyle name="Input 2 5 2 3 8 4" xfId="15713"/>
    <cellStyle name="Input 2 5 2 3 9" xfId="8920"/>
    <cellStyle name="Input 2 5 2 3 9 2" xfId="27892"/>
    <cellStyle name="Input 2 5 2 3 9 3" xfId="38737"/>
    <cellStyle name="Input 2 5 2 3 9 4" xfId="17617"/>
    <cellStyle name="Input 2 5 2 4" xfId="791"/>
    <cellStyle name="Input 2 5 2 4 10" xfId="19776"/>
    <cellStyle name="Input 2 5 2 4 11" xfId="30621"/>
    <cellStyle name="Input 2 5 2 4 12" xfId="11803"/>
    <cellStyle name="Input 2 5 2 4 2" xfId="1378"/>
    <cellStyle name="Input 2 5 2 4 2 2" xfId="4231"/>
    <cellStyle name="Input 2 5 2 4 2 2 2" xfId="23203"/>
    <cellStyle name="Input 2 5 2 4 2 2 3" xfId="34048"/>
    <cellStyle name="Input 2 5 2 4 2 2 4" xfId="14264"/>
    <cellStyle name="Input 2 5 2 4 2 3" xfId="6904"/>
    <cellStyle name="Input 2 5 2 4 2 3 2" xfId="25876"/>
    <cellStyle name="Input 2 5 2 4 2 3 3" xfId="36721"/>
    <cellStyle name="Input 2 5 2 4 2 3 4" xfId="16179"/>
    <cellStyle name="Input 2 5 2 4 2 4" xfId="9563"/>
    <cellStyle name="Input 2 5 2 4 2 4 2" xfId="28535"/>
    <cellStyle name="Input 2 5 2 4 2 4 3" xfId="39380"/>
    <cellStyle name="Input 2 5 2 4 2 4 4" xfId="18083"/>
    <cellStyle name="Input 2 5 2 4 2 5" xfId="20359"/>
    <cellStyle name="Input 2 5 2 4 2 6" xfId="31204"/>
    <cellStyle name="Input 2 5 2 4 2 7" xfId="12229"/>
    <cellStyle name="Input 2 5 2 4 3" xfId="1777"/>
    <cellStyle name="Input 2 5 2 4 3 2" xfId="4630"/>
    <cellStyle name="Input 2 5 2 4 3 2 2" xfId="23602"/>
    <cellStyle name="Input 2 5 2 4 3 2 3" xfId="34447"/>
    <cellStyle name="Input 2 5 2 4 3 2 4" xfId="14551"/>
    <cellStyle name="Input 2 5 2 4 3 3" xfId="7302"/>
    <cellStyle name="Input 2 5 2 4 3 3 2" xfId="26274"/>
    <cellStyle name="Input 2 5 2 4 3 3 3" xfId="37119"/>
    <cellStyle name="Input 2 5 2 4 3 3 4" xfId="16465"/>
    <cellStyle name="Input 2 5 2 4 3 4" xfId="9961"/>
    <cellStyle name="Input 2 5 2 4 3 4 2" xfId="28933"/>
    <cellStyle name="Input 2 5 2 4 3 4 3" xfId="39778"/>
    <cellStyle name="Input 2 5 2 4 3 4 4" xfId="18369"/>
    <cellStyle name="Input 2 5 2 4 3 5" xfId="20757"/>
    <cellStyle name="Input 2 5 2 4 3 6" xfId="31602"/>
    <cellStyle name="Input 2 5 2 4 3 7" xfId="12515"/>
    <cellStyle name="Input 2 5 2 4 4" xfId="2181"/>
    <cellStyle name="Input 2 5 2 4 4 2" xfId="5034"/>
    <cellStyle name="Input 2 5 2 4 4 2 2" xfId="24006"/>
    <cellStyle name="Input 2 5 2 4 4 2 3" xfId="34851"/>
    <cellStyle name="Input 2 5 2 4 4 2 4" xfId="14838"/>
    <cellStyle name="Input 2 5 2 4 4 3" xfId="7705"/>
    <cellStyle name="Input 2 5 2 4 4 3 2" xfId="26677"/>
    <cellStyle name="Input 2 5 2 4 4 3 3" xfId="37522"/>
    <cellStyle name="Input 2 5 2 4 4 3 4" xfId="16751"/>
    <cellStyle name="Input 2 5 2 4 4 4" xfId="10364"/>
    <cellStyle name="Input 2 5 2 4 4 4 2" xfId="29336"/>
    <cellStyle name="Input 2 5 2 4 4 4 3" xfId="40181"/>
    <cellStyle name="Input 2 5 2 4 4 4 4" xfId="18655"/>
    <cellStyle name="Input 2 5 2 4 4 5" xfId="21160"/>
    <cellStyle name="Input 2 5 2 4 4 6" xfId="32005"/>
    <cellStyle name="Input 2 5 2 4 4 7" xfId="12801"/>
    <cellStyle name="Input 2 5 2 4 5" xfId="2571"/>
    <cellStyle name="Input 2 5 2 4 5 2" xfId="5423"/>
    <cellStyle name="Input 2 5 2 4 5 2 2" xfId="24395"/>
    <cellStyle name="Input 2 5 2 4 5 2 3" xfId="35240"/>
    <cellStyle name="Input 2 5 2 4 5 2 4" xfId="15117"/>
    <cellStyle name="Input 2 5 2 4 5 3" xfId="8094"/>
    <cellStyle name="Input 2 5 2 4 5 3 2" xfId="27066"/>
    <cellStyle name="Input 2 5 2 4 5 3 3" xfId="37911"/>
    <cellStyle name="Input 2 5 2 4 5 3 4" xfId="17030"/>
    <cellStyle name="Input 2 5 2 4 5 4" xfId="10753"/>
    <cellStyle name="Input 2 5 2 4 5 4 2" xfId="29725"/>
    <cellStyle name="Input 2 5 2 4 5 4 3" xfId="40570"/>
    <cellStyle name="Input 2 5 2 4 5 4 4" xfId="18934"/>
    <cellStyle name="Input 2 5 2 4 5 5" xfId="21549"/>
    <cellStyle name="Input 2 5 2 4 5 6" xfId="32394"/>
    <cellStyle name="Input 2 5 2 4 5 7" xfId="13080"/>
    <cellStyle name="Input 2 5 2 4 6" xfId="2957"/>
    <cellStyle name="Input 2 5 2 4 6 2" xfId="5808"/>
    <cellStyle name="Input 2 5 2 4 6 2 2" xfId="24780"/>
    <cellStyle name="Input 2 5 2 4 6 2 3" xfId="35625"/>
    <cellStyle name="Input 2 5 2 4 6 2 4" xfId="15393"/>
    <cellStyle name="Input 2 5 2 4 6 3" xfId="8479"/>
    <cellStyle name="Input 2 5 2 4 6 3 2" xfId="27451"/>
    <cellStyle name="Input 2 5 2 4 6 3 3" xfId="38296"/>
    <cellStyle name="Input 2 5 2 4 6 3 4" xfId="17306"/>
    <cellStyle name="Input 2 5 2 4 6 4" xfId="11138"/>
    <cellStyle name="Input 2 5 2 4 6 4 2" xfId="30110"/>
    <cellStyle name="Input 2 5 2 4 6 4 3" xfId="40955"/>
    <cellStyle name="Input 2 5 2 4 6 4 4" xfId="19210"/>
    <cellStyle name="Input 2 5 2 4 6 5" xfId="21934"/>
    <cellStyle name="Input 2 5 2 4 6 6" xfId="32779"/>
    <cellStyle name="Input 2 5 2 4 6 7" xfId="13356"/>
    <cellStyle name="Input 2 5 2 4 7" xfId="3646"/>
    <cellStyle name="Input 2 5 2 4 7 2" xfId="22618"/>
    <cellStyle name="Input 2 5 2 4 7 3" xfId="33463"/>
    <cellStyle name="Input 2 5 2 4 7 4" xfId="13837"/>
    <cellStyle name="Input 2 5 2 4 8" xfId="6321"/>
    <cellStyle name="Input 2 5 2 4 8 2" xfId="25293"/>
    <cellStyle name="Input 2 5 2 4 8 3" xfId="36138"/>
    <cellStyle name="Input 2 5 2 4 8 4" xfId="15753"/>
    <cellStyle name="Input 2 5 2 4 9" xfId="8980"/>
    <cellStyle name="Input 2 5 2 4 9 2" xfId="27952"/>
    <cellStyle name="Input 2 5 2 4 9 3" xfId="38797"/>
    <cellStyle name="Input 2 5 2 4 9 4" xfId="17657"/>
    <cellStyle name="Input 2 5 2 5" xfId="850"/>
    <cellStyle name="Input 2 5 2 5 10" xfId="19835"/>
    <cellStyle name="Input 2 5 2 5 11" xfId="30680"/>
    <cellStyle name="Input 2 5 2 5 12" xfId="11842"/>
    <cellStyle name="Input 2 5 2 5 2" xfId="1437"/>
    <cellStyle name="Input 2 5 2 5 2 2" xfId="4290"/>
    <cellStyle name="Input 2 5 2 5 2 2 2" xfId="23262"/>
    <cellStyle name="Input 2 5 2 5 2 2 3" xfId="34107"/>
    <cellStyle name="Input 2 5 2 5 2 2 4" xfId="14303"/>
    <cellStyle name="Input 2 5 2 5 2 3" xfId="6963"/>
    <cellStyle name="Input 2 5 2 5 2 3 2" xfId="25935"/>
    <cellStyle name="Input 2 5 2 5 2 3 3" xfId="36780"/>
    <cellStyle name="Input 2 5 2 5 2 3 4" xfId="16218"/>
    <cellStyle name="Input 2 5 2 5 2 4" xfId="9622"/>
    <cellStyle name="Input 2 5 2 5 2 4 2" xfId="28594"/>
    <cellStyle name="Input 2 5 2 5 2 4 3" xfId="39439"/>
    <cellStyle name="Input 2 5 2 5 2 4 4" xfId="18122"/>
    <cellStyle name="Input 2 5 2 5 2 5" xfId="20418"/>
    <cellStyle name="Input 2 5 2 5 2 6" xfId="31263"/>
    <cellStyle name="Input 2 5 2 5 2 7" xfId="12268"/>
    <cellStyle name="Input 2 5 2 5 3" xfId="1836"/>
    <cellStyle name="Input 2 5 2 5 3 2" xfId="4689"/>
    <cellStyle name="Input 2 5 2 5 3 2 2" xfId="23661"/>
    <cellStyle name="Input 2 5 2 5 3 2 3" xfId="34506"/>
    <cellStyle name="Input 2 5 2 5 3 2 4" xfId="14590"/>
    <cellStyle name="Input 2 5 2 5 3 3" xfId="7361"/>
    <cellStyle name="Input 2 5 2 5 3 3 2" xfId="26333"/>
    <cellStyle name="Input 2 5 2 5 3 3 3" xfId="37178"/>
    <cellStyle name="Input 2 5 2 5 3 3 4" xfId="16504"/>
    <cellStyle name="Input 2 5 2 5 3 4" xfId="10020"/>
    <cellStyle name="Input 2 5 2 5 3 4 2" xfId="28992"/>
    <cellStyle name="Input 2 5 2 5 3 4 3" xfId="39837"/>
    <cellStyle name="Input 2 5 2 5 3 4 4" xfId="18408"/>
    <cellStyle name="Input 2 5 2 5 3 5" xfId="20816"/>
    <cellStyle name="Input 2 5 2 5 3 6" xfId="31661"/>
    <cellStyle name="Input 2 5 2 5 3 7" xfId="12554"/>
    <cellStyle name="Input 2 5 2 5 4" xfId="2240"/>
    <cellStyle name="Input 2 5 2 5 4 2" xfId="5093"/>
    <cellStyle name="Input 2 5 2 5 4 2 2" xfId="24065"/>
    <cellStyle name="Input 2 5 2 5 4 2 3" xfId="34910"/>
    <cellStyle name="Input 2 5 2 5 4 2 4" xfId="14877"/>
    <cellStyle name="Input 2 5 2 5 4 3" xfId="7764"/>
    <cellStyle name="Input 2 5 2 5 4 3 2" xfId="26736"/>
    <cellStyle name="Input 2 5 2 5 4 3 3" xfId="37581"/>
    <cellStyle name="Input 2 5 2 5 4 3 4" xfId="16790"/>
    <cellStyle name="Input 2 5 2 5 4 4" xfId="10423"/>
    <cellStyle name="Input 2 5 2 5 4 4 2" xfId="29395"/>
    <cellStyle name="Input 2 5 2 5 4 4 3" xfId="40240"/>
    <cellStyle name="Input 2 5 2 5 4 4 4" xfId="18694"/>
    <cellStyle name="Input 2 5 2 5 4 5" xfId="21219"/>
    <cellStyle name="Input 2 5 2 5 4 6" xfId="32064"/>
    <cellStyle name="Input 2 5 2 5 4 7" xfId="12840"/>
    <cellStyle name="Input 2 5 2 5 5" xfId="2630"/>
    <cellStyle name="Input 2 5 2 5 5 2" xfId="5482"/>
    <cellStyle name="Input 2 5 2 5 5 2 2" xfId="24454"/>
    <cellStyle name="Input 2 5 2 5 5 2 3" xfId="35299"/>
    <cellStyle name="Input 2 5 2 5 5 2 4" xfId="15156"/>
    <cellStyle name="Input 2 5 2 5 5 3" xfId="8153"/>
    <cellStyle name="Input 2 5 2 5 5 3 2" xfId="27125"/>
    <cellStyle name="Input 2 5 2 5 5 3 3" xfId="37970"/>
    <cellStyle name="Input 2 5 2 5 5 3 4" xfId="17069"/>
    <cellStyle name="Input 2 5 2 5 5 4" xfId="10812"/>
    <cellStyle name="Input 2 5 2 5 5 4 2" xfId="29784"/>
    <cellStyle name="Input 2 5 2 5 5 4 3" xfId="40629"/>
    <cellStyle name="Input 2 5 2 5 5 4 4" xfId="18973"/>
    <cellStyle name="Input 2 5 2 5 5 5" xfId="21608"/>
    <cellStyle name="Input 2 5 2 5 5 6" xfId="32453"/>
    <cellStyle name="Input 2 5 2 5 5 7" xfId="13119"/>
    <cellStyle name="Input 2 5 2 5 6" xfId="3016"/>
    <cellStyle name="Input 2 5 2 5 6 2" xfId="5867"/>
    <cellStyle name="Input 2 5 2 5 6 2 2" xfId="24839"/>
    <cellStyle name="Input 2 5 2 5 6 2 3" xfId="35684"/>
    <cellStyle name="Input 2 5 2 5 6 2 4" xfId="15432"/>
    <cellStyle name="Input 2 5 2 5 6 3" xfId="8538"/>
    <cellStyle name="Input 2 5 2 5 6 3 2" xfId="27510"/>
    <cellStyle name="Input 2 5 2 5 6 3 3" xfId="38355"/>
    <cellStyle name="Input 2 5 2 5 6 3 4" xfId="17345"/>
    <cellStyle name="Input 2 5 2 5 6 4" xfId="11197"/>
    <cellStyle name="Input 2 5 2 5 6 4 2" xfId="30169"/>
    <cellStyle name="Input 2 5 2 5 6 4 3" xfId="41014"/>
    <cellStyle name="Input 2 5 2 5 6 4 4" xfId="19249"/>
    <cellStyle name="Input 2 5 2 5 6 5" xfId="21993"/>
    <cellStyle name="Input 2 5 2 5 6 6" xfId="32838"/>
    <cellStyle name="Input 2 5 2 5 6 7" xfId="13395"/>
    <cellStyle name="Input 2 5 2 5 7" xfId="3705"/>
    <cellStyle name="Input 2 5 2 5 7 2" xfId="22677"/>
    <cellStyle name="Input 2 5 2 5 7 3" xfId="33522"/>
    <cellStyle name="Input 2 5 2 5 7 4" xfId="13876"/>
    <cellStyle name="Input 2 5 2 5 8" xfId="6380"/>
    <cellStyle name="Input 2 5 2 5 8 2" xfId="25352"/>
    <cellStyle name="Input 2 5 2 5 8 3" xfId="36197"/>
    <cellStyle name="Input 2 5 2 5 8 4" xfId="15792"/>
    <cellStyle name="Input 2 5 2 5 9" xfId="9039"/>
    <cellStyle name="Input 2 5 2 5 9 2" xfId="28011"/>
    <cellStyle name="Input 2 5 2 5 9 3" xfId="38856"/>
    <cellStyle name="Input 2 5 2 5 9 4" xfId="17696"/>
    <cellStyle name="Input 2 5 2 6" xfId="1072"/>
    <cellStyle name="Input 2 5 2 6 2" xfId="3925"/>
    <cellStyle name="Input 2 5 2 6 2 2" xfId="22897"/>
    <cellStyle name="Input 2 5 2 6 2 3" xfId="33742"/>
    <cellStyle name="Input 2 5 2 6 2 4" xfId="14038"/>
    <cellStyle name="Input 2 5 2 6 3" xfId="6599"/>
    <cellStyle name="Input 2 5 2 6 3 2" xfId="25571"/>
    <cellStyle name="Input 2 5 2 6 3 3" xfId="36416"/>
    <cellStyle name="Input 2 5 2 6 3 4" xfId="15954"/>
    <cellStyle name="Input 2 5 2 6 4" xfId="9258"/>
    <cellStyle name="Input 2 5 2 6 4 2" xfId="28230"/>
    <cellStyle name="Input 2 5 2 6 4 3" xfId="39075"/>
    <cellStyle name="Input 2 5 2 6 4 4" xfId="17858"/>
    <cellStyle name="Input 2 5 2 6 5" xfId="20054"/>
    <cellStyle name="Input 2 5 2 6 6" xfId="30899"/>
    <cellStyle name="Input 2 5 2 6 7" xfId="12004"/>
    <cellStyle name="Input 2 5 2 7" xfId="913"/>
    <cellStyle name="Input 2 5 2 7 2" xfId="3768"/>
    <cellStyle name="Input 2 5 2 7 2 2" xfId="22740"/>
    <cellStyle name="Input 2 5 2 7 2 3" xfId="33585"/>
    <cellStyle name="Input 2 5 2 7 2 4" xfId="13914"/>
    <cellStyle name="Input 2 5 2 7 3" xfId="6443"/>
    <cellStyle name="Input 2 5 2 7 3 2" xfId="25415"/>
    <cellStyle name="Input 2 5 2 7 3 3" xfId="36260"/>
    <cellStyle name="Input 2 5 2 7 3 4" xfId="15830"/>
    <cellStyle name="Input 2 5 2 7 4" xfId="9102"/>
    <cellStyle name="Input 2 5 2 7 4 2" xfId="28074"/>
    <cellStyle name="Input 2 5 2 7 4 3" xfId="38919"/>
    <cellStyle name="Input 2 5 2 7 4 4" xfId="17734"/>
    <cellStyle name="Input 2 5 2 7 5" xfId="19898"/>
    <cellStyle name="Input 2 5 2 7 6" xfId="30743"/>
    <cellStyle name="Input 2 5 2 7 7" xfId="11880"/>
    <cellStyle name="Input 2 5 2 8" xfId="977"/>
    <cellStyle name="Input 2 5 2 8 2" xfId="3830"/>
    <cellStyle name="Input 2 5 2 8 2 2" xfId="22802"/>
    <cellStyle name="Input 2 5 2 8 2 3" xfId="33647"/>
    <cellStyle name="Input 2 5 2 8 2 4" xfId="13968"/>
    <cellStyle name="Input 2 5 2 8 3" xfId="6505"/>
    <cellStyle name="Input 2 5 2 8 3 2" xfId="25477"/>
    <cellStyle name="Input 2 5 2 8 3 3" xfId="36322"/>
    <cellStyle name="Input 2 5 2 8 3 4" xfId="15884"/>
    <cellStyle name="Input 2 5 2 8 4" xfId="9164"/>
    <cellStyle name="Input 2 5 2 8 4 2" xfId="28136"/>
    <cellStyle name="Input 2 5 2 8 4 3" xfId="38981"/>
    <cellStyle name="Input 2 5 2 8 4 4" xfId="17788"/>
    <cellStyle name="Input 2 5 2 8 5" xfId="19960"/>
    <cellStyle name="Input 2 5 2 8 6" xfId="30805"/>
    <cellStyle name="Input 2 5 2 8 7" xfId="11934"/>
    <cellStyle name="Input 2 5 2 9" xfId="1629"/>
    <cellStyle name="Input 2 5 2 9 2" xfId="4482"/>
    <cellStyle name="Input 2 5 2 9 2 2" xfId="23454"/>
    <cellStyle name="Input 2 5 2 9 2 3" xfId="34299"/>
    <cellStyle name="Input 2 5 2 9 2 4" xfId="14444"/>
    <cellStyle name="Input 2 5 2 9 3" xfId="7154"/>
    <cellStyle name="Input 2 5 2 9 3 2" xfId="26126"/>
    <cellStyle name="Input 2 5 2 9 3 3" xfId="36971"/>
    <cellStyle name="Input 2 5 2 9 3 4" xfId="16358"/>
    <cellStyle name="Input 2 5 2 9 4" xfId="9813"/>
    <cellStyle name="Input 2 5 2 9 4 2" xfId="28785"/>
    <cellStyle name="Input 2 5 2 9 4 3" xfId="39630"/>
    <cellStyle name="Input 2 5 2 9 4 4" xfId="18262"/>
    <cellStyle name="Input 2 5 2 9 5" xfId="20609"/>
    <cellStyle name="Input 2 5 2 9 6" xfId="31454"/>
    <cellStyle name="Input 2 5 2 9 7" xfId="12408"/>
    <cellStyle name="Input 2 5 3" xfId="554"/>
    <cellStyle name="Input 2 5 3 10" xfId="19564"/>
    <cellStyle name="Input 2 5 3 11" xfId="30409"/>
    <cellStyle name="Input 2 5 3 12" xfId="11628"/>
    <cellStyle name="Input 2 5 3 2" xfId="1160"/>
    <cellStyle name="Input 2 5 3 2 2" xfId="4013"/>
    <cellStyle name="Input 2 5 3 2 2 2" xfId="22985"/>
    <cellStyle name="Input 2 5 3 2 2 3" xfId="33830"/>
    <cellStyle name="Input 2 5 3 2 2 4" xfId="14105"/>
    <cellStyle name="Input 2 5 3 2 3" xfId="6686"/>
    <cellStyle name="Input 2 5 3 2 3 2" xfId="25658"/>
    <cellStyle name="Input 2 5 3 2 3 3" xfId="36503"/>
    <cellStyle name="Input 2 5 3 2 3 4" xfId="16020"/>
    <cellStyle name="Input 2 5 3 2 4" xfId="9345"/>
    <cellStyle name="Input 2 5 3 2 4 2" xfId="28317"/>
    <cellStyle name="Input 2 5 3 2 4 3" xfId="39162"/>
    <cellStyle name="Input 2 5 3 2 4 4" xfId="17924"/>
    <cellStyle name="Input 2 5 3 2 5" xfId="20141"/>
    <cellStyle name="Input 2 5 3 2 6" xfId="30986"/>
    <cellStyle name="Input 2 5 3 2 7" xfId="12070"/>
    <cellStyle name="Input 2 5 3 3" xfId="1557"/>
    <cellStyle name="Input 2 5 3 3 2" xfId="4410"/>
    <cellStyle name="Input 2 5 3 3 2 2" xfId="23382"/>
    <cellStyle name="Input 2 5 3 3 2 3" xfId="34227"/>
    <cellStyle name="Input 2 5 3 3 2 4" xfId="14391"/>
    <cellStyle name="Input 2 5 3 3 3" xfId="7082"/>
    <cellStyle name="Input 2 5 3 3 3 2" xfId="26054"/>
    <cellStyle name="Input 2 5 3 3 3 3" xfId="36899"/>
    <cellStyle name="Input 2 5 3 3 3 4" xfId="16305"/>
    <cellStyle name="Input 2 5 3 3 4" xfId="9741"/>
    <cellStyle name="Input 2 5 3 3 4 2" xfId="28713"/>
    <cellStyle name="Input 2 5 3 3 4 3" xfId="39558"/>
    <cellStyle name="Input 2 5 3 3 4 4" xfId="18209"/>
    <cellStyle name="Input 2 5 3 3 5" xfId="20537"/>
    <cellStyle name="Input 2 5 3 3 6" xfId="31382"/>
    <cellStyle name="Input 2 5 3 3 7" xfId="12355"/>
    <cellStyle name="Input 2 5 3 4" xfId="1961"/>
    <cellStyle name="Input 2 5 3 4 2" xfId="4814"/>
    <cellStyle name="Input 2 5 3 4 2 2" xfId="23786"/>
    <cellStyle name="Input 2 5 3 4 2 3" xfId="34631"/>
    <cellStyle name="Input 2 5 3 4 2 4" xfId="14679"/>
    <cellStyle name="Input 2 5 3 4 3" xfId="7486"/>
    <cellStyle name="Input 2 5 3 4 3 2" xfId="26458"/>
    <cellStyle name="Input 2 5 3 4 3 3" xfId="37303"/>
    <cellStyle name="Input 2 5 3 4 3 4" xfId="16593"/>
    <cellStyle name="Input 2 5 3 4 4" xfId="10145"/>
    <cellStyle name="Input 2 5 3 4 4 2" xfId="29117"/>
    <cellStyle name="Input 2 5 3 4 4 3" xfId="39962"/>
    <cellStyle name="Input 2 5 3 4 4 4" xfId="18497"/>
    <cellStyle name="Input 2 5 3 4 5" xfId="20941"/>
    <cellStyle name="Input 2 5 3 4 6" xfId="31786"/>
    <cellStyle name="Input 2 5 3 4 7" xfId="12643"/>
    <cellStyle name="Input 2 5 3 5" xfId="2353"/>
    <cellStyle name="Input 2 5 3 5 2" xfId="5206"/>
    <cellStyle name="Input 2 5 3 5 2 2" xfId="24178"/>
    <cellStyle name="Input 2 5 3 5 2 3" xfId="35023"/>
    <cellStyle name="Input 2 5 3 5 2 4" xfId="14960"/>
    <cellStyle name="Input 2 5 3 5 3" xfId="7877"/>
    <cellStyle name="Input 2 5 3 5 3 2" xfId="26849"/>
    <cellStyle name="Input 2 5 3 5 3 3" xfId="37694"/>
    <cellStyle name="Input 2 5 3 5 3 4" xfId="16873"/>
    <cellStyle name="Input 2 5 3 5 4" xfId="10536"/>
    <cellStyle name="Input 2 5 3 5 4 2" xfId="29508"/>
    <cellStyle name="Input 2 5 3 5 4 3" xfId="40353"/>
    <cellStyle name="Input 2 5 3 5 4 4" xfId="18777"/>
    <cellStyle name="Input 2 5 3 5 5" xfId="21332"/>
    <cellStyle name="Input 2 5 3 5 6" xfId="32177"/>
    <cellStyle name="Input 2 5 3 5 7" xfId="12923"/>
    <cellStyle name="Input 2 5 3 6" xfId="2742"/>
    <cellStyle name="Input 2 5 3 6 2" xfId="5594"/>
    <cellStyle name="Input 2 5 3 6 2 2" xfId="24566"/>
    <cellStyle name="Input 2 5 3 6 2 3" xfId="35411"/>
    <cellStyle name="Input 2 5 3 6 2 4" xfId="15238"/>
    <cellStyle name="Input 2 5 3 6 3" xfId="8265"/>
    <cellStyle name="Input 2 5 3 6 3 2" xfId="27237"/>
    <cellStyle name="Input 2 5 3 6 3 3" xfId="38082"/>
    <cellStyle name="Input 2 5 3 6 3 4" xfId="17151"/>
    <cellStyle name="Input 2 5 3 6 4" xfId="10924"/>
    <cellStyle name="Input 2 5 3 6 4 2" xfId="29896"/>
    <cellStyle name="Input 2 5 3 6 4 3" xfId="40741"/>
    <cellStyle name="Input 2 5 3 6 4 4" xfId="19055"/>
    <cellStyle name="Input 2 5 3 6 5" xfId="21720"/>
    <cellStyle name="Input 2 5 3 6 6" xfId="32565"/>
    <cellStyle name="Input 2 5 3 6 7" xfId="13201"/>
    <cellStyle name="Input 2 5 3 7" xfId="3433"/>
    <cellStyle name="Input 2 5 3 7 2" xfId="22405"/>
    <cellStyle name="Input 2 5 3 7 3" xfId="33250"/>
    <cellStyle name="Input 2 5 3 7 4" xfId="13683"/>
    <cellStyle name="Input 2 5 3 8" xfId="6109"/>
    <cellStyle name="Input 2 5 3 8 2" xfId="25081"/>
    <cellStyle name="Input 2 5 3 8 3" xfId="35926"/>
    <cellStyle name="Input 2 5 3 8 4" xfId="15600"/>
    <cellStyle name="Input 2 5 3 9" xfId="8768"/>
    <cellStyle name="Input 2 5 3 9 2" xfId="27740"/>
    <cellStyle name="Input 2 5 3 9 3" xfId="38585"/>
    <cellStyle name="Input 2 5 3 9 4" xfId="17504"/>
    <cellStyle name="Input 2 5 4" xfId="11452"/>
    <cellStyle name="Input 2 6" xfId="101"/>
    <cellStyle name="Input 2 6 2" xfId="371"/>
    <cellStyle name="Input 2 6 2 10" xfId="1240"/>
    <cellStyle name="Input 2 6 2 10 2" xfId="4093"/>
    <cellStyle name="Input 2 6 2 10 2 2" xfId="23065"/>
    <cellStyle name="Input 2 6 2 10 2 3" xfId="33910"/>
    <cellStyle name="Input 2 6 2 10 2 4" xfId="14166"/>
    <cellStyle name="Input 2 6 2 10 3" xfId="6766"/>
    <cellStyle name="Input 2 6 2 10 3 2" xfId="25738"/>
    <cellStyle name="Input 2 6 2 10 3 3" xfId="36583"/>
    <cellStyle name="Input 2 6 2 10 3 4" xfId="16081"/>
    <cellStyle name="Input 2 6 2 10 4" xfId="9425"/>
    <cellStyle name="Input 2 6 2 10 4 2" xfId="28397"/>
    <cellStyle name="Input 2 6 2 10 4 3" xfId="39242"/>
    <cellStyle name="Input 2 6 2 10 4 4" xfId="17985"/>
    <cellStyle name="Input 2 6 2 10 5" xfId="20221"/>
    <cellStyle name="Input 2 6 2 10 6" xfId="31066"/>
    <cellStyle name="Input 2 6 2 10 7" xfId="12131"/>
    <cellStyle name="Input 2 6 2 11" xfId="926"/>
    <cellStyle name="Input 2 6 2 11 2" xfId="3781"/>
    <cellStyle name="Input 2 6 2 11 2 2" xfId="22753"/>
    <cellStyle name="Input 2 6 2 11 2 3" xfId="33598"/>
    <cellStyle name="Input 2 6 2 11 2 4" xfId="13927"/>
    <cellStyle name="Input 2 6 2 11 3" xfId="6456"/>
    <cellStyle name="Input 2 6 2 11 3 2" xfId="25428"/>
    <cellStyle name="Input 2 6 2 11 3 3" xfId="36273"/>
    <cellStyle name="Input 2 6 2 11 3 4" xfId="15843"/>
    <cellStyle name="Input 2 6 2 11 4" xfId="9115"/>
    <cellStyle name="Input 2 6 2 11 4 2" xfId="28087"/>
    <cellStyle name="Input 2 6 2 11 4 3" xfId="38932"/>
    <cellStyle name="Input 2 6 2 11 4 4" xfId="17747"/>
    <cellStyle name="Input 2 6 2 11 5" xfId="19911"/>
    <cellStyle name="Input 2 6 2 11 6" xfId="30756"/>
    <cellStyle name="Input 2 6 2 11 7" xfId="11893"/>
    <cellStyle name="Input 2 6 2 12" xfId="3107"/>
    <cellStyle name="Input 2 6 2 12 2" xfId="5958"/>
    <cellStyle name="Input 2 6 2 12 2 2" xfId="24930"/>
    <cellStyle name="Input 2 6 2 12 2 3" xfId="35775"/>
    <cellStyle name="Input 2 6 2 12 2 4" xfId="15493"/>
    <cellStyle name="Input 2 6 2 12 3" xfId="8629"/>
    <cellStyle name="Input 2 6 2 12 3 2" xfId="27601"/>
    <cellStyle name="Input 2 6 2 12 3 3" xfId="38446"/>
    <cellStyle name="Input 2 6 2 12 3 4" xfId="17406"/>
    <cellStyle name="Input 2 6 2 12 4" xfId="11288"/>
    <cellStyle name="Input 2 6 2 12 4 2" xfId="30260"/>
    <cellStyle name="Input 2 6 2 12 4 3" xfId="41105"/>
    <cellStyle name="Input 2 6 2 12 4 4" xfId="19310"/>
    <cellStyle name="Input 2 6 2 12 5" xfId="22084"/>
    <cellStyle name="Input 2 6 2 12 6" xfId="32929"/>
    <cellStyle name="Input 2 6 2 12 7" xfId="13456"/>
    <cellStyle name="Input 2 6 2 13" xfId="3164"/>
    <cellStyle name="Input 2 6 2 13 2" xfId="6015"/>
    <cellStyle name="Input 2 6 2 13 2 2" xfId="24987"/>
    <cellStyle name="Input 2 6 2 13 2 3" xfId="35832"/>
    <cellStyle name="Input 2 6 2 13 2 4" xfId="15530"/>
    <cellStyle name="Input 2 6 2 13 3" xfId="8686"/>
    <cellStyle name="Input 2 6 2 13 3 2" xfId="27658"/>
    <cellStyle name="Input 2 6 2 13 3 3" xfId="38503"/>
    <cellStyle name="Input 2 6 2 13 3 4" xfId="17443"/>
    <cellStyle name="Input 2 6 2 13 4" xfId="11345"/>
    <cellStyle name="Input 2 6 2 13 4 2" xfId="30317"/>
    <cellStyle name="Input 2 6 2 13 4 3" xfId="41162"/>
    <cellStyle name="Input 2 6 2 13 4 4" xfId="19347"/>
    <cellStyle name="Input 2 6 2 13 5" xfId="22141"/>
    <cellStyle name="Input 2 6 2 13 6" xfId="32986"/>
    <cellStyle name="Input 2 6 2 13 7" xfId="13493"/>
    <cellStyle name="Input 2 6 2 14" xfId="3330"/>
    <cellStyle name="Input 2 6 2 14 2" xfId="22304"/>
    <cellStyle name="Input 2 6 2 14 3" xfId="33149"/>
    <cellStyle name="Input 2 6 2 14 4" xfId="13610"/>
    <cellStyle name="Input 2 6 2 15" xfId="3396"/>
    <cellStyle name="Input 2 6 2 15 2" xfId="22368"/>
    <cellStyle name="Input 2 6 2 15 3" xfId="33213"/>
    <cellStyle name="Input 2 6 2 15 4" xfId="13649"/>
    <cellStyle name="Input 2 6 2 16" xfId="3273"/>
    <cellStyle name="Input 2 6 2 16 2" xfId="22247"/>
    <cellStyle name="Input 2 6 2 16 3" xfId="33092"/>
    <cellStyle name="Input 2 6 2 16 4" xfId="13571"/>
    <cellStyle name="Input 2 6 2 17" xfId="19461"/>
    <cellStyle name="Input 2 6 2 18" xfId="19436"/>
    <cellStyle name="Input 2 6 2 19" xfId="11520"/>
    <cellStyle name="Input 2 6 2 2" xfId="672"/>
    <cellStyle name="Input 2 6 2 2 10" xfId="19657"/>
    <cellStyle name="Input 2 6 2 2 11" xfId="30502"/>
    <cellStyle name="Input 2 6 2 2 12" xfId="11724"/>
    <cellStyle name="Input 2 6 2 2 2" xfId="1259"/>
    <cellStyle name="Input 2 6 2 2 2 2" xfId="4112"/>
    <cellStyle name="Input 2 6 2 2 2 2 2" xfId="23084"/>
    <cellStyle name="Input 2 6 2 2 2 2 3" xfId="33929"/>
    <cellStyle name="Input 2 6 2 2 2 2 4" xfId="14185"/>
    <cellStyle name="Input 2 6 2 2 2 3" xfId="6785"/>
    <cellStyle name="Input 2 6 2 2 2 3 2" xfId="25757"/>
    <cellStyle name="Input 2 6 2 2 2 3 3" xfId="36602"/>
    <cellStyle name="Input 2 6 2 2 2 3 4" xfId="16100"/>
    <cellStyle name="Input 2 6 2 2 2 4" xfId="9444"/>
    <cellStyle name="Input 2 6 2 2 2 4 2" xfId="28416"/>
    <cellStyle name="Input 2 6 2 2 2 4 3" xfId="39261"/>
    <cellStyle name="Input 2 6 2 2 2 4 4" xfId="18004"/>
    <cellStyle name="Input 2 6 2 2 2 5" xfId="20240"/>
    <cellStyle name="Input 2 6 2 2 2 6" xfId="31085"/>
    <cellStyle name="Input 2 6 2 2 2 7" xfId="12150"/>
    <cellStyle name="Input 2 6 2 2 3" xfId="1658"/>
    <cellStyle name="Input 2 6 2 2 3 2" xfId="4511"/>
    <cellStyle name="Input 2 6 2 2 3 2 2" xfId="23483"/>
    <cellStyle name="Input 2 6 2 2 3 2 3" xfId="34328"/>
    <cellStyle name="Input 2 6 2 2 3 2 4" xfId="14472"/>
    <cellStyle name="Input 2 6 2 2 3 3" xfId="7183"/>
    <cellStyle name="Input 2 6 2 2 3 3 2" xfId="26155"/>
    <cellStyle name="Input 2 6 2 2 3 3 3" xfId="37000"/>
    <cellStyle name="Input 2 6 2 2 3 3 4" xfId="16386"/>
    <cellStyle name="Input 2 6 2 2 3 4" xfId="9842"/>
    <cellStyle name="Input 2 6 2 2 3 4 2" xfId="28814"/>
    <cellStyle name="Input 2 6 2 2 3 4 3" xfId="39659"/>
    <cellStyle name="Input 2 6 2 2 3 4 4" xfId="18290"/>
    <cellStyle name="Input 2 6 2 2 3 5" xfId="20638"/>
    <cellStyle name="Input 2 6 2 2 3 6" xfId="31483"/>
    <cellStyle name="Input 2 6 2 2 3 7" xfId="12436"/>
    <cellStyle name="Input 2 6 2 2 4" xfId="2062"/>
    <cellStyle name="Input 2 6 2 2 4 2" xfId="4915"/>
    <cellStyle name="Input 2 6 2 2 4 2 2" xfId="23887"/>
    <cellStyle name="Input 2 6 2 2 4 2 3" xfId="34732"/>
    <cellStyle name="Input 2 6 2 2 4 2 4" xfId="14759"/>
    <cellStyle name="Input 2 6 2 2 4 3" xfId="7586"/>
    <cellStyle name="Input 2 6 2 2 4 3 2" xfId="26558"/>
    <cellStyle name="Input 2 6 2 2 4 3 3" xfId="37403"/>
    <cellStyle name="Input 2 6 2 2 4 3 4" xfId="16672"/>
    <cellStyle name="Input 2 6 2 2 4 4" xfId="10245"/>
    <cellStyle name="Input 2 6 2 2 4 4 2" xfId="29217"/>
    <cellStyle name="Input 2 6 2 2 4 4 3" xfId="40062"/>
    <cellStyle name="Input 2 6 2 2 4 4 4" xfId="18576"/>
    <cellStyle name="Input 2 6 2 2 4 5" xfId="21041"/>
    <cellStyle name="Input 2 6 2 2 4 6" xfId="31886"/>
    <cellStyle name="Input 2 6 2 2 4 7" xfId="12722"/>
    <cellStyle name="Input 2 6 2 2 5" xfId="2452"/>
    <cellStyle name="Input 2 6 2 2 5 2" xfId="5304"/>
    <cellStyle name="Input 2 6 2 2 5 2 2" xfId="24276"/>
    <cellStyle name="Input 2 6 2 2 5 2 3" xfId="35121"/>
    <cellStyle name="Input 2 6 2 2 5 2 4" xfId="15038"/>
    <cellStyle name="Input 2 6 2 2 5 3" xfId="7975"/>
    <cellStyle name="Input 2 6 2 2 5 3 2" xfId="26947"/>
    <cellStyle name="Input 2 6 2 2 5 3 3" xfId="37792"/>
    <cellStyle name="Input 2 6 2 2 5 3 4" xfId="16951"/>
    <cellStyle name="Input 2 6 2 2 5 4" xfId="10634"/>
    <cellStyle name="Input 2 6 2 2 5 4 2" xfId="29606"/>
    <cellStyle name="Input 2 6 2 2 5 4 3" xfId="40451"/>
    <cellStyle name="Input 2 6 2 2 5 4 4" xfId="18855"/>
    <cellStyle name="Input 2 6 2 2 5 5" xfId="21430"/>
    <cellStyle name="Input 2 6 2 2 5 6" xfId="32275"/>
    <cellStyle name="Input 2 6 2 2 5 7" xfId="13001"/>
    <cellStyle name="Input 2 6 2 2 6" xfId="2838"/>
    <cellStyle name="Input 2 6 2 2 6 2" xfId="5689"/>
    <cellStyle name="Input 2 6 2 2 6 2 2" xfId="24661"/>
    <cellStyle name="Input 2 6 2 2 6 2 3" xfId="35506"/>
    <cellStyle name="Input 2 6 2 2 6 2 4" xfId="15314"/>
    <cellStyle name="Input 2 6 2 2 6 3" xfId="8360"/>
    <cellStyle name="Input 2 6 2 2 6 3 2" xfId="27332"/>
    <cellStyle name="Input 2 6 2 2 6 3 3" xfId="38177"/>
    <cellStyle name="Input 2 6 2 2 6 3 4" xfId="17227"/>
    <cellStyle name="Input 2 6 2 2 6 4" xfId="11019"/>
    <cellStyle name="Input 2 6 2 2 6 4 2" xfId="29991"/>
    <cellStyle name="Input 2 6 2 2 6 4 3" xfId="40836"/>
    <cellStyle name="Input 2 6 2 2 6 4 4" xfId="19131"/>
    <cellStyle name="Input 2 6 2 2 6 5" xfId="21815"/>
    <cellStyle name="Input 2 6 2 2 6 6" xfId="32660"/>
    <cellStyle name="Input 2 6 2 2 6 7" xfId="13277"/>
    <cellStyle name="Input 2 6 2 2 7" xfId="3527"/>
    <cellStyle name="Input 2 6 2 2 7 2" xfId="22499"/>
    <cellStyle name="Input 2 6 2 2 7 3" xfId="33344"/>
    <cellStyle name="Input 2 6 2 2 7 4" xfId="13758"/>
    <cellStyle name="Input 2 6 2 2 8" xfId="6202"/>
    <cellStyle name="Input 2 6 2 2 8 2" xfId="25174"/>
    <cellStyle name="Input 2 6 2 2 8 3" xfId="36019"/>
    <cellStyle name="Input 2 6 2 2 8 4" xfId="15674"/>
    <cellStyle name="Input 2 6 2 2 9" xfId="8861"/>
    <cellStyle name="Input 2 6 2 2 9 2" xfId="27833"/>
    <cellStyle name="Input 2 6 2 2 9 3" xfId="38678"/>
    <cellStyle name="Input 2 6 2 2 9 4" xfId="17578"/>
    <cellStyle name="Input 2 6 2 3" xfId="732"/>
    <cellStyle name="Input 2 6 2 3 10" xfId="19717"/>
    <cellStyle name="Input 2 6 2 3 11" xfId="30562"/>
    <cellStyle name="Input 2 6 2 3 12" xfId="11764"/>
    <cellStyle name="Input 2 6 2 3 2" xfId="1319"/>
    <cellStyle name="Input 2 6 2 3 2 2" xfId="4172"/>
    <cellStyle name="Input 2 6 2 3 2 2 2" xfId="23144"/>
    <cellStyle name="Input 2 6 2 3 2 2 3" xfId="33989"/>
    <cellStyle name="Input 2 6 2 3 2 2 4" xfId="14225"/>
    <cellStyle name="Input 2 6 2 3 2 3" xfId="6845"/>
    <cellStyle name="Input 2 6 2 3 2 3 2" xfId="25817"/>
    <cellStyle name="Input 2 6 2 3 2 3 3" xfId="36662"/>
    <cellStyle name="Input 2 6 2 3 2 3 4" xfId="16140"/>
    <cellStyle name="Input 2 6 2 3 2 4" xfId="9504"/>
    <cellStyle name="Input 2 6 2 3 2 4 2" xfId="28476"/>
    <cellStyle name="Input 2 6 2 3 2 4 3" xfId="39321"/>
    <cellStyle name="Input 2 6 2 3 2 4 4" xfId="18044"/>
    <cellStyle name="Input 2 6 2 3 2 5" xfId="20300"/>
    <cellStyle name="Input 2 6 2 3 2 6" xfId="31145"/>
    <cellStyle name="Input 2 6 2 3 2 7" xfId="12190"/>
    <cellStyle name="Input 2 6 2 3 3" xfId="1718"/>
    <cellStyle name="Input 2 6 2 3 3 2" xfId="4571"/>
    <cellStyle name="Input 2 6 2 3 3 2 2" xfId="23543"/>
    <cellStyle name="Input 2 6 2 3 3 2 3" xfId="34388"/>
    <cellStyle name="Input 2 6 2 3 3 2 4" xfId="14512"/>
    <cellStyle name="Input 2 6 2 3 3 3" xfId="7243"/>
    <cellStyle name="Input 2 6 2 3 3 3 2" xfId="26215"/>
    <cellStyle name="Input 2 6 2 3 3 3 3" xfId="37060"/>
    <cellStyle name="Input 2 6 2 3 3 3 4" xfId="16426"/>
    <cellStyle name="Input 2 6 2 3 3 4" xfId="9902"/>
    <cellStyle name="Input 2 6 2 3 3 4 2" xfId="28874"/>
    <cellStyle name="Input 2 6 2 3 3 4 3" xfId="39719"/>
    <cellStyle name="Input 2 6 2 3 3 4 4" xfId="18330"/>
    <cellStyle name="Input 2 6 2 3 3 5" xfId="20698"/>
    <cellStyle name="Input 2 6 2 3 3 6" xfId="31543"/>
    <cellStyle name="Input 2 6 2 3 3 7" xfId="12476"/>
    <cellStyle name="Input 2 6 2 3 4" xfId="2122"/>
    <cellStyle name="Input 2 6 2 3 4 2" xfId="4975"/>
    <cellStyle name="Input 2 6 2 3 4 2 2" xfId="23947"/>
    <cellStyle name="Input 2 6 2 3 4 2 3" xfId="34792"/>
    <cellStyle name="Input 2 6 2 3 4 2 4" xfId="14799"/>
    <cellStyle name="Input 2 6 2 3 4 3" xfId="7646"/>
    <cellStyle name="Input 2 6 2 3 4 3 2" xfId="26618"/>
    <cellStyle name="Input 2 6 2 3 4 3 3" xfId="37463"/>
    <cellStyle name="Input 2 6 2 3 4 3 4" xfId="16712"/>
    <cellStyle name="Input 2 6 2 3 4 4" xfId="10305"/>
    <cellStyle name="Input 2 6 2 3 4 4 2" xfId="29277"/>
    <cellStyle name="Input 2 6 2 3 4 4 3" xfId="40122"/>
    <cellStyle name="Input 2 6 2 3 4 4 4" xfId="18616"/>
    <cellStyle name="Input 2 6 2 3 4 5" xfId="21101"/>
    <cellStyle name="Input 2 6 2 3 4 6" xfId="31946"/>
    <cellStyle name="Input 2 6 2 3 4 7" xfId="12762"/>
    <cellStyle name="Input 2 6 2 3 5" xfId="2512"/>
    <cellStyle name="Input 2 6 2 3 5 2" xfId="5364"/>
    <cellStyle name="Input 2 6 2 3 5 2 2" xfId="24336"/>
    <cellStyle name="Input 2 6 2 3 5 2 3" xfId="35181"/>
    <cellStyle name="Input 2 6 2 3 5 2 4" xfId="15078"/>
    <cellStyle name="Input 2 6 2 3 5 3" xfId="8035"/>
    <cellStyle name="Input 2 6 2 3 5 3 2" xfId="27007"/>
    <cellStyle name="Input 2 6 2 3 5 3 3" xfId="37852"/>
    <cellStyle name="Input 2 6 2 3 5 3 4" xfId="16991"/>
    <cellStyle name="Input 2 6 2 3 5 4" xfId="10694"/>
    <cellStyle name="Input 2 6 2 3 5 4 2" xfId="29666"/>
    <cellStyle name="Input 2 6 2 3 5 4 3" xfId="40511"/>
    <cellStyle name="Input 2 6 2 3 5 4 4" xfId="18895"/>
    <cellStyle name="Input 2 6 2 3 5 5" xfId="21490"/>
    <cellStyle name="Input 2 6 2 3 5 6" xfId="32335"/>
    <cellStyle name="Input 2 6 2 3 5 7" xfId="13041"/>
    <cellStyle name="Input 2 6 2 3 6" xfId="2898"/>
    <cellStyle name="Input 2 6 2 3 6 2" xfId="5749"/>
    <cellStyle name="Input 2 6 2 3 6 2 2" xfId="24721"/>
    <cellStyle name="Input 2 6 2 3 6 2 3" xfId="35566"/>
    <cellStyle name="Input 2 6 2 3 6 2 4" xfId="15354"/>
    <cellStyle name="Input 2 6 2 3 6 3" xfId="8420"/>
    <cellStyle name="Input 2 6 2 3 6 3 2" xfId="27392"/>
    <cellStyle name="Input 2 6 2 3 6 3 3" xfId="38237"/>
    <cellStyle name="Input 2 6 2 3 6 3 4" xfId="17267"/>
    <cellStyle name="Input 2 6 2 3 6 4" xfId="11079"/>
    <cellStyle name="Input 2 6 2 3 6 4 2" xfId="30051"/>
    <cellStyle name="Input 2 6 2 3 6 4 3" xfId="40896"/>
    <cellStyle name="Input 2 6 2 3 6 4 4" xfId="19171"/>
    <cellStyle name="Input 2 6 2 3 6 5" xfId="21875"/>
    <cellStyle name="Input 2 6 2 3 6 6" xfId="32720"/>
    <cellStyle name="Input 2 6 2 3 6 7" xfId="13317"/>
    <cellStyle name="Input 2 6 2 3 7" xfId="3587"/>
    <cellStyle name="Input 2 6 2 3 7 2" xfId="22559"/>
    <cellStyle name="Input 2 6 2 3 7 3" xfId="33404"/>
    <cellStyle name="Input 2 6 2 3 7 4" xfId="13798"/>
    <cellStyle name="Input 2 6 2 3 8" xfId="6262"/>
    <cellStyle name="Input 2 6 2 3 8 2" xfId="25234"/>
    <cellStyle name="Input 2 6 2 3 8 3" xfId="36079"/>
    <cellStyle name="Input 2 6 2 3 8 4" xfId="15714"/>
    <cellStyle name="Input 2 6 2 3 9" xfId="8921"/>
    <cellStyle name="Input 2 6 2 3 9 2" xfId="27893"/>
    <cellStyle name="Input 2 6 2 3 9 3" xfId="38738"/>
    <cellStyle name="Input 2 6 2 3 9 4" xfId="17618"/>
    <cellStyle name="Input 2 6 2 4" xfId="792"/>
    <cellStyle name="Input 2 6 2 4 10" xfId="19777"/>
    <cellStyle name="Input 2 6 2 4 11" xfId="30622"/>
    <cellStyle name="Input 2 6 2 4 12" xfId="11804"/>
    <cellStyle name="Input 2 6 2 4 2" xfId="1379"/>
    <cellStyle name="Input 2 6 2 4 2 2" xfId="4232"/>
    <cellStyle name="Input 2 6 2 4 2 2 2" xfId="23204"/>
    <cellStyle name="Input 2 6 2 4 2 2 3" xfId="34049"/>
    <cellStyle name="Input 2 6 2 4 2 2 4" xfId="14265"/>
    <cellStyle name="Input 2 6 2 4 2 3" xfId="6905"/>
    <cellStyle name="Input 2 6 2 4 2 3 2" xfId="25877"/>
    <cellStyle name="Input 2 6 2 4 2 3 3" xfId="36722"/>
    <cellStyle name="Input 2 6 2 4 2 3 4" xfId="16180"/>
    <cellStyle name="Input 2 6 2 4 2 4" xfId="9564"/>
    <cellStyle name="Input 2 6 2 4 2 4 2" xfId="28536"/>
    <cellStyle name="Input 2 6 2 4 2 4 3" xfId="39381"/>
    <cellStyle name="Input 2 6 2 4 2 4 4" xfId="18084"/>
    <cellStyle name="Input 2 6 2 4 2 5" xfId="20360"/>
    <cellStyle name="Input 2 6 2 4 2 6" xfId="31205"/>
    <cellStyle name="Input 2 6 2 4 2 7" xfId="12230"/>
    <cellStyle name="Input 2 6 2 4 3" xfId="1778"/>
    <cellStyle name="Input 2 6 2 4 3 2" xfId="4631"/>
    <cellStyle name="Input 2 6 2 4 3 2 2" xfId="23603"/>
    <cellStyle name="Input 2 6 2 4 3 2 3" xfId="34448"/>
    <cellStyle name="Input 2 6 2 4 3 2 4" xfId="14552"/>
    <cellStyle name="Input 2 6 2 4 3 3" xfId="7303"/>
    <cellStyle name="Input 2 6 2 4 3 3 2" xfId="26275"/>
    <cellStyle name="Input 2 6 2 4 3 3 3" xfId="37120"/>
    <cellStyle name="Input 2 6 2 4 3 3 4" xfId="16466"/>
    <cellStyle name="Input 2 6 2 4 3 4" xfId="9962"/>
    <cellStyle name="Input 2 6 2 4 3 4 2" xfId="28934"/>
    <cellStyle name="Input 2 6 2 4 3 4 3" xfId="39779"/>
    <cellStyle name="Input 2 6 2 4 3 4 4" xfId="18370"/>
    <cellStyle name="Input 2 6 2 4 3 5" xfId="20758"/>
    <cellStyle name="Input 2 6 2 4 3 6" xfId="31603"/>
    <cellStyle name="Input 2 6 2 4 3 7" xfId="12516"/>
    <cellStyle name="Input 2 6 2 4 4" xfId="2182"/>
    <cellStyle name="Input 2 6 2 4 4 2" xfId="5035"/>
    <cellStyle name="Input 2 6 2 4 4 2 2" xfId="24007"/>
    <cellStyle name="Input 2 6 2 4 4 2 3" xfId="34852"/>
    <cellStyle name="Input 2 6 2 4 4 2 4" xfId="14839"/>
    <cellStyle name="Input 2 6 2 4 4 3" xfId="7706"/>
    <cellStyle name="Input 2 6 2 4 4 3 2" xfId="26678"/>
    <cellStyle name="Input 2 6 2 4 4 3 3" xfId="37523"/>
    <cellStyle name="Input 2 6 2 4 4 3 4" xfId="16752"/>
    <cellStyle name="Input 2 6 2 4 4 4" xfId="10365"/>
    <cellStyle name="Input 2 6 2 4 4 4 2" xfId="29337"/>
    <cellStyle name="Input 2 6 2 4 4 4 3" xfId="40182"/>
    <cellStyle name="Input 2 6 2 4 4 4 4" xfId="18656"/>
    <cellStyle name="Input 2 6 2 4 4 5" xfId="21161"/>
    <cellStyle name="Input 2 6 2 4 4 6" xfId="32006"/>
    <cellStyle name="Input 2 6 2 4 4 7" xfId="12802"/>
    <cellStyle name="Input 2 6 2 4 5" xfId="2572"/>
    <cellStyle name="Input 2 6 2 4 5 2" xfId="5424"/>
    <cellStyle name="Input 2 6 2 4 5 2 2" xfId="24396"/>
    <cellStyle name="Input 2 6 2 4 5 2 3" xfId="35241"/>
    <cellStyle name="Input 2 6 2 4 5 2 4" xfId="15118"/>
    <cellStyle name="Input 2 6 2 4 5 3" xfId="8095"/>
    <cellStyle name="Input 2 6 2 4 5 3 2" xfId="27067"/>
    <cellStyle name="Input 2 6 2 4 5 3 3" xfId="37912"/>
    <cellStyle name="Input 2 6 2 4 5 3 4" xfId="17031"/>
    <cellStyle name="Input 2 6 2 4 5 4" xfId="10754"/>
    <cellStyle name="Input 2 6 2 4 5 4 2" xfId="29726"/>
    <cellStyle name="Input 2 6 2 4 5 4 3" xfId="40571"/>
    <cellStyle name="Input 2 6 2 4 5 4 4" xfId="18935"/>
    <cellStyle name="Input 2 6 2 4 5 5" xfId="21550"/>
    <cellStyle name="Input 2 6 2 4 5 6" xfId="32395"/>
    <cellStyle name="Input 2 6 2 4 5 7" xfId="13081"/>
    <cellStyle name="Input 2 6 2 4 6" xfId="2958"/>
    <cellStyle name="Input 2 6 2 4 6 2" xfId="5809"/>
    <cellStyle name="Input 2 6 2 4 6 2 2" xfId="24781"/>
    <cellStyle name="Input 2 6 2 4 6 2 3" xfId="35626"/>
    <cellStyle name="Input 2 6 2 4 6 2 4" xfId="15394"/>
    <cellStyle name="Input 2 6 2 4 6 3" xfId="8480"/>
    <cellStyle name="Input 2 6 2 4 6 3 2" xfId="27452"/>
    <cellStyle name="Input 2 6 2 4 6 3 3" xfId="38297"/>
    <cellStyle name="Input 2 6 2 4 6 3 4" xfId="17307"/>
    <cellStyle name="Input 2 6 2 4 6 4" xfId="11139"/>
    <cellStyle name="Input 2 6 2 4 6 4 2" xfId="30111"/>
    <cellStyle name="Input 2 6 2 4 6 4 3" xfId="40956"/>
    <cellStyle name="Input 2 6 2 4 6 4 4" xfId="19211"/>
    <cellStyle name="Input 2 6 2 4 6 5" xfId="21935"/>
    <cellStyle name="Input 2 6 2 4 6 6" xfId="32780"/>
    <cellStyle name="Input 2 6 2 4 6 7" xfId="13357"/>
    <cellStyle name="Input 2 6 2 4 7" xfId="3647"/>
    <cellStyle name="Input 2 6 2 4 7 2" xfId="22619"/>
    <cellStyle name="Input 2 6 2 4 7 3" xfId="33464"/>
    <cellStyle name="Input 2 6 2 4 7 4" xfId="13838"/>
    <cellStyle name="Input 2 6 2 4 8" xfId="6322"/>
    <cellStyle name="Input 2 6 2 4 8 2" xfId="25294"/>
    <cellStyle name="Input 2 6 2 4 8 3" xfId="36139"/>
    <cellStyle name="Input 2 6 2 4 8 4" xfId="15754"/>
    <cellStyle name="Input 2 6 2 4 9" xfId="8981"/>
    <cellStyle name="Input 2 6 2 4 9 2" xfId="27953"/>
    <cellStyle name="Input 2 6 2 4 9 3" xfId="38798"/>
    <cellStyle name="Input 2 6 2 4 9 4" xfId="17658"/>
    <cellStyle name="Input 2 6 2 5" xfId="851"/>
    <cellStyle name="Input 2 6 2 5 10" xfId="19836"/>
    <cellStyle name="Input 2 6 2 5 11" xfId="30681"/>
    <cellStyle name="Input 2 6 2 5 12" xfId="11843"/>
    <cellStyle name="Input 2 6 2 5 2" xfId="1438"/>
    <cellStyle name="Input 2 6 2 5 2 2" xfId="4291"/>
    <cellStyle name="Input 2 6 2 5 2 2 2" xfId="23263"/>
    <cellStyle name="Input 2 6 2 5 2 2 3" xfId="34108"/>
    <cellStyle name="Input 2 6 2 5 2 2 4" xfId="14304"/>
    <cellStyle name="Input 2 6 2 5 2 3" xfId="6964"/>
    <cellStyle name="Input 2 6 2 5 2 3 2" xfId="25936"/>
    <cellStyle name="Input 2 6 2 5 2 3 3" xfId="36781"/>
    <cellStyle name="Input 2 6 2 5 2 3 4" xfId="16219"/>
    <cellStyle name="Input 2 6 2 5 2 4" xfId="9623"/>
    <cellStyle name="Input 2 6 2 5 2 4 2" xfId="28595"/>
    <cellStyle name="Input 2 6 2 5 2 4 3" xfId="39440"/>
    <cellStyle name="Input 2 6 2 5 2 4 4" xfId="18123"/>
    <cellStyle name="Input 2 6 2 5 2 5" xfId="20419"/>
    <cellStyle name="Input 2 6 2 5 2 6" xfId="31264"/>
    <cellStyle name="Input 2 6 2 5 2 7" xfId="12269"/>
    <cellStyle name="Input 2 6 2 5 3" xfId="1837"/>
    <cellStyle name="Input 2 6 2 5 3 2" xfId="4690"/>
    <cellStyle name="Input 2 6 2 5 3 2 2" xfId="23662"/>
    <cellStyle name="Input 2 6 2 5 3 2 3" xfId="34507"/>
    <cellStyle name="Input 2 6 2 5 3 2 4" xfId="14591"/>
    <cellStyle name="Input 2 6 2 5 3 3" xfId="7362"/>
    <cellStyle name="Input 2 6 2 5 3 3 2" xfId="26334"/>
    <cellStyle name="Input 2 6 2 5 3 3 3" xfId="37179"/>
    <cellStyle name="Input 2 6 2 5 3 3 4" xfId="16505"/>
    <cellStyle name="Input 2 6 2 5 3 4" xfId="10021"/>
    <cellStyle name="Input 2 6 2 5 3 4 2" xfId="28993"/>
    <cellStyle name="Input 2 6 2 5 3 4 3" xfId="39838"/>
    <cellStyle name="Input 2 6 2 5 3 4 4" xfId="18409"/>
    <cellStyle name="Input 2 6 2 5 3 5" xfId="20817"/>
    <cellStyle name="Input 2 6 2 5 3 6" xfId="31662"/>
    <cellStyle name="Input 2 6 2 5 3 7" xfId="12555"/>
    <cellStyle name="Input 2 6 2 5 4" xfId="2241"/>
    <cellStyle name="Input 2 6 2 5 4 2" xfId="5094"/>
    <cellStyle name="Input 2 6 2 5 4 2 2" xfId="24066"/>
    <cellStyle name="Input 2 6 2 5 4 2 3" xfId="34911"/>
    <cellStyle name="Input 2 6 2 5 4 2 4" xfId="14878"/>
    <cellStyle name="Input 2 6 2 5 4 3" xfId="7765"/>
    <cellStyle name="Input 2 6 2 5 4 3 2" xfId="26737"/>
    <cellStyle name="Input 2 6 2 5 4 3 3" xfId="37582"/>
    <cellStyle name="Input 2 6 2 5 4 3 4" xfId="16791"/>
    <cellStyle name="Input 2 6 2 5 4 4" xfId="10424"/>
    <cellStyle name="Input 2 6 2 5 4 4 2" xfId="29396"/>
    <cellStyle name="Input 2 6 2 5 4 4 3" xfId="40241"/>
    <cellStyle name="Input 2 6 2 5 4 4 4" xfId="18695"/>
    <cellStyle name="Input 2 6 2 5 4 5" xfId="21220"/>
    <cellStyle name="Input 2 6 2 5 4 6" xfId="32065"/>
    <cellStyle name="Input 2 6 2 5 4 7" xfId="12841"/>
    <cellStyle name="Input 2 6 2 5 5" xfId="2631"/>
    <cellStyle name="Input 2 6 2 5 5 2" xfId="5483"/>
    <cellStyle name="Input 2 6 2 5 5 2 2" xfId="24455"/>
    <cellStyle name="Input 2 6 2 5 5 2 3" xfId="35300"/>
    <cellStyle name="Input 2 6 2 5 5 2 4" xfId="15157"/>
    <cellStyle name="Input 2 6 2 5 5 3" xfId="8154"/>
    <cellStyle name="Input 2 6 2 5 5 3 2" xfId="27126"/>
    <cellStyle name="Input 2 6 2 5 5 3 3" xfId="37971"/>
    <cellStyle name="Input 2 6 2 5 5 3 4" xfId="17070"/>
    <cellStyle name="Input 2 6 2 5 5 4" xfId="10813"/>
    <cellStyle name="Input 2 6 2 5 5 4 2" xfId="29785"/>
    <cellStyle name="Input 2 6 2 5 5 4 3" xfId="40630"/>
    <cellStyle name="Input 2 6 2 5 5 4 4" xfId="18974"/>
    <cellStyle name="Input 2 6 2 5 5 5" xfId="21609"/>
    <cellStyle name="Input 2 6 2 5 5 6" xfId="32454"/>
    <cellStyle name="Input 2 6 2 5 5 7" xfId="13120"/>
    <cellStyle name="Input 2 6 2 5 6" xfId="3017"/>
    <cellStyle name="Input 2 6 2 5 6 2" xfId="5868"/>
    <cellStyle name="Input 2 6 2 5 6 2 2" xfId="24840"/>
    <cellStyle name="Input 2 6 2 5 6 2 3" xfId="35685"/>
    <cellStyle name="Input 2 6 2 5 6 2 4" xfId="15433"/>
    <cellStyle name="Input 2 6 2 5 6 3" xfId="8539"/>
    <cellStyle name="Input 2 6 2 5 6 3 2" xfId="27511"/>
    <cellStyle name="Input 2 6 2 5 6 3 3" xfId="38356"/>
    <cellStyle name="Input 2 6 2 5 6 3 4" xfId="17346"/>
    <cellStyle name="Input 2 6 2 5 6 4" xfId="11198"/>
    <cellStyle name="Input 2 6 2 5 6 4 2" xfId="30170"/>
    <cellStyle name="Input 2 6 2 5 6 4 3" xfId="41015"/>
    <cellStyle name="Input 2 6 2 5 6 4 4" xfId="19250"/>
    <cellStyle name="Input 2 6 2 5 6 5" xfId="21994"/>
    <cellStyle name="Input 2 6 2 5 6 6" xfId="32839"/>
    <cellStyle name="Input 2 6 2 5 6 7" xfId="13396"/>
    <cellStyle name="Input 2 6 2 5 7" xfId="3706"/>
    <cellStyle name="Input 2 6 2 5 7 2" xfId="22678"/>
    <cellStyle name="Input 2 6 2 5 7 3" xfId="33523"/>
    <cellStyle name="Input 2 6 2 5 7 4" xfId="13877"/>
    <cellStyle name="Input 2 6 2 5 8" xfId="6381"/>
    <cellStyle name="Input 2 6 2 5 8 2" xfId="25353"/>
    <cellStyle name="Input 2 6 2 5 8 3" xfId="36198"/>
    <cellStyle name="Input 2 6 2 5 8 4" xfId="15793"/>
    <cellStyle name="Input 2 6 2 5 9" xfId="9040"/>
    <cellStyle name="Input 2 6 2 5 9 2" xfId="28012"/>
    <cellStyle name="Input 2 6 2 5 9 3" xfId="38857"/>
    <cellStyle name="Input 2 6 2 5 9 4" xfId="17697"/>
    <cellStyle name="Input 2 6 2 6" xfId="1073"/>
    <cellStyle name="Input 2 6 2 6 2" xfId="3926"/>
    <cellStyle name="Input 2 6 2 6 2 2" xfId="22898"/>
    <cellStyle name="Input 2 6 2 6 2 3" xfId="33743"/>
    <cellStyle name="Input 2 6 2 6 2 4" xfId="14039"/>
    <cellStyle name="Input 2 6 2 6 3" xfId="6600"/>
    <cellStyle name="Input 2 6 2 6 3 2" xfId="25572"/>
    <cellStyle name="Input 2 6 2 6 3 3" xfId="36417"/>
    <cellStyle name="Input 2 6 2 6 3 4" xfId="15955"/>
    <cellStyle name="Input 2 6 2 6 4" xfId="9259"/>
    <cellStyle name="Input 2 6 2 6 4 2" xfId="28231"/>
    <cellStyle name="Input 2 6 2 6 4 3" xfId="39076"/>
    <cellStyle name="Input 2 6 2 6 4 4" xfId="17859"/>
    <cellStyle name="Input 2 6 2 6 5" xfId="20055"/>
    <cellStyle name="Input 2 6 2 6 6" xfId="30900"/>
    <cellStyle name="Input 2 6 2 6 7" xfId="12005"/>
    <cellStyle name="Input 2 6 2 7" xfId="999"/>
    <cellStyle name="Input 2 6 2 7 2" xfId="3852"/>
    <cellStyle name="Input 2 6 2 7 2 2" xfId="22824"/>
    <cellStyle name="Input 2 6 2 7 2 3" xfId="33669"/>
    <cellStyle name="Input 2 6 2 7 2 4" xfId="13981"/>
    <cellStyle name="Input 2 6 2 7 3" xfId="6527"/>
    <cellStyle name="Input 2 6 2 7 3 2" xfId="25499"/>
    <cellStyle name="Input 2 6 2 7 3 3" xfId="36344"/>
    <cellStyle name="Input 2 6 2 7 3 4" xfId="15897"/>
    <cellStyle name="Input 2 6 2 7 4" xfId="9186"/>
    <cellStyle name="Input 2 6 2 7 4 2" xfId="28158"/>
    <cellStyle name="Input 2 6 2 7 4 3" xfId="39003"/>
    <cellStyle name="Input 2 6 2 7 4 4" xfId="17801"/>
    <cellStyle name="Input 2 6 2 7 5" xfId="19982"/>
    <cellStyle name="Input 2 6 2 7 6" xfId="30827"/>
    <cellStyle name="Input 2 6 2 7 7" xfId="11947"/>
    <cellStyle name="Input 2 6 2 8" xfId="978"/>
    <cellStyle name="Input 2 6 2 8 2" xfId="3831"/>
    <cellStyle name="Input 2 6 2 8 2 2" xfId="22803"/>
    <cellStyle name="Input 2 6 2 8 2 3" xfId="33648"/>
    <cellStyle name="Input 2 6 2 8 2 4" xfId="13969"/>
    <cellStyle name="Input 2 6 2 8 3" xfId="6506"/>
    <cellStyle name="Input 2 6 2 8 3 2" xfId="25478"/>
    <cellStyle name="Input 2 6 2 8 3 3" xfId="36323"/>
    <cellStyle name="Input 2 6 2 8 3 4" xfId="15885"/>
    <cellStyle name="Input 2 6 2 8 4" xfId="9165"/>
    <cellStyle name="Input 2 6 2 8 4 2" xfId="28137"/>
    <cellStyle name="Input 2 6 2 8 4 3" xfId="38982"/>
    <cellStyle name="Input 2 6 2 8 4 4" xfId="17789"/>
    <cellStyle name="Input 2 6 2 8 5" xfId="19961"/>
    <cellStyle name="Input 2 6 2 8 6" xfId="30806"/>
    <cellStyle name="Input 2 6 2 8 7" xfId="11935"/>
    <cellStyle name="Input 2 6 2 9" xfId="1034"/>
    <cellStyle name="Input 2 6 2 9 2" xfId="3887"/>
    <cellStyle name="Input 2 6 2 9 2 2" xfId="22859"/>
    <cellStyle name="Input 2 6 2 9 2 3" xfId="33704"/>
    <cellStyle name="Input 2 6 2 9 2 4" xfId="14006"/>
    <cellStyle name="Input 2 6 2 9 3" xfId="6561"/>
    <cellStyle name="Input 2 6 2 9 3 2" xfId="25533"/>
    <cellStyle name="Input 2 6 2 9 3 3" xfId="36378"/>
    <cellStyle name="Input 2 6 2 9 3 4" xfId="15922"/>
    <cellStyle name="Input 2 6 2 9 4" xfId="9220"/>
    <cellStyle name="Input 2 6 2 9 4 2" xfId="28192"/>
    <cellStyle name="Input 2 6 2 9 4 3" xfId="39037"/>
    <cellStyle name="Input 2 6 2 9 4 4" xfId="17826"/>
    <cellStyle name="Input 2 6 2 9 5" xfId="20016"/>
    <cellStyle name="Input 2 6 2 9 6" xfId="30861"/>
    <cellStyle name="Input 2 6 2 9 7" xfId="11972"/>
    <cellStyle name="Input 2 6 3" xfId="555"/>
    <cellStyle name="Input 2 6 3 10" xfId="19565"/>
    <cellStyle name="Input 2 6 3 11" xfId="30410"/>
    <cellStyle name="Input 2 6 3 12" xfId="11629"/>
    <cellStyle name="Input 2 6 3 2" xfId="1161"/>
    <cellStyle name="Input 2 6 3 2 2" xfId="4014"/>
    <cellStyle name="Input 2 6 3 2 2 2" xfId="22986"/>
    <cellStyle name="Input 2 6 3 2 2 3" xfId="33831"/>
    <cellStyle name="Input 2 6 3 2 2 4" xfId="14106"/>
    <cellStyle name="Input 2 6 3 2 3" xfId="6687"/>
    <cellStyle name="Input 2 6 3 2 3 2" xfId="25659"/>
    <cellStyle name="Input 2 6 3 2 3 3" xfId="36504"/>
    <cellStyle name="Input 2 6 3 2 3 4" xfId="16021"/>
    <cellStyle name="Input 2 6 3 2 4" xfId="9346"/>
    <cellStyle name="Input 2 6 3 2 4 2" xfId="28318"/>
    <cellStyle name="Input 2 6 3 2 4 3" xfId="39163"/>
    <cellStyle name="Input 2 6 3 2 4 4" xfId="17925"/>
    <cellStyle name="Input 2 6 3 2 5" xfId="20142"/>
    <cellStyle name="Input 2 6 3 2 6" xfId="30987"/>
    <cellStyle name="Input 2 6 3 2 7" xfId="12071"/>
    <cellStyle name="Input 2 6 3 3" xfId="1558"/>
    <cellStyle name="Input 2 6 3 3 2" xfId="4411"/>
    <cellStyle name="Input 2 6 3 3 2 2" xfId="23383"/>
    <cellStyle name="Input 2 6 3 3 2 3" xfId="34228"/>
    <cellStyle name="Input 2 6 3 3 2 4" xfId="14392"/>
    <cellStyle name="Input 2 6 3 3 3" xfId="7083"/>
    <cellStyle name="Input 2 6 3 3 3 2" xfId="26055"/>
    <cellStyle name="Input 2 6 3 3 3 3" xfId="36900"/>
    <cellStyle name="Input 2 6 3 3 3 4" xfId="16306"/>
    <cellStyle name="Input 2 6 3 3 4" xfId="9742"/>
    <cellStyle name="Input 2 6 3 3 4 2" xfId="28714"/>
    <cellStyle name="Input 2 6 3 3 4 3" xfId="39559"/>
    <cellStyle name="Input 2 6 3 3 4 4" xfId="18210"/>
    <cellStyle name="Input 2 6 3 3 5" xfId="20538"/>
    <cellStyle name="Input 2 6 3 3 6" xfId="31383"/>
    <cellStyle name="Input 2 6 3 3 7" xfId="12356"/>
    <cellStyle name="Input 2 6 3 4" xfId="1962"/>
    <cellStyle name="Input 2 6 3 4 2" xfId="4815"/>
    <cellStyle name="Input 2 6 3 4 2 2" xfId="23787"/>
    <cellStyle name="Input 2 6 3 4 2 3" xfId="34632"/>
    <cellStyle name="Input 2 6 3 4 2 4" xfId="14680"/>
    <cellStyle name="Input 2 6 3 4 3" xfId="7487"/>
    <cellStyle name="Input 2 6 3 4 3 2" xfId="26459"/>
    <cellStyle name="Input 2 6 3 4 3 3" xfId="37304"/>
    <cellStyle name="Input 2 6 3 4 3 4" xfId="16594"/>
    <cellStyle name="Input 2 6 3 4 4" xfId="10146"/>
    <cellStyle name="Input 2 6 3 4 4 2" xfId="29118"/>
    <cellStyle name="Input 2 6 3 4 4 3" xfId="39963"/>
    <cellStyle name="Input 2 6 3 4 4 4" xfId="18498"/>
    <cellStyle name="Input 2 6 3 4 5" xfId="20942"/>
    <cellStyle name="Input 2 6 3 4 6" xfId="31787"/>
    <cellStyle name="Input 2 6 3 4 7" xfId="12644"/>
    <cellStyle name="Input 2 6 3 5" xfId="2354"/>
    <cellStyle name="Input 2 6 3 5 2" xfId="5207"/>
    <cellStyle name="Input 2 6 3 5 2 2" xfId="24179"/>
    <cellStyle name="Input 2 6 3 5 2 3" xfId="35024"/>
    <cellStyle name="Input 2 6 3 5 2 4" xfId="14961"/>
    <cellStyle name="Input 2 6 3 5 3" xfId="7878"/>
    <cellStyle name="Input 2 6 3 5 3 2" xfId="26850"/>
    <cellStyle name="Input 2 6 3 5 3 3" xfId="37695"/>
    <cellStyle name="Input 2 6 3 5 3 4" xfId="16874"/>
    <cellStyle name="Input 2 6 3 5 4" xfId="10537"/>
    <cellStyle name="Input 2 6 3 5 4 2" xfId="29509"/>
    <cellStyle name="Input 2 6 3 5 4 3" xfId="40354"/>
    <cellStyle name="Input 2 6 3 5 4 4" xfId="18778"/>
    <cellStyle name="Input 2 6 3 5 5" xfId="21333"/>
    <cellStyle name="Input 2 6 3 5 6" xfId="32178"/>
    <cellStyle name="Input 2 6 3 5 7" xfId="12924"/>
    <cellStyle name="Input 2 6 3 6" xfId="2743"/>
    <cellStyle name="Input 2 6 3 6 2" xfId="5595"/>
    <cellStyle name="Input 2 6 3 6 2 2" xfId="24567"/>
    <cellStyle name="Input 2 6 3 6 2 3" xfId="35412"/>
    <cellStyle name="Input 2 6 3 6 2 4" xfId="15239"/>
    <cellStyle name="Input 2 6 3 6 3" xfId="8266"/>
    <cellStyle name="Input 2 6 3 6 3 2" xfId="27238"/>
    <cellStyle name="Input 2 6 3 6 3 3" xfId="38083"/>
    <cellStyle name="Input 2 6 3 6 3 4" xfId="17152"/>
    <cellStyle name="Input 2 6 3 6 4" xfId="10925"/>
    <cellStyle name="Input 2 6 3 6 4 2" xfId="29897"/>
    <cellStyle name="Input 2 6 3 6 4 3" xfId="40742"/>
    <cellStyle name="Input 2 6 3 6 4 4" xfId="19056"/>
    <cellStyle name="Input 2 6 3 6 5" xfId="21721"/>
    <cellStyle name="Input 2 6 3 6 6" xfId="32566"/>
    <cellStyle name="Input 2 6 3 6 7" xfId="13202"/>
    <cellStyle name="Input 2 6 3 7" xfId="3434"/>
    <cellStyle name="Input 2 6 3 7 2" xfId="22406"/>
    <cellStyle name="Input 2 6 3 7 3" xfId="33251"/>
    <cellStyle name="Input 2 6 3 7 4" xfId="13684"/>
    <cellStyle name="Input 2 6 3 8" xfId="6110"/>
    <cellStyle name="Input 2 6 3 8 2" xfId="25082"/>
    <cellStyle name="Input 2 6 3 8 3" xfId="35927"/>
    <cellStyle name="Input 2 6 3 8 4" xfId="15601"/>
    <cellStyle name="Input 2 6 3 9" xfId="8769"/>
    <cellStyle name="Input 2 6 3 9 2" xfId="27741"/>
    <cellStyle name="Input 2 6 3 9 3" xfId="38586"/>
    <cellStyle name="Input 2 6 3 9 4" xfId="17505"/>
    <cellStyle name="Input 2 6 4" xfId="11453"/>
    <cellStyle name="Input 2 7" xfId="102"/>
    <cellStyle name="Input 2 7 2" xfId="372"/>
    <cellStyle name="Input 2 7 2 10" xfId="1916"/>
    <cellStyle name="Input 2 7 2 10 2" xfId="4769"/>
    <cellStyle name="Input 2 7 2 10 2 2" xfId="23741"/>
    <cellStyle name="Input 2 7 2 10 2 3" xfId="34586"/>
    <cellStyle name="Input 2 7 2 10 2 4" xfId="14645"/>
    <cellStyle name="Input 2 7 2 10 3" xfId="7441"/>
    <cellStyle name="Input 2 7 2 10 3 2" xfId="26413"/>
    <cellStyle name="Input 2 7 2 10 3 3" xfId="37258"/>
    <cellStyle name="Input 2 7 2 10 3 4" xfId="16559"/>
    <cellStyle name="Input 2 7 2 10 4" xfId="10100"/>
    <cellStyle name="Input 2 7 2 10 4 2" xfId="29072"/>
    <cellStyle name="Input 2 7 2 10 4 3" xfId="39917"/>
    <cellStyle name="Input 2 7 2 10 4 4" xfId="18463"/>
    <cellStyle name="Input 2 7 2 10 5" xfId="20896"/>
    <cellStyle name="Input 2 7 2 10 6" xfId="31741"/>
    <cellStyle name="Input 2 7 2 10 7" xfId="12609"/>
    <cellStyle name="Input 2 7 2 11" xfId="2310"/>
    <cellStyle name="Input 2 7 2 11 2" xfId="5163"/>
    <cellStyle name="Input 2 7 2 11 2 2" xfId="24135"/>
    <cellStyle name="Input 2 7 2 11 2 3" xfId="34980"/>
    <cellStyle name="Input 2 7 2 11 2 4" xfId="14927"/>
    <cellStyle name="Input 2 7 2 11 3" xfId="7834"/>
    <cellStyle name="Input 2 7 2 11 3 2" xfId="26806"/>
    <cellStyle name="Input 2 7 2 11 3 3" xfId="37651"/>
    <cellStyle name="Input 2 7 2 11 3 4" xfId="16840"/>
    <cellStyle name="Input 2 7 2 11 4" xfId="10493"/>
    <cellStyle name="Input 2 7 2 11 4 2" xfId="29465"/>
    <cellStyle name="Input 2 7 2 11 4 3" xfId="40310"/>
    <cellStyle name="Input 2 7 2 11 4 4" xfId="18744"/>
    <cellStyle name="Input 2 7 2 11 5" xfId="21289"/>
    <cellStyle name="Input 2 7 2 11 6" xfId="32134"/>
    <cellStyle name="Input 2 7 2 11 7" xfId="12890"/>
    <cellStyle name="Input 2 7 2 12" xfId="3108"/>
    <cellStyle name="Input 2 7 2 12 2" xfId="5959"/>
    <cellStyle name="Input 2 7 2 12 2 2" xfId="24931"/>
    <cellStyle name="Input 2 7 2 12 2 3" xfId="35776"/>
    <cellStyle name="Input 2 7 2 12 2 4" xfId="15494"/>
    <cellStyle name="Input 2 7 2 12 3" xfId="8630"/>
    <cellStyle name="Input 2 7 2 12 3 2" xfId="27602"/>
    <cellStyle name="Input 2 7 2 12 3 3" xfId="38447"/>
    <cellStyle name="Input 2 7 2 12 3 4" xfId="17407"/>
    <cellStyle name="Input 2 7 2 12 4" xfId="11289"/>
    <cellStyle name="Input 2 7 2 12 4 2" xfId="30261"/>
    <cellStyle name="Input 2 7 2 12 4 3" xfId="41106"/>
    <cellStyle name="Input 2 7 2 12 4 4" xfId="19311"/>
    <cellStyle name="Input 2 7 2 12 5" xfId="22085"/>
    <cellStyle name="Input 2 7 2 12 6" xfId="32930"/>
    <cellStyle name="Input 2 7 2 12 7" xfId="13457"/>
    <cellStyle name="Input 2 7 2 13" xfId="3165"/>
    <cellStyle name="Input 2 7 2 13 2" xfId="6016"/>
    <cellStyle name="Input 2 7 2 13 2 2" xfId="24988"/>
    <cellStyle name="Input 2 7 2 13 2 3" xfId="35833"/>
    <cellStyle name="Input 2 7 2 13 2 4" xfId="15531"/>
    <cellStyle name="Input 2 7 2 13 3" xfId="8687"/>
    <cellStyle name="Input 2 7 2 13 3 2" xfId="27659"/>
    <cellStyle name="Input 2 7 2 13 3 3" xfId="38504"/>
    <cellStyle name="Input 2 7 2 13 3 4" xfId="17444"/>
    <cellStyle name="Input 2 7 2 13 4" xfId="11346"/>
    <cellStyle name="Input 2 7 2 13 4 2" xfId="30318"/>
    <cellStyle name="Input 2 7 2 13 4 3" xfId="41163"/>
    <cellStyle name="Input 2 7 2 13 4 4" xfId="19348"/>
    <cellStyle name="Input 2 7 2 13 5" xfId="22142"/>
    <cellStyle name="Input 2 7 2 13 6" xfId="32987"/>
    <cellStyle name="Input 2 7 2 13 7" xfId="13494"/>
    <cellStyle name="Input 2 7 2 14" xfId="3331"/>
    <cellStyle name="Input 2 7 2 14 2" xfId="22305"/>
    <cellStyle name="Input 2 7 2 14 3" xfId="33150"/>
    <cellStyle name="Input 2 7 2 14 4" xfId="13611"/>
    <cellStyle name="Input 2 7 2 15" xfId="3301"/>
    <cellStyle name="Input 2 7 2 15 2" xfId="22275"/>
    <cellStyle name="Input 2 7 2 15 3" xfId="33120"/>
    <cellStyle name="Input 2 7 2 15 4" xfId="13588"/>
    <cellStyle name="Input 2 7 2 16" xfId="3221"/>
    <cellStyle name="Input 2 7 2 16 2" xfId="22198"/>
    <cellStyle name="Input 2 7 2 16 3" xfId="33043"/>
    <cellStyle name="Input 2 7 2 16 4" xfId="13529"/>
    <cellStyle name="Input 2 7 2 17" xfId="19462"/>
    <cellStyle name="Input 2 7 2 18" xfId="19435"/>
    <cellStyle name="Input 2 7 2 19" xfId="11521"/>
    <cellStyle name="Input 2 7 2 2" xfId="673"/>
    <cellStyle name="Input 2 7 2 2 10" xfId="19658"/>
    <cellStyle name="Input 2 7 2 2 11" xfId="30503"/>
    <cellStyle name="Input 2 7 2 2 12" xfId="11725"/>
    <cellStyle name="Input 2 7 2 2 2" xfId="1260"/>
    <cellStyle name="Input 2 7 2 2 2 2" xfId="4113"/>
    <cellStyle name="Input 2 7 2 2 2 2 2" xfId="23085"/>
    <cellStyle name="Input 2 7 2 2 2 2 3" xfId="33930"/>
    <cellStyle name="Input 2 7 2 2 2 2 4" xfId="14186"/>
    <cellStyle name="Input 2 7 2 2 2 3" xfId="6786"/>
    <cellStyle name="Input 2 7 2 2 2 3 2" xfId="25758"/>
    <cellStyle name="Input 2 7 2 2 2 3 3" xfId="36603"/>
    <cellStyle name="Input 2 7 2 2 2 3 4" xfId="16101"/>
    <cellStyle name="Input 2 7 2 2 2 4" xfId="9445"/>
    <cellStyle name="Input 2 7 2 2 2 4 2" xfId="28417"/>
    <cellStyle name="Input 2 7 2 2 2 4 3" xfId="39262"/>
    <cellStyle name="Input 2 7 2 2 2 4 4" xfId="18005"/>
    <cellStyle name="Input 2 7 2 2 2 5" xfId="20241"/>
    <cellStyle name="Input 2 7 2 2 2 6" xfId="31086"/>
    <cellStyle name="Input 2 7 2 2 2 7" xfId="12151"/>
    <cellStyle name="Input 2 7 2 2 3" xfId="1659"/>
    <cellStyle name="Input 2 7 2 2 3 2" xfId="4512"/>
    <cellStyle name="Input 2 7 2 2 3 2 2" xfId="23484"/>
    <cellStyle name="Input 2 7 2 2 3 2 3" xfId="34329"/>
    <cellStyle name="Input 2 7 2 2 3 2 4" xfId="14473"/>
    <cellStyle name="Input 2 7 2 2 3 3" xfId="7184"/>
    <cellStyle name="Input 2 7 2 2 3 3 2" xfId="26156"/>
    <cellStyle name="Input 2 7 2 2 3 3 3" xfId="37001"/>
    <cellStyle name="Input 2 7 2 2 3 3 4" xfId="16387"/>
    <cellStyle name="Input 2 7 2 2 3 4" xfId="9843"/>
    <cellStyle name="Input 2 7 2 2 3 4 2" xfId="28815"/>
    <cellStyle name="Input 2 7 2 2 3 4 3" xfId="39660"/>
    <cellStyle name="Input 2 7 2 2 3 4 4" xfId="18291"/>
    <cellStyle name="Input 2 7 2 2 3 5" xfId="20639"/>
    <cellStyle name="Input 2 7 2 2 3 6" xfId="31484"/>
    <cellStyle name="Input 2 7 2 2 3 7" xfId="12437"/>
    <cellStyle name="Input 2 7 2 2 4" xfId="2063"/>
    <cellStyle name="Input 2 7 2 2 4 2" xfId="4916"/>
    <cellStyle name="Input 2 7 2 2 4 2 2" xfId="23888"/>
    <cellStyle name="Input 2 7 2 2 4 2 3" xfId="34733"/>
    <cellStyle name="Input 2 7 2 2 4 2 4" xfId="14760"/>
    <cellStyle name="Input 2 7 2 2 4 3" xfId="7587"/>
    <cellStyle name="Input 2 7 2 2 4 3 2" xfId="26559"/>
    <cellStyle name="Input 2 7 2 2 4 3 3" xfId="37404"/>
    <cellStyle name="Input 2 7 2 2 4 3 4" xfId="16673"/>
    <cellStyle name="Input 2 7 2 2 4 4" xfId="10246"/>
    <cellStyle name="Input 2 7 2 2 4 4 2" xfId="29218"/>
    <cellStyle name="Input 2 7 2 2 4 4 3" xfId="40063"/>
    <cellStyle name="Input 2 7 2 2 4 4 4" xfId="18577"/>
    <cellStyle name="Input 2 7 2 2 4 5" xfId="21042"/>
    <cellStyle name="Input 2 7 2 2 4 6" xfId="31887"/>
    <cellStyle name="Input 2 7 2 2 4 7" xfId="12723"/>
    <cellStyle name="Input 2 7 2 2 5" xfId="2453"/>
    <cellStyle name="Input 2 7 2 2 5 2" xfId="5305"/>
    <cellStyle name="Input 2 7 2 2 5 2 2" xfId="24277"/>
    <cellStyle name="Input 2 7 2 2 5 2 3" xfId="35122"/>
    <cellStyle name="Input 2 7 2 2 5 2 4" xfId="15039"/>
    <cellStyle name="Input 2 7 2 2 5 3" xfId="7976"/>
    <cellStyle name="Input 2 7 2 2 5 3 2" xfId="26948"/>
    <cellStyle name="Input 2 7 2 2 5 3 3" xfId="37793"/>
    <cellStyle name="Input 2 7 2 2 5 3 4" xfId="16952"/>
    <cellStyle name="Input 2 7 2 2 5 4" xfId="10635"/>
    <cellStyle name="Input 2 7 2 2 5 4 2" xfId="29607"/>
    <cellStyle name="Input 2 7 2 2 5 4 3" xfId="40452"/>
    <cellStyle name="Input 2 7 2 2 5 4 4" xfId="18856"/>
    <cellStyle name="Input 2 7 2 2 5 5" xfId="21431"/>
    <cellStyle name="Input 2 7 2 2 5 6" xfId="32276"/>
    <cellStyle name="Input 2 7 2 2 5 7" xfId="13002"/>
    <cellStyle name="Input 2 7 2 2 6" xfId="2839"/>
    <cellStyle name="Input 2 7 2 2 6 2" xfId="5690"/>
    <cellStyle name="Input 2 7 2 2 6 2 2" xfId="24662"/>
    <cellStyle name="Input 2 7 2 2 6 2 3" xfId="35507"/>
    <cellStyle name="Input 2 7 2 2 6 2 4" xfId="15315"/>
    <cellStyle name="Input 2 7 2 2 6 3" xfId="8361"/>
    <cellStyle name="Input 2 7 2 2 6 3 2" xfId="27333"/>
    <cellStyle name="Input 2 7 2 2 6 3 3" xfId="38178"/>
    <cellStyle name="Input 2 7 2 2 6 3 4" xfId="17228"/>
    <cellStyle name="Input 2 7 2 2 6 4" xfId="11020"/>
    <cellStyle name="Input 2 7 2 2 6 4 2" xfId="29992"/>
    <cellStyle name="Input 2 7 2 2 6 4 3" xfId="40837"/>
    <cellStyle name="Input 2 7 2 2 6 4 4" xfId="19132"/>
    <cellStyle name="Input 2 7 2 2 6 5" xfId="21816"/>
    <cellStyle name="Input 2 7 2 2 6 6" xfId="32661"/>
    <cellStyle name="Input 2 7 2 2 6 7" xfId="13278"/>
    <cellStyle name="Input 2 7 2 2 7" xfId="3528"/>
    <cellStyle name="Input 2 7 2 2 7 2" xfId="22500"/>
    <cellStyle name="Input 2 7 2 2 7 3" xfId="33345"/>
    <cellStyle name="Input 2 7 2 2 7 4" xfId="13759"/>
    <cellStyle name="Input 2 7 2 2 8" xfId="6203"/>
    <cellStyle name="Input 2 7 2 2 8 2" xfId="25175"/>
    <cellStyle name="Input 2 7 2 2 8 3" xfId="36020"/>
    <cellStyle name="Input 2 7 2 2 8 4" xfId="15675"/>
    <cellStyle name="Input 2 7 2 2 9" xfId="8862"/>
    <cellStyle name="Input 2 7 2 2 9 2" xfId="27834"/>
    <cellStyle name="Input 2 7 2 2 9 3" xfId="38679"/>
    <cellStyle name="Input 2 7 2 2 9 4" xfId="17579"/>
    <cellStyle name="Input 2 7 2 3" xfId="733"/>
    <cellStyle name="Input 2 7 2 3 10" xfId="19718"/>
    <cellStyle name="Input 2 7 2 3 11" xfId="30563"/>
    <cellStyle name="Input 2 7 2 3 12" xfId="11765"/>
    <cellStyle name="Input 2 7 2 3 2" xfId="1320"/>
    <cellStyle name="Input 2 7 2 3 2 2" xfId="4173"/>
    <cellStyle name="Input 2 7 2 3 2 2 2" xfId="23145"/>
    <cellStyle name="Input 2 7 2 3 2 2 3" xfId="33990"/>
    <cellStyle name="Input 2 7 2 3 2 2 4" xfId="14226"/>
    <cellStyle name="Input 2 7 2 3 2 3" xfId="6846"/>
    <cellStyle name="Input 2 7 2 3 2 3 2" xfId="25818"/>
    <cellStyle name="Input 2 7 2 3 2 3 3" xfId="36663"/>
    <cellStyle name="Input 2 7 2 3 2 3 4" xfId="16141"/>
    <cellStyle name="Input 2 7 2 3 2 4" xfId="9505"/>
    <cellStyle name="Input 2 7 2 3 2 4 2" xfId="28477"/>
    <cellStyle name="Input 2 7 2 3 2 4 3" xfId="39322"/>
    <cellStyle name="Input 2 7 2 3 2 4 4" xfId="18045"/>
    <cellStyle name="Input 2 7 2 3 2 5" xfId="20301"/>
    <cellStyle name="Input 2 7 2 3 2 6" xfId="31146"/>
    <cellStyle name="Input 2 7 2 3 2 7" xfId="12191"/>
    <cellStyle name="Input 2 7 2 3 3" xfId="1719"/>
    <cellStyle name="Input 2 7 2 3 3 2" xfId="4572"/>
    <cellStyle name="Input 2 7 2 3 3 2 2" xfId="23544"/>
    <cellStyle name="Input 2 7 2 3 3 2 3" xfId="34389"/>
    <cellStyle name="Input 2 7 2 3 3 2 4" xfId="14513"/>
    <cellStyle name="Input 2 7 2 3 3 3" xfId="7244"/>
    <cellStyle name="Input 2 7 2 3 3 3 2" xfId="26216"/>
    <cellStyle name="Input 2 7 2 3 3 3 3" xfId="37061"/>
    <cellStyle name="Input 2 7 2 3 3 3 4" xfId="16427"/>
    <cellStyle name="Input 2 7 2 3 3 4" xfId="9903"/>
    <cellStyle name="Input 2 7 2 3 3 4 2" xfId="28875"/>
    <cellStyle name="Input 2 7 2 3 3 4 3" xfId="39720"/>
    <cellStyle name="Input 2 7 2 3 3 4 4" xfId="18331"/>
    <cellStyle name="Input 2 7 2 3 3 5" xfId="20699"/>
    <cellStyle name="Input 2 7 2 3 3 6" xfId="31544"/>
    <cellStyle name="Input 2 7 2 3 3 7" xfId="12477"/>
    <cellStyle name="Input 2 7 2 3 4" xfId="2123"/>
    <cellStyle name="Input 2 7 2 3 4 2" xfId="4976"/>
    <cellStyle name="Input 2 7 2 3 4 2 2" xfId="23948"/>
    <cellStyle name="Input 2 7 2 3 4 2 3" xfId="34793"/>
    <cellStyle name="Input 2 7 2 3 4 2 4" xfId="14800"/>
    <cellStyle name="Input 2 7 2 3 4 3" xfId="7647"/>
    <cellStyle name="Input 2 7 2 3 4 3 2" xfId="26619"/>
    <cellStyle name="Input 2 7 2 3 4 3 3" xfId="37464"/>
    <cellStyle name="Input 2 7 2 3 4 3 4" xfId="16713"/>
    <cellStyle name="Input 2 7 2 3 4 4" xfId="10306"/>
    <cellStyle name="Input 2 7 2 3 4 4 2" xfId="29278"/>
    <cellStyle name="Input 2 7 2 3 4 4 3" xfId="40123"/>
    <cellStyle name="Input 2 7 2 3 4 4 4" xfId="18617"/>
    <cellStyle name="Input 2 7 2 3 4 5" xfId="21102"/>
    <cellStyle name="Input 2 7 2 3 4 6" xfId="31947"/>
    <cellStyle name="Input 2 7 2 3 4 7" xfId="12763"/>
    <cellStyle name="Input 2 7 2 3 5" xfId="2513"/>
    <cellStyle name="Input 2 7 2 3 5 2" xfId="5365"/>
    <cellStyle name="Input 2 7 2 3 5 2 2" xfId="24337"/>
    <cellStyle name="Input 2 7 2 3 5 2 3" xfId="35182"/>
    <cellStyle name="Input 2 7 2 3 5 2 4" xfId="15079"/>
    <cellStyle name="Input 2 7 2 3 5 3" xfId="8036"/>
    <cellStyle name="Input 2 7 2 3 5 3 2" xfId="27008"/>
    <cellStyle name="Input 2 7 2 3 5 3 3" xfId="37853"/>
    <cellStyle name="Input 2 7 2 3 5 3 4" xfId="16992"/>
    <cellStyle name="Input 2 7 2 3 5 4" xfId="10695"/>
    <cellStyle name="Input 2 7 2 3 5 4 2" xfId="29667"/>
    <cellStyle name="Input 2 7 2 3 5 4 3" xfId="40512"/>
    <cellStyle name="Input 2 7 2 3 5 4 4" xfId="18896"/>
    <cellStyle name="Input 2 7 2 3 5 5" xfId="21491"/>
    <cellStyle name="Input 2 7 2 3 5 6" xfId="32336"/>
    <cellStyle name="Input 2 7 2 3 5 7" xfId="13042"/>
    <cellStyle name="Input 2 7 2 3 6" xfId="2899"/>
    <cellStyle name="Input 2 7 2 3 6 2" xfId="5750"/>
    <cellStyle name="Input 2 7 2 3 6 2 2" xfId="24722"/>
    <cellStyle name="Input 2 7 2 3 6 2 3" xfId="35567"/>
    <cellStyle name="Input 2 7 2 3 6 2 4" xfId="15355"/>
    <cellStyle name="Input 2 7 2 3 6 3" xfId="8421"/>
    <cellStyle name="Input 2 7 2 3 6 3 2" xfId="27393"/>
    <cellStyle name="Input 2 7 2 3 6 3 3" xfId="38238"/>
    <cellStyle name="Input 2 7 2 3 6 3 4" xfId="17268"/>
    <cellStyle name="Input 2 7 2 3 6 4" xfId="11080"/>
    <cellStyle name="Input 2 7 2 3 6 4 2" xfId="30052"/>
    <cellStyle name="Input 2 7 2 3 6 4 3" xfId="40897"/>
    <cellStyle name="Input 2 7 2 3 6 4 4" xfId="19172"/>
    <cellStyle name="Input 2 7 2 3 6 5" xfId="21876"/>
    <cellStyle name="Input 2 7 2 3 6 6" xfId="32721"/>
    <cellStyle name="Input 2 7 2 3 6 7" xfId="13318"/>
    <cellStyle name="Input 2 7 2 3 7" xfId="3588"/>
    <cellStyle name="Input 2 7 2 3 7 2" xfId="22560"/>
    <cellStyle name="Input 2 7 2 3 7 3" xfId="33405"/>
    <cellStyle name="Input 2 7 2 3 7 4" xfId="13799"/>
    <cellStyle name="Input 2 7 2 3 8" xfId="6263"/>
    <cellStyle name="Input 2 7 2 3 8 2" xfId="25235"/>
    <cellStyle name="Input 2 7 2 3 8 3" xfId="36080"/>
    <cellStyle name="Input 2 7 2 3 8 4" xfId="15715"/>
    <cellStyle name="Input 2 7 2 3 9" xfId="8922"/>
    <cellStyle name="Input 2 7 2 3 9 2" xfId="27894"/>
    <cellStyle name="Input 2 7 2 3 9 3" xfId="38739"/>
    <cellStyle name="Input 2 7 2 3 9 4" xfId="17619"/>
    <cellStyle name="Input 2 7 2 4" xfId="793"/>
    <cellStyle name="Input 2 7 2 4 10" xfId="19778"/>
    <cellStyle name="Input 2 7 2 4 11" xfId="30623"/>
    <cellStyle name="Input 2 7 2 4 12" xfId="11805"/>
    <cellStyle name="Input 2 7 2 4 2" xfId="1380"/>
    <cellStyle name="Input 2 7 2 4 2 2" xfId="4233"/>
    <cellStyle name="Input 2 7 2 4 2 2 2" xfId="23205"/>
    <cellStyle name="Input 2 7 2 4 2 2 3" xfId="34050"/>
    <cellStyle name="Input 2 7 2 4 2 2 4" xfId="14266"/>
    <cellStyle name="Input 2 7 2 4 2 3" xfId="6906"/>
    <cellStyle name="Input 2 7 2 4 2 3 2" xfId="25878"/>
    <cellStyle name="Input 2 7 2 4 2 3 3" xfId="36723"/>
    <cellStyle name="Input 2 7 2 4 2 3 4" xfId="16181"/>
    <cellStyle name="Input 2 7 2 4 2 4" xfId="9565"/>
    <cellStyle name="Input 2 7 2 4 2 4 2" xfId="28537"/>
    <cellStyle name="Input 2 7 2 4 2 4 3" xfId="39382"/>
    <cellStyle name="Input 2 7 2 4 2 4 4" xfId="18085"/>
    <cellStyle name="Input 2 7 2 4 2 5" xfId="20361"/>
    <cellStyle name="Input 2 7 2 4 2 6" xfId="31206"/>
    <cellStyle name="Input 2 7 2 4 2 7" xfId="12231"/>
    <cellStyle name="Input 2 7 2 4 3" xfId="1779"/>
    <cellStyle name="Input 2 7 2 4 3 2" xfId="4632"/>
    <cellStyle name="Input 2 7 2 4 3 2 2" xfId="23604"/>
    <cellStyle name="Input 2 7 2 4 3 2 3" xfId="34449"/>
    <cellStyle name="Input 2 7 2 4 3 2 4" xfId="14553"/>
    <cellStyle name="Input 2 7 2 4 3 3" xfId="7304"/>
    <cellStyle name="Input 2 7 2 4 3 3 2" xfId="26276"/>
    <cellStyle name="Input 2 7 2 4 3 3 3" xfId="37121"/>
    <cellStyle name="Input 2 7 2 4 3 3 4" xfId="16467"/>
    <cellStyle name="Input 2 7 2 4 3 4" xfId="9963"/>
    <cellStyle name="Input 2 7 2 4 3 4 2" xfId="28935"/>
    <cellStyle name="Input 2 7 2 4 3 4 3" xfId="39780"/>
    <cellStyle name="Input 2 7 2 4 3 4 4" xfId="18371"/>
    <cellStyle name="Input 2 7 2 4 3 5" xfId="20759"/>
    <cellStyle name="Input 2 7 2 4 3 6" xfId="31604"/>
    <cellStyle name="Input 2 7 2 4 3 7" xfId="12517"/>
    <cellStyle name="Input 2 7 2 4 4" xfId="2183"/>
    <cellStyle name="Input 2 7 2 4 4 2" xfId="5036"/>
    <cellStyle name="Input 2 7 2 4 4 2 2" xfId="24008"/>
    <cellStyle name="Input 2 7 2 4 4 2 3" xfId="34853"/>
    <cellStyle name="Input 2 7 2 4 4 2 4" xfId="14840"/>
    <cellStyle name="Input 2 7 2 4 4 3" xfId="7707"/>
    <cellStyle name="Input 2 7 2 4 4 3 2" xfId="26679"/>
    <cellStyle name="Input 2 7 2 4 4 3 3" xfId="37524"/>
    <cellStyle name="Input 2 7 2 4 4 3 4" xfId="16753"/>
    <cellStyle name="Input 2 7 2 4 4 4" xfId="10366"/>
    <cellStyle name="Input 2 7 2 4 4 4 2" xfId="29338"/>
    <cellStyle name="Input 2 7 2 4 4 4 3" xfId="40183"/>
    <cellStyle name="Input 2 7 2 4 4 4 4" xfId="18657"/>
    <cellStyle name="Input 2 7 2 4 4 5" xfId="21162"/>
    <cellStyle name="Input 2 7 2 4 4 6" xfId="32007"/>
    <cellStyle name="Input 2 7 2 4 4 7" xfId="12803"/>
    <cellStyle name="Input 2 7 2 4 5" xfId="2573"/>
    <cellStyle name="Input 2 7 2 4 5 2" xfId="5425"/>
    <cellStyle name="Input 2 7 2 4 5 2 2" xfId="24397"/>
    <cellStyle name="Input 2 7 2 4 5 2 3" xfId="35242"/>
    <cellStyle name="Input 2 7 2 4 5 2 4" xfId="15119"/>
    <cellStyle name="Input 2 7 2 4 5 3" xfId="8096"/>
    <cellStyle name="Input 2 7 2 4 5 3 2" xfId="27068"/>
    <cellStyle name="Input 2 7 2 4 5 3 3" xfId="37913"/>
    <cellStyle name="Input 2 7 2 4 5 3 4" xfId="17032"/>
    <cellStyle name="Input 2 7 2 4 5 4" xfId="10755"/>
    <cellStyle name="Input 2 7 2 4 5 4 2" xfId="29727"/>
    <cellStyle name="Input 2 7 2 4 5 4 3" xfId="40572"/>
    <cellStyle name="Input 2 7 2 4 5 4 4" xfId="18936"/>
    <cellStyle name="Input 2 7 2 4 5 5" xfId="21551"/>
    <cellStyle name="Input 2 7 2 4 5 6" xfId="32396"/>
    <cellStyle name="Input 2 7 2 4 5 7" xfId="13082"/>
    <cellStyle name="Input 2 7 2 4 6" xfId="2959"/>
    <cellStyle name="Input 2 7 2 4 6 2" xfId="5810"/>
    <cellStyle name="Input 2 7 2 4 6 2 2" xfId="24782"/>
    <cellStyle name="Input 2 7 2 4 6 2 3" xfId="35627"/>
    <cellStyle name="Input 2 7 2 4 6 2 4" xfId="15395"/>
    <cellStyle name="Input 2 7 2 4 6 3" xfId="8481"/>
    <cellStyle name="Input 2 7 2 4 6 3 2" xfId="27453"/>
    <cellStyle name="Input 2 7 2 4 6 3 3" xfId="38298"/>
    <cellStyle name="Input 2 7 2 4 6 3 4" xfId="17308"/>
    <cellStyle name="Input 2 7 2 4 6 4" xfId="11140"/>
    <cellStyle name="Input 2 7 2 4 6 4 2" xfId="30112"/>
    <cellStyle name="Input 2 7 2 4 6 4 3" xfId="40957"/>
    <cellStyle name="Input 2 7 2 4 6 4 4" xfId="19212"/>
    <cellStyle name="Input 2 7 2 4 6 5" xfId="21936"/>
    <cellStyle name="Input 2 7 2 4 6 6" xfId="32781"/>
    <cellStyle name="Input 2 7 2 4 6 7" xfId="13358"/>
    <cellStyle name="Input 2 7 2 4 7" xfId="3648"/>
    <cellStyle name="Input 2 7 2 4 7 2" xfId="22620"/>
    <cellStyle name="Input 2 7 2 4 7 3" xfId="33465"/>
    <cellStyle name="Input 2 7 2 4 7 4" xfId="13839"/>
    <cellStyle name="Input 2 7 2 4 8" xfId="6323"/>
    <cellStyle name="Input 2 7 2 4 8 2" xfId="25295"/>
    <cellStyle name="Input 2 7 2 4 8 3" xfId="36140"/>
    <cellStyle name="Input 2 7 2 4 8 4" xfId="15755"/>
    <cellStyle name="Input 2 7 2 4 9" xfId="8982"/>
    <cellStyle name="Input 2 7 2 4 9 2" xfId="27954"/>
    <cellStyle name="Input 2 7 2 4 9 3" xfId="38799"/>
    <cellStyle name="Input 2 7 2 4 9 4" xfId="17659"/>
    <cellStyle name="Input 2 7 2 5" xfId="852"/>
    <cellStyle name="Input 2 7 2 5 10" xfId="19837"/>
    <cellStyle name="Input 2 7 2 5 11" xfId="30682"/>
    <cellStyle name="Input 2 7 2 5 12" xfId="11844"/>
    <cellStyle name="Input 2 7 2 5 2" xfId="1439"/>
    <cellStyle name="Input 2 7 2 5 2 2" xfId="4292"/>
    <cellStyle name="Input 2 7 2 5 2 2 2" xfId="23264"/>
    <cellStyle name="Input 2 7 2 5 2 2 3" xfId="34109"/>
    <cellStyle name="Input 2 7 2 5 2 2 4" xfId="14305"/>
    <cellStyle name="Input 2 7 2 5 2 3" xfId="6965"/>
    <cellStyle name="Input 2 7 2 5 2 3 2" xfId="25937"/>
    <cellStyle name="Input 2 7 2 5 2 3 3" xfId="36782"/>
    <cellStyle name="Input 2 7 2 5 2 3 4" xfId="16220"/>
    <cellStyle name="Input 2 7 2 5 2 4" xfId="9624"/>
    <cellStyle name="Input 2 7 2 5 2 4 2" xfId="28596"/>
    <cellStyle name="Input 2 7 2 5 2 4 3" xfId="39441"/>
    <cellStyle name="Input 2 7 2 5 2 4 4" xfId="18124"/>
    <cellStyle name="Input 2 7 2 5 2 5" xfId="20420"/>
    <cellStyle name="Input 2 7 2 5 2 6" xfId="31265"/>
    <cellStyle name="Input 2 7 2 5 2 7" xfId="12270"/>
    <cellStyle name="Input 2 7 2 5 3" xfId="1838"/>
    <cellStyle name="Input 2 7 2 5 3 2" xfId="4691"/>
    <cellStyle name="Input 2 7 2 5 3 2 2" xfId="23663"/>
    <cellStyle name="Input 2 7 2 5 3 2 3" xfId="34508"/>
    <cellStyle name="Input 2 7 2 5 3 2 4" xfId="14592"/>
    <cellStyle name="Input 2 7 2 5 3 3" xfId="7363"/>
    <cellStyle name="Input 2 7 2 5 3 3 2" xfId="26335"/>
    <cellStyle name="Input 2 7 2 5 3 3 3" xfId="37180"/>
    <cellStyle name="Input 2 7 2 5 3 3 4" xfId="16506"/>
    <cellStyle name="Input 2 7 2 5 3 4" xfId="10022"/>
    <cellStyle name="Input 2 7 2 5 3 4 2" xfId="28994"/>
    <cellStyle name="Input 2 7 2 5 3 4 3" xfId="39839"/>
    <cellStyle name="Input 2 7 2 5 3 4 4" xfId="18410"/>
    <cellStyle name="Input 2 7 2 5 3 5" xfId="20818"/>
    <cellStyle name="Input 2 7 2 5 3 6" xfId="31663"/>
    <cellStyle name="Input 2 7 2 5 3 7" xfId="12556"/>
    <cellStyle name="Input 2 7 2 5 4" xfId="2242"/>
    <cellStyle name="Input 2 7 2 5 4 2" xfId="5095"/>
    <cellStyle name="Input 2 7 2 5 4 2 2" xfId="24067"/>
    <cellStyle name="Input 2 7 2 5 4 2 3" xfId="34912"/>
    <cellStyle name="Input 2 7 2 5 4 2 4" xfId="14879"/>
    <cellStyle name="Input 2 7 2 5 4 3" xfId="7766"/>
    <cellStyle name="Input 2 7 2 5 4 3 2" xfId="26738"/>
    <cellStyle name="Input 2 7 2 5 4 3 3" xfId="37583"/>
    <cellStyle name="Input 2 7 2 5 4 3 4" xfId="16792"/>
    <cellStyle name="Input 2 7 2 5 4 4" xfId="10425"/>
    <cellStyle name="Input 2 7 2 5 4 4 2" xfId="29397"/>
    <cellStyle name="Input 2 7 2 5 4 4 3" xfId="40242"/>
    <cellStyle name="Input 2 7 2 5 4 4 4" xfId="18696"/>
    <cellStyle name="Input 2 7 2 5 4 5" xfId="21221"/>
    <cellStyle name="Input 2 7 2 5 4 6" xfId="32066"/>
    <cellStyle name="Input 2 7 2 5 4 7" xfId="12842"/>
    <cellStyle name="Input 2 7 2 5 5" xfId="2632"/>
    <cellStyle name="Input 2 7 2 5 5 2" xfId="5484"/>
    <cellStyle name="Input 2 7 2 5 5 2 2" xfId="24456"/>
    <cellStyle name="Input 2 7 2 5 5 2 3" xfId="35301"/>
    <cellStyle name="Input 2 7 2 5 5 2 4" xfId="15158"/>
    <cellStyle name="Input 2 7 2 5 5 3" xfId="8155"/>
    <cellStyle name="Input 2 7 2 5 5 3 2" xfId="27127"/>
    <cellStyle name="Input 2 7 2 5 5 3 3" xfId="37972"/>
    <cellStyle name="Input 2 7 2 5 5 3 4" xfId="17071"/>
    <cellStyle name="Input 2 7 2 5 5 4" xfId="10814"/>
    <cellStyle name="Input 2 7 2 5 5 4 2" xfId="29786"/>
    <cellStyle name="Input 2 7 2 5 5 4 3" xfId="40631"/>
    <cellStyle name="Input 2 7 2 5 5 4 4" xfId="18975"/>
    <cellStyle name="Input 2 7 2 5 5 5" xfId="21610"/>
    <cellStyle name="Input 2 7 2 5 5 6" xfId="32455"/>
    <cellStyle name="Input 2 7 2 5 5 7" xfId="13121"/>
    <cellStyle name="Input 2 7 2 5 6" xfId="3018"/>
    <cellStyle name="Input 2 7 2 5 6 2" xfId="5869"/>
    <cellStyle name="Input 2 7 2 5 6 2 2" xfId="24841"/>
    <cellStyle name="Input 2 7 2 5 6 2 3" xfId="35686"/>
    <cellStyle name="Input 2 7 2 5 6 2 4" xfId="15434"/>
    <cellStyle name="Input 2 7 2 5 6 3" xfId="8540"/>
    <cellStyle name="Input 2 7 2 5 6 3 2" xfId="27512"/>
    <cellStyle name="Input 2 7 2 5 6 3 3" xfId="38357"/>
    <cellStyle name="Input 2 7 2 5 6 3 4" xfId="17347"/>
    <cellStyle name="Input 2 7 2 5 6 4" xfId="11199"/>
    <cellStyle name="Input 2 7 2 5 6 4 2" xfId="30171"/>
    <cellStyle name="Input 2 7 2 5 6 4 3" xfId="41016"/>
    <cellStyle name="Input 2 7 2 5 6 4 4" xfId="19251"/>
    <cellStyle name="Input 2 7 2 5 6 5" xfId="21995"/>
    <cellStyle name="Input 2 7 2 5 6 6" xfId="32840"/>
    <cellStyle name="Input 2 7 2 5 6 7" xfId="13397"/>
    <cellStyle name="Input 2 7 2 5 7" xfId="3707"/>
    <cellStyle name="Input 2 7 2 5 7 2" xfId="22679"/>
    <cellStyle name="Input 2 7 2 5 7 3" xfId="33524"/>
    <cellStyle name="Input 2 7 2 5 7 4" xfId="13878"/>
    <cellStyle name="Input 2 7 2 5 8" xfId="6382"/>
    <cellStyle name="Input 2 7 2 5 8 2" xfId="25354"/>
    <cellStyle name="Input 2 7 2 5 8 3" xfId="36199"/>
    <cellStyle name="Input 2 7 2 5 8 4" xfId="15794"/>
    <cellStyle name="Input 2 7 2 5 9" xfId="9041"/>
    <cellStyle name="Input 2 7 2 5 9 2" xfId="28013"/>
    <cellStyle name="Input 2 7 2 5 9 3" xfId="38858"/>
    <cellStyle name="Input 2 7 2 5 9 4" xfId="17698"/>
    <cellStyle name="Input 2 7 2 6" xfId="1074"/>
    <cellStyle name="Input 2 7 2 6 2" xfId="3927"/>
    <cellStyle name="Input 2 7 2 6 2 2" xfId="22899"/>
    <cellStyle name="Input 2 7 2 6 2 3" xfId="33744"/>
    <cellStyle name="Input 2 7 2 6 2 4" xfId="14040"/>
    <cellStyle name="Input 2 7 2 6 3" xfId="6601"/>
    <cellStyle name="Input 2 7 2 6 3 2" xfId="25573"/>
    <cellStyle name="Input 2 7 2 6 3 3" xfId="36418"/>
    <cellStyle name="Input 2 7 2 6 3 4" xfId="15956"/>
    <cellStyle name="Input 2 7 2 6 4" xfId="9260"/>
    <cellStyle name="Input 2 7 2 6 4 2" xfId="28232"/>
    <cellStyle name="Input 2 7 2 6 4 3" xfId="39077"/>
    <cellStyle name="Input 2 7 2 6 4 4" xfId="17860"/>
    <cellStyle name="Input 2 7 2 6 5" xfId="20056"/>
    <cellStyle name="Input 2 7 2 6 6" xfId="30901"/>
    <cellStyle name="Input 2 7 2 6 7" xfId="12006"/>
    <cellStyle name="Input 2 7 2 7" xfId="998"/>
    <cellStyle name="Input 2 7 2 7 2" xfId="3851"/>
    <cellStyle name="Input 2 7 2 7 2 2" xfId="22823"/>
    <cellStyle name="Input 2 7 2 7 2 3" xfId="33668"/>
    <cellStyle name="Input 2 7 2 7 2 4" xfId="13980"/>
    <cellStyle name="Input 2 7 2 7 3" xfId="6526"/>
    <cellStyle name="Input 2 7 2 7 3 2" xfId="25498"/>
    <cellStyle name="Input 2 7 2 7 3 3" xfId="36343"/>
    <cellStyle name="Input 2 7 2 7 3 4" xfId="15896"/>
    <cellStyle name="Input 2 7 2 7 4" xfId="9185"/>
    <cellStyle name="Input 2 7 2 7 4 2" xfId="28157"/>
    <cellStyle name="Input 2 7 2 7 4 3" xfId="39002"/>
    <cellStyle name="Input 2 7 2 7 4 4" xfId="17800"/>
    <cellStyle name="Input 2 7 2 7 5" xfId="19981"/>
    <cellStyle name="Input 2 7 2 7 6" xfId="30826"/>
    <cellStyle name="Input 2 7 2 7 7" xfId="11946"/>
    <cellStyle name="Input 2 7 2 8" xfId="923"/>
    <cellStyle name="Input 2 7 2 8 2" xfId="3778"/>
    <cellStyle name="Input 2 7 2 8 2 2" xfId="22750"/>
    <cellStyle name="Input 2 7 2 8 2 3" xfId="33595"/>
    <cellStyle name="Input 2 7 2 8 2 4" xfId="13924"/>
    <cellStyle name="Input 2 7 2 8 3" xfId="6453"/>
    <cellStyle name="Input 2 7 2 8 3 2" xfId="25425"/>
    <cellStyle name="Input 2 7 2 8 3 3" xfId="36270"/>
    <cellStyle name="Input 2 7 2 8 3 4" xfId="15840"/>
    <cellStyle name="Input 2 7 2 8 4" xfId="9112"/>
    <cellStyle name="Input 2 7 2 8 4 2" xfId="28084"/>
    <cellStyle name="Input 2 7 2 8 4 3" xfId="38929"/>
    <cellStyle name="Input 2 7 2 8 4 4" xfId="17744"/>
    <cellStyle name="Input 2 7 2 8 5" xfId="19908"/>
    <cellStyle name="Input 2 7 2 8 6" xfId="30753"/>
    <cellStyle name="Input 2 7 2 8 7" xfId="11890"/>
    <cellStyle name="Input 2 7 2 9" xfId="1018"/>
    <cellStyle name="Input 2 7 2 9 2" xfId="3871"/>
    <cellStyle name="Input 2 7 2 9 2 2" xfId="22843"/>
    <cellStyle name="Input 2 7 2 9 2 3" xfId="33688"/>
    <cellStyle name="Input 2 7 2 9 2 4" xfId="13994"/>
    <cellStyle name="Input 2 7 2 9 3" xfId="6545"/>
    <cellStyle name="Input 2 7 2 9 3 2" xfId="25517"/>
    <cellStyle name="Input 2 7 2 9 3 3" xfId="36362"/>
    <cellStyle name="Input 2 7 2 9 3 4" xfId="15910"/>
    <cellStyle name="Input 2 7 2 9 4" xfId="9204"/>
    <cellStyle name="Input 2 7 2 9 4 2" xfId="28176"/>
    <cellStyle name="Input 2 7 2 9 4 3" xfId="39021"/>
    <cellStyle name="Input 2 7 2 9 4 4" xfId="17814"/>
    <cellStyle name="Input 2 7 2 9 5" xfId="20000"/>
    <cellStyle name="Input 2 7 2 9 6" xfId="30845"/>
    <cellStyle name="Input 2 7 2 9 7" xfId="11960"/>
    <cellStyle name="Input 2 7 3" xfId="556"/>
    <cellStyle name="Input 2 7 3 10" xfId="19566"/>
    <cellStyle name="Input 2 7 3 11" xfId="30411"/>
    <cellStyle name="Input 2 7 3 12" xfId="11630"/>
    <cellStyle name="Input 2 7 3 2" xfId="1162"/>
    <cellStyle name="Input 2 7 3 2 2" xfId="4015"/>
    <cellStyle name="Input 2 7 3 2 2 2" xfId="22987"/>
    <cellStyle name="Input 2 7 3 2 2 3" xfId="33832"/>
    <cellStyle name="Input 2 7 3 2 2 4" xfId="14107"/>
    <cellStyle name="Input 2 7 3 2 3" xfId="6688"/>
    <cellStyle name="Input 2 7 3 2 3 2" xfId="25660"/>
    <cellStyle name="Input 2 7 3 2 3 3" xfId="36505"/>
    <cellStyle name="Input 2 7 3 2 3 4" xfId="16022"/>
    <cellStyle name="Input 2 7 3 2 4" xfId="9347"/>
    <cellStyle name="Input 2 7 3 2 4 2" xfId="28319"/>
    <cellStyle name="Input 2 7 3 2 4 3" xfId="39164"/>
    <cellStyle name="Input 2 7 3 2 4 4" xfId="17926"/>
    <cellStyle name="Input 2 7 3 2 5" xfId="20143"/>
    <cellStyle name="Input 2 7 3 2 6" xfId="30988"/>
    <cellStyle name="Input 2 7 3 2 7" xfId="12072"/>
    <cellStyle name="Input 2 7 3 3" xfId="1559"/>
    <cellStyle name="Input 2 7 3 3 2" xfId="4412"/>
    <cellStyle name="Input 2 7 3 3 2 2" xfId="23384"/>
    <cellStyle name="Input 2 7 3 3 2 3" xfId="34229"/>
    <cellStyle name="Input 2 7 3 3 2 4" xfId="14393"/>
    <cellStyle name="Input 2 7 3 3 3" xfId="7084"/>
    <cellStyle name="Input 2 7 3 3 3 2" xfId="26056"/>
    <cellStyle name="Input 2 7 3 3 3 3" xfId="36901"/>
    <cellStyle name="Input 2 7 3 3 3 4" xfId="16307"/>
    <cellStyle name="Input 2 7 3 3 4" xfId="9743"/>
    <cellStyle name="Input 2 7 3 3 4 2" xfId="28715"/>
    <cellStyle name="Input 2 7 3 3 4 3" xfId="39560"/>
    <cellStyle name="Input 2 7 3 3 4 4" xfId="18211"/>
    <cellStyle name="Input 2 7 3 3 5" xfId="20539"/>
    <cellStyle name="Input 2 7 3 3 6" xfId="31384"/>
    <cellStyle name="Input 2 7 3 3 7" xfId="12357"/>
    <cellStyle name="Input 2 7 3 4" xfId="1963"/>
    <cellStyle name="Input 2 7 3 4 2" xfId="4816"/>
    <cellStyle name="Input 2 7 3 4 2 2" xfId="23788"/>
    <cellStyle name="Input 2 7 3 4 2 3" xfId="34633"/>
    <cellStyle name="Input 2 7 3 4 2 4" xfId="14681"/>
    <cellStyle name="Input 2 7 3 4 3" xfId="7488"/>
    <cellStyle name="Input 2 7 3 4 3 2" xfId="26460"/>
    <cellStyle name="Input 2 7 3 4 3 3" xfId="37305"/>
    <cellStyle name="Input 2 7 3 4 3 4" xfId="16595"/>
    <cellStyle name="Input 2 7 3 4 4" xfId="10147"/>
    <cellStyle name="Input 2 7 3 4 4 2" xfId="29119"/>
    <cellStyle name="Input 2 7 3 4 4 3" xfId="39964"/>
    <cellStyle name="Input 2 7 3 4 4 4" xfId="18499"/>
    <cellStyle name="Input 2 7 3 4 5" xfId="20943"/>
    <cellStyle name="Input 2 7 3 4 6" xfId="31788"/>
    <cellStyle name="Input 2 7 3 4 7" xfId="12645"/>
    <cellStyle name="Input 2 7 3 5" xfId="2355"/>
    <cellStyle name="Input 2 7 3 5 2" xfId="5208"/>
    <cellStyle name="Input 2 7 3 5 2 2" xfId="24180"/>
    <cellStyle name="Input 2 7 3 5 2 3" xfId="35025"/>
    <cellStyle name="Input 2 7 3 5 2 4" xfId="14962"/>
    <cellStyle name="Input 2 7 3 5 3" xfId="7879"/>
    <cellStyle name="Input 2 7 3 5 3 2" xfId="26851"/>
    <cellStyle name="Input 2 7 3 5 3 3" xfId="37696"/>
    <cellStyle name="Input 2 7 3 5 3 4" xfId="16875"/>
    <cellStyle name="Input 2 7 3 5 4" xfId="10538"/>
    <cellStyle name="Input 2 7 3 5 4 2" xfId="29510"/>
    <cellStyle name="Input 2 7 3 5 4 3" xfId="40355"/>
    <cellStyle name="Input 2 7 3 5 4 4" xfId="18779"/>
    <cellStyle name="Input 2 7 3 5 5" xfId="21334"/>
    <cellStyle name="Input 2 7 3 5 6" xfId="32179"/>
    <cellStyle name="Input 2 7 3 5 7" xfId="12925"/>
    <cellStyle name="Input 2 7 3 6" xfId="2744"/>
    <cellStyle name="Input 2 7 3 6 2" xfId="5596"/>
    <cellStyle name="Input 2 7 3 6 2 2" xfId="24568"/>
    <cellStyle name="Input 2 7 3 6 2 3" xfId="35413"/>
    <cellStyle name="Input 2 7 3 6 2 4" xfId="15240"/>
    <cellStyle name="Input 2 7 3 6 3" xfId="8267"/>
    <cellStyle name="Input 2 7 3 6 3 2" xfId="27239"/>
    <cellStyle name="Input 2 7 3 6 3 3" xfId="38084"/>
    <cellStyle name="Input 2 7 3 6 3 4" xfId="17153"/>
    <cellStyle name="Input 2 7 3 6 4" xfId="10926"/>
    <cellStyle name="Input 2 7 3 6 4 2" xfId="29898"/>
    <cellStyle name="Input 2 7 3 6 4 3" xfId="40743"/>
    <cellStyle name="Input 2 7 3 6 4 4" xfId="19057"/>
    <cellStyle name="Input 2 7 3 6 5" xfId="21722"/>
    <cellStyle name="Input 2 7 3 6 6" xfId="32567"/>
    <cellStyle name="Input 2 7 3 6 7" xfId="13203"/>
    <cellStyle name="Input 2 7 3 7" xfId="3435"/>
    <cellStyle name="Input 2 7 3 7 2" xfId="22407"/>
    <cellStyle name="Input 2 7 3 7 3" xfId="33252"/>
    <cellStyle name="Input 2 7 3 7 4" xfId="13685"/>
    <cellStyle name="Input 2 7 3 8" xfId="6111"/>
    <cellStyle name="Input 2 7 3 8 2" xfId="25083"/>
    <cellStyle name="Input 2 7 3 8 3" xfId="35928"/>
    <cellStyle name="Input 2 7 3 8 4" xfId="15602"/>
    <cellStyle name="Input 2 7 3 9" xfId="8770"/>
    <cellStyle name="Input 2 7 3 9 2" xfId="27742"/>
    <cellStyle name="Input 2 7 3 9 3" xfId="38587"/>
    <cellStyle name="Input 2 7 3 9 4" xfId="17506"/>
    <cellStyle name="Input 2 7 4" xfId="11454"/>
    <cellStyle name="Input 2 8" xfId="103"/>
    <cellStyle name="Input 2 8 2" xfId="373"/>
    <cellStyle name="Input 2 8 2 10" xfId="949"/>
    <cellStyle name="Input 2 8 2 10 2" xfId="3802"/>
    <cellStyle name="Input 2 8 2 10 2 2" xfId="22774"/>
    <cellStyle name="Input 2 8 2 10 2 3" xfId="33619"/>
    <cellStyle name="Input 2 8 2 10 2 4" xfId="13947"/>
    <cellStyle name="Input 2 8 2 10 3" xfId="6477"/>
    <cellStyle name="Input 2 8 2 10 3 2" xfId="25449"/>
    <cellStyle name="Input 2 8 2 10 3 3" xfId="36294"/>
    <cellStyle name="Input 2 8 2 10 3 4" xfId="15863"/>
    <cellStyle name="Input 2 8 2 10 4" xfId="9136"/>
    <cellStyle name="Input 2 8 2 10 4 2" xfId="28108"/>
    <cellStyle name="Input 2 8 2 10 4 3" xfId="38953"/>
    <cellStyle name="Input 2 8 2 10 4 4" xfId="17767"/>
    <cellStyle name="Input 2 8 2 10 5" xfId="19932"/>
    <cellStyle name="Input 2 8 2 10 6" xfId="30777"/>
    <cellStyle name="Input 2 8 2 10 7" xfId="11913"/>
    <cellStyle name="Input 2 8 2 11" xfId="936"/>
    <cellStyle name="Input 2 8 2 11 2" xfId="3790"/>
    <cellStyle name="Input 2 8 2 11 2 2" xfId="22762"/>
    <cellStyle name="Input 2 8 2 11 2 3" xfId="33607"/>
    <cellStyle name="Input 2 8 2 11 2 4" xfId="13935"/>
    <cellStyle name="Input 2 8 2 11 3" xfId="6465"/>
    <cellStyle name="Input 2 8 2 11 3 2" xfId="25437"/>
    <cellStyle name="Input 2 8 2 11 3 3" xfId="36282"/>
    <cellStyle name="Input 2 8 2 11 3 4" xfId="15851"/>
    <cellStyle name="Input 2 8 2 11 4" xfId="9124"/>
    <cellStyle name="Input 2 8 2 11 4 2" xfId="28096"/>
    <cellStyle name="Input 2 8 2 11 4 3" xfId="38941"/>
    <cellStyle name="Input 2 8 2 11 4 4" xfId="17755"/>
    <cellStyle name="Input 2 8 2 11 5" xfId="19920"/>
    <cellStyle name="Input 2 8 2 11 6" xfId="30765"/>
    <cellStyle name="Input 2 8 2 11 7" xfId="11901"/>
    <cellStyle name="Input 2 8 2 12" xfId="3109"/>
    <cellStyle name="Input 2 8 2 12 2" xfId="5960"/>
    <cellStyle name="Input 2 8 2 12 2 2" xfId="24932"/>
    <cellStyle name="Input 2 8 2 12 2 3" xfId="35777"/>
    <cellStyle name="Input 2 8 2 12 2 4" xfId="15495"/>
    <cellStyle name="Input 2 8 2 12 3" xfId="8631"/>
    <cellStyle name="Input 2 8 2 12 3 2" xfId="27603"/>
    <cellStyle name="Input 2 8 2 12 3 3" xfId="38448"/>
    <cellStyle name="Input 2 8 2 12 3 4" xfId="17408"/>
    <cellStyle name="Input 2 8 2 12 4" xfId="11290"/>
    <cellStyle name="Input 2 8 2 12 4 2" xfId="30262"/>
    <cellStyle name="Input 2 8 2 12 4 3" xfId="41107"/>
    <cellStyle name="Input 2 8 2 12 4 4" xfId="19312"/>
    <cellStyle name="Input 2 8 2 12 5" xfId="22086"/>
    <cellStyle name="Input 2 8 2 12 6" xfId="32931"/>
    <cellStyle name="Input 2 8 2 12 7" xfId="13458"/>
    <cellStyle name="Input 2 8 2 13" xfId="3166"/>
    <cellStyle name="Input 2 8 2 13 2" xfId="6017"/>
    <cellStyle name="Input 2 8 2 13 2 2" xfId="24989"/>
    <cellStyle name="Input 2 8 2 13 2 3" xfId="35834"/>
    <cellStyle name="Input 2 8 2 13 2 4" xfId="15532"/>
    <cellStyle name="Input 2 8 2 13 3" xfId="8688"/>
    <cellStyle name="Input 2 8 2 13 3 2" xfId="27660"/>
    <cellStyle name="Input 2 8 2 13 3 3" xfId="38505"/>
    <cellStyle name="Input 2 8 2 13 3 4" xfId="17445"/>
    <cellStyle name="Input 2 8 2 13 4" xfId="11347"/>
    <cellStyle name="Input 2 8 2 13 4 2" xfId="30319"/>
    <cellStyle name="Input 2 8 2 13 4 3" xfId="41164"/>
    <cellStyle name="Input 2 8 2 13 4 4" xfId="19349"/>
    <cellStyle name="Input 2 8 2 13 5" xfId="22143"/>
    <cellStyle name="Input 2 8 2 13 6" xfId="32988"/>
    <cellStyle name="Input 2 8 2 13 7" xfId="13495"/>
    <cellStyle name="Input 2 8 2 14" xfId="3332"/>
    <cellStyle name="Input 2 8 2 14 2" xfId="22306"/>
    <cellStyle name="Input 2 8 2 14 3" xfId="33151"/>
    <cellStyle name="Input 2 8 2 14 4" xfId="13612"/>
    <cellStyle name="Input 2 8 2 15" xfId="3252"/>
    <cellStyle name="Input 2 8 2 15 2" xfId="22228"/>
    <cellStyle name="Input 2 8 2 15 3" xfId="33073"/>
    <cellStyle name="Input 2 8 2 15 4" xfId="13554"/>
    <cellStyle name="Input 2 8 2 16" xfId="3312"/>
    <cellStyle name="Input 2 8 2 16 2" xfId="22286"/>
    <cellStyle name="Input 2 8 2 16 3" xfId="33131"/>
    <cellStyle name="Input 2 8 2 16 4" xfId="13596"/>
    <cellStyle name="Input 2 8 2 17" xfId="19463"/>
    <cellStyle name="Input 2 8 2 18" xfId="19417"/>
    <cellStyle name="Input 2 8 2 19" xfId="11522"/>
    <cellStyle name="Input 2 8 2 2" xfId="674"/>
    <cellStyle name="Input 2 8 2 2 10" xfId="19659"/>
    <cellStyle name="Input 2 8 2 2 11" xfId="30504"/>
    <cellStyle name="Input 2 8 2 2 12" xfId="11726"/>
    <cellStyle name="Input 2 8 2 2 2" xfId="1261"/>
    <cellStyle name="Input 2 8 2 2 2 2" xfId="4114"/>
    <cellStyle name="Input 2 8 2 2 2 2 2" xfId="23086"/>
    <cellStyle name="Input 2 8 2 2 2 2 3" xfId="33931"/>
    <cellStyle name="Input 2 8 2 2 2 2 4" xfId="14187"/>
    <cellStyle name="Input 2 8 2 2 2 3" xfId="6787"/>
    <cellStyle name="Input 2 8 2 2 2 3 2" xfId="25759"/>
    <cellStyle name="Input 2 8 2 2 2 3 3" xfId="36604"/>
    <cellStyle name="Input 2 8 2 2 2 3 4" xfId="16102"/>
    <cellStyle name="Input 2 8 2 2 2 4" xfId="9446"/>
    <cellStyle name="Input 2 8 2 2 2 4 2" xfId="28418"/>
    <cellStyle name="Input 2 8 2 2 2 4 3" xfId="39263"/>
    <cellStyle name="Input 2 8 2 2 2 4 4" xfId="18006"/>
    <cellStyle name="Input 2 8 2 2 2 5" xfId="20242"/>
    <cellStyle name="Input 2 8 2 2 2 6" xfId="31087"/>
    <cellStyle name="Input 2 8 2 2 2 7" xfId="12152"/>
    <cellStyle name="Input 2 8 2 2 3" xfId="1660"/>
    <cellStyle name="Input 2 8 2 2 3 2" xfId="4513"/>
    <cellStyle name="Input 2 8 2 2 3 2 2" xfId="23485"/>
    <cellStyle name="Input 2 8 2 2 3 2 3" xfId="34330"/>
    <cellStyle name="Input 2 8 2 2 3 2 4" xfId="14474"/>
    <cellStyle name="Input 2 8 2 2 3 3" xfId="7185"/>
    <cellStyle name="Input 2 8 2 2 3 3 2" xfId="26157"/>
    <cellStyle name="Input 2 8 2 2 3 3 3" xfId="37002"/>
    <cellStyle name="Input 2 8 2 2 3 3 4" xfId="16388"/>
    <cellStyle name="Input 2 8 2 2 3 4" xfId="9844"/>
    <cellStyle name="Input 2 8 2 2 3 4 2" xfId="28816"/>
    <cellStyle name="Input 2 8 2 2 3 4 3" xfId="39661"/>
    <cellStyle name="Input 2 8 2 2 3 4 4" xfId="18292"/>
    <cellStyle name="Input 2 8 2 2 3 5" xfId="20640"/>
    <cellStyle name="Input 2 8 2 2 3 6" xfId="31485"/>
    <cellStyle name="Input 2 8 2 2 3 7" xfId="12438"/>
    <cellStyle name="Input 2 8 2 2 4" xfId="2064"/>
    <cellStyle name="Input 2 8 2 2 4 2" xfId="4917"/>
    <cellStyle name="Input 2 8 2 2 4 2 2" xfId="23889"/>
    <cellStyle name="Input 2 8 2 2 4 2 3" xfId="34734"/>
    <cellStyle name="Input 2 8 2 2 4 2 4" xfId="14761"/>
    <cellStyle name="Input 2 8 2 2 4 3" xfId="7588"/>
    <cellStyle name="Input 2 8 2 2 4 3 2" xfId="26560"/>
    <cellStyle name="Input 2 8 2 2 4 3 3" xfId="37405"/>
    <cellStyle name="Input 2 8 2 2 4 3 4" xfId="16674"/>
    <cellStyle name="Input 2 8 2 2 4 4" xfId="10247"/>
    <cellStyle name="Input 2 8 2 2 4 4 2" xfId="29219"/>
    <cellStyle name="Input 2 8 2 2 4 4 3" xfId="40064"/>
    <cellStyle name="Input 2 8 2 2 4 4 4" xfId="18578"/>
    <cellStyle name="Input 2 8 2 2 4 5" xfId="21043"/>
    <cellStyle name="Input 2 8 2 2 4 6" xfId="31888"/>
    <cellStyle name="Input 2 8 2 2 4 7" xfId="12724"/>
    <cellStyle name="Input 2 8 2 2 5" xfId="2454"/>
    <cellStyle name="Input 2 8 2 2 5 2" xfId="5306"/>
    <cellStyle name="Input 2 8 2 2 5 2 2" xfId="24278"/>
    <cellStyle name="Input 2 8 2 2 5 2 3" xfId="35123"/>
    <cellStyle name="Input 2 8 2 2 5 2 4" xfId="15040"/>
    <cellStyle name="Input 2 8 2 2 5 3" xfId="7977"/>
    <cellStyle name="Input 2 8 2 2 5 3 2" xfId="26949"/>
    <cellStyle name="Input 2 8 2 2 5 3 3" xfId="37794"/>
    <cellStyle name="Input 2 8 2 2 5 3 4" xfId="16953"/>
    <cellStyle name="Input 2 8 2 2 5 4" xfId="10636"/>
    <cellStyle name="Input 2 8 2 2 5 4 2" xfId="29608"/>
    <cellStyle name="Input 2 8 2 2 5 4 3" xfId="40453"/>
    <cellStyle name="Input 2 8 2 2 5 4 4" xfId="18857"/>
    <cellStyle name="Input 2 8 2 2 5 5" xfId="21432"/>
    <cellStyle name="Input 2 8 2 2 5 6" xfId="32277"/>
    <cellStyle name="Input 2 8 2 2 5 7" xfId="13003"/>
    <cellStyle name="Input 2 8 2 2 6" xfId="2840"/>
    <cellStyle name="Input 2 8 2 2 6 2" xfId="5691"/>
    <cellStyle name="Input 2 8 2 2 6 2 2" xfId="24663"/>
    <cellStyle name="Input 2 8 2 2 6 2 3" xfId="35508"/>
    <cellStyle name="Input 2 8 2 2 6 2 4" xfId="15316"/>
    <cellStyle name="Input 2 8 2 2 6 3" xfId="8362"/>
    <cellStyle name="Input 2 8 2 2 6 3 2" xfId="27334"/>
    <cellStyle name="Input 2 8 2 2 6 3 3" xfId="38179"/>
    <cellStyle name="Input 2 8 2 2 6 3 4" xfId="17229"/>
    <cellStyle name="Input 2 8 2 2 6 4" xfId="11021"/>
    <cellStyle name="Input 2 8 2 2 6 4 2" xfId="29993"/>
    <cellStyle name="Input 2 8 2 2 6 4 3" xfId="40838"/>
    <cellStyle name="Input 2 8 2 2 6 4 4" xfId="19133"/>
    <cellStyle name="Input 2 8 2 2 6 5" xfId="21817"/>
    <cellStyle name="Input 2 8 2 2 6 6" xfId="32662"/>
    <cellStyle name="Input 2 8 2 2 6 7" xfId="13279"/>
    <cellStyle name="Input 2 8 2 2 7" xfId="3529"/>
    <cellStyle name="Input 2 8 2 2 7 2" xfId="22501"/>
    <cellStyle name="Input 2 8 2 2 7 3" xfId="33346"/>
    <cellStyle name="Input 2 8 2 2 7 4" xfId="13760"/>
    <cellStyle name="Input 2 8 2 2 8" xfId="6204"/>
    <cellStyle name="Input 2 8 2 2 8 2" xfId="25176"/>
    <cellStyle name="Input 2 8 2 2 8 3" xfId="36021"/>
    <cellStyle name="Input 2 8 2 2 8 4" xfId="15676"/>
    <cellStyle name="Input 2 8 2 2 9" xfId="8863"/>
    <cellStyle name="Input 2 8 2 2 9 2" xfId="27835"/>
    <cellStyle name="Input 2 8 2 2 9 3" xfId="38680"/>
    <cellStyle name="Input 2 8 2 2 9 4" xfId="17580"/>
    <cellStyle name="Input 2 8 2 3" xfId="734"/>
    <cellStyle name="Input 2 8 2 3 10" xfId="19719"/>
    <cellStyle name="Input 2 8 2 3 11" xfId="30564"/>
    <cellStyle name="Input 2 8 2 3 12" xfId="11766"/>
    <cellStyle name="Input 2 8 2 3 2" xfId="1321"/>
    <cellStyle name="Input 2 8 2 3 2 2" xfId="4174"/>
    <cellStyle name="Input 2 8 2 3 2 2 2" xfId="23146"/>
    <cellStyle name="Input 2 8 2 3 2 2 3" xfId="33991"/>
    <cellStyle name="Input 2 8 2 3 2 2 4" xfId="14227"/>
    <cellStyle name="Input 2 8 2 3 2 3" xfId="6847"/>
    <cellStyle name="Input 2 8 2 3 2 3 2" xfId="25819"/>
    <cellStyle name="Input 2 8 2 3 2 3 3" xfId="36664"/>
    <cellStyle name="Input 2 8 2 3 2 3 4" xfId="16142"/>
    <cellStyle name="Input 2 8 2 3 2 4" xfId="9506"/>
    <cellStyle name="Input 2 8 2 3 2 4 2" xfId="28478"/>
    <cellStyle name="Input 2 8 2 3 2 4 3" xfId="39323"/>
    <cellStyle name="Input 2 8 2 3 2 4 4" xfId="18046"/>
    <cellStyle name="Input 2 8 2 3 2 5" xfId="20302"/>
    <cellStyle name="Input 2 8 2 3 2 6" xfId="31147"/>
    <cellStyle name="Input 2 8 2 3 2 7" xfId="12192"/>
    <cellStyle name="Input 2 8 2 3 3" xfId="1720"/>
    <cellStyle name="Input 2 8 2 3 3 2" xfId="4573"/>
    <cellStyle name="Input 2 8 2 3 3 2 2" xfId="23545"/>
    <cellStyle name="Input 2 8 2 3 3 2 3" xfId="34390"/>
    <cellStyle name="Input 2 8 2 3 3 2 4" xfId="14514"/>
    <cellStyle name="Input 2 8 2 3 3 3" xfId="7245"/>
    <cellStyle name="Input 2 8 2 3 3 3 2" xfId="26217"/>
    <cellStyle name="Input 2 8 2 3 3 3 3" xfId="37062"/>
    <cellStyle name="Input 2 8 2 3 3 3 4" xfId="16428"/>
    <cellStyle name="Input 2 8 2 3 3 4" xfId="9904"/>
    <cellStyle name="Input 2 8 2 3 3 4 2" xfId="28876"/>
    <cellStyle name="Input 2 8 2 3 3 4 3" xfId="39721"/>
    <cellStyle name="Input 2 8 2 3 3 4 4" xfId="18332"/>
    <cellStyle name="Input 2 8 2 3 3 5" xfId="20700"/>
    <cellStyle name="Input 2 8 2 3 3 6" xfId="31545"/>
    <cellStyle name="Input 2 8 2 3 3 7" xfId="12478"/>
    <cellStyle name="Input 2 8 2 3 4" xfId="2124"/>
    <cellStyle name="Input 2 8 2 3 4 2" xfId="4977"/>
    <cellStyle name="Input 2 8 2 3 4 2 2" xfId="23949"/>
    <cellStyle name="Input 2 8 2 3 4 2 3" xfId="34794"/>
    <cellStyle name="Input 2 8 2 3 4 2 4" xfId="14801"/>
    <cellStyle name="Input 2 8 2 3 4 3" xfId="7648"/>
    <cellStyle name="Input 2 8 2 3 4 3 2" xfId="26620"/>
    <cellStyle name="Input 2 8 2 3 4 3 3" xfId="37465"/>
    <cellStyle name="Input 2 8 2 3 4 3 4" xfId="16714"/>
    <cellStyle name="Input 2 8 2 3 4 4" xfId="10307"/>
    <cellStyle name="Input 2 8 2 3 4 4 2" xfId="29279"/>
    <cellStyle name="Input 2 8 2 3 4 4 3" xfId="40124"/>
    <cellStyle name="Input 2 8 2 3 4 4 4" xfId="18618"/>
    <cellStyle name="Input 2 8 2 3 4 5" xfId="21103"/>
    <cellStyle name="Input 2 8 2 3 4 6" xfId="31948"/>
    <cellStyle name="Input 2 8 2 3 4 7" xfId="12764"/>
    <cellStyle name="Input 2 8 2 3 5" xfId="2514"/>
    <cellStyle name="Input 2 8 2 3 5 2" xfId="5366"/>
    <cellStyle name="Input 2 8 2 3 5 2 2" xfId="24338"/>
    <cellStyle name="Input 2 8 2 3 5 2 3" xfId="35183"/>
    <cellStyle name="Input 2 8 2 3 5 2 4" xfId="15080"/>
    <cellStyle name="Input 2 8 2 3 5 3" xfId="8037"/>
    <cellStyle name="Input 2 8 2 3 5 3 2" xfId="27009"/>
    <cellStyle name="Input 2 8 2 3 5 3 3" xfId="37854"/>
    <cellStyle name="Input 2 8 2 3 5 3 4" xfId="16993"/>
    <cellStyle name="Input 2 8 2 3 5 4" xfId="10696"/>
    <cellStyle name="Input 2 8 2 3 5 4 2" xfId="29668"/>
    <cellStyle name="Input 2 8 2 3 5 4 3" xfId="40513"/>
    <cellStyle name="Input 2 8 2 3 5 4 4" xfId="18897"/>
    <cellStyle name="Input 2 8 2 3 5 5" xfId="21492"/>
    <cellStyle name="Input 2 8 2 3 5 6" xfId="32337"/>
    <cellStyle name="Input 2 8 2 3 5 7" xfId="13043"/>
    <cellStyle name="Input 2 8 2 3 6" xfId="2900"/>
    <cellStyle name="Input 2 8 2 3 6 2" xfId="5751"/>
    <cellStyle name="Input 2 8 2 3 6 2 2" xfId="24723"/>
    <cellStyle name="Input 2 8 2 3 6 2 3" xfId="35568"/>
    <cellStyle name="Input 2 8 2 3 6 2 4" xfId="15356"/>
    <cellStyle name="Input 2 8 2 3 6 3" xfId="8422"/>
    <cellStyle name="Input 2 8 2 3 6 3 2" xfId="27394"/>
    <cellStyle name="Input 2 8 2 3 6 3 3" xfId="38239"/>
    <cellStyle name="Input 2 8 2 3 6 3 4" xfId="17269"/>
    <cellStyle name="Input 2 8 2 3 6 4" xfId="11081"/>
    <cellStyle name="Input 2 8 2 3 6 4 2" xfId="30053"/>
    <cellStyle name="Input 2 8 2 3 6 4 3" xfId="40898"/>
    <cellStyle name="Input 2 8 2 3 6 4 4" xfId="19173"/>
    <cellStyle name="Input 2 8 2 3 6 5" xfId="21877"/>
    <cellStyle name="Input 2 8 2 3 6 6" xfId="32722"/>
    <cellStyle name="Input 2 8 2 3 6 7" xfId="13319"/>
    <cellStyle name="Input 2 8 2 3 7" xfId="3589"/>
    <cellStyle name="Input 2 8 2 3 7 2" xfId="22561"/>
    <cellStyle name="Input 2 8 2 3 7 3" xfId="33406"/>
    <cellStyle name="Input 2 8 2 3 7 4" xfId="13800"/>
    <cellStyle name="Input 2 8 2 3 8" xfId="6264"/>
    <cellStyle name="Input 2 8 2 3 8 2" xfId="25236"/>
    <cellStyle name="Input 2 8 2 3 8 3" xfId="36081"/>
    <cellStyle name="Input 2 8 2 3 8 4" xfId="15716"/>
    <cellStyle name="Input 2 8 2 3 9" xfId="8923"/>
    <cellStyle name="Input 2 8 2 3 9 2" xfId="27895"/>
    <cellStyle name="Input 2 8 2 3 9 3" xfId="38740"/>
    <cellStyle name="Input 2 8 2 3 9 4" xfId="17620"/>
    <cellStyle name="Input 2 8 2 4" xfId="794"/>
    <cellStyle name="Input 2 8 2 4 10" xfId="19779"/>
    <cellStyle name="Input 2 8 2 4 11" xfId="30624"/>
    <cellStyle name="Input 2 8 2 4 12" xfId="11806"/>
    <cellStyle name="Input 2 8 2 4 2" xfId="1381"/>
    <cellStyle name="Input 2 8 2 4 2 2" xfId="4234"/>
    <cellStyle name="Input 2 8 2 4 2 2 2" xfId="23206"/>
    <cellStyle name="Input 2 8 2 4 2 2 3" xfId="34051"/>
    <cellStyle name="Input 2 8 2 4 2 2 4" xfId="14267"/>
    <cellStyle name="Input 2 8 2 4 2 3" xfId="6907"/>
    <cellStyle name="Input 2 8 2 4 2 3 2" xfId="25879"/>
    <cellStyle name="Input 2 8 2 4 2 3 3" xfId="36724"/>
    <cellStyle name="Input 2 8 2 4 2 3 4" xfId="16182"/>
    <cellStyle name="Input 2 8 2 4 2 4" xfId="9566"/>
    <cellStyle name="Input 2 8 2 4 2 4 2" xfId="28538"/>
    <cellStyle name="Input 2 8 2 4 2 4 3" xfId="39383"/>
    <cellStyle name="Input 2 8 2 4 2 4 4" xfId="18086"/>
    <cellStyle name="Input 2 8 2 4 2 5" xfId="20362"/>
    <cellStyle name="Input 2 8 2 4 2 6" xfId="31207"/>
    <cellStyle name="Input 2 8 2 4 2 7" xfId="12232"/>
    <cellStyle name="Input 2 8 2 4 3" xfId="1780"/>
    <cellStyle name="Input 2 8 2 4 3 2" xfId="4633"/>
    <cellStyle name="Input 2 8 2 4 3 2 2" xfId="23605"/>
    <cellStyle name="Input 2 8 2 4 3 2 3" xfId="34450"/>
    <cellStyle name="Input 2 8 2 4 3 2 4" xfId="14554"/>
    <cellStyle name="Input 2 8 2 4 3 3" xfId="7305"/>
    <cellStyle name="Input 2 8 2 4 3 3 2" xfId="26277"/>
    <cellStyle name="Input 2 8 2 4 3 3 3" xfId="37122"/>
    <cellStyle name="Input 2 8 2 4 3 3 4" xfId="16468"/>
    <cellStyle name="Input 2 8 2 4 3 4" xfId="9964"/>
    <cellStyle name="Input 2 8 2 4 3 4 2" xfId="28936"/>
    <cellStyle name="Input 2 8 2 4 3 4 3" xfId="39781"/>
    <cellStyle name="Input 2 8 2 4 3 4 4" xfId="18372"/>
    <cellStyle name="Input 2 8 2 4 3 5" xfId="20760"/>
    <cellStyle name="Input 2 8 2 4 3 6" xfId="31605"/>
    <cellStyle name="Input 2 8 2 4 3 7" xfId="12518"/>
    <cellStyle name="Input 2 8 2 4 4" xfId="2184"/>
    <cellStyle name="Input 2 8 2 4 4 2" xfId="5037"/>
    <cellStyle name="Input 2 8 2 4 4 2 2" xfId="24009"/>
    <cellStyle name="Input 2 8 2 4 4 2 3" xfId="34854"/>
    <cellStyle name="Input 2 8 2 4 4 2 4" xfId="14841"/>
    <cellStyle name="Input 2 8 2 4 4 3" xfId="7708"/>
    <cellStyle name="Input 2 8 2 4 4 3 2" xfId="26680"/>
    <cellStyle name="Input 2 8 2 4 4 3 3" xfId="37525"/>
    <cellStyle name="Input 2 8 2 4 4 3 4" xfId="16754"/>
    <cellStyle name="Input 2 8 2 4 4 4" xfId="10367"/>
    <cellStyle name="Input 2 8 2 4 4 4 2" xfId="29339"/>
    <cellStyle name="Input 2 8 2 4 4 4 3" xfId="40184"/>
    <cellStyle name="Input 2 8 2 4 4 4 4" xfId="18658"/>
    <cellStyle name="Input 2 8 2 4 4 5" xfId="21163"/>
    <cellStyle name="Input 2 8 2 4 4 6" xfId="32008"/>
    <cellStyle name="Input 2 8 2 4 4 7" xfId="12804"/>
    <cellStyle name="Input 2 8 2 4 5" xfId="2574"/>
    <cellStyle name="Input 2 8 2 4 5 2" xfId="5426"/>
    <cellStyle name="Input 2 8 2 4 5 2 2" xfId="24398"/>
    <cellStyle name="Input 2 8 2 4 5 2 3" xfId="35243"/>
    <cellStyle name="Input 2 8 2 4 5 2 4" xfId="15120"/>
    <cellStyle name="Input 2 8 2 4 5 3" xfId="8097"/>
    <cellStyle name="Input 2 8 2 4 5 3 2" xfId="27069"/>
    <cellStyle name="Input 2 8 2 4 5 3 3" xfId="37914"/>
    <cellStyle name="Input 2 8 2 4 5 3 4" xfId="17033"/>
    <cellStyle name="Input 2 8 2 4 5 4" xfId="10756"/>
    <cellStyle name="Input 2 8 2 4 5 4 2" xfId="29728"/>
    <cellStyle name="Input 2 8 2 4 5 4 3" xfId="40573"/>
    <cellStyle name="Input 2 8 2 4 5 4 4" xfId="18937"/>
    <cellStyle name="Input 2 8 2 4 5 5" xfId="21552"/>
    <cellStyle name="Input 2 8 2 4 5 6" xfId="32397"/>
    <cellStyle name="Input 2 8 2 4 5 7" xfId="13083"/>
    <cellStyle name="Input 2 8 2 4 6" xfId="2960"/>
    <cellStyle name="Input 2 8 2 4 6 2" xfId="5811"/>
    <cellStyle name="Input 2 8 2 4 6 2 2" xfId="24783"/>
    <cellStyle name="Input 2 8 2 4 6 2 3" xfId="35628"/>
    <cellStyle name="Input 2 8 2 4 6 2 4" xfId="15396"/>
    <cellStyle name="Input 2 8 2 4 6 3" xfId="8482"/>
    <cellStyle name="Input 2 8 2 4 6 3 2" xfId="27454"/>
    <cellStyle name="Input 2 8 2 4 6 3 3" xfId="38299"/>
    <cellStyle name="Input 2 8 2 4 6 3 4" xfId="17309"/>
    <cellStyle name="Input 2 8 2 4 6 4" xfId="11141"/>
    <cellStyle name="Input 2 8 2 4 6 4 2" xfId="30113"/>
    <cellStyle name="Input 2 8 2 4 6 4 3" xfId="40958"/>
    <cellStyle name="Input 2 8 2 4 6 4 4" xfId="19213"/>
    <cellStyle name="Input 2 8 2 4 6 5" xfId="21937"/>
    <cellStyle name="Input 2 8 2 4 6 6" xfId="32782"/>
    <cellStyle name="Input 2 8 2 4 6 7" xfId="13359"/>
    <cellStyle name="Input 2 8 2 4 7" xfId="3649"/>
    <cellStyle name="Input 2 8 2 4 7 2" xfId="22621"/>
    <cellStyle name="Input 2 8 2 4 7 3" xfId="33466"/>
    <cellStyle name="Input 2 8 2 4 7 4" xfId="13840"/>
    <cellStyle name="Input 2 8 2 4 8" xfId="6324"/>
    <cellStyle name="Input 2 8 2 4 8 2" xfId="25296"/>
    <cellStyle name="Input 2 8 2 4 8 3" xfId="36141"/>
    <cellStyle name="Input 2 8 2 4 8 4" xfId="15756"/>
    <cellStyle name="Input 2 8 2 4 9" xfId="8983"/>
    <cellStyle name="Input 2 8 2 4 9 2" xfId="27955"/>
    <cellStyle name="Input 2 8 2 4 9 3" xfId="38800"/>
    <cellStyle name="Input 2 8 2 4 9 4" xfId="17660"/>
    <cellStyle name="Input 2 8 2 5" xfId="853"/>
    <cellStyle name="Input 2 8 2 5 10" xfId="19838"/>
    <cellStyle name="Input 2 8 2 5 11" xfId="30683"/>
    <cellStyle name="Input 2 8 2 5 12" xfId="11845"/>
    <cellStyle name="Input 2 8 2 5 2" xfId="1440"/>
    <cellStyle name="Input 2 8 2 5 2 2" xfId="4293"/>
    <cellStyle name="Input 2 8 2 5 2 2 2" xfId="23265"/>
    <cellStyle name="Input 2 8 2 5 2 2 3" xfId="34110"/>
    <cellStyle name="Input 2 8 2 5 2 2 4" xfId="14306"/>
    <cellStyle name="Input 2 8 2 5 2 3" xfId="6966"/>
    <cellStyle name="Input 2 8 2 5 2 3 2" xfId="25938"/>
    <cellStyle name="Input 2 8 2 5 2 3 3" xfId="36783"/>
    <cellStyle name="Input 2 8 2 5 2 3 4" xfId="16221"/>
    <cellStyle name="Input 2 8 2 5 2 4" xfId="9625"/>
    <cellStyle name="Input 2 8 2 5 2 4 2" xfId="28597"/>
    <cellStyle name="Input 2 8 2 5 2 4 3" xfId="39442"/>
    <cellStyle name="Input 2 8 2 5 2 4 4" xfId="18125"/>
    <cellStyle name="Input 2 8 2 5 2 5" xfId="20421"/>
    <cellStyle name="Input 2 8 2 5 2 6" xfId="31266"/>
    <cellStyle name="Input 2 8 2 5 2 7" xfId="12271"/>
    <cellStyle name="Input 2 8 2 5 3" xfId="1839"/>
    <cellStyle name="Input 2 8 2 5 3 2" xfId="4692"/>
    <cellStyle name="Input 2 8 2 5 3 2 2" xfId="23664"/>
    <cellStyle name="Input 2 8 2 5 3 2 3" xfId="34509"/>
    <cellStyle name="Input 2 8 2 5 3 2 4" xfId="14593"/>
    <cellStyle name="Input 2 8 2 5 3 3" xfId="7364"/>
    <cellStyle name="Input 2 8 2 5 3 3 2" xfId="26336"/>
    <cellStyle name="Input 2 8 2 5 3 3 3" xfId="37181"/>
    <cellStyle name="Input 2 8 2 5 3 3 4" xfId="16507"/>
    <cellStyle name="Input 2 8 2 5 3 4" xfId="10023"/>
    <cellStyle name="Input 2 8 2 5 3 4 2" xfId="28995"/>
    <cellStyle name="Input 2 8 2 5 3 4 3" xfId="39840"/>
    <cellStyle name="Input 2 8 2 5 3 4 4" xfId="18411"/>
    <cellStyle name="Input 2 8 2 5 3 5" xfId="20819"/>
    <cellStyle name="Input 2 8 2 5 3 6" xfId="31664"/>
    <cellStyle name="Input 2 8 2 5 3 7" xfId="12557"/>
    <cellStyle name="Input 2 8 2 5 4" xfId="2243"/>
    <cellStyle name="Input 2 8 2 5 4 2" xfId="5096"/>
    <cellStyle name="Input 2 8 2 5 4 2 2" xfId="24068"/>
    <cellStyle name="Input 2 8 2 5 4 2 3" xfId="34913"/>
    <cellStyle name="Input 2 8 2 5 4 2 4" xfId="14880"/>
    <cellStyle name="Input 2 8 2 5 4 3" xfId="7767"/>
    <cellStyle name="Input 2 8 2 5 4 3 2" xfId="26739"/>
    <cellStyle name="Input 2 8 2 5 4 3 3" xfId="37584"/>
    <cellStyle name="Input 2 8 2 5 4 3 4" xfId="16793"/>
    <cellStyle name="Input 2 8 2 5 4 4" xfId="10426"/>
    <cellStyle name="Input 2 8 2 5 4 4 2" xfId="29398"/>
    <cellStyle name="Input 2 8 2 5 4 4 3" xfId="40243"/>
    <cellStyle name="Input 2 8 2 5 4 4 4" xfId="18697"/>
    <cellStyle name="Input 2 8 2 5 4 5" xfId="21222"/>
    <cellStyle name="Input 2 8 2 5 4 6" xfId="32067"/>
    <cellStyle name="Input 2 8 2 5 4 7" xfId="12843"/>
    <cellStyle name="Input 2 8 2 5 5" xfId="2633"/>
    <cellStyle name="Input 2 8 2 5 5 2" xfId="5485"/>
    <cellStyle name="Input 2 8 2 5 5 2 2" xfId="24457"/>
    <cellStyle name="Input 2 8 2 5 5 2 3" xfId="35302"/>
    <cellStyle name="Input 2 8 2 5 5 2 4" xfId="15159"/>
    <cellStyle name="Input 2 8 2 5 5 3" xfId="8156"/>
    <cellStyle name="Input 2 8 2 5 5 3 2" xfId="27128"/>
    <cellStyle name="Input 2 8 2 5 5 3 3" xfId="37973"/>
    <cellStyle name="Input 2 8 2 5 5 3 4" xfId="17072"/>
    <cellStyle name="Input 2 8 2 5 5 4" xfId="10815"/>
    <cellStyle name="Input 2 8 2 5 5 4 2" xfId="29787"/>
    <cellStyle name="Input 2 8 2 5 5 4 3" xfId="40632"/>
    <cellStyle name="Input 2 8 2 5 5 4 4" xfId="18976"/>
    <cellStyle name="Input 2 8 2 5 5 5" xfId="21611"/>
    <cellStyle name="Input 2 8 2 5 5 6" xfId="32456"/>
    <cellStyle name="Input 2 8 2 5 5 7" xfId="13122"/>
    <cellStyle name="Input 2 8 2 5 6" xfId="3019"/>
    <cellStyle name="Input 2 8 2 5 6 2" xfId="5870"/>
    <cellStyle name="Input 2 8 2 5 6 2 2" xfId="24842"/>
    <cellStyle name="Input 2 8 2 5 6 2 3" xfId="35687"/>
    <cellStyle name="Input 2 8 2 5 6 2 4" xfId="15435"/>
    <cellStyle name="Input 2 8 2 5 6 3" xfId="8541"/>
    <cellStyle name="Input 2 8 2 5 6 3 2" xfId="27513"/>
    <cellStyle name="Input 2 8 2 5 6 3 3" xfId="38358"/>
    <cellStyle name="Input 2 8 2 5 6 3 4" xfId="17348"/>
    <cellStyle name="Input 2 8 2 5 6 4" xfId="11200"/>
    <cellStyle name="Input 2 8 2 5 6 4 2" xfId="30172"/>
    <cellStyle name="Input 2 8 2 5 6 4 3" xfId="41017"/>
    <cellStyle name="Input 2 8 2 5 6 4 4" xfId="19252"/>
    <cellStyle name="Input 2 8 2 5 6 5" xfId="21996"/>
    <cellStyle name="Input 2 8 2 5 6 6" xfId="32841"/>
    <cellStyle name="Input 2 8 2 5 6 7" xfId="13398"/>
    <cellStyle name="Input 2 8 2 5 7" xfId="3708"/>
    <cellStyle name="Input 2 8 2 5 7 2" xfId="22680"/>
    <cellStyle name="Input 2 8 2 5 7 3" xfId="33525"/>
    <cellStyle name="Input 2 8 2 5 7 4" xfId="13879"/>
    <cellStyle name="Input 2 8 2 5 8" xfId="6383"/>
    <cellStyle name="Input 2 8 2 5 8 2" xfId="25355"/>
    <cellStyle name="Input 2 8 2 5 8 3" xfId="36200"/>
    <cellStyle name="Input 2 8 2 5 8 4" xfId="15795"/>
    <cellStyle name="Input 2 8 2 5 9" xfId="9042"/>
    <cellStyle name="Input 2 8 2 5 9 2" xfId="28014"/>
    <cellStyle name="Input 2 8 2 5 9 3" xfId="38859"/>
    <cellStyle name="Input 2 8 2 5 9 4" xfId="17699"/>
    <cellStyle name="Input 2 8 2 6" xfId="1075"/>
    <cellStyle name="Input 2 8 2 6 2" xfId="3928"/>
    <cellStyle name="Input 2 8 2 6 2 2" xfId="22900"/>
    <cellStyle name="Input 2 8 2 6 2 3" xfId="33745"/>
    <cellStyle name="Input 2 8 2 6 2 4" xfId="14041"/>
    <cellStyle name="Input 2 8 2 6 3" xfId="6602"/>
    <cellStyle name="Input 2 8 2 6 3 2" xfId="25574"/>
    <cellStyle name="Input 2 8 2 6 3 3" xfId="36419"/>
    <cellStyle name="Input 2 8 2 6 3 4" xfId="15957"/>
    <cellStyle name="Input 2 8 2 6 4" xfId="9261"/>
    <cellStyle name="Input 2 8 2 6 4 2" xfId="28233"/>
    <cellStyle name="Input 2 8 2 6 4 3" xfId="39078"/>
    <cellStyle name="Input 2 8 2 6 4 4" xfId="17861"/>
    <cellStyle name="Input 2 8 2 6 5" xfId="20057"/>
    <cellStyle name="Input 2 8 2 6 6" xfId="30902"/>
    <cellStyle name="Input 2 8 2 6 7" xfId="12007"/>
    <cellStyle name="Input 2 8 2 7" xfId="982"/>
    <cellStyle name="Input 2 8 2 7 2" xfId="3835"/>
    <cellStyle name="Input 2 8 2 7 2 2" xfId="22807"/>
    <cellStyle name="Input 2 8 2 7 2 3" xfId="33652"/>
    <cellStyle name="Input 2 8 2 7 2 4" xfId="13970"/>
    <cellStyle name="Input 2 8 2 7 3" xfId="6510"/>
    <cellStyle name="Input 2 8 2 7 3 2" xfId="25482"/>
    <cellStyle name="Input 2 8 2 7 3 3" xfId="36327"/>
    <cellStyle name="Input 2 8 2 7 3 4" xfId="15886"/>
    <cellStyle name="Input 2 8 2 7 4" xfId="9169"/>
    <cellStyle name="Input 2 8 2 7 4 2" xfId="28141"/>
    <cellStyle name="Input 2 8 2 7 4 3" xfId="38986"/>
    <cellStyle name="Input 2 8 2 7 4 4" xfId="17790"/>
    <cellStyle name="Input 2 8 2 7 5" xfId="19965"/>
    <cellStyle name="Input 2 8 2 7 6" xfId="30810"/>
    <cellStyle name="Input 2 8 2 7 7" xfId="11936"/>
    <cellStyle name="Input 2 8 2 8" xfId="1042"/>
    <cellStyle name="Input 2 8 2 8 2" xfId="3895"/>
    <cellStyle name="Input 2 8 2 8 2 2" xfId="22867"/>
    <cellStyle name="Input 2 8 2 8 2 3" xfId="33712"/>
    <cellStyle name="Input 2 8 2 8 2 4" xfId="14012"/>
    <cellStyle name="Input 2 8 2 8 3" xfId="6569"/>
    <cellStyle name="Input 2 8 2 8 3 2" xfId="25541"/>
    <cellStyle name="Input 2 8 2 8 3 3" xfId="36386"/>
    <cellStyle name="Input 2 8 2 8 3 4" xfId="15928"/>
    <cellStyle name="Input 2 8 2 8 4" xfId="9228"/>
    <cellStyle name="Input 2 8 2 8 4 2" xfId="28200"/>
    <cellStyle name="Input 2 8 2 8 4 3" xfId="39045"/>
    <cellStyle name="Input 2 8 2 8 4 4" xfId="17832"/>
    <cellStyle name="Input 2 8 2 8 5" xfId="20024"/>
    <cellStyle name="Input 2 8 2 8 6" xfId="30869"/>
    <cellStyle name="Input 2 8 2 8 7" xfId="11978"/>
    <cellStyle name="Input 2 8 2 9" xfId="1228"/>
    <cellStyle name="Input 2 8 2 9 2" xfId="4081"/>
    <cellStyle name="Input 2 8 2 9 2 2" xfId="23053"/>
    <cellStyle name="Input 2 8 2 9 2 3" xfId="33898"/>
    <cellStyle name="Input 2 8 2 9 2 4" xfId="14154"/>
    <cellStyle name="Input 2 8 2 9 3" xfId="6754"/>
    <cellStyle name="Input 2 8 2 9 3 2" xfId="25726"/>
    <cellStyle name="Input 2 8 2 9 3 3" xfId="36571"/>
    <cellStyle name="Input 2 8 2 9 3 4" xfId="16069"/>
    <cellStyle name="Input 2 8 2 9 4" xfId="9413"/>
    <cellStyle name="Input 2 8 2 9 4 2" xfId="28385"/>
    <cellStyle name="Input 2 8 2 9 4 3" xfId="39230"/>
    <cellStyle name="Input 2 8 2 9 4 4" xfId="17973"/>
    <cellStyle name="Input 2 8 2 9 5" xfId="20209"/>
    <cellStyle name="Input 2 8 2 9 6" xfId="31054"/>
    <cellStyle name="Input 2 8 2 9 7" xfId="12119"/>
    <cellStyle name="Input 2 8 3" xfId="557"/>
    <cellStyle name="Input 2 8 3 10" xfId="19567"/>
    <cellStyle name="Input 2 8 3 11" xfId="30412"/>
    <cellStyle name="Input 2 8 3 12" xfId="11631"/>
    <cellStyle name="Input 2 8 3 2" xfId="1163"/>
    <cellStyle name="Input 2 8 3 2 2" xfId="4016"/>
    <cellStyle name="Input 2 8 3 2 2 2" xfId="22988"/>
    <cellStyle name="Input 2 8 3 2 2 3" xfId="33833"/>
    <cellStyle name="Input 2 8 3 2 2 4" xfId="14108"/>
    <cellStyle name="Input 2 8 3 2 3" xfId="6689"/>
    <cellStyle name="Input 2 8 3 2 3 2" xfId="25661"/>
    <cellStyle name="Input 2 8 3 2 3 3" xfId="36506"/>
    <cellStyle name="Input 2 8 3 2 3 4" xfId="16023"/>
    <cellStyle name="Input 2 8 3 2 4" xfId="9348"/>
    <cellStyle name="Input 2 8 3 2 4 2" xfId="28320"/>
    <cellStyle name="Input 2 8 3 2 4 3" xfId="39165"/>
    <cellStyle name="Input 2 8 3 2 4 4" xfId="17927"/>
    <cellStyle name="Input 2 8 3 2 5" xfId="20144"/>
    <cellStyle name="Input 2 8 3 2 6" xfId="30989"/>
    <cellStyle name="Input 2 8 3 2 7" xfId="12073"/>
    <cellStyle name="Input 2 8 3 3" xfId="1560"/>
    <cellStyle name="Input 2 8 3 3 2" xfId="4413"/>
    <cellStyle name="Input 2 8 3 3 2 2" xfId="23385"/>
    <cellStyle name="Input 2 8 3 3 2 3" xfId="34230"/>
    <cellStyle name="Input 2 8 3 3 2 4" xfId="14394"/>
    <cellStyle name="Input 2 8 3 3 3" xfId="7085"/>
    <cellStyle name="Input 2 8 3 3 3 2" xfId="26057"/>
    <cellStyle name="Input 2 8 3 3 3 3" xfId="36902"/>
    <cellStyle name="Input 2 8 3 3 3 4" xfId="16308"/>
    <cellStyle name="Input 2 8 3 3 4" xfId="9744"/>
    <cellStyle name="Input 2 8 3 3 4 2" xfId="28716"/>
    <cellStyle name="Input 2 8 3 3 4 3" xfId="39561"/>
    <cellStyle name="Input 2 8 3 3 4 4" xfId="18212"/>
    <cellStyle name="Input 2 8 3 3 5" xfId="20540"/>
    <cellStyle name="Input 2 8 3 3 6" xfId="31385"/>
    <cellStyle name="Input 2 8 3 3 7" xfId="12358"/>
    <cellStyle name="Input 2 8 3 4" xfId="1964"/>
    <cellStyle name="Input 2 8 3 4 2" xfId="4817"/>
    <cellStyle name="Input 2 8 3 4 2 2" xfId="23789"/>
    <cellStyle name="Input 2 8 3 4 2 3" xfId="34634"/>
    <cellStyle name="Input 2 8 3 4 2 4" xfId="14682"/>
    <cellStyle name="Input 2 8 3 4 3" xfId="7489"/>
    <cellStyle name="Input 2 8 3 4 3 2" xfId="26461"/>
    <cellStyle name="Input 2 8 3 4 3 3" xfId="37306"/>
    <cellStyle name="Input 2 8 3 4 3 4" xfId="16596"/>
    <cellStyle name="Input 2 8 3 4 4" xfId="10148"/>
    <cellStyle name="Input 2 8 3 4 4 2" xfId="29120"/>
    <cellStyle name="Input 2 8 3 4 4 3" xfId="39965"/>
    <cellStyle name="Input 2 8 3 4 4 4" xfId="18500"/>
    <cellStyle name="Input 2 8 3 4 5" xfId="20944"/>
    <cellStyle name="Input 2 8 3 4 6" xfId="31789"/>
    <cellStyle name="Input 2 8 3 4 7" xfId="12646"/>
    <cellStyle name="Input 2 8 3 5" xfId="2356"/>
    <cellStyle name="Input 2 8 3 5 2" xfId="5209"/>
    <cellStyle name="Input 2 8 3 5 2 2" xfId="24181"/>
    <cellStyle name="Input 2 8 3 5 2 3" xfId="35026"/>
    <cellStyle name="Input 2 8 3 5 2 4" xfId="14963"/>
    <cellStyle name="Input 2 8 3 5 3" xfId="7880"/>
    <cellStyle name="Input 2 8 3 5 3 2" xfId="26852"/>
    <cellStyle name="Input 2 8 3 5 3 3" xfId="37697"/>
    <cellStyle name="Input 2 8 3 5 3 4" xfId="16876"/>
    <cellStyle name="Input 2 8 3 5 4" xfId="10539"/>
    <cellStyle name="Input 2 8 3 5 4 2" xfId="29511"/>
    <cellStyle name="Input 2 8 3 5 4 3" xfId="40356"/>
    <cellStyle name="Input 2 8 3 5 4 4" xfId="18780"/>
    <cellStyle name="Input 2 8 3 5 5" xfId="21335"/>
    <cellStyle name="Input 2 8 3 5 6" xfId="32180"/>
    <cellStyle name="Input 2 8 3 5 7" xfId="12926"/>
    <cellStyle name="Input 2 8 3 6" xfId="2745"/>
    <cellStyle name="Input 2 8 3 6 2" xfId="5597"/>
    <cellStyle name="Input 2 8 3 6 2 2" xfId="24569"/>
    <cellStyle name="Input 2 8 3 6 2 3" xfId="35414"/>
    <cellStyle name="Input 2 8 3 6 2 4" xfId="15241"/>
    <cellStyle name="Input 2 8 3 6 3" xfId="8268"/>
    <cellStyle name="Input 2 8 3 6 3 2" xfId="27240"/>
    <cellStyle name="Input 2 8 3 6 3 3" xfId="38085"/>
    <cellStyle name="Input 2 8 3 6 3 4" xfId="17154"/>
    <cellStyle name="Input 2 8 3 6 4" xfId="10927"/>
    <cellStyle name="Input 2 8 3 6 4 2" xfId="29899"/>
    <cellStyle name="Input 2 8 3 6 4 3" xfId="40744"/>
    <cellStyle name="Input 2 8 3 6 4 4" xfId="19058"/>
    <cellStyle name="Input 2 8 3 6 5" xfId="21723"/>
    <cellStyle name="Input 2 8 3 6 6" xfId="32568"/>
    <cellStyle name="Input 2 8 3 6 7" xfId="13204"/>
    <cellStyle name="Input 2 8 3 7" xfId="3436"/>
    <cellStyle name="Input 2 8 3 7 2" xfId="22408"/>
    <cellStyle name="Input 2 8 3 7 3" xfId="33253"/>
    <cellStyle name="Input 2 8 3 7 4" xfId="13686"/>
    <cellStyle name="Input 2 8 3 8" xfId="6112"/>
    <cellStyle name="Input 2 8 3 8 2" xfId="25084"/>
    <cellStyle name="Input 2 8 3 8 3" xfId="35929"/>
    <cellStyle name="Input 2 8 3 8 4" xfId="15603"/>
    <cellStyle name="Input 2 8 3 9" xfId="8771"/>
    <cellStyle name="Input 2 8 3 9 2" xfId="27743"/>
    <cellStyle name="Input 2 8 3 9 3" xfId="38588"/>
    <cellStyle name="Input 2 8 3 9 4" xfId="17507"/>
    <cellStyle name="Input 2 8 4" xfId="11455"/>
    <cellStyle name="Input 2 9" xfId="366"/>
    <cellStyle name="Input 2 9 10" xfId="930"/>
    <cellStyle name="Input 2 9 10 2" xfId="3784"/>
    <cellStyle name="Input 2 9 10 2 2" xfId="22756"/>
    <cellStyle name="Input 2 9 10 2 3" xfId="33601"/>
    <cellStyle name="Input 2 9 10 2 4" xfId="13930"/>
    <cellStyle name="Input 2 9 10 3" xfId="6459"/>
    <cellStyle name="Input 2 9 10 3 2" xfId="25431"/>
    <cellStyle name="Input 2 9 10 3 3" xfId="36276"/>
    <cellStyle name="Input 2 9 10 3 4" xfId="15846"/>
    <cellStyle name="Input 2 9 10 4" xfId="9118"/>
    <cellStyle name="Input 2 9 10 4 2" xfId="28090"/>
    <cellStyle name="Input 2 9 10 4 3" xfId="38935"/>
    <cellStyle name="Input 2 9 10 4 4" xfId="17750"/>
    <cellStyle name="Input 2 9 10 5" xfId="19914"/>
    <cellStyle name="Input 2 9 10 6" xfId="30759"/>
    <cellStyle name="Input 2 9 10 7" xfId="11896"/>
    <cellStyle name="Input 2 9 11" xfId="1023"/>
    <cellStyle name="Input 2 9 11 2" xfId="3876"/>
    <cellStyle name="Input 2 9 11 2 2" xfId="22848"/>
    <cellStyle name="Input 2 9 11 2 3" xfId="33693"/>
    <cellStyle name="Input 2 9 11 2 4" xfId="13998"/>
    <cellStyle name="Input 2 9 11 3" xfId="6550"/>
    <cellStyle name="Input 2 9 11 3 2" xfId="25522"/>
    <cellStyle name="Input 2 9 11 3 3" xfId="36367"/>
    <cellStyle name="Input 2 9 11 3 4" xfId="15914"/>
    <cellStyle name="Input 2 9 11 4" xfId="9209"/>
    <cellStyle name="Input 2 9 11 4 2" xfId="28181"/>
    <cellStyle name="Input 2 9 11 4 3" xfId="39026"/>
    <cellStyle name="Input 2 9 11 4 4" xfId="17818"/>
    <cellStyle name="Input 2 9 11 5" xfId="20005"/>
    <cellStyle name="Input 2 9 11 6" xfId="30850"/>
    <cellStyle name="Input 2 9 11 7" xfId="11964"/>
    <cellStyle name="Input 2 9 12" xfId="1135"/>
    <cellStyle name="Input 2 9 12 2" xfId="3988"/>
    <cellStyle name="Input 2 9 12 2 2" xfId="22960"/>
    <cellStyle name="Input 2 9 12 2 3" xfId="33805"/>
    <cellStyle name="Input 2 9 12 2 4" xfId="14080"/>
    <cellStyle name="Input 2 9 12 3" xfId="6661"/>
    <cellStyle name="Input 2 9 12 3 2" xfId="25633"/>
    <cellStyle name="Input 2 9 12 3 3" xfId="36478"/>
    <cellStyle name="Input 2 9 12 3 4" xfId="15995"/>
    <cellStyle name="Input 2 9 12 4" xfId="9320"/>
    <cellStyle name="Input 2 9 12 4 2" xfId="28292"/>
    <cellStyle name="Input 2 9 12 4 3" xfId="39137"/>
    <cellStyle name="Input 2 9 12 4 4" xfId="17899"/>
    <cellStyle name="Input 2 9 12 5" xfId="20116"/>
    <cellStyle name="Input 2 9 12 6" xfId="30961"/>
    <cellStyle name="Input 2 9 12 7" xfId="12045"/>
    <cellStyle name="Input 2 9 13" xfId="1510"/>
    <cellStyle name="Input 2 9 13 2" xfId="4363"/>
    <cellStyle name="Input 2 9 13 2 2" xfId="23335"/>
    <cellStyle name="Input 2 9 13 2 3" xfId="34180"/>
    <cellStyle name="Input 2 9 13 2 4" xfId="14355"/>
    <cellStyle name="Input 2 9 13 3" xfId="7036"/>
    <cellStyle name="Input 2 9 13 3 2" xfId="26008"/>
    <cellStyle name="Input 2 9 13 3 3" xfId="36853"/>
    <cellStyle name="Input 2 9 13 3 4" xfId="16270"/>
    <cellStyle name="Input 2 9 13 4" xfId="9695"/>
    <cellStyle name="Input 2 9 13 4 2" xfId="28667"/>
    <cellStyle name="Input 2 9 13 4 3" xfId="39512"/>
    <cellStyle name="Input 2 9 13 4 4" xfId="18174"/>
    <cellStyle name="Input 2 9 13 5" xfId="20491"/>
    <cellStyle name="Input 2 9 13 6" xfId="31336"/>
    <cellStyle name="Input 2 9 13 7" xfId="12320"/>
    <cellStyle name="Input 2 9 14" xfId="3262"/>
    <cellStyle name="Input 2 9 14 2" xfId="22237"/>
    <cellStyle name="Input 2 9 14 3" xfId="33082"/>
    <cellStyle name="Input 2 9 14 4" xfId="13563"/>
    <cellStyle name="Input 2 9 15" xfId="485"/>
    <cellStyle name="Input 2 9 15 2" xfId="19526"/>
    <cellStyle name="Input 2 9 15 3" xfId="30371"/>
    <cellStyle name="Input 2 9 15 4" xfId="11570"/>
    <cellStyle name="Input 2 9 16" xfId="3240"/>
    <cellStyle name="Input 2 9 16 2" xfId="22217"/>
    <cellStyle name="Input 2 9 16 3" xfId="33062"/>
    <cellStyle name="Input 2 9 16 4" xfId="13544"/>
    <cellStyle name="Input 2 9 17" xfId="19456"/>
    <cellStyle name="Input 2 9 18" xfId="19437"/>
    <cellStyle name="Input 2 9 19" xfId="11515"/>
    <cellStyle name="Input 2 9 2" xfId="667"/>
    <cellStyle name="Input 2 9 2 10" xfId="19652"/>
    <cellStyle name="Input 2 9 2 11" xfId="30497"/>
    <cellStyle name="Input 2 9 2 12" xfId="11719"/>
    <cellStyle name="Input 2 9 2 2" xfId="1254"/>
    <cellStyle name="Input 2 9 2 2 2" xfId="4107"/>
    <cellStyle name="Input 2 9 2 2 2 2" xfId="23079"/>
    <cellStyle name="Input 2 9 2 2 2 3" xfId="33924"/>
    <cellStyle name="Input 2 9 2 2 2 4" xfId="14180"/>
    <cellStyle name="Input 2 9 2 2 3" xfId="6780"/>
    <cellStyle name="Input 2 9 2 2 3 2" xfId="25752"/>
    <cellStyle name="Input 2 9 2 2 3 3" xfId="36597"/>
    <cellStyle name="Input 2 9 2 2 3 4" xfId="16095"/>
    <cellStyle name="Input 2 9 2 2 4" xfId="9439"/>
    <cellStyle name="Input 2 9 2 2 4 2" xfId="28411"/>
    <cellStyle name="Input 2 9 2 2 4 3" xfId="39256"/>
    <cellStyle name="Input 2 9 2 2 4 4" xfId="17999"/>
    <cellStyle name="Input 2 9 2 2 5" xfId="20235"/>
    <cellStyle name="Input 2 9 2 2 6" xfId="31080"/>
    <cellStyle name="Input 2 9 2 2 7" xfId="12145"/>
    <cellStyle name="Input 2 9 2 3" xfId="1653"/>
    <cellStyle name="Input 2 9 2 3 2" xfId="4506"/>
    <cellStyle name="Input 2 9 2 3 2 2" xfId="23478"/>
    <cellStyle name="Input 2 9 2 3 2 3" xfId="34323"/>
    <cellStyle name="Input 2 9 2 3 2 4" xfId="14467"/>
    <cellStyle name="Input 2 9 2 3 3" xfId="7178"/>
    <cellStyle name="Input 2 9 2 3 3 2" xfId="26150"/>
    <cellStyle name="Input 2 9 2 3 3 3" xfId="36995"/>
    <cellStyle name="Input 2 9 2 3 3 4" xfId="16381"/>
    <cellStyle name="Input 2 9 2 3 4" xfId="9837"/>
    <cellStyle name="Input 2 9 2 3 4 2" xfId="28809"/>
    <cellStyle name="Input 2 9 2 3 4 3" xfId="39654"/>
    <cellStyle name="Input 2 9 2 3 4 4" xfId="18285"/>
    <cellStyle name="Input 2 9 2 3 5" xfId="20633"/>
    <cellStyle name="Input 2 9 2 3 6" xfId="31478"/>
    <cellStyle name="Input 2 9 2 3 7" xfId="12431"/>
    <cellStyle name="Input 2 9 2 4" xfId="2057"/>
    <cellStyle name="Input 2 9 2 4 2" xfId="4910"/>
    <cellStyle name="Input 2 9 2 4 2 2" xfId="23882"/>
    <cellStyle name="Input 2 9 2 4 2 3" xfId="34727"/>
    <cellStyle name="Input 2 9 2 4 2 4" xfId="14754"/>
    <cellStyle name="Input 2 9 2 4 3" xfId="7581"/>
    <cellStyle name="Input 2 9 2 4 3 2" xfId="26553"/>
    <cellStyle name="Input 2 9 2 4 3 3" xfId="37398"/>
    <cellStyle name="Input 2 9 2 4 3 4" xfId="16667"/>
    <cellStyle name="Input 2 9 2 4 4" xfId="10240"/>
    <cellStyle name="Input 2 9 2 4 4 2" xfId="29212"/>
    <cellStyle name="Input 2 9 2 4 4 3" xfId="40057"/>
    <cellStyle name="Input 2 9 2 4 4 4" xfId="18571"/>
    <cellStyle name="Input 2 9 2 4 5" xfId="21036"/>
    <cellStyle name="Input 2 9 2 4 6" xfId="31881"/>
    <cellStyle name="Input 2 9 2 4 7" xfId="12717"/>
    <cellStyle name="Input 2 9 2 5" xfId="2447"/>
    <cellStyle name="Input 2 9 2 5 2" xfId="5299"/>
    <cellStyle name="Input 2 9 2 5 2 2" xfId="24271"/>
    <cellStyle name="Input 2 9 2 5 2 3" xfId="35116"/>
    <cellStyle name="Input 2 9 2 5 2 4" xfId="15033"/>
    <cellStyle name="Input 2 9 2 5 3" xfId="7970"/>
    <cellStyle name="Input 2 9 2 5 3 2" xfId="26942"/>
    <cellStyle name="Input 2 9 2 5 3 3" xfId="37787"/>
    <cellStyle name="Input 2 9 2 5 3 4" xfId="16946"/>
    <cellStyle name="Input 2 9 2 5 4" xfId="10629"/>
    <cellStyle name="Input 2 9 2 5 4 2" xfId="29601"/>
    <cellStyle name="Input 2 9 2 5 4 3" xfId="40446"/>
    <cellStyle name="Input 2 9 2 5 4 4" xfId="18850"/>
    <cellStyle name="Input 2 9 2 5 5" xfId="21425"/>
    <cellStyle name="Input 2 9 2 5 6" xfId="32270"/>
    <cellStyle name="Input 2 9 2 5 7" xfId="12996"/>
    <cellStyle name="Input 2 9 2 6" xfId="2833"/>
    <cellStyle name="Input 2 9 2 6 2" xfId="5684"/>
    <cellStyle name="Input 2 9 2 6 2 2" xfId="24656"/>
    <cellStyle name="Input 2 9 2 6 2 3" xfId="35501"/>
    <cellStyle name="Input 2 9 2 6 2 4" xfId="15309"/>
    <cellStyle name="Input 2 9 2 6 3" xfId="8355"/>
    <cellStyle name="Input 2 9 2 6 3 2" xfId="27327"/>
    <cellStyle name="Input 2 9 2 6 3 3" xfId="38172"/>
    <cellStyle name="Input 2 9 2 6 3 4" xfId="17222"/>
    <cellStyle name="Input 2 9 2 6 4" xfId="11014"/>
    <cellStyle name="Input 2 9 2 6 4 2" xfId="29986"/>
    <cellStyle name="Input 2 9 2 6 4 3" xfId="40831"/>
    <cellStyle name="Input 2 9 2 6 4 4" xfId="19126"/>
    <cellStyle name="Input 2 9 2 6 5" xfId="21810"/>
    <cellStyle name="Input 2 9 2 6 6" xfId="32655"/>
    <cellStyle name="Input 2 9 2 6 7" xfId="13272"/>
    <cellStyle name="Input 2 9 2 7" xfId="3522"/>
    <cellStyle name="Input 2 9 2 7 2" xfId="22494"/>
    <cellStyle name="Input 2 9 2 7 3" xfId="33339"/>
    <cellStyle name="Input 2 9 2 7 4" xfId="13753"/>
    <cellStyle name="Input 2 9 2 8" xfId="6197"/>
    <cellStyle name="Input 2 9 2 8 2" xfId="25169"/>
    <cellStyle name="Input 2 9 2 8 3" xfId="36014"/>
    <cellStyle name="Input 2 9 2 8 4" xfId="15669"/>
    <cellStyle name="Input 2 9 2 9" xfId="8856"/>
    <cellStyle name="Input 2 9 2 9 2" xfId="27828"/>
    <cellStyle name="Input 2 9 2 9 3" xfId="38673"/>
    <cellStyle name="Input 2 9 2 9 4" xfId="17573"/>
    <cellStyle name="Input 2 9 3" xfId="727"/>
    <cellStyle name="Input 2 9 3 10" xfId="19712"/>
    <cellStyle name="Input 2 9 3 11" xfId="30557"/>
    <cellStyle name="Input 2 9 3 12" xfId="11759"/>
    <cellStyle name="Input 2 9 3 2" xfId="1314"/>
    <cellStyle name="Input 2 9 3 2 2" xfId="4167"/>
    <cellStyle name="Input 2 9 3 2 2 2" xfId="23139"/>
    <cellStyle name="Input 2 9 3 2 2 3" xfId="33984"/>
    <cellStyle name="Input 2 9 3 2 2 4" xfId="14220"/>
    <cellStyle name="Input 2 9 3 2 3" xfId="6840"/>
    <cellStyle name="Input 2 9 3 2 3 2" xfId="25812"/>
    <cellStyle name="Input 2 9 3 2 3 3" xfId="36657"/>
    <cellStyle name="Input 2 9 3 2 3 4" xfId="16135"/>
    <cellStyle name="Input 2 9 3 2 4" xfId="9499"/>
    <cellStyle name="Input 2 9 3 2 4 2" xfId="28471"/>
    <cellStyle name="Input 2 9 3 2 4 3" xfId="39316"/>
    <cellStyle name="Input 2 9 3 2 4 4" xfId="18039"/>
    <cellStyle name="Input 2 9 3 2 5" xfId="20295"/>
    <cellStyle name="Input 2 9 3 2 6" xfId="31140"/>
    <cellStyle name="Input 2 9 3 2 7" xfId="12185"/>
    <cellStyle name="Input 2 9 3 3" xfId="1713"/>
    <cellStyle name="Input 2 9 3 3 2" xfId="4566"/>
    <cellStyle name="Input 2 9 3 3 2 2" xfId="23538"/>
    <cellStyle name="Input 2 9 3 3 2 3" xfId="34383"/>
    <cellStyle name="Input 2 9 3 3 2 4" xfId="14507"/>
    <cellStyle name="Input 2 9 3 3 3" xfId="7238"/>
    <cellStyle name="Input 2 9 3 3 3 2" xfId="26210"/>
    <cellStyle name="Input 2 9 3 3 3 3" xfId="37055"/>
    <cellStyle name="Input 2 9 3 3 3 4" xfId="16421"/>
    <cellStyle name="Input 2 9 3 3 4" xfId="9897"/>
    <cellStyle name="Input 2 9 3 3 4 2" xfId="28869"/>
    <cellStyle name="Input 2 9 3 3 4 3" xfId="39714"/>
    <cellStyle name="Input 2 9 3 3 4 4" xfId="18325"/>
    <cellStyle name="Input 2 9 3 3 5" xfId="20693"/>
    <cellStyle name="Input 2 9 3 3 6" xfId="31538"/>
    <cellStyle name="Input 2 9 3 3 7" xfId="12471"/>
    <cellStyle name="Input 2 9 3 4" xfId="2117"/>
    <cellStyle name="Input 2 9 3 4 2" xfId="4970"/>
    <cellStyle name="Input 2 9 3 4 2 2" xfId="23942"/>
    <cellStyle name="Input 2 9 3 4 2 3" xfId="34787"/>
    <cellStyle name="Input 2 9 3 4 2 4" xfId="14794"/>
    <cellStyle name="Input 2 9 3 4 3" xfId="7641"/>
    <cellStyle name="Input 2 9 3 4 3 2" xfId="26613"/>
    <cellStyle name="Input 2 9 3 4 3 3" xfId="37458"/>
    <cellStyle name="Input 2 9 3 4 3 4" xfId="16707"/>
    <cellStyle name="Input 2 9 3 4 4" xfId="10300"/>
    <cellStyle name="Input 2 9 3 4 4 2" xfId="29272"/>
    <cellStyle name="Input 2 9 3 4 4 3" xfId="40117"/>
    <cellStyle name="Input 2 9 3 4 4 4" xfId="18611"/>
    <cellStyle name="Input 2 9 3 4 5" xfId="21096"/>
    <cellStyle name="Input 2 9 3 4 6" xfId="31941"/>
    <cellStyle name="Input 2 9 3 4 7" xfId="12757"/>
    <cellStyle name="Input 2 9 3 5" xfId="2507"/>
    <cellStyle name="Input 2 9 3 5 2" xfId="5359"/>
    <cellStyle name="Input 2 9 3 5 2 2" xfId="24331"/>
    <cellStyle name="Input 2 9 3 5 2 3" xfId="35176"/>
    <cellStyle name="Input 2 9 3 5 2 4" xfId="15073"/>
    <cellStyle name="Input 2 9 3 5 3" xfId="8030"/>
    <cellStyle name="Input 2 9 3 5 3 2" xfId="27002"/>
    <cellStyle name="Input 2 9 3 5 3 3" xfId="37847"/>
    <cellStyle name="Input 2 9 3 5 3 4" xfId="16986"/>
    <cellStyle name="Input 2 9 3 5 4" xfId="10689"/>
    <cellStyle name="Input 2 9 3 5 4 2" xfId="29661"/>
    <cellStyle name="Input 2 9 3 5 4 3" xfId="40506"/>
    <cellStyle name="Input 2 9 3 5 4 4" xfId="18890"/>
    <cellStyle name="Input 2 9 3 5 5" xfId="21485"/>
    <cellStyle name="Input 2 9 3 5 6" xfId="32330"/>
    <cellStyle name="Input 2 9 3 5 7" xfId="13036"/>
    <cellStyle name="Input 2 9 3 6" xfId="2893"/>
    <cellStyle name="Input 2 9 3 6 2" xfId="5744"/>
    <cellStyle name="Input 2 9 3 6 2 2" xfId="24716"/>
    <cellStyle name="Input 2 9 3 6 2 3" xfId="35561"/>
    <cellStyle name="Input 2 9 3 6 2 4" xfId="15349"/>
    <cellStyle name="Input 2 9 3 6 3" xfId="8415"/>
    <cellStyle name="Input 2 9 3 6 3 2" xfId="27387"/>
    <cellStyle name="Input 2 9 3 6 3 3" xfId="38232"/>
    <cellStyle name="Input 2 9 3 6 3 4" xfId="17262"/>
    <cellStyle name="Input 2 9 3 6 4" xfId="11074"/>
    <cellStyle name="Input 2 9 3 6 4 2" xfId="30046"/>
    <cellStyle name="Input 2 9 3 6 4 3" xfId="40891"/>
    <cellStyle name="Input 2 9 3 6 4 4" xfId="19166"/>
    <cellStyle name="Input 2 9 3 6 5" xfId="21870"/>
    <cellStyle name="Input 2 9 3 6 6" xfId="32715"/>
    <cellStyle name="Input 2 9 3 6 7" xfId="13312"/>
    <cellStyle name="Input 2 9 3 7" xfId="3582"/>
    <cellStyle name="Input 2 9 3 7 2" xfId="22554"/>
    <cellStyle name="Input 2 9 3 7 3" xfId="33399"/>
    <cellStyle name="Input 2 9 3 7 4" xfId="13793"/>
    <cellStyle name="Input 2 9 3 8" xfId="6257"/>
    <cellStyle name="Input 2 9 3 8 2" xfId="25229"/>
    <cellStyle name="Input 2 9 3 8 3" xfId="36074"/>
    <cellStyle name="Input 2 9 3 8 4" xfId="15709"/>
    <cellStyle name="Input 2 9 3 9" xfId="8916"/>
    <cellStyle name="Input 2 9 3 9 2" xfId="27888"/>
    <cellStyle name="Input 2 9 3 9 3" xfId="38733"/>
    <cellStyle name="Input 2 9 3 9 4" xfId="17613"/>
    <cellStyle name="Input 2 9 4" xfId="787"/>
    <cellStyle name="Input 2 9 4 10" xfId="19772"/>
    <cellStyle name="Input 2 9 4 11" xfId="30617"/>
    <cellStyle name="Input 2 9 4 12" xfId="11799"/>
    <cellStyle name="Input 2 9 4 2" xfId="1374"/>
    <cellStyle name="Input 2 9 4 2 2" xfId="4227"/>
    <cellStyle name="Input 2 9 4 2 2 2" xfId="23199"/>
    <cellStyle name="Input 2 9 4 2 2 3" xfId="34044"/>
    <cellStyle name="Input 2 9 4 2 2 4" xfId="14260"/>
    <cellStyle name="Input 2 9 4 2 3" xfId="6900"/>
    <cellStyle name="Input 2 9 4 2 3 2" xfId="25872"/>
    <cellStyle name="Input 2 9 4 2 3 3" xfId="36717"/>
    <cellStyle name="Input 2 9 4 2 3 4" xfId="16175"/>
    <cellStyle name="Input 2 9 4 2 4" xfId="9559"/>
    <cellStyle name="Input 2 9 4 2 4 2" xfId="28531"/>
    <cellStyle name="Input 2 9 4 2 4 3" xfId="39376"/>
    <cellStyle name="Input 2 9 4 2 4 4" xfId="18079"/>
    <cellStyle name="Input 2 9 4 2 5" xfId="20355"/>
    <cellStyle name="Input 2 9 4 2 6" xfId="31200"/>
    <cellStyle name="Input 2 9 4 2 7" xfId="12225"/>
    <cellStyle name="Input 2 9 4 3" xfId="1773"/>
    <cellStyle name="Input 2 9 4 3 2" xfId="4626"/>
    <cellStyle name="Input 2 9 4 3 2 2" xfId="23598"/>
    <cellStyle name="Input 2 9 4 3 2 3" xfId="34443"/>
    <cellStyle name="Input 2 9 4 3 2 4" xfId="14547"/>
    <cellStyle name="Input 2 9 4 3 3" xfId="7298"/>
    <cellStyle name="Input 2 9 4 3 3 2" xfId="26270"/>
    <cellStyle name="Input 2 9 4 3 3 3" xfId="37115"/>
    <cellStyle name="Input 2 9 4 3 3 4" xfId="16461"/>
    <cellStyle name="Input 2 9 4 3 4" xfId="9957"/>
    <cellStyle name="Input 2 9 4 3 4 2" xfId="28929"/>
    <cellStyle name="Input 2 9 4 3 4 3" xfId="39774"/>
    <cellStyle name="Input 2 9 4 3 4 4" xfId="18365"/>
    <cellStyle name="Input 2 9 4 3 5" xfId="20753"/>
    <cellStyle name="Input 2 9 4 3 6" xfId="31598"/>
    <cellStyle name="Input 2 9 4 3 7" xfId="12511"/>
    <cellStyle name="Input 2 9 4 4" xfId="2177"/>
    <cellStyle name="Input 2 9 4 4 2" xfId="5030"/>
    <cellStyle name="Input 2 9 4 4 2 2" xfId="24002"/>
    <cellStyle name="Input 2 9 4 4 2 3" xfId="34847"/>
    <cellStyle name="Input 2 9 4 4 2 4" xfId="14834"/>
    <cellStyle name="Input 2 9 4 4 3" xfId="7701"/>
    <cellStyle name="Input 2 9 4 4 3 2" xfId="26673"/>
    <cellStyle name="Input 2 9 4 4 3 3" xfId="37518"/>
    <cellStyle name="Input 2 9 4 4 3 4" xfId="16747"/>
    <cellStyle name="Input 2 9 4 4 4" xfId="10360"/>
    <cellStyle name="Input 2 9 4 4 4 2" xfId="29332"/>
    <cellStyle name="Input 2 9 4 4 4 3" xfId="40177"/>
    <cellStyle name="Input 2 9 4 4 4 4" xfId="18651"/>
    <cellStyle name="Input 2 9 4 4 5" xfId="21156"/>
    <cellStyle name="Input 2 9 4 4 6" xfId="32001"/>
    <cellStyle name="Input 2 9 4 4 7" xfId="12797"/>
    <cellStyle name="Input 2 9 4 5" xfId="2567"/>
    <cellStyle name="Input 2 9 4 5 2" xfId="5419"/>
    <cellStyle name="Input 2 9 4 5 2 2" xfId="24391"/>
    <cellStyle name="Input 2 9 4 5 2 3" xfId="35236"/>
    <cellStyle name="Input 2 9 4 5 2 4" xfId="15113"/>
    <cellStyle name="Input 2 9 4 5 3" xfId="8090"/>
    <cellStyle name="Input 2 9 4 5 3 2" xfId="27062"/>
    <cellStyle name="Input 2 9 4 5 3 3" xfId="37907"/>
    <cellStyle name="Input 2 9 4 5 3 4" xfId="17026"/>
    <cellStyle name="Input 2 9 4 5 4" xfId="10749"/>
    <cellStyle name="Input 2 9 4 5 4 2" xfId="29721"/>
    <cellStyle name="Input 2 9 4 5 4 3" xfId="40566"/>
    <cellStyle name="Input 2 9 4 5 4 4" xfId="18930"/>
    <cellStyle name="Input 2 9 4 5 5" xfId="21545"/>
    <cellStyle name="Input 2 9 4 5 6" xfId="32390"/>
    <cellStyle name="Input 2 9 4 5 7" xfId="13076"/>
    <cellStyle name="Input 2 9 4 6" xfId="2953"/>
    <cellStyle name="Input 2 9 4 6 2" xfId="5804"/>
    <cellStyle name="Input 2 9 4 6 2 2" xfId="24776"/>
    <cellStyle name="Input 2 9 4 6 2 3" xfId="35621"/>
    <cellStyle name="Input 2 9 4 6 2 4" xfId="15389"/>
    <cellStyle name="Input 2 9 4 6 3" xfId="8475"/>
    <cellStyle name="Input 2 9 4 6 3 2" xfId="27447"/>
    <cellStyle name="Input 2 9 4 6 3 3" xfId="38292"/>
    <cellStyle name="Input 2 9 4 6 3 4" xfId="17302"/>
    <cellStyle name="Input 2 9 4 6 4" xfId="11134"/>
    <cellStyle name="Input 2 9 4 6 4 2" xfId="30106"/>
    <cellStyle name="Input 2 9 4 6 4 3" xfId="40951"/>
    <cellStyle name="Input 2 9 4 6 4 4" xfId="19206"/>
    <cellStyle name="Input 2 9 4 6 5" xfId="21930"/>
    <cellStyle name="Input 2 9 4 6 6" xfId="32775"/>
    <cellStyle name="Input 2 9 4 6 7" xfId="13352"/>
    <cellStyle name="Input 2 9 4 7" xfId="3642"/>
    <cellStyle name="Input 2 9 4 7 2" xfId="22614"/>
    <cellStyle name="Input 2 9 4 7 3" xfId="33459"/>
    <cellStyle name="Input 2 9 4 7 4" xfId="13833"/>
    <cellStyle name="Input 2 9 4 8" xfId="6317"/>
    <cellStyle name="Input 2 9 4 8 2" xfId="25289"/>
    <cellStyle name="Input 2 9 4 8 3" xfId="36134"/>
    <cellStyle name="Input 2 9 4 8 4" xfId="15749"/>
    <cellStyle name="Input 2 9 4 9" xfId="8976"/>
    <cellStyle name="Input 2 9 4 9 2" xfId="27948"/>
    <cellStyle name="Input 2 9 4 9 3" xfId="38793"/>
    <cellStyle name="Input 2 9 4 9 4" xfId="17653"/>
    <cellStyle name="Input 2 9 5" xfId="846"/>
    <cellStyle name="Input 2 9 5 10" xfId="19831"/>
    <cellStyle name="Input 2 9 5 11" xfId="30676"/>
    <cellStyle name="Input 2 9 5 12" xfId="11838"/>
    <cellStyle name="Input 2 9 5 2" xfId="1433"/>
    <cellStyle name="Input 2 9 5 2 2" xfId="4286"/>
    <cellStyle name="Input 2 9 5 2 2 2" xfId="23258"/>
    <cellStyle name="Input 2 9 5 2 2 3" xfId="34103"/>
    <cellStyle name="Input 2 9 5 2 2 4" xfId="14299"/>
    <cellStyle name="Input 2 9 5 2 3" xfId="6959"/>
    <cellStyle name="Input 2 9 5 2 3 2" xfId="25931"/>
    <cellStyle name="Input 2 9 5 2 3 3" xfId="36776"/>
    <cellStyle name="Input 2 9 5 2 3 4" xfId="16214"/>
    <cellStyle name="Input 2 9 5 2 4" xfId="9618"/>
    <cellStyle name="Input 2 9 5 2 4 2" xfId="28590"/>
    <cellStyle name="Input 2 9 5 2 4 3" xfId="39435"/>
    <cellStyle name="Input 2 9 5 2 4 4" xfId="18118"/>
    <cellStyle name="Input 2 9 5 2 5" xfId="20414"/>
    <cellStyle name="Input 2 9 5 2 6" xfId="31259"/>
    <cellStyle name="Input 2 9 5 2 7" xfId="12264"/>
    <cellStyle name="Input 2 9 5 3" xfId="1832"/>
    <cellStyle name="Input 2 9 5 3 2" xfId="4685"/>
    <cellStyle name="Input 2 9 5 3 2 2" xfId="23657"/>
    <cellStyle name="Input 2 9 5 3 2 3" xfId="34502"/>
    <cellStyle name="Input 2 9 5 3 2 4" xfId="14586"/>
    <cellStyle name="Input 2 9 5 3 3" xfId="7357"/>
    <cellStyle name="Input 2 9 5 3 3 2" xfId="26329"/>
    <cellStyle name="Input 2 9 5 3 3 3" xfId="37174"/>
    <cellStyle name="Input 2 9 5 3 3 4" xfId="16500"/>
    <cellStyle name="Input 2 9 5 3 4" xfId="10016"/>
    <cellStyle name="Input 2 9 5 3 4 2" xfId="28988"/>
    <cellStyle name="Input 2 9 5 3 4 3" xfId="39833"/>
    <cellStyle name="Input 2 9 5 3 4 4" xfId="18404"/>
    <cellStyle name="Input 2 9 5 3 5" xfId="20812"/>
    <cellStyle name="Input 2 9 5 3 6" xfId="31657"/>
    <cellStyle name="Input 2 9 5 3 7" xfId="12550"/>
    <cellStyle name="Input 2 9 5 4" xfId="2236"/>
    <cellStyle name="Input 2 9 5 4 2" xfId="5089"/>
    <cellStyle name="Input 2 9 5 4 2 2" xfId="24061"/>
    <cellStyle name="Input 2 9 5 4 2 3" xfId="34906"/>
    <cellStyle name="Input 2 9 5 4 2 4" xfId="14873"/>
    <cellStyle name="Input 2 9 5 4 3" xfId="7760"/>
    <cellStyle name="Input 2 9 5 4 3 2" xfId="26732"/>
    <cellStyle name="Input 2 9 5 4 3 3" xfId="37577"/>
    <cellStyle name="Input 2 9 5 4 3 4" xfId="16786"/>
    <cellStyle name="Input 2 9 5 4 4" xfId="10419"/>
    <cellStyle name="Input 2 9 5 4 4 2" xfId="29391"/>
    <cellStyle name="Input 2 9 5 4 4 3" xfId="40236"/>
    <cellStyle name="Input 2 9 5 4 4 4" xfId="18690"/>
    <cellStyle name="Input 2 9 5 4 5" xfId="21215"/>
    <cellStyle name="Input 2 9 5 4 6" xfId="32060"/>
    <cellStyle name="Input 2 9 5 4 7" xfId="12836"/>
    <cellStyle name="Input 2 9 5 5" xfId="2626"/>
    <cellStyle name="Input 2 9 5 5 2" xfId="5478"/>
    <cellStyle name="Input 2 9 5 5 2 2" xfId="24450"/>
    <cellStyle name="Input 2 9 5 5 2 3" xfId="35295"/>
    <cellStyle name="Input 2 9 5 5 2 4" xfId="15152"/>
    <cellStyle name="Input 2 9 5 5 3" xfId="8149"/>
    <cellStyle name="Input 2 9 5 5 3 2" xfId="27121"/>
    <cellStyle name="Input 2 9 5 5 3 3" xfId="37966"/>
    <cellStyle name="Input 2 9 5 5 3 4" xfId="17065"/>
    <cellStyle name="Input 2 9 5 5 4" xfId="10808"/>
    <cellStyle name="Input 2 9 5 5 4 2" xfId="29780"/>
    <cellStyle name="Input 2 9 5 5 4 3" xfId="40625"/>
    <cellStyle name="Input 2 9 5 5 4 4" xfId="18969"/>
    <cellStyle name="Input 2 9 5 5 5" xfId="21604"/>
    <cellStyle name="Input 2 9 5 5 6" xfId="32449"/>
    <cellStyle name="Input 2 9 5 5 7" xfId="13115"/>
    <cellStyle name="Input 2 9 5 6" xfId="3012"/>
    <cellStyle name="Input 2 9 5 6 2" xfId="5863"/>
    <cellStyle name="Input 2 9 5 6 2 2" xfId="24835"/>
    <cellStyle name="Input 2 9 5 6 2 3" xfId="35680"/>
    <cellStyle name="Input 2 9 5 6 2 4" xfId="15428"/>
    <cellStyle name="Input 2 9 5 6 3" xfId="8534"/>
    <cellStyle name="Input 2 9 5 6 3 2" xfId="27506"/>
    <cellStyle name="Input 2 9 5 6 3 3" xfId="38351"/>
    <cellStyle name="Input 2 9 5 6 3 4" xfId="17341"/>
    <cellStyle name="Input 2 9 5 6 4" xfId="11193"/>
    <cellStyle name="Input 2 9 5 6 4 2" xfId="30165"/>
    <cellStyle name="Input 2 9 5 6 4 3" xfId="41010"/>
    <cellStyle name="Input 2 9 5 6 4 4" xfId="19245"/>
    <cellStyle name="Input 2 9 5 6 5" xfId="21989"/>
    <cellStyle name="Input 2 9 5 6 6" xfId="32834"/>
    <cellStyle name="Input 2 9 5 6 7" xfId="13391"/>
    <cellStyle name="Input 2 9 5 7" xfId="3701"/>
    <cellStyle name="Input 2 9 5 7 2" xfId="22673"/>
    <cellStyle name="Input 2 9 5 7 3" xfId="33518"/>
    <cellStyle name="Input 2 9 5 7 4" xfId="13872"/>
    <cellStyle name="Input 2 9 5 8" xfId="6376"/>
    <cellStyle name="Input 2 9 5 8 2" xfId="25348"/>
    <cellStyle name="Input 2 9 5 8 3" xfId="36193"/>
    <cellStyle name="Input 2 9 5 8 4" xfId="15788"/>
    <cellStyle name="Input 2 9 5 9" xfId="9035"/>
    <cellStyle name="Input 2 9 5 9 2" xfId="28007"/>
    <cellStyle name="Input 2 9 5 9 3" xfId="38852"/>
    <cellStyle name="Input 2 9 5 9 4" xfId="17692"/>
    <cellStyle name="Input 2 9 6" xfId="1068"/>
    <cellStyle name="Input 2 9 6 2" xfId="3921"/>
    <cellStyle name="Input 2 9 6 2 2" xfId="22893"/>
    <cellStyle name="Input 2 9 6 2 3" xfId="33738"/>
    <cellStyle name="Input 2 9 6 2 4" xfId="14034"/>
    <cellStyle name="Input 2 9 6 3" xfId="6595"/>
    <cellStyle name="Input 2 9 6 3 2" xfId="25567"/>
    <cellStyle name="Input 2 9 6 3 3" xfId="36412"/>
    <cellStyle name="Input 2 9 6 3 4" xfId="15950"/>
    <cellStyle name="Input 2 9 6 4" xfId="9254"/>
    <cellStyle name="Input 2 9 6 4 2" xfId="28226"/>
    <cellStyle name="Input 2 9 6 4 3" xfId="39071"/>
    <cellStyle name="Input 2 9 6 4 4" xfId="17854"/>
    <cellStyle name="Input 2 9 6 5" xfId="20050"/>
    <cellStyle name="Input 2 9 6 6" xfId="30895"/>
    <cellStyle name="Input 2 9 6 7" xfId="12000"/>
    <cellStyle name="Input 2 9 7" xfId="1001"/>
    <cellStyle name="Input 2 9 7 2" xfId="3854"/>
    <cellStyle name="Input 2 9 7 2 2" xfId="22826"/>
    <cellStyle name="Input 2 9 7 2 3" xfId="33671"/>
    <cellStyle name="Input 2 9 7 2 4" xfId="13983"/>
    <cellStyle name="Input 2 9 7 3" xfId="6529"/>
    <cellStyle name="Input 2 9 7 3 2" xfId="25501"/>
    <cellStyle name="Input 2 9 7 3 3" xfId="36346"/>
    <cellStyle name="Input 2 9 7 3 4" xfId="15899"/>
    <cellStyle name="Input 2 9 7 4" xfId="9188"/>
    <cellStyle name="Input 2 9 7 4 2" xfId="28160"/>
    <cellStyle name="Input 2 9 7 4 3" xfId="39005"/>
    <cellStyle name="Input 2 9 7 4 4" xfId="17803"/>
    <cellStyle name="Input 2 9 7 5" xfId="19984"/>
    <cellStyle name="Input 2 9 7 6" xfId="30829"/>
    <cellStyle name="Input 2 9 7 7" xfId="11949"/>
    <cellStyle name="Input 2 9 8" xfId="976"/>
    <cellStyle name="Input 2 9 8 2" xfId="3829"/>
    <cellStyle name="Input 2 9 8 2 2" xfId="22801"/>
    <cellStyle name="Input 2 9 8 2 3" xfId="33646"/>
    <cellStyle name="Input 2 9 8 2 4" xfId="13967"/>
    <cellStyle name="Input 2 9 8 3" xfId="6504"/>
    <cellStyle name="Input 2 9 8 3 2" xfId="25476"/>
    <cellStyle name="Input 2 9 8 3 3" xfId="36321"/>
    <cellStyle name="Input 2 9 8 3 4" xfId="15883"/>
    <cellStyle name="Input 2 9 8 4" xfId="9163"/>
    <cellStyle name="Input 2 9 8 4 2" xfId="28135"/>
    <cellStyle name="Input 2 9 8 4 3" xfId="38980"/>
    <cellStyle name="Input 2 9 8 4 4" xfId="17787"/>
    <cellStyle name="Input 2 9 8 5" xfId="19959"/>
    <cellStyle name="Input 2 9 8 6" xfId="30804"/>
    <cellStyle name="Input 2 9 8 7" xfId="11933"/>
    <cellStyle name="Input 2 9 9" xfId="1497"/>
    <cellStyle name="Input 2 9 9 2" xfId="4350"/>
    <cellStyle name="Input 2 9 9 2 2" xfId="23322"/>
    <cellStyle name="Input 2 9 9 2 3" xfId="34167"/>
    <cellStyle name="Input 2 9 9 2 4" xfId="14343"/>
    <cellStyle name="Input 2 9 9 3" xfId="7023"/>
    <cellStyle name="Input 2 9 9 3 2" xfId="25995"/>
    <cellStyle name="Input 2 9 9 3 3" xfId="36840"/>
    <cellStyle name="Input 2 9 9 3 4" xfId="16258"/>
    <cellStyle name="Input 2 9 9 4" xfId="9682"/>
    <cellStyle name="Input 2 9 9 4 2" xfId="28654"/>
    <cellStyle name="Input 2 9 9 4 3" xfId="39499"/>
    <cellStyle name="Input 2 9 9 4 4" xfId="18162"/>
    <cellStyle name="Input 2 9 9 5" xfId="20478"/>
    <cellStyle name="Input 2 9 9 6" xfId="31323"/>
    <cellStyle name="Input 2 9 9 7" xfId="12308"/>
    <cellStyle name="Input 2_2012 AR ELEC BCR Eval Eval - 012913" xfId="104"/>
    <cellStyle name="Input 3" xfId="105"/>
    <cellStyle name="Input 3 2" xfId="374"/>
    <cellStyle name="Input 3 2 10" xfId="1638"/>
    <cellStyle name="Input 3 2 10 2" xfId="4491"/>
    <cellStyle name="Input 3 2 10 2 2" xfId="23463"/>
    <cellStyle name="Input 3 2 10 2 3" xfId="34308"/>
    <cellStyle name="Input 3 2 10 2 4" xfId="14453"/>
    <cellStyle name="Input 3 2 10 3" xfId="7163"/>
    <cellStyle name="Input 3 2 10 3 2" xfId="26135"/>
    <cellStyle name="Input 3 2 10 3 3" xfId="36980"/>
    <cellStyle name="Input 3 2 10 3 4" xfId="16367"/>
    <cellStyle name="Input 3 2 10 4" xfId="9822"/>
    <cellStyle name="Input 3 2 10 4 2" xfId="28794"/>
    <cellStyle name="Input 3 2 10 4 3" xfId="39639"/>
    <cellStyle name="Input 3 2 10 4 4" xfId="18271"/>
    <cellStyle name="Input 3 2 10 5" xfId="20618"/>
    <cellStyle name="Input 3 2 10 6" xfId="31463"/>
    <cellStyle name="Input 3 2 10 7" xfId="12417"/>
    <cellStyle name="Input 3 2 11" xfId="2028"/>
    <cellStyle name="Input 3 2 11 2" xfId="4881"/>
    <cellStyle name="Input 3 2 11 2 2" xfId="23853"/>
    <cellStyle name="Input 3 2 11 2 3" xfId="34698"/>
    <cellStyle name="Input 3 2 11 2 4" xfId="14727"/>
    <cellStyle name="Input 3 2 11 3" xfId="7553"/>
    <cellStyle name="Input 3 2 11 3 2" xfId="26525"/>
    <cellStyle name="Input 3 2 11 3 3" xfId="37370"/>
    <cellStyle name="Input 3 2 11 3 4" xfId="16641"/>
    <cellStyle name="Input 3 2 11 4" xfId="10212"/>
    <cellStyle name="Input 3 2 11 4 2" xfId="29184"/>
    <cellStyle name="Input 3 2 11 4 3" xfId="40029"/>
    <cellStyle name="Input 3 2 11 4 4" xfId="18545"/>
    <cellStyle name="Input 3 2 11 5" xfId="21008"/>
    <cellStyle name="Input 3 2 11 6" xfId="31853"/>
    <cellStyle name="Input 3 2 11 7" xfId="12691"/>
    <cellStyle name="Input 3 2 12" xfId="3110"/>
    <cellStyle name="Input 3 2 12 2" xfId="5961"/>
    <cellStyle name="Input 3 2 12 2 2" xfId="24933"/>
    <cellStyle name="Input 3 2 12 2 3" xfId="35778"/>
    <cellStyle name="Input 3 2 12 2 4" xfId="15496"/>
    <cellStyle name="Input 3 2 12 3" xfId="8632"/>
    <cellStyle name="Input 3 2 12 3 2" xfId="27604"/>
    <cellStyle name="Input 3 2 12 3 3" xfId="38449"/>
    <cellStyle name="Input 3 2 12 3 4" xfId="17409"/>
    <cellStyle name="Input 3 2 12 4" xfId="11291"/>
    <cellStyle name="Input 3 2 12 4 2" xfId="30263"/>
    <cellStyle name="Input 3 2 12 4 3" xfId="41108"/>
    <cellStyle name="Input 3 2 12 4 4" xfId="19313"/>
    <cellStyle name="Input 3 2 12 5" xfId="22087"/>
    <cellStyle name="Input 3 2 12 6" xfId="32932"/>
    <cellStyle name="Input 3 2 12 7" xfId="13459"/>
    <cellStyle name="Input 3 2 13" xfId="3167"/>
    <cellStyle name="Input 3 2 13 2" xfId="6018"/>
    <cellStyle name="Input 3 2 13 2 2" xfId="24990"/>
    <cellStyle name="Input 3 2 13 2 3" xfId="35835"/>
    <cellStyle name="Input 3 2 13 2 4" xfId="15533"/>
    <cellStyle name="Input 3 2 13 3" xfId="8689"/>
    <cellStyle name="Input 3 2 13 3 2" xfId="27661"/>
    <cellStyle name="Input 3 2 13 3 3" xfId="38506"/>
    <cellStyle name="Input 3 2 13 3 4" xfId="17446"/>
    <cellStyle name="Input 3 2 13 4" xfId="11348"/>
    <cellStyle name="Input 3 2 13 4 2" xfId="30320"/>
    <cellStyle name="Input 3 2 13 4 3" xfId="41165"/>
    <cellStyle name="Input 3 2 13 4 4" xfId="19350"/>
    <cellStyle name="Input 3 2 13 5" xfId="22144"/>
    <cellStyle name="Input 3 2 13 6" xfId="32989"/>
    <cellStyle name="Input 3 2 13 7" xfId="13496"/>
    <cellStyle name="Input 3 2 14" xfId="3333"/>
    <cellStyle name="Input 3 2 14 2" xfId="22307"/>
    <cellStyle name="Input 3 2 14 3" xfId="33152"/>
    <cellStyle name="Input 3 2 14 4" xfId="13613"/>
    <cellStyle name="Input 3 2 15" xfId="3272"/>
    <cellStyle name="Input 3 2 15 2" xfId="22246"/>
    <cellStyle name="Input 3 2 15 3" xfId="33091"/>
    <cellStyle name="Input 3 2 15 4" xfId="13570"/>
    <cellStyle name="Input 3 2 16" xfId="6077"/>
    <cellStyle name="Input 3 2 16 2" xfId="25049"/>
    <cellStyle name="Input 3 2 16 3" xfId="35894"/>
    <cellStyle name="Input 3 2 16 4" xfId="15569"/>
    <cellStyle name="Input 3 2 17" xfId="19464"/>
    <cellStyle name="Input 3 2 18" xfId="19401"/>
    <cellStyle name="Input 3 2 19" xfId="11523"/>
    <cellStyle name="Input 3 2 2" xfId="675"/>
    <cellStyle name="Input 3 2 2 10" xfId="19660"/>
    <cellStyle name="Input 3 2 2 11" xfId="30505"/>
    <cellStyle name="Input 3 2 2 12" xfId="11727"/>
    <cellStyle name="Input 3 2 2 2" xfId="1262"/>
    <cellStyle name="Input 3 2 2 2 2" xfId="4115"/>
    <cellStyle name="Input 3 2 2 2 2 2" xfId="23087"/>
    <cellStyle name="Input 3 2 2 2 2 3" xfId="33932"/>
    <cellStyle name="Input 3 2 2 2 2 4" xfId="14188"/>
    <cellStyle name="Input 3 2 2 2 3" xfId="6788"/>
    <cellStyle name="Input 3 2 2 2 3 2" xfId="25760"/>
    <cellStyle name="Input 3 2 2 2 3 3" xfId="36605"/>
    <cellStyle name="Input 3 2 2 2 3 4" xfId="16103"/>
    <cellStyle name="Input 3 2 2 2 4" xfId="9447"/>
    <cellStyle name="Input 3 2 2 2 4 2" xfId="28419"/>
    <cellStyle name="Input 3 2 2 2 4 3" xfId="39264"/>
    <cellStyle name="Input 3 2 2 2 4 4" xfId="18007"/>
    <cellStyle name="Input 3 2 2 2 5" xfId="20243"/>
    <cellStyle name="Input 3 2 2 2 6" xfId="31088"/>
    <cellStyle name="Input 3 2 2 2 7" xfId="12153"/>
    <cellStyle name="Input 3 2 2 3" xfId="1661"/>
    <cellStyle name="Input 3 2 2 3 2" xfId="4514"/>
    <cellStyle name="Input 3 2 2 3 2 2" xfId="23486"/>
    <cellStyle name="Input 3 2 2 3 2 3" xfId="34331"/>
    <cellStyle name="Input 3 2 2 3 2 4" xfId="14475"/>
    <cellStyle name="Input 3 2 2 3 3" xfId="7186"/>
    <cellStyle name="Input 3 2 2 3 3 2" xfId="26158"/>
    <cellStyle name="Input 3 2 2 3 3 3" xfId="37003"/>
    <cellStyle name="Input 3 2 2 3 3 4" xfId="16389"/>
    <cellStyle name="Input 3 2 2 3 4" xfId="9845"/>
    <cellStyle name="Input 3 2 2 3 4 2" xfId="28817"/>
    <cellStyle name="Input 3 2 2 3 4 3" xfId="39662"/>
    <cellStyle name="Input 3 2 2 3 4 4" xfId="18293"/>
    <cellStyle name="Input 3 2 2 3 5" xfId="20641"/>
    <cellStyle name="Input 3 2 2 3 6" xfId="31486"/>
    <cellStyle name="Input 3 2 2 3 7" xfId="12439"/>
    <cellStyle name="Input 3 2 2 4" xfId="2065"/>
    <cellStyle name="Input 3 2 2 4 2" xfId="4918"/>
    <cellStyle name="Input 3 2 2 4 2 2" xfId="23890"/>
    <cellStyle name="Input 3 2 2 4 2 3" xfId="34735"/>
    <cellStyle name="Input 3 2 2 4 2 4" xfId="14762"/>
    <cellStyle name="Input 3 2 2 4 3" xfId="7589"/>
    <cellStyle name="Input 3 2 2 4 3 2" xfId="26561"/>
    <cellStyle name="Input 3 2 2 4 3 3" xfId="37406"/>
    <cellStyle name="Input 3 2 2 4 3 4" xfId="16675"/>
    <cellStyle name="Input 3 2 2 4 4" xfId="10248"/>
    <cellStyle name="Input 3 2 2 4 4 2" xfId="29220"/>
    <cellStyle name="Input 3 2 2 4 4 3" xfId="40065"/>
    <cellStyle name="Input 3 2 2 4 4 4" xfId="18579"/>
    <cellStyle name="Input 3 2 2 4 5" xfId="21044"/>
    <cellStyle name="Input 3 2 2 4 6" xfId="31889"/>
    <cellStyle name="Input 3 2 2 4 7" xfId="12725"/>
    <cellStyle name="Input 3 2 2 5" xfId="2455"/>
    <cellStyle name="Input 3 2 2 5 2" xfId="5307"/>
    <cellStyle name="Input 3 2 2 5 2 2" xfId="24279"/>
    <cellStyle name="Input 3 2 2 5 2 3" xfId="35124"/>
    <cellStyle name="Input 3 2 2 5 2 4" xfId="15041"/>
    <cellStyle name="Input 3 2 2 5 3" xfId="7978"/>
    <cellStyle name="Input 3 2 2 5 3 2" xfId="26950"/>
    <cellStyle name="Input 3 2 2 5 3 3" xfId="37795"/>
    <cellStyle name="Input 3 2 2 5 3 4" xfId="16954"/>
    <cellStyle name="Input 3 2 2 5 4" xfId="10637"/>
    <cellStyle name="Input 3 2 2 5 4 2" xfId="29609"/>
    <cellStyle name="Input 3 2 2 5 4 3" xfId="40454"/>
    <cellStyle name="Input 3 2 2 5 4 4" xfId="18858"/>
    <cellStyle name="Input 3 2 2 5 5" xfId="21433"/>
    <cellStyle name="Input 3 2 2 5 6" xfId="32278"/>
    <cellStyle name="Input 3 2 2 5 7" xfId="13004"/>
    <cellStyle name="Input 3 2 2 6" xfId="2841"/>
    <cellStyle name="Input 3 2 2 6 2" xfId="5692"/>
    <cellStyle name="Input 3 2 2 6 2 2" xfId="24664"/>
    <cellStyle name="Input 3 2 2 6 2 3" xfId="35509"/>
    <cellStyle name="Input 3 2 2 6 2 4" xfId="15317"/>
    <cellStyle name="Input 3 2 2 6 3" xfId="8363"/>
    <cellStyle name="Input 3 2 2 6 3 2" xfId="27335"/>
    <cellStyle name="Input 3 2 2 6 3 3" xfId="38180"/>
    <cellStyle name="Input 3 2 2 6 3 4" xfId="17230"/>
    <cellStyle name="Input 3 2 2 6 4" xfId="11022"/>
    <cellStyle name="Input 3 2 2 6 4 2" xfId="29994"/>
    <cellStyle name="Input 3 2 2 6 4 3" xfId="40839"/>
    <cellStyle name="Input 3 2 2 6 4 4" xfId="19134"/>
    <cellStyle name="Input 3 2 2 6 5" xfId="21818"/>
    <cellStyle name="Input 3 2 2 6 6" xfId="32663"/>
    <cellStyle name="Input 3 2 2 6 7" xfId="13280"/>
    <cellStyle name="Input 3 2 2 7" xfId="3530"/>
    <cellStyle name="Input 3 2 2 7 2" xfId="22502"/>
    <cellStyle name="Input 3 2 2 7 3" xfId="33347"/>
    <cellStyle name="Input 3 2 2 7 4" xfId="13761"/>
    <cellStyle name="Input 3 2 2 8" xfId="6205"/>
    <cellStyle name="Input 3 2 2 8 2" xfId="25177"/>
    <cellStyle name="Input 3 2 2 8 3" xfId="36022"/>
    <cellStyle name="Input 3 2 2 8 4" xfId="15677"/>
    <cellStyle name="Input 3 2 2 9" xfId="8864"/>
    <cellStyle name="Input 3 2 2 9 2" xfId="27836"/>
    <cellStyle name="Input 3 2 2 9 3" xfId="38681"/>
    <cellStyle name="Input 3 2 2 9 4" xfId="17581"/>
    <cellStyle name="Input 3 2 20" xfId="41375"/>
    <cellStyle name="Input 3 2 3" xfId="735"/>
    <cellStyle name="Input 3 2 3 10" xfId="19720"/>
    <cellStyle name="Input 3 2 3 11" xfId="30565"/>
    <cellStyle name="Input 3 2 3 12" xfId="11767"/>
    <cellStyle name="Input 3 2 3 2" xfId="1322"/>
    <cellStyle name="Input 3 2 3 2 2" xfId="4175"/>
    <cellStyle name="Input 3 2 3 2 2 2" xfId="23147"/>
    <cellStyle name="Input 3 2 3 2 2 3" xfId="33992"/>
    <cellStyle name="Input 3 2 3 2 2 4" xfId="14228"/>
    <cellStyle name="Input 3 2 3 2 3" xfId="6848"/>
    <cellStyle name="Input 3 2 3 2 3 2" xfId="25820"/>
    <cellStyle name="Input 3 2 3 2 3 3" xfId="36665"/>
    <cellStyle name="Input 3 2 3 2 3 4" xfId="16143"/>
    <cellStyle name="Input 3 2 3 2 4" xfId="9507"/>
    <cellStyle name="Input 3 2 3 2 4 2" xfId="28479"/>
    <cellStyle name="Input 3 2 3 2 4 3" xfId="39324"/>
    <cellStyle name="Input 3 2 3 2 4 4" xfId="18047"/>
    <cellStyle name="Input 3 2 3 2 5" xfId="20303"/>
    <cellStyle name="Input 3 2 3 2 6" xfId="31148"/>
    <cellStyle name="Input 3 2 3 2 7" xfId="12193"/>
    <cellStyle name="Input 3 2 3 3" xfId="1721"/>
    <cellStyle name="Input 3 2 3 3 2" xfId="4574"/>
    <cellStyle name="Input 3 2 3 3 2 2" xfId="23546"/>
    <cellStyle name="Input 3 2 3 3 2 3" xfId="34391"/>
    <cellStyle name="Input 3 2 3 3 2 4" xfId="14515"/>
    <cellStyle name="Input 3 2 3 3 3" xfId="7246"/>
    <cellStyle name="Input 3 2 3 3 3 2" xfId="26218"/>
    <cellStyle name="Input 3 2 3 3 3 3" xfId="37063"/>
    <cellStyle name="Input 3 2 3 3 3 4" xfId="16429"/>
    <cellStyle name="Input 3 2 3 3 4" xfId="9905"/>
    <cellStyle name="Input 3 2 3 3 4 2" xfId="28877"/>
    <cellStyle name="Input 3 2 3 3 4 3" xfId="39722"/>
    <cellStyle name="Input 3 2 3 3 4 4" xfId="18333"/>
    <cellStyle name="Input 3 2 3 3 5" xfId="20701"/>
    <cellStyle name="Input 3 2 3 3 6" xfId="31546"/>
    <cellStyle name="Input 3 2 3 3 7" xfId="12479"/>
    <cellStyle name="Input 3 2 3 4" xfId="2125"/>
    <cellStyle name="Input 3 2 3 4 2" xfId="4978"/>
    <cellStyle name="Input 3 2 3 4 2 2" xfId="23950"/>
    <cellStyle name="Input 3 2 3 4 2 3" xfId="34795"/>
    <cellStyle name="Input 3 2 3 4 2 4" xfId="14802"/>
    <cellStyle name="Input 3 2 3 4 3" xfId="7649"/>
    <cellStyle name="Input 3 2 3 4 3 2" xfId="26621"/>
    <cellStyle name="Input 3 2 3 4 3 3" xfId="37466"/>
    <cellStyle name="Input 3 2 3 4 3 4" xfId="16715"/>
    <cellStyle name="Input 3 2 3 4 4" xfId="10308"/>
    <cellStyle name="Input 3 2 3 4 4 2" xfId="29280"/>
    <cellStyle name="Input 3 2 3 4 4 3" xfId="40125"/>
    <cellStyle name="Input 3 2 3 4 4 4" xfId="18619"/>
    <cellStyle name="Input 3 2 3 4 5" xfId="21104"/>
    <cellStyle name="Input 3 2 3 4 6" xfId="31949"/>
    <cellStyle name="Input 3 2 3 4 7" xfId="12765"/>
    <cellStyle name="Input 3 2 3 5" xfId="2515"/>
    <cellStyle name="Input 3 2 3 5 2" xfId="5367"/>
    <cellStyle name="Input 3 2 3 5 2 2" xfId="24339"/>
    <cellStyle name="Input 3 2 3 5 2 3" xfId="35184"/>
    <cellStyle name="Input 3 2 3 5 2 4" xfId="15081"/>
    <cellStyle name="Input 3 2 3 5 3" xfId="8038"/>
    <cellStyle name="Input 3 2 3 5 3 2" xfId="27010"/>
    <cellStyle name="Input 3 2 3 5 3 3" xfId="37855"/>
    <cellStyle name="Input 3 2 3 5 3 4" xfId="16994"/>
    <cellStyle name="Input 3 2 3 5 4" xfId="10697"/>
    <cellStyle name="Input 3 2 3 5 4 2" xfId="29669"/>
    <cellStyle name="Input 3 2 3 5 4 3" xfId="40514"/>
    <cellStyle name="Input 3 2 3 5 4 4" xfId="18898"/>
    <cellStyle name="Input 3 2 3 5 5" xfId="21493"/>
    <cellStyle name="Input 3 2 3 5 6" xfId="32338"/>
    <cellStyle name="Input 3 2 3 5 7" xfId="13044"/>
    <cellStyle name="Input 3 2 3 6" xfId="2901"/>
    <cellStyle name="Input 3 2 3 6 2" xfId="5752"/>
    <cellStyle name="Input 3 2 3 6 2 2" xfId="24724"/>
    <cellStyle name="Input 3 2 3 6 2 3" xfId="35569"/>
    <cellStyle name="Input 3 2 3 6 2 4" xfId="15357"/>
    <cellStyle name="Input 3 2 3 6 3" xfId="8423"/>
    <cellStyle name="Input 3 2 3 6 3 2" xfId="27395"/>
    <cellStyle name="Input 3 2 3 6 3 3" xfId="38240"/>
    <cellStyle name="Input 3 2 3 6 3 4" xfId="17270"/>
    <cellStyle name="Input 3 2 3 6 4" xfId="11082"/>
    <cellStyle name="Input 3 2 3 6 4 2" xfId="30054"/>
    <cellStyle name="Input 3 2 3 6 4 3" xfId="40899"/>
    <cellStyle name="Input 3 2 3 6 4 4" xfId="19174"/>
    <cellStyle name="Input 3 2 3 6 5" xfId="21878"/>
    <cellStyle name="Input 3 2 3 6 6" xfId="32723"/>
    <cellStyle name="Input 3 2 3 6 7" xfId="13320"/>
    <cellStyle name="Input 3 2 3 7" xfId="3590"/>
    <cellStyle name="Input 3 2 3 7 2" xfId="22562"/>
    <cellStyle name="Input 3 2 3 7 3" xfId="33407"/>
    <cellStyle name="Input 3 2 3 7 4" xfId="13801"/>
    <cellStyle name="Input 3 2 3 8" xfId="6265"/>
    <cellStyle name="Input 3 2 3 8 2" xfId="25237"/>
    <cellStyle name="Input 3 2 3 8 3" xfId="36082"/>
    <cellStyle name="Input 3 2 3 8 4" xfId="15717"/>
    <cellStyle name="Input 3 2 3 9" xfId="8924"/>
    <cellStyle name="Input 3 2 3 9 2" xfId="27896"/>
    <cellStyle name="Input 3 2 3 9 3" xfId="38741"/>
    <cellStyle name="Input 3 2 3 9 4" xfId="17621"/>
    <cellStyle name="Input 3 2 4" xfId="795"/>
    <cellStyle name="Input 3 2 4 10" xfId="19780"/>
    <cellStyle name="Input 3 2 4 11" xfId="30625"/>
    <cellStyle name="Input 3 2 4 12" xfId="11807"/>
    <cellStyle name="Input 3 2 4 2" xfId="1382"/>
    <cellStyle name="Input 3 2 4 2 2" xfId="4235"/>
    <cellStyle name="Input 3 2 4 2 2 2" xfId="23207"/>
    <cellStyle name="Input 3 2 4 2 2 3" xfId="34052"/>
    <cellStyle name="Input 3 2 4 2 2 4" xfId="14268"/>
    <cellStyle name="Input 3 2 4 2 3" xfId="6908"/>
    <cellStyle name="Input 3 2 4 2 3 2" xfId="25880"/>
    <cellStyle name="Input 3 2 4 2 3 3" xfId="36725"/>
    <cellStyle name="Input 3 2 4 2 3 4" xfId="16183"/>
    <cellStyle name="Input 3 2 4 2 4" xfId="9567"/>
    <cellStyle name="Input 3 2 4 2 4 2" xfId="28539"/>
    <cellStyle name="Input 3 2 4 2 4 3" xfId="39384"/>
    <cellStyle name="Input 3 2 4 2 4 4" xfId="18087"/>
    <cellStyle name="Input 3 2 4 2 5" xfId="20363"/>
    <cellStyle name="Input 3 2 4 2 6" xfId="31208"/>
    <cellStyle name="Input 3 2 4 2 7" xfId="12233"/>
    <cellStyle name="Input 3 2 4 3" xfId="1781"/>
    <cellStyle name="Input 3 2 4 3 2" xfId="4634"/>
    <cellStyle name="Input 3 2 4 3 2 2" xfId="23606"/>
    <cellStyle name="Input 3 2 4 3 2 3" xfId="34451"/>
    <cellStyle name="Input 3 2 4 3 2 4" xfId="14555"/>
    <cellStyle name="Input 3 2 4 3 3" xfId="7306"/>
    <cellStyle name="Input 3 2 4 3 3 2" xfId="26278"/>
    <cellStyle name="Input 3 2 4 3 3 3" xfId="37123"/>
    <cellStyle name="Input 3 2 4 3 3 4" xfId="16469"/>
    <cellStyle name="Input 3 2 4 3 4" xfId="9965"/>
    <cellStyle name="Input 3 2 4 3 4 2" xfId="28937"/>
    <cellStyle name="Input 3 2 4 3 4 3" xfId="39782"/>
    <cellStyle name="Input 3 2 4 3 4 4" xfId="18373"/>
    <cellStyle name="Input 3 2 4 3 5" xfId="20761"/>
    <cellStyle name="Input 3 2 4 3 6" xfId="31606"/>
    <cellStyle name="Input 3 2 4 3 7" xfId="12519"/>
    <cellStyle name="Input 3 2 4 4" xfId="2185"/>
    <cellStyle name="Input 3 2 4 4 2" xfId="5038"/>
    <cellStyle name="Input 3 2 4 4 2 2" xfId="24010"/>
    <cellStyle name="Input 3 2 4 4 2 3" xfId="34855"/>
    <cellStyle name="Input 3 2 4 4 2 4" xfId="14842"/>
    <cellStyle name="Input 3 2 4 4 3" xfId="7709"/>
    <cellStyle name="Input 3 2 4 4 3 2" xfId="26681"/>
    <cellStyle name="Input 3 2 4 4 3 3" xfId="37526"/>
    <cellStyle name="Input 3 2 4 4 3 4" xfId="16755"/>
    <cellStyle name="Input 3 2 4 4 4" xfId="10368"/>
    <cellStyle name="Input 3 2 4 4 4 2" xfId="29340"/>
    <cellStyle name="Input 3 2 4 4 4 3" xfId="40185"/>
    <cellStyle name="Input 3 2 4 4 4 4" xfId="18659"/>
    <cellStyle name="Input 3 2 4 4 5" xfId="21164"/>
    <cellStyle name="Input 3 2 4 4 6" xfId="32009"/>
    <cellStyle name="Input 3 2 4 4 7" xfId="12805"/>
    <cellStyle name="Input 3 2 4 5" xfId="2575"/>
    <cellStyle name="Input 3 2 4 5 2" xfId="5427"/>
    <cellStyle name="Input 3 2 4 5 2 2" xfId="24399"/>
    <cellStyle name="Input 3 2 4 5 2 3" xfId="35244"/>
    <cellStyle name="Input 3 2 4 5 2 4" xfId="15121"/>
    <cellStyle name="Input 3 2 4 5 3" xfId="8098"/>
    <cellStyle name="Input 3 2 4 5 3 2" xfId="27070"/>
    <cellStyle name="Input 3 2 4 5 3 3" xfId="37915"/>
    <cellStyle name="Input 3 2 4 5 3 4" xfId="17034"/>
    <cellStyle name="Input 3 2 4 5 4" xfId="10757"/>
    <cellStyle name="Input 3 2 4 5 4 2" xfId="29729"/>
    <cellStyle name="Input 3 2 4 5 4 3" xfId="40574"/>
    <cellStyle name="Input 3 2 4 5 4 4" xfId="18938"/>
    <cellStyle name="Input 3 2 4 5 5" xfId="21553"/>
    <cellStyle name="Input 3 2 4 5 6" xfId="32398"/>
    <cellStyle name="Input 3 2 4 5 7" xfId="13084"/>
    <cellStyle name="Input 3 2 4 6" xfId="2961"/>
    <cellStyle name="Input 3 2 4 6 2" xfId="5812"/>
    <cellStyle name="Input 3 2 4 6 2 2" xfId="24784"/>
    <cellStyle name="Input 3 2 4 6 2 3" xfId="35629"/>
    <cellStyle name="Input 3 2 4 6 2 4" xfId="15397"/>
    <cellStyle name="Input 3 2 4 6 3" xfId="8483"/>
    <cellStyle name="Input 3 2 4 6 3 2" xfId="27455"/>
    <cellStyle name="Input 3 2 4 6 3 3" xfId="38300"/>
    <cellStyle name="Input 3 2 4 6 3 4" xfId="17310"/>
    <cellStyle name="Input 3 2 4 6 4" xfId="11142"/>
    <cellStyle name="Input 3 2 4 6 4 2" xfId="30114"/>
    <cellStyle name="Input 3 2 4 6 4 3" xfId="40959"/>
    <cellStyle name="Input 3 2 4 6 4 4" xfId="19214"/>
    <cellStyle name="Input 3 2 4 6 5" xfId="21938"/>
    <cellStyle name="Input 3 2 4 6 6" xfId="32783"/>
    <cellStyle name="Input 3 2 4 6 7" xfId="13360"/>
    <cellStyle name="Input 3 2 4 7" xfId="3650"/>
    <cellStyle name="Input 3 2 4 7 2" xfId="22622"/>
    <cellStyle name="Input 3 2 4 7 3" xfId="33467"/>
    <cellStyle name="Input 3 2 4 7 4" xfId="13841"/>
    <cellStyle name="Input 3 2 4 8" xfId="6325"/>
    <cellStyle name="Input 3 2 4 8 2" xfId="25297"/>
    <cellStyle name="Input 3 2 4 8 3" xfId="36142"/>
    <cellStyle name="Input 3 2 4 8 4" xfId="15757"/>
    <cellStyle name="Input 3 2 4 9" xfId="8984"/>
    <cellStyle name="Input 3 2 4 9 2" xfId="27956"/>
    <cellStyle name="Input 3 2 4 9 3" xfId="38801"/>
    <cellStyle name="Input 3 2 4 9 4" xfId="17661"/>
    <cellStyle name="Input 3 2 5" xfId="854"/>
    <cellStyle name="Input 3 2 5 10" xfId="19839"/>
    <cellStyle name="Input 3 2 5 11" xfId="30684"/>
    <cellStyle name="Input 3 2 5 12" xfId="11846"/>
    <cellStyle name="Input 3 2 5 2" xfId="1441"/>
    <cellStyle name="Input 3 2 5 2 2" xfId="4294"/>
    <cellStyle name="Input 3 2 5 2 2 2" xfId="23266"/>
    <cellStyle name="Input 3 2 5 2 2 3" xfId="34111"/>
    <cellStyle name="Input 3 2 5 2 2 4" xfId="14307"/>
    <cellStyle name="Input 3 2 5 2 3" xfId="6967"/>
    <cellStyle name="Input 3 2 5 2 3 2" xfId="25939"/>
    <cellStyle name="Input 3 2 5 2 3 3" xfId="36784"/>
    <cellStyle name="Input 3 2 5 2 3 4" xfId="16222"/>
    <cellStyle name="Input 3 2 5 2 4" xfId="9626"/>
    <cellStyle name="Input 3 2 5 2 4 2" xfId="28598"/>
    <cellStyle name="Input 3 2 5 2 4 3" xfId="39443"/>
    <cellStyle name="Input 3 2 5 2 4 4" xfId="18126"/>
    <cellStyle name="Input 3 2 5 2 5" xfId="20422"/>
    <cellStyle name="Input 3 2 5 2 6" xfId="31267"/>
    <cellStyle name="Input 3 2 5 2 7" xfId="12272"/>
    <cellStyle name="Input 3 2 5 3" xfId="1840"/>
    <cellStyle name="Input 3 2 5 3 2" xfId="4693"/>
    <cellStyle name="Input 3 2 5 3 2 2" xfId="23665"/>
    <cellStyle name="Input 3 2 5 3 2 3" xfId="34510"/>
    <cellStyle name="Input 3 2 5 3 2 4" xfId="14594"/>
    <cellStyle name="Input 3 2 5 3 3" xfId="7365"/>
    <cellStyle name="Input 3 2 5 3 3 2" xfId="26337"/>
    <cellStyle name="Input 3 2 5 3 3 3" xfId="37182"/>
    <cellStyle name="Input 3 2 5 3 3 4" xfId="16508"/>
    <cellStyle name="Input 3 2 5 3 4" xfId="10024"/>
    <cellStyle name="Input 3 2 5 3 4 2" xfId="28996"/>
    <cellStyle name="Input 3 2 5 3 4 3" xfId="39841"/>
    <cellStyle name="Input 3 2 5 3 4 4" xfId="18412"/>
    <cellStyle name="Input 3 2 5 3 5" xfId="20820"/>
    <cellStyle name="Input 3 2 5 3 6" xfId="31665"/>
    <cellStyle name="Input 3 2 5 3 7" xfId="12558"/>
    <cellStyle name="Input 3 2 5 4" xfId="2244"/>
    <cellStyle name="Input 3 2 5 4 2" xfId="5097"/>
    <cellStyle name="Input 3 2 5 4 2 2" xfId="24069"/>
    <cellStyle name="Input 3 2 5 4 2 3" xfId="34914"/>
    <cellStyle name="Input 3 2 5 4 2 4" xfId="14881"/>
    <cellStyle name="Input 3 2 5 4 3" xfId="7768"/>
    <cellStyle name="Input 3 2 5 4 3 2" xfId="26740"/>
    <cellStyle name="Input 3 2 5 4 3 3" xfId="37585"/>
    <cellStyle name="Input 3 2 5 4 3 4" xfId="16794"/>
    <cellStyle name="Input 3 2 5 4 4" xfId="10427"/>
    <cellStyle name="Input 3 2 5 4 4 2" xfId="29399"/>
    <cellStyle name="Input 3 2 5 4 4 3" xfId="40244"/>
    <cellStyle name="Input 3 2 5 4 4 4" xfId="18698"/>
    <cellStyle name="Input 3 2 5 4 5" xfId="21223"/>
    <cellStyle name="Input 3 2 5 4 6" xfId="32068"/>
    <cellStyle name="Input 3 2 5 4 7" xfId="12844"/>
    <cellStyle name="Input 3 2 5 5" xfId="2634"/>
    <cellStyle name="Input 3 2 5 5 2" xfId="5486"/>
    <cellStyle name="Input 3 2 5 5 2 2" xfId="24458"/>
    <cellStyle name="Input 3 2 5 5 2 3" xfId="35303"/>
    <cellStyle name="Input 3 2 5 5 2 4" xfId="15160"/>
    <cellStyle name="Input 3 2 5 5 3" xfId="8157"/>
    <cellStyle name="Input 3 2 5 5 3 2" xfId="27129"/>
    <cellStyle name="Input 3 2 5 5 3 3" xfId="37974"/>
    <cellStyle name="Input 3 2 5 5 3 4" xfId="17073"/>
    <cellStyle name="Input 3 2 5 5 4" xfId="10816"/>
    <cellStyle name="Input 3 2 5 5 4 2" xfId="29788"/>
    <cellStyle name="Input 3 2 5 5 4 3" xfId="40633"/>
    <cellStyle name="Input 3 2 5 5 4 4" xfId="18977"/>
    <cellStyle name="Input 3 2 5 5 5" xfId="21612"/>
    <cellStyle name="Input 3 2 5 5 6" xfId="32457"/>
    <cellStyle name="Input 3 2 5 5 7" xfId="13123"/>
    <cellStyle name="Input 3 2 5 6" xfId="3020"/>
    <cellStyle name="Input 3 2 5 6 2" xfId="5871"/>
    <cellStyle name="Input 3 2 5 6 2 2" xfId="24843"/>
    <cellStyle name="Input 3 2 5 6 2 3" xfId="35688"/>
    <cellStyle name="Input 3 2 5 6 2 4" xfId="15436"/>
    <cellStyle name="Input 3 2 5 6 3" xfId="8542"/>
    <cellStyle name="Input 3 2 5 6 3 2" xfId="27514"/>
    <cellStyle name="Input 3 2 5 6 3 3" xfId="38359"/>
    <cellStyle name="Input 3 2 5 6 3 4" xfId="17349"/>
    <cellStyle name="Input 3 2 5 6 4" xfId="11201"/>
    <cellStyle name="Input 3 2 5 6 4 2" xfId="30173"/>
    <cellStyle name="Input 3 2 5 6 4 3" xfId="41018"/>
    <cellStyle name="Input 3 2 5 6 4 4" xfId="19253"/>
    <cellStyle name="Input 3 2 5 6 5" xfId="21997"/>
    <cellStyle name="Input 3 2 5 6 6" xfId="32842"/>
    <cellStyle name="Input 3 2 5 6 7" xfId="13399"/>
    <cellStyle name="Input 3 2 5 7" xfId="3709"/>
    <cellStyle name="Input 3 2 5 7 2" xfId="22681"/>
    <cellStyle name="Input 3 2 5 7 3" xfId="33526"/>
    <cellStyle name="Input 3 2 5 7 4" xfId="13880"/>
    <cellStyle name="Input 3 2 5 8" xfId="6384"/>
    <cellStyle name="Input 3 2 5 8 2" xfId="25356"/>
    <cellStyle name="Input 3 2 5 8 3" xfId="36201"/>
    <cellStyle name="Input 3 2 5 8 4" xfId="15796"/>
    <cellStyle name="Input 3 2 5 9" xfId="9043"/>
    <cellStyle name="Input 3 2 5 9 2" xfId="28015"/>
    <cellStyle name="Input 3 2 5 9 3" xfId="38860"/>
    <cellStyle name="Input 3 2 5 9 4" xfId="17700"/>
    <cellStyle name="Input 3 2 6" xfId="1076"/>
    <cellStyle name="Input 3 2 6 2" xfId="3929"/>
    <cellStyle name="Input 3 2 6 2 2" xfId="22901"/>
    <cellStyle name="Input 3 2 6 2 3" xfId="33746"/>
    <cellStyle name="Input 3 2 6 2 4" xfId="14042"/>
    <cellStyle name="Input 3 2 6 3" xfId="6603"/>
    <cellStyle name="Input 3 2 6 3 2" xfId="25575"/>
    <cellStyle name="Input 3 2 6 3 3" xfId="36420"/>
    <cellStyle name="Input 3 2 6 3 4" xfId="15958"/>
    <cellStyle name="Input 3 2 6 4" xfId="9262"/>
    <cellStyle name="Input 3 2 6 4 2" xfId="28234"/>
    <cellStyle name="Input 3 2 6 4 3" xfId="39079"/>
    <cellStyle name="Input 3 2 6 4 4" xfId="17862"/>
    <cellStyle name="Input 3 2 6 5" xfId="20058"/>
    <cellStyle name="Input 3 2 6 6" xfId="30903"/>
    <cellStyle name="Input 3 2 6 7" xfId="12008"/>
    <cellStyle name="Input 3 2 7" xfId="912"/>
    <cellStyle name="Input 3 2 7 2" xfId="3767"/>
    <cellStyle name="Input 3 2 7 2 2" xfId="22739"/>
    <cellStyle name="Input 3 2 7 2 3" xfId="33584"/>
    <cellStyle name="Input 3 2 7 2 4" xfId="13913"/>
    <cellStyle name="Input 3 2 7 3" xfId="6442"/>
    <cellStyle name="Input 3 2 7 3 2" xfId="25414"/>
    <cellStyle name="Input 3 2 7 3 3" xfId="36259"/>
    <cellStyle name="Input 3 2 7 3 4" xfId="15829"/>
    <cellStyle name="Input 3 2 7 4" xfId="9101"/>
    <cellStyle name="Input 3 2 7 4 2" xfId="28073"/>
    <cellStyle name="Input 3 2 7 4 3" xfId="38918"/>
    <cellStyle name="Input 3 2 7 4 4" xfId="17733"/>
    <cellStyle name="Input 3 2 7 5" xfId="19897"/>
    <cellStyle name="Input 3 2 7 6" xfId="30742"/>
    <cellStyle name="Input 3 2 7 7" xfId="11879"/>
    <cellStyle name="Input 3 2 8" xfId="924"/>
    <cellStyle name="Input 3 2 8 2" xfId="3779"/>
    <cellStyle name="Input 3 2 8 2 2" xfId="22751"/>
    <cellStyle name="Input 3 2 8 2 3" xfId="33596"/>
    <cellStyle name="Input 3 2 8 2 4" xfId="13925"/>
    <cellStyle name="Input 3 2 8 3" xfId="6454"/>
    <cellStyle name="Input 3 2 8 3 2" xfId="25426"/>
    <cellStyle name="Input 3 2 8 3 3" xfId="36271"/>
    <cellStyle name="Input 3 2 8 3 4" xfId="15841"/>
    <cellStyle name="Input 3 2 8 4" xfId="9113"/>
    <cellStyle name="Input 3 2 8 4 2" xfId="28085"/>
    <cellStyle name="Input 3 2 8 4 3" xfId="38930"/>
    <cellStyle name="Input 3 2 8 4 4" xfId="17745"/>
    <cellStyle name="Input 3 2 8 5" xfId="19909"/>
    <cellStyle name="Input 3 2 8 6" xfId="30754"/>
    <cellStyle name="Input 3 2 8 7" xfId="11891"/>
    <cellStyle name="Input 3 2 9" xfId="1017"/>
    <cellStyle name="Input 3 2 9 2" xfId="3870"/>
    <cellStyle name="Input 3 2 9 2 2" xfId="22842"/>
    <cellStyle name="Input 3 2 9 2 3" xfId="33687"/>
    <cellStyle name="Input 3 2 9 2 4" xfId="13993"/>
    <cellStyle name="Input 3 2 9 3" xfId="6544"/>
    <cellStyle name="Input 3 2 9 3 2" xfId="25516"/>
    <cellStyle name="Input 3 2 9 3 3" xfId="36361"/>
    <cellStyle name="Input 3 2 9 3 4" xfId="15909"/>
    <cellStyle name="Input 3 2 9 4" xfId="9203"/>
    <cellStyle name="Input 3 2 9 4 2" xfId="28175"/>
    <cellStyle name="Input 3 2 9 4 3" xfId="39020"/>
    <cellStyle name="Input 3 2 9 4 4" xfId="17813"/>
    <cellStyle name="Input 3 2 9 5" xfId="19999"/>
    <cellStyle name="Input 3 2 9 6" xfId="30844"/>
    <cellStyle name="Input 3 2 9 7" xfId="11959"/>
    <cellStyle name="Input 3 3" xfId="558"/>
    <cellStyle name="Input 3 3 10" xfId="19568"/>
    <cellStyle name="Input 3 3 11" xfId="30413"/>
    <cellStyle name="Input 3 3 12" xfId="11632"/>
    <cellStyle name="Input 3 3 13" xfId="41376"/>
    <cellStyle name="Input 3 3 2" xfId="1164"/>
    <cellStyle name="Input 3 3 2 2" xfId="4017"/>
    <cellStyle name="Input 3 3 2 2 2" xfId="22989"/>
    <cellStyle name="Input 3 3 2 2 3" xfId="33834"/>
    <cellStyle name="Input 3 3 2 2 4" xfId="14109"/>
    <cellStyle name="Input 3 3 2 3" xfId="6690"/>
    <cellStyle name="Input 3 3 2 3 2" xfId="25662"/>
    <cellStyle name="Input 3 3 2 3 3" xfId="36507"/>
    <cellStyle name="Input 3 3 2 3 4" xfId="16024"/>
    <cellStyle name="Input 3 3 2 4" xfId="9349"/>
    <cellStyle name="Input 3 3 2 4 2" xfId="28321"/>
    <cellStyle name="Input 3 3 2 4 3" xfId="39166"/>
    <cellStyle name="Input 3 3 2 4 4" xfId="17928"/>
    <cellStyle name="Input 3 3 2 5" xfId="20145"/>
    <cellStyle name="Input 3 3 2 6" xfId="30990"/>
    <cellStyle name="Input 3 3 2 7" xfId="12074"/>
    <cellStyle name="Input 3 3 3" xfId="1561"/>
    <cellStyle name="Input 3 3 3 2" xfId="4414"/>
    <cellStyle name="Input 3 3 3 2 2" xfId="23386"/>
    <cellStyle name="Input 3 3 3 2 3" xfId="34231"/>
    <cellStyle name="Input 3 3 3 2 4" xfId="14395"/>
    <cellStyle name="Input 3 3 3 3" xfId="7086"/>
    <cellStyle name="Input 3 3 3 3 2" xfId="26058"/>
    <cellStyle name="Input 3 3 3 3 3" xfId="36903"/>
    <cellStyle name="Input 3 3 3 3 4" xfId="16309"/>
    <cellStyle name="Input 3 3 3 4" xfId="9745"/>
    <cellStyle name="Input 3 3 3 4 2" xfId="28717"/>
    <cellStyle name="Input 3 3 3 4 3" xfId="39562"/>
    <cellStyle name="Input 3 3 3 4 4" xfId="18213"/>
    <cellStyle name="Input 3 3 3 5" xfId="20541"/>
    <cellStyle name="Input 3 3 3 6" xfId="31386"/>
    <cellStyle name="Input 3 3 3 7" xfId="12359"/>
    <cellStyle name="Input 3 3 4" xfId="1965"/>
    <cellStyle name="Input 3 3 4 2" xfId="4818"/>
    <cellStyle name="Input 3 3 4 2 2" xfId="23790"/>
    <cellStyle name="Input 3 3 4 2 3" xfId="34635"/>
    <cellStyle name="Input 3 3 4 2 4" xfId="14683"/>
    <cellStyle name="Input 3 3 4 3" xfId="7490"/>
    <cellStyle name="Input 3 3 4 3 2" xfId="26462"/>
    <cellStyle name="Input 3 3 4 3 3" xfId="37307"/>
    <cellStyle name="Input 3 3 4 3 4" xfId="16597"/>
    <cellStyle name="Input 3 3 4 4" xfId="10149"/>
    <cellStyle name="Input 3 3 4 4 2" xfId="29121"/>
    <cellStyle name="Input 3 3 4 4 3" xfId="39966"/>
    <cellStyle name="Input 3 3 4 4 4" xfId="18501"/>
    <cellStyle name="Input 3 3 4 5" xfId="20945"/>
    <cellStyle name="Input 3 3 4 6" xfId="31790"/>
    <cellStyle name="Input 3 3 4 7" xfId="12647"/>
    <cellStyle name="Input 3 3 5" xfId="2357"/>
    <cellStyle name="Input 3 3 5 2" xfId="5210"/>
    <cellStyle name="Input 3 3 5 2 2" xfId="24182"/>
    <cellStyle name="Input 3 3 5 2 3" xfId="35027"/>
    <cellStyle name="Input 3 3 5 2 4" xfId="14964"/>
    <cellStyle name="Input 3 3 5 3" xfId="7881"/>
    <cellStyle name="Input 3 3 5 3 2" xfId="26853"/>
    <cellStyle name="Input 3 3 5 3 3" xfId="37698"/>
    <cellStyle name="Input 3 3 5 3 4" xfId="16877"/>
    <cellStyle name="Input 3 3 5 4" xfId="10540"/>
    <cellStyle name="Input 3 3 5 4 2" xfId="29512"/>
    <cellStyle name="Input 3 3 5 4 3" xfId="40357"/>
    <cellStyle name="Input 3 3 5 4 4" xfId="18781"/>
    <cellStyle name="Input 3 3 5 5" xfId="21336"/>
    <cellStyle name="Input 3 3 5 6" xfId="32181"/>
    <cellStyle name="Input 3 3 5 7" xfId="12927"/>
    <cellStyle name="Input 3 3 6" xfId="2746"/>
    <cellStyle name="Input 3 3 6 2" xfId="5598"/>
    <cellStyle name="Input 3 3 6 2 2" xfId="24570"/>
    <cellStyle name="Input 3 3 6 2 3" xfId="35415"/>
    <cellStyle name="Input 3 3 6 2 4" xfId="15242"/>
    <cellStyle name="Input 3 3 6 3" xfId="8269"/>
    <cellStyle name="Input 3 3 6 3 2" xfId="27241"/>
    <cellStyle name="Input 3 3 6 3 3" xfId="38086"/>
    <cellStyle name="Input 3 3 6 3 4" xfId="17155"/>
    <cellStyle name="Input 3 3 6 4" xfId="10928"/>
    <cellStyle name="Input 3 3 6 4 2" xfId="29900"/>
    <cellStyle name="Input 3 3 6 4 3" xfId="40745"/>
    <cellStyle name="Input 3 3 6 4 4" xfId="19059"/>
    <cellStyle name="Input 3 3 6 5" xfId="21724"/>
    <cellStyle name="Input 3 3 6 6" xfId="32569"/>
    <cellStyle name="Input 3 3 6 7" xfId="13205"/>
    <cellStyle name="Input 3 3 7" xfId="3437"/>
    <cellStyle name="Input 3 3 7 2" xfId="22409"/>
    <cellStyle name="Input 3 3 7 3" xfId="33254"/>
    <cellStyle name="Input 3 3 7 4" xfId="13687"/>
    <cellStyle name="Input 3 3 8" xfId="6113"/>
    <cellStyle name="Input 3 3 8 2" xfId="25085"/>
    <cellStyle name="Input 3 3 8 3" xfId="35930"/>
    <cellStyle name="Input 3 3 8 4" xfId="15604"/>
    <cellStyle name="Input 3 3 9" xfId="8772"/>
    <cellStyle name="Input 3 3 9 2" xfId="27744"/>
    <cellStyle name="Input 3 3 9 3" xfId="38589"/>
    <cellStyle name="Input 3 3 9 4" xfId="17508"/>
    <cellStyle name="Input 3 4" xfId="11456"/>
    <cellStyle name="Input 3 4 2" xfId="41377"/>
    <cellStyle name="Input 3 5" xfId="41378"/>
    <cellStyle name="Input 4" xfId="106"/>
    <cellStyle name="Input 4 2" xfId="375"/>
    <cellStyle name="Input 4 2 10" xfId="931"/>
    <cellStyle name="Input 4 2 10 2" xfId="3785"/>
    <cellStyle name="Input 4 2 10 2 2" xfId="22757"/>
    <cellStyle name="Input 4 2 10 2 3" xfId="33602"/>
    <cellStyle name="Input 4 2 10 2 4" xfId="13931"/>
    <cellStyle name="Input 4 2 10 3" xfId="6460"/>
    <cellStyle name="Input 4 2 10 3 2" xfId="25432"/>
    <cellStyle name="Input 4 2 10 3 3" xfId="36277"/>
    <cellStyle name="Input 4 2 10 3 4" xfId="15847"/>
    <cellStyle name="Input 4 2 10 4" xfId="9119"/>
    <cellStyle name="Input 4 2 10 4 2" xfId="28091"/>
    <cellStyle name="Input 4 2 10 4 3" xfId="38936"/>
    <cellStyle name="Input 4 2 10 4 4" xfId="17751"/>
    <cellStyle name="Input 4 2 10 5" xfId="19915"/>
    <cellStyle name="Input 4 2 10 6" xfId="30760"/>
    <cellStyle name="Input 4 2 10 7" xfId="11897"/>
    <cellStyle name="Input 4 2 11" xfId="1530"/>
    <cellStyle name="Input 4 2 11 2" xfId="4383"/>
    <cellStyle name="Input 4 2 11 2 2" xfId="23355"/>
    <cellStyle name="Input 4 2 11 2 3" xfId="34200"/>
    <cellStyle name="Input 4 2 11 2 4" xfId="14365"/>
    <cellStyle name="Input 4 2 11 3" xfId="7056"/>
    <cellStyle name="Input 4 2 11 3 2" xfId="26028"/>
    <cellStyle name="Input 4 2 11 3 3" xfId="36873"/>
    <cellStyle name="Input 4 2 11 3 4" xfId="16280"/>
    <cellStyle name="Input 4 2 11 4" xfId="9715"/>
    <cellStyle name="Input 4 2 11 4 2" xfId="28687"/>
    <cellStyle name="Input 4 2 11 4 3" xfId="39532"/>
    <cellStyle name="Input 4 2 11 4 4" xfId="18184"/>
    <cellStyle name="Input 4 2 11 5" xfId="20511"/>
    <cellStyle name="Input 4 2 11 6" xfId="31356"/>
    <cellStyle name="Input 4 2 11 7" xfId="12330"/>
    <cellStyle name="Input 4 2 12" xfId="3111"/>
    <cellStyle name="Input 4 2 12 2" xfId="5962"/>
    <cellStyle name="Input 4 2 12 2 2" xfId="24934"/>
    <cellStyle name="Input 4 2 12 2 3" xfId="35779"/>
    <cellStyle name="Input 4 2 12 2 4" xfId="15497"/>
    <cellStyle name="Input 4 2 12 3" xfId="8633"/>
    <cellStyle name="Input 4 2 12 3 2" xfId="27605"/>
    <cellStyle name="Input 4 2 12 3 3" xfId="38450"/>
    <cellStyle name="Input 4 2 12 3 4" xfId="17410"/>
    <cellStyle name="Input 4 2 12 4" xfId="11292"/>
    <cellStyle name="Input 4 2 12 4 2" xfId="30264"/>
    <cellStyle name="Input 4 2 12 4 3" xfId="41109"/>
    <cellStyle name="Input 4 2 12 4 4" xfId="19314"/>
    <cellStyle name="Input 4 2 12 5" xfId="22088"/>
    <cellStyle name="Input 4 2 12 6" xfId="32933"/>
    <cellStyle name="Input 4 2 12 7" xfId="13460"/>
    <cellStyle name="Input 4 2 13" xfId="3168"/>
    <cellStyle name="Input 4 2 13 2" xfId="6019"/>
    <cellStyle name="Input 4 2 13 2 2" xfId="24991"/>
    <cellStyle name="Input 4 2 13 2 3" xfId="35836"/>
    <cellStyle name="Input 4 2 13 2 4" xfId="15534"/>
    <cellStyle name="Input 4 2 13 3" xfId="8690"/>
    <cellStyle name="Input 4 2 13 3 2" xfId="27662"/>
    <cellStyle name="Input 4 2 13 3 3" xfId="38507"/>
    <cellStyle name="Input 4 2 13 3 4" xfId="17447"/>
    <cellStyle name="Input 4 2 13 4" xfId="11349"/>
    <cellStyle name="Input 4 2 13 4 2" xfId="30321"/>
    <cellStyle name="Input 4 2 13 4 3" xfId="41166"/>
    <cellStyle name="Input 4 2 13 4 4" xfId="19351"/>
    <cellStyle name="Input 4 2 13 5" xfId="22145"/>
    <cellStyle name="Input 4 2 13 6" xfId="32990"/>
    <cellStyle name="Input 4 2 13 7" xfId="13497"/>
    <cellStyle name="Input 4 2 14" xfId="3334"/>
    <cellStyle name="Input 4 2 14 2" xfId="22308"/>
    <cellStyle name="Input 4 2 14 3" xfId="33153"/>
    <cellStyle name="Input 4 2 14 4" xfId="13614"/>
    <cellStyle name="Input 4 2 15" xfId="3395"/>
    <cellStyle name="Input 4 2 15 2" xfId="22367"/>
    <cellStyle name="Input 4 2 15 3" xfId="33212"/>
    <cellStyle name="Input 4 2 15 4" xfId="13648"/>
    <cellStyle name="Input 4 2 16" xfId="3255"/>
    <cellStyle name="Input 4 2 16 2" xfId="22230"/>
    <cellStyle name="Input 4 2 16 3" xfId="33075"/>
    <cellStyle name="Input 4 2 16 4" xfId="13556"/>
    <cellStyle name="Input 4 2 17" xfId="19465"/>
    <cellStyle name="Input 4 2 18" xfId="19400"/>
    <cellStyle name="Input 4 2 19" xfId="11524"/>
    <cellStyle name="Input 4 2 2" xfId="676"/>
    <cellStyle name="Input 4 2 2 10" xfId="19661"/>
    <cellStyle name="Input 4 2 2 11" xfId="30506"/>
    <cellStyle name="Input 4 2 2 12" xfId="11728"/>
    <cellStyle name="Input 4 2 2 2" xfId="1263"/>
    <cellStyle name="Input 4 2 2 2 2" xfId="4116"/>
    <cellStyle name="Input 4 2 2 2 2 2" xfId="23088"/>
    <cellStyle name="Input 4 2 2 2 2 3" xfId="33933"/>
    <cellStyle name="Input 4 2 2 2 2 4" xfId="14189"/>
    <cellStyle name="Input 4 2 2 2 3" xfId="6789"/>
    <cellStyle name="Input 4 2 2 2 3 2" xfId="25761"/>
    <cellStyle name="Input 4 2 2 2 3 3" xfId="36606"/>
    <cellStyle name="Input 4 2 2 2 3 4" xfId="16104"/>
    <cellStyle name="Input 4 2 2 2 4" xfId="9448"/>
    <cellStyle name="Input 4 2 2 2 4 2" xfId="28420"/>
    <cellStyle name="Input 4 2 2 2 4 3" xfId="39265"/>
    <cellStyle name="Input 4 2 2 2 4 4" xfId="18008"/>
    <cellStyle name="Input 4 2 2 2 5" xfId="20244"/>
    <cellStyle name="Input 4 2 2 2 6" xfId="31089"/>
    <cellStyle name="Input 4 2 2 2 7" xfId="12154"/>
    <cellStyle name="Input 4 2 2 3" xfId="1662"/>
    <cellStyle name="Input 4 2 2 3 2" xfId="4515"/>
    <cellStyle name="Input 4 2 2 3 2 2" xfId="23487"/>
    <cellStyle name="Input 4 2 2 3 2 3" xfId="34332"/>
    <cellStyle name="Input 4 2 2 3 2 4" xfId="14476"/>
    <cellStyle name="Input 4 2 2 3 3" xfId="7187"/>
    <cellStyle name="Input 4 2 2 3 3 2" xfId="26159"/>
    <cellStyle name="Input 4 2 2 3 3 3" xfId="37004"/>
    <cellStyle name="Input 4 2 2 3 3 4" xfId="16390"/>
    <cellStyle name="Input 4 2 2 3 4" xfId="9846"/>
    <cellStyle name="Input 4 2 2 3 4 2" xfId="28818"/>
    <cellStyle name="Input 4 2 2 3 4 3" xfId="39663"/>
    <cellStyle name="Input 4 2 2 3 4 4" xfId="18294"/>
    <cellStyle name="Input 4 2 2 3 5" xfId="20642"/>
    <cellStyle name="Input 4 2 2 3 6" xfId="31487"/>
    <cellStyle name="Input 4 2 2 3 7" xfId="12440"/>
    <cellStyle name="Input 4 2 2 4" xfId="2066"/>
    <cellStyle name="Input 4 2 2 4 2" xfId="4919"/>
    <cellStyle name="Input 4 2 2 4 2 2" xfId="23891"/>
    <cellStyle name="Input 4 2 2 4 2 3" xfId="34736"/>
    <cellStyle name="Input 4 2 2 4 2 4" xfId="14763"/>
    <cellStyle name="Input 4 2 2 4 3" xfId="7590"/>
    <cellStyle name="Input 4 2 2 4 3 2" xfId="26562"/>
    <cellStyle name="Input 4 2 2 4 3 3" xfId="37407"/>
    <cellStyle name="Input 4 2 2 4 3 4" xfId="16676"/>
    <cellStyle name="Input 4 2 2 4 4" xfId="10249"/>
    <cellStyle name="Input 4 2 2 4 4 2" xfId="29221"/>
    <cellStyle name="Input 4 2 2 4 4 3" xfId="40066"/>
    <cellStyle name="Input 4 2 2 4 4 4" xfId="18580"/>
    <cellStyle name="Input 4 2 2 4 5" xfId="21045"/>
    <cellStyle name="Input 4 2 2 4 6" xfId="31890"/>
    <cellStyle name="Input 4 2 2 4 7" xfId="12726"/>
    <cellStyle name="Input 4 2 2 5" xfId="2456"/>
    <cellStyle name="Input 4 2 2 5 2" xfId="5308"/>
    <cellStyle name="Input 4 2 2 5 2 2" xfId="24280"/>
    <cellStyle name="Input 4 2 2 5 2 3" xfId="35125"/>
    <cellStyle name="Input 4 2 2 5 2 4" xfId="15042"/>
    <cellStyle name="Input 4 2 2 5 3" xfId="7979"/>
    <cellStyle name="Input 4 2 2 5 3 2" xfId="26951"/>
    <cellStyle name="Input 4 2 2 5 3 3" xfId="37796"/>
    <cellStyle name="Input 4 2 2 5 3 4" xfId="16955"/>
    <cellStyle name="Input 4 2 2 5 4" xfId="10638"/>
    <cellStyle name="Input 4 2 2 5 4 2" xfId="29610"/>
    <cellStyle name="Input 4 2 2 5 4 3" xfId="40455"/>
    <cellStyle name="Input 4 2 2 5 4 4" xfId="18859"/>
    <cellStyle name="Input 4 2 2 5 5" xfId="21434"/>
    <cellStyle name="Input 4 2 2 5 6" xfId="32279"/>
    <cellStyle name="Input 4 2 2 5 7" xfId="13005"/>
    <cellStyle name="Input 4 2 2 6" xfId="2842"/>
    <cellStyle name="Input 4 2 2 6 2" xfId="5693"/>
    <cellStyle name="Input 4 2 2 6 2 2" xfId="24665"/>
    <cellStyle name="Input 4 2 2 6 2 3" xfId="35510"/>
    <cellStyle name="Input 4 2 2 6 2 4" xfId="15318"/>
    <cellStyle name="Input 4 2 2 6 3" xfId="8364"/>
    <cellStyle name="Input 4 2 2 6 3 2" xfId="27336"/>
    <cellStyle name="Input 4 2 2 6 3 3" xfId="38181"/>
    <cellStyle name="Input 4 2 2 6 3 4" xfId="17231"/>
    <cellStyle name="Input 4 2 2 6 4" xfId="11023"/>
    <cellStyle name="Input 4 2 2 6 4 2" xfId="29995"/>
    <cellStyle name="Input 4 2 2 6 4 3" xfId="40840"/>
    <cellStyle name="Input 4 2 2 6 4 4" xfId="19135"/>
    <cellStyle name="Input 4 2 2 6 5" xfId="21819"/>
    <cellStyle name="Input 4 2 2 6 6" xfId="32664"/>
    <cellStyle name="Input 4 2 2 6 7" xfId="13281"/>
    <cellStyle name="Input 4 2 2 7" xfId="3531"/>
    <cellStyle name="Input 4 2 2 7 2" xfId="22503"/>
    <cellStyle name="Input 4 2 2 7 3" xfId="33348"/>
    <cellStyle name="Input 4 2 2 7 4" xfId="13762"/>
    <cellStyle name="Input 4 2 2 8" xfId="6206"/>
    <cellStyle name="Input 4 2 2 8 2" xfId="25178"/>
    <cellStyle name="Input 4 2 2 8 3" xfId="36023"/>
    <cellStyle name="Input 4 2 2 8 4" xfId="15678"/>
    <cellStyle name="Input 4 2 2 9" xfId="8865"/>
    <cellStyle name="Input 4 2 2 9 2" xfId="27837"/>
    <cellStyle name="Input 4 2 2 9 3" xfId="38682"/>
    <cellStyle name="Input 4 2 2 9 4" xfId="17582"/>
    <cellStyle name="Input 4 2 3" xfId="736"/>
    <cellStyle name="Input 4 2 3 10" xfId="19721"/>
    <cellStyle name="Input 4 2 3 11" xfId="30566"/>
    <cellStyle name="Input 4 2 3 12" xfId="11768"/>
    <cellStyle name="Input 4 2 3 2" xfId="1323"/>
    <cellStyle name="Input 4 2 3 2 2" xfId="4176"/>
    <cellStyle name="Input 4 2 3 2 2 2" xfId="23148"/>
    <cellStyle name="Input 4 2 3 2 2 3" xfId="33993"/>
    <cellStyle name="Input 4 2 3 2 2 4" xfId="14229"/>
    <cellStyle name="Input 4 2 3 2 3" xfId="6849"/>
    <cellStyle name="Input 4 2 3 2 3 2" xfId="25821"/>
    <cellStyle name="Input 4 2 3 2 3 3" xfId="36666"/>
    <cellStyle name="Input 4 2 3 2 3 4" xfId="16144"/>
    <cellStyle name="Input 4 2 3 2 4" xfId="9508"/>
    <cellStyle name="Input 4 2 3 2 4 2" xfId="28480"/>
    <cellStyle name="Input 4 2 3 2 4 3" xfId="39325"/>
    <cellStyle name="Input 4 2 3 2 4 4" xfId="18048"/>
    <cellStyle name="Input 4 2 3 2 5" xfId="20304"/>
    <cellStyle name="Input 4 2 3 2 6" xfId="31149"/>
    <cellStyle name="Input 4 2 3 2 7" xfId="12194"/>
    <cellStyle name="Input 4 2 3 3" xfId="1722"/>
    <cellStyle name="Input 4 2 3 3 2" xfId="4575"/>
    <cellStyle name="Input 4 2 3 3 2 2" xfId="23547"/>
    <cellStyle name="Input 4 2 3 3 2 3" xfId="34392"/>
    <cellStyle name="Input 4 2 3 3 2 4" xfId="14516"/>
    <cellStyle name="Input 4 2 3 3 3" xfId="7247"/>
    <cellStyle name="Input 4 2 3 3 3 2" xfId="26219"/>
    <cellStyle name="Input 4 2 3 3 3 3" xfId="37064"/>
    <cellStyle name="Input 4 2 3 3 3 4" xfId="16430"/>
    <cellStyle name="Input 4 2 3 3 4" xfId="9906"/>
    <cellStyle name="Input 4 2 3 3 4 2" xfId="28878"/>
    <cellStyle name="Input 4 2 3 3 4 3" xfId="39723"/>
    <cellStyle name="Input 4 2 3 3 4 4" xfId="18334"/>
    <cellStyle name="Input 4 2 3 3 5" xfId="20702"/>
    <cellStyle name="Input 4 2 3 3 6" xfId="31547"/>
    <cellStyle name="Input 4 2 3 3 7" xfId="12480"/>
    <cellStyle name="Input 4 2 3 4" xfId="2126"/>
    <cellStyle name="Input 4 2 3 4 2" xfId="4979"/>
    <cellStyle name="Input 4 2 3 4 2 2" xfId="23951"/>
    <cellStyle name="Input 4 2 3 4 2 3" xfId="34796"/>
    <cellStyle name="Input 4 2 3 4 2 4" xfId="14803"/>
    <cellStyle name="Input 4 2 3 4 3" xfId="7650"/>
    <cellStyle name="Input 4 2 3 4 3 2" xfId="26622"/>
    <cellStyle name="Input 4 2 3 4 3 3" xfId="37467"/>
    <cellStyle name="Input 4 2 3 4 3 4" xfId="16716"/>
    <cellStyle name="Input 4 2 3 4 4" xfId="10309"/>
    <cellStyle name="Input 4 2 3 4 4 2" xfId="29281"/>
    <cellStyle name="Input 4 2 3 4 4 3" xfId="40126"/>
    <cellStyle name="Input 4 2 3 4 4 4" xfId="18620"/>
    <cellStyle name="Input 4 2 3 4 5" xfId="21105"/>
    <cellStyle name="Input 4 2 3 4 6" xfId="31950"/>
    <cellStyle name="Input 4 2 3 4 7" xfId="12766"/>
    <cellStyle name="Input 4 2 3 5" xfId="2516"/>
    <cellStyle name="Input 4 2 3 5 2" xfId="5368"/>
    <cellStyle name="Input 4 2 3 5 2 2" xfId="24340"/>
    <cellStyle name="Input 4 2 3 5 2 3" xfId="35185"/>
    <cellStyle name="Input 4 2 3 5 2 4" xfId="15082"/>
    <cellStyle name="Input 4 2 3 5 3" xfId="8039"/>
    <cellStyle name="Input 4 2 3 5 3 2" xfId="27011"/>
    <cellStyle name="Input 4 2 3 5 3 3" xfId="37856"/>
    <cellStyle name="Input 4 2 3 5 3 4" xfId="16995"/>
    <cellStyle name="Input 4 2 3 5 4" xfId="10698"/>
    <cellStyle name="Input 4 2 3 5 4 2" xfId="29670"/>
    <cellStyle name="Input 4 2 3 5 4 3" xfId="40515"/>
    <cellStyle name="Input 4 2 3 5 4 4" xfId="18899"/>
    <cellStyle name="Input 4 2 3 5 5" xfId="21494"/>
    <cellStyle name="Input 4 2 3 5 6" xfId="32339"/>
    <cellStyle name="Input 4 2 3 5 7" xfId="13045"/>
    <cellStyle name="Input 4 2 3 6" xfId="2902"/>
    <cellStyle name="Input 4 2 3 6 2" xfId="5753"/>
    <cellStyle name="Input 4 2 3 6 2 2" xfId="24725"/>
    <cellStyle name="Input 4 2 3 6 2 3" xfId="35570"/>
    <cellStyle name="Input 4 2 3 6 2 4" xfId="15358"/>
    <cellStyle name="Input 4 2 3 6 3" xfId="8424"/>
    <cellStyle name="Input 4 2 3 6 3 2" xfId="27396"/>
    <cellStyle name="Input 4 2 3 6 3 3" xfId="38241"/>
    <cellStyle name="Input 4 2 3 6 3 4" xfId="17271"/>
    <cellStyle name="Input 4 2 3 6 4" xfId="11083"/>
    <cellStyle name="Input 4 2 3 6 4 2" xfId="30055"/>
    <cellStyle name="Input 4 2 3 6 4 3" xfId="40900"/>
    <cellStyle name="Input 4 2 3 6 4 4" xfId="19175"/>
    <cellStyle name="Input 4 2 3 6 5" xfId="21879"/>
    <cellStyle name="Input 4 2 3 6 6" xfId="32724"/>
    <cellStyle name="Input 4 2 3 6 7" xfId="13321"/>
    <cellStyle name="Input 4 2 3 7" xfId="3591"/>
    <cellStyle name="Input 4 2 3 7 2" xfId="22563"/>
    <cellStyle name="Input 4 2 3 7 3" xfId="33408"/>
    <cellStyle name="Input 4 2 3 7 4" xfId="13802"/>
    <cellStyle name="Input 4 2 3 8" xfId="6266"/>
    <cellStyle name="Input 4 2 3 8 2" xfId="25238"/>
    <cellStyle name="Input 4 2 3 8 3" xfId="36083"/>
    <cellStyle name="Input 4 2 3 8 4" xfId="15718"/>
    <cellStyle name="Input 4 2 3 9" xfId="8925"/>
    <cellStyle name="Input 4 2 3 9 2" xfId="27897"/>
    <cellStyle name="Input 4 2 3 9 3" xfId="38742"/>
    <cellStyle name="Input 4 2 3 9 4" xfId="17622"/>
    <cellStyle name="Input 4 2 4" xfId="796"/>
    <cellStyle name="Input 4 2 4 10" xfId="19781"/>
    <cellStyle name="Input 4 2 4 11" xfId="30626"/>
    <cellStyle name="Input 4 2 4 12" xfId="11808"/>
    <cellStyle name="Input 4 2 4 2" xfId="1383"/>
    <cellStyle name="Input 4 2 4 2 2" xfId="4236"/>
    <cellStyle name="Input 4 2 4 2 2 2" xfId="23208"/>
    <cellStyle name="Input 4 2 4 2 2 3" xfId="34053"/>
    <cellStyle name="Input 4 2 4 2 2 4" xfId="14269"/>
    <cellStyle name="Input 4 2 4 2 3" xfId="6909"/>
    <cellStyle name="Input 4 2 4 2 3 2" xfId="25881"/>
    <cellStyle name="Input 4 2 4 2 3 3" xfId="36726"/>
    <cellStyle name="Input 4 2 4 2 3 4" xfId="16184"/>
    <cellStyle name="Input 4 2 4 2 4" xfId="9568"/>
    <cellStyle name="Input 4 2 4 2 4 2" xfId="28540"/>
    <cellStyle name="Input 4 2 4 2 4 3" xfId="39385"/>
    <cellStyle name="Input 4 2 4 2 4 4" xfId="18088"/>
    <cellStyle name="Input 4 2 4 2 5" xfId="20364"/>
    <cellStyle name="Input 4 2 4 2 6" xfId="31209"/>
    <cellStyle name="Input 4 2 4 2 7" xfId="12234"/>
    <cellStyle name="Input 4 2 4 3" xfId="1782"/>
    <cellStyle name="Input 4 2 4 3 2" xfId="4635"/>
    <cellStyle name="Input 4 2 4 3 2 2" xfId="23607"/>
    <cellStyle name="Input 4 2 4 3 2 3" xfId="34452"/>
    <cellStyle name="Input 4 2 4 3 2 4" xfId="14556"/>
    <cellStyle name="Input 4 2 4 3 3" xfId="7307"/>
    <cellStyle name="Input 4 2 4 3 3 2" xfId="26279"/>
    <cellStyle name="Input 4 2 4 3 3 3" xfId="37124"/>
    <cellStyle name="Input 4 2 4 3 3 4" xfId="16470"/>
    <cellStyle name="Input 4 2 4 3 4" xfId="9966"/>
    <cellStyle name="Input 4 2 4 3 4 2" xfId="28938"/>
    <cellStyle name="Input 4 2 4 3 4 3" xfId="39783"/>
    <cellStyle name="Input 4 2 4 3 4 4" xfId="18374"/>
    <cellStyle name="Input 4 2 4 3 5" xfId="20762"/>
    <cellStyle name="Input 4 2 4 3 6" xfId="31607"/>
    <cellStyle name="Input 4 2 4 3 7" xfId="12520"/>
    <cellStyle name="Input 4 2 4 4" xfId="2186"/>
    <cellStyle name="Input 4 2 4 4 2" xfId="5039"/>
    <cellStyle name="Input 4 2 4 4 2 2" xfId="24011"/>
    <cellStyle name="Input 4 2 4 4 2 3" xfId="34856"/>
    <cellStyle name="Input 4 2 4 4 2 4" xfId="14843"/>
    <cellStyle name="Input 4 2 4 4 3" xfId="7710"/>
    <cellStyle name="Input 4 2 4 4 3 2" xfId="26682"/>
    <cellStyle name="Input 4 2 4 4 3 3" xfId="37527"/>
    <cellStyle name="Input 4 2 4 4 3 4" xfId="16756"/>
    <cellStyle name="Input 4 2 4 4 4" xfId="10369"/>
    <cellStyle name="Input 4 2 4 4 4 2" xfId="29341"/>
    <cellStyle name="Input 4 2 4 4 4 3" xfId="40186"/>
    <cellStyle name="Input 4 2 4 4 4 4" xfId="18660"/>
    <cellStyle name="Input 4 2 4 4 5" xfId="21165"/>
    <cellStyle name="Input 4 2 4 4 6" xfId="32010"/>
    <cellStyle name="Input 4 2 4 4 7" xfId="12806"/>
    <cellStyle name="Input 4 2 4 5" xfId="2576"/>
    <cellStyle name="Input 4 2 4 5 2" xfId="5428"/>
    <cellStyle name="Input 4 2 4 5 2 2" xfId="24400"/>
    <cellStyle name="Input 4 2 4 5 2 3" xfId="35245"/>
    <cellStyle name="Input 4 2 4 5 2 4" xfId="15122"/>
    <cellStyle name="Input 4 2 4 5 3" xfId="8099"/>
    <cellStyle name="Input 4 2 4 5 3 2" xfId="27071"/>
    <cellStyle name="Input 4 2 4 5 3 3" xfId="37916"/>
    <cellStyle name="Input 4 2 4 5 3 4" xfId="17035"/>
    <cellStyle name="Input 4 2 4 5 4" xfId="10758"/>
    <cellStyle name="Input 4 2 4 5 4 2" xfId="29730"/>
    <cellStyle name="Input 4 2 4 5 4 3" xfId="40575"/>
    <cellStyle name="Input 4 2 4 5 4 4" xfId="18939"/>
    <cellStyle name="Input 4 2 4 5 5" xfId="21554"/>
    <cellStyle name="Input 4 2 4 5 6" xfId="32399"/>
    <cellStyle name="Input 4 2 4 5 7" xfId="13085"/>
    <cellStyle name="Input 4 2 4 6" xfId="2962"/>
    <cellStyle name="Input 4 2 4 6 2" xfId="5813"/>
    <cellStyle name="Input 4 2 4 6 2 2" xfId="24785"/>
    <cellStyle name="Input 4 2 4 6 2 3" xfId="35630"/>
    <cellStyle name="Input 4 2 4 6 2 4" xfId="15398"/>
    <cellStyle name="Input 4 2 4 6 3" xfId="8484"/>
    <cellStyle name="Input 4 2 4 6 3 2" xfId="27456"/>
    <cellStyle name="Input 4 2 4 6 3 3" xfId="38301"/>
    <cellStyle name="Input 4 2 4 6 3 4" xfId="17311"/>
    <cellStyle name="Input 4 2 4 6 4" xfId="11143"/>
    <cellStyle name="Input 4 2 4 6 4 2" xfId="30115"/>
    <cellStyle name="Input 4 2 4 6 4 3" xfId="40960"/>
    <cellStyle name="Input 4 2 4 6 4 4" xfId="19215"/>
    <cellStyle name="Input 4 2 4 6 5" xfId="21939"/>
    <cellStyle name="Input 4 2 4 6 6" xfId="32784"/>
    <cellStyle name="Input 4 2 4 6 7" xfId="13361"/>
    <cellStyle name="Input 4 2 4 7" xfId="3651"/>
    <cellStyle name="Input 4 2 4 7 2" xfId="22623"/>
    <cellStyle name="Input 4 2 4 7 3" xfId="33468"/>
    <cellStyle name="Input 4 2 4 7 4" xfId="13842"/>
    <cellStyle name="Input 4 2 4 8" xfId="6326"/>
    <cellStyle name="Input 4 2 4 8 2" xfId="25298"/>
    <cellStyle name="Input 4 2 4 8 3" xfId="36143"/>
    <cellStyle name="Input 4 2 4 8 4" xfId="15758"/>
    <cellStyle name="Input 4 2 4 9" xfId="8985"/>
    <cellStyle name="Input 4 2 4 9 2" xfId="27957"/>
    <cellStyle name="Input 4 2 4 9 3" xfId="38802"/>
    <cellStyle name="Input 4 2 4 9 4" xfId="17662"/>
    <cellStyle name="Input 4 2 5" xfId="855"/>
    <cellStyle name="Input 4 2 5 10" xfId="19840"/>
    <cellStyle name="Input 4 2 5 11" xfId="30685"/>
    <cellStyle name="Input 4 2 5 12" xfId="11847"/>
    <cellStyle name="Input 4 2 5 2" xfId="1442"/>
    <cellStyle name="Input 4 2 5 2 2" xfId="4295"/>
    <cellStyle name="Input 4 2 5 2 2 2" xfId="23267"/>
    <cellStyle name="Input 4 2 5 2 2 3" xfId="34112"/>
    <cellStyle name="Input 4 2 5 2 2 4" xfId="14308"/>
    <cellStyle name="Input 4 2 5 2 3" xfId="6968"/>
    <cellStyle name="Input 4 2 5 2 3 2" xfId="25940"/>
    <cellStyle name="Input 4 2 5 2 3 3" xfId="36785"/>
    <cellStyle name="Input 4 2 5 2 3 4" xfId="16223"/>
    <cellStyle name="Input 4 2 5 2 4" xfId="9627"/>
    <cellStyle name="Input 4 2 5 2 4 2" xfId="28599"/>
    <cellStyle name="Input 4 2 5 2 4 3" xfId="39444"/>
    <cellStyle name="Input 4 2 5 2 4 4" xfId="18127"/>
    <cellStyle name="Input 4 2 5 2 5" xfId="20423"/>
    <cellStyle name="Input 4 2 5 2 6" xfId="31268"/>
    <cellStyle name="Input 4 2 5 2 7" xfId="12273"/>
    <cellStyle name="Input 4 2 5 3" xfId="1841"/>
    <cellStyle name="Input 4 2 5 3 2" xfId="4694"/>
    <cellStyle name="Input 4 2 5 3 2 2" xfId="23666"/>
    <cellStyle name="Input 4 2 5 3 2 3" xfId="34511"/>
    <cellStyle name="Input 4 2 5 3 2 4" xfId="14595"/>
    <cellStyle name="Input 4 2 5 3 3" xfId="7366"/>
    <cellStyle name="Input 4 2 5 3 3 2" xfId="26338"/>
    <cellStyle name="Input 4 2 5 3 3 3" xfId="37183"/>
    <cellStyle name="Input 4 2 5 3 3 4" xfId="16509"/>
    <cellStyle name="Input 4 2 5 3 4" xfId="10025"/>
    <cellStyle name="Input 4 2 5 3 4 2" xfId="28997"/>
    <cellStyle name="Input 4 2 5 3 4 3" xfId="39842"/>
    <cellStyle name="Input 4 2 5 3 4 4" xfId="18413"/>
    <cellStyle name="Input 4 2 5 3 5" xfId="20821"/>
    <cellStyle name="Input 4 2 5 3 6" xfId="31666"/>
    <cellStyle name="Input 4 2 5 3 7" xfId="12559"/>
    <cellStyle name="Input 4 2 5 4" xfId="2245"/>
    <cellStyle name="Input 4 2 5 4 2" xfId="5098"/>
    <cellStyle name="Input 4 2 5 4 2 2" xfId="24070"/>
    <cellStyle name="Input 4 2 5 4 2 3" xfId="34915"/>
    <cellStyle name="Input 4 2 5 4 2 4" xfId="14882"/>
    <cellStyle name="Input 4 2 5 4 3" xfId="7769"/>
    <cellStyle name="Input 4 2 5 4 3 2" xfId="26741"/>
    <cellStyle name="Input 4 2 5 4 3 3" xfId="37586"/>
    <cellStyle name="Input 4 2 5 4 3 4" xfId="16795"/>
    <cellStyle name="Input 4 2 5 4 4" xfId="10428"/>
    <cellStyle name="Input 4 2 5 4 4 2" xfId="29400"/>
    <cellStyle name="Input 4 2 5 4 4 3" xfId="40245"/>
    <cellStyle name="Input 4 2 5 4 4 4" xfId="18699"/>
    <cellStyle name="Input 4 2 5 4 5" xfId="21224"/>
    <cellStyle name="Input 4 2 5 4 6" xfId="32069"/>
    <cellStyle name="Input 4 2 5 4 7" xfId="12845"/>
    <cellStyle name="Input 4 2 5 5" xfId="2635"/>
    <cellStyle name="Input 4 2 5 5 2" xfId="5487"/>
    <cellStyle name="Input 4 2 5 5 2 2" xfId="24459"/>
    <cellStyle name="Input 4 2 5 5 2 3" xfId="35304"/>
    <cellStyle name="Input 4 2 5 5 2 4" xfId="15161"/>
    <cellStyle name="Input 4 2 5 5 3" xfId="8158"/>
    <cellStyle name="Input 4 2 5 5 3 2" xfId="27130"/>
    <cellStyle name="Input 4 2 5 5 3 3" xfId="37975"/>
    <cellStyle name="Input 4 2 5 5 3 4" xfId="17074"/>
    <cellStyle name="Input 4 2 5 5 4" xfId="10817"/>
    <cellStyle name="Input 4 2 5 5 4 2" xfId="29789"/>
    <cellStyle name="Input 4 2 5 5 4 3" xfId="40634"/>
    <cellStyle name="Input 4 2 5 5 4 4" xfId="18978"/>
    <cellStyle name="Input 4 2 5 5 5" xfId="21613"/>
    <cellStyle name="Input 4 2 5 5 6" xfId="32458"/>
    <cellStyle name="Input 4 2 5 5 7" xfId="13124"/>
    <cellStyle name="Input 4 2 5 6" xfId="3021"/>
    <cellStyle name="Input 4 2 5 6 2" xfId="5872"/>
    <cellStyle name="Input 4 2 5 6 2 2" xfId="24844"/>
    <cellStyle name="Input 4 2 5 6 2 3" xfId="35689"/>
    <cellStyle name="Input 4 2 5 6 2 4" xfId="15437"/>
    <cellStyle name="Input 4 2 5 6 3" xfId="8543"/>
    <cellStyle name="Input 4 2 5 6 3 2" xfId="27515"/>
    <cellStyle name="Input 4 2 5 6 3 3" xfId="38360"/>
    <cellStyle name="Input 4 2 5 6 3 4" xfId="17350"/>
    <cellStyle name="Input 4 2 5 6 4" xfId="11202"/>
    <cellStyle name="Input 4 2 5 6 4 2" xfId="30174"/>
    <cellStyle name="Input 4 2 5 6 4 3" xfId="41019"/>
    <cellStyle name="Input 4 2 5 6 4 4" xfId="19254"/>
    <cellStyle name="Input 4 2 5 6 5" xfId="21998"/>
    <cellStyle name="Input 4 2 5 6 6" xfId="32843"/>
    <cellStyle name="Input 4 2 5 6 7" xfId="13400"/>
    <cellStyle name="Input 4 2 5 7" xfId="3710"/>
    <cellStyle name="Input 4 2 5 7 2" xfId="22682"/>
    <cellStyle name="Input 4 2 5 7 3" xfId="33527"/>
    <cellStyle name="Input 4 2 5 7 4" xfId="13881"/>
    <cellStyle name="Input 4 2 5 8" xfId="6385"/>
    <cellStyle name="Input 4 2 5 8 2" xfId="25357"/>
    <cellStyle name="Input 4 2 5 8 3" xfId="36202"/>
    <cellStyle name="Input 4 2 5 8 4" xfId="15797"/>
    <cellStyle name="Input 4 2 5 9" xfId="9044"/>
    <cellStyle name="Input 4 2 5 9 2" xfId="28016"/>
    <cellStyle name="Input 4 2 5 9 3" xfId="38861"/>
    <cellStyle name="Input 4 2 5 9 4" xfId="17701"/>
    <cellStyle name="Input 4 2 6" xfId="1077"/>
    <cellStyle name="Input 4 2 6 2" xfId="3930"/>
    <cellStyle name="Input 4 2 6 2 2" xfId="22902"/>
    <cellStyle name="Input 4 2 6 2 3" xfId="33747"/>
    <cellStyle name="Input 4 2 6 2 4" xfId="14043"/>
    <cellStyle name="Input 4 2 6 3" xfId="6604"/>
    <cellStyle name="Input 4 2 6 3 2" xfId="25576"/>
    <cellStyle name="Input 4 2 6 3 3" xfId="36421"/>
    <cellStyle name="Input 4 2 6 3 4" xfId="15959"/>
    <cellStyle name="Input 4 2 6 4" xfId="9263"/>
    <cellStyle name="Input 4 2 6 4 2" xfId="28235"/>
    <cellStyle name="Input 4 2 6 4 3" xfId="39080"/>
    <cellStyle name="Input 4 2 6 4 4" xfId="17863"/>
    <cellStyle name="Input 4 2 6 5" xfId="20059"/>
    <cellStyle name="Input 4 2 6 6" xfId="30904"/>
    <cellStyle name="Input 4 2 6 7" xfId="12009"/>
    <cellStyle name="Input 4 2 7" xfId="911"/>
    <cellStyle name="Input 4 2 7 2" xfId="3766"/>
    <cellStyle name="Input 4 2 7 2 2" xfId="22738"/>
    <cellStyle name="Input 4 2 7 2 3" xfId="33583"/>
    <cellStyle name="Input 4 2 7 2 4" xfId="13912"/>
    <cellStyle name="Input 4 2 7 3" xfId="6441"/>
    <cellStyle name="Input 4 2 7 3 2" xfId="25413"/>
    <cellStyle name="Input 4 2 7 3 3" xfId="36258"/>
    <cellStyle name="Input 4 2 7 3 4" xfId="15828"/>
    <cellStyle name="Input 4 2 7 4" xfId="9100"/>
    <cellStyle name="Input 4 2 7 4 2" xfId="28072"/>
    <cellStyle name="Input 4 2 7 4 3" xfId="38917"/>
    <cellStyle name="Input 4 2 7 4 4" xfId="17732"/>
    <cellStyle name="Input 4 2 7 5" xfId="19896"/>
    <cellStyle name="Input 4 2 7 6" xfId="30741"/>
    <cellStyle name="Input 4 2 7 7" xfId="11878"/>
    <cellStyle name="Input 4 2 8" xfId="1043"/>
    <cellStyle name="Input 4 2 8 2" xfId="3896"/>
    <cellStyle name="Input 4 2 8 2 2" xfId="22868"/>
    <cellStyle name="Input 4 2 8 2 3" xfId="33713"/>
    <cellStyle name="Input 4 2 8 2 4" xfId="14013"/>
    <cellStyle name="Input 4 2 8 3" xfId="6570"/>
    <cellStyle name="Input 4 2 8 3 2" xfId="25542"/>
    <cellStyle name="Input 4 2 8 3 3" xfId="36387"/>
    <cellStyle name="Input 4 2 8 3 4" xfId="15929"/>
    <cellStyle name="Input 4 2 8 4" xfId="9229"/>
    <cellStyle name="Input 4 2 8 4 2" xfId="28201"/>
    <cellStyle name="Input 4 2 8 4 3" xfId="39046"/>
    <cellStyle name="Input 4 2 8 4 4" xfId="17833"/>
    <cellStyle name="Input 4 2 8 5" xfId="20025"/>
    <cellStyle name="Input 4 2 8 6" xfId="30870"/>
    <cellStyle name="Input 4 2 8 7" xfId="11979"/>
    <cellStyle name="Input 4 2 9" xfId="989"/>
    <cellStyle name="Input 4 2 9 2" xfId="3842"/>
    <cellStyle name="Input 4 2 9 2 2" xfId="22814"/>
    <cellStyle name="Input 4 2 9 2 3" xfId="33659"/>
    <cellStyle name="Input 4 2 9 2 4" xfId="13975"/>
    <cellStyle name="Input 4 2 9 3" xfId="6517"/>
    <cellStyle name="Input 4 2 9 3 2" xfId="25489"/>
    <cellStyle name="Input 4 2 9 3 3" xfId="36334"/>
    <cellStyle name="Input 4 2 9 3 4" xfId="15891"/>
    <cellStyle name="Input 4 2 9 4" xfId="9176"/>
    <cellStyle name="Input 4 2 9 4 2" xfId="28148"/>
    <cellStyle name="Input 4 2 9 4 3" xfId="38993"/>
    <cellStyle name="Input 4 2 9 4 4" xfId="17795"/>
    <cellStyle name="Input 4 2 9 5" xfId="19972"/>
    <cellStyle name="Input 4 2 9 6" xfId="30817"/>
    <cellStyle name="Input 4 2 9 7" xfId="11941"/>
    <cellStyle name="Input 4 3" xfId="559"/>
    <cellStyle name="Input 4 3 10" xfId="19569"/>
    <cellStyle name="Input 4 3 11" xfId="30414"/>
    <cellStyle name="Input 4 3 12" xfId="11633"/>
    <cellStyle name="Input 4 3 2" xfId="1165"/>
    <cellStyle name="Input 4 3 2 2" xfId="4018"/>
    <cellStyle name="Input 4 3 2 2 2" xfId="22990"/>
    <cellStyle name="Input 4 3 2 2 3" xfId="33835"/>
    <cellStyle name="Input 4 3 2 2 4" xfId="14110"/>
    <cellStyle name="Input 4 3 2 3" xfId="6691"/>
    <cellStyle name="Input 4 3 2 3 2" xfId="25663"/>
    <cellStyle name="Input 4 3 2 3 3" xfId="36508"/>
    <cellStyle name="Input 4 3 2 3 4" xfId="16025"/>
    <cellStyle name="Input 4 3 2 4" xfId="9350"/>
    <cellStyle name="Input 4 3 2 4 2" xfId="28322"/>
    <cellStyle name="Input 4 3 2 4 3" xfId="39167"/>
    <cellStyle name="Input 4 3 2 4 4" xfId="17929"/>
    <cellStyle name="Input 4 3 2 5" xfId="20146"/>
    <cellStyle name="Input 4 3 2 6" xfId="30991"/>
    <cellStyle name="Input 4 3 2 7" xfId="12075"/>
    <cellStyle name="Input 4 3 3" xfId="1562"/>
    <cellStyle name="Input 4 3 3 2" xfId="4415"/>
    <cellStyle name="Input 4 3 3 2 2" xfId="23387"/>
    <cellStyle name="Input 4 3 3 2 3" xfId="34232"/>
    <cellStyle name="Input 4 3 3 2 4" xfId="14396"/>
    <cellStyle name="Input 4 3 3 3" xfId="7087"/>
    <cellStyle name="Input 4 3 3 3 2" xfId="26059"/>
    <cellStyle name="Input 4 3 3 3 3" xfId="36904"/>
    <cellStyle name="Input 4 3 3 3 4" xfId="16310"/>
    <cellStyle name="Input 4 3 3 4" xfId="9746"/>
    <cellStyle name="Input 4 3 3 4 2" xfId="28718"/>
    <cellStyle name="Input 4 3 3 4 3" xfId="39563"/>
    <cellStyle name="Input 4 3 3 4 4" xfId="18214"/>
    <cellStyle name="Input 4 3 3 5" xfId="20542"/>
    <cellStyle name="Input 4 3 3 6" xfId="31387"/>
    <cellStyle name="Input 4 3 3 7" xfId="12360"/>
    <cellStyle name="Input 4 3 4" xfId="1966"/>
    <cellStyle name="Input 4 3 4 2" xfId="4819"/>
    <cellStyle name="Input 4 3 4 2 2" xfId="23791"/>
    <cellStyle name="Input 4 3 4 2 3" xfId="34636"/>
    <cellStyle name="Input 4 3 4 2 4" xfId="14684"/>
    <cellStyle name="Input 4 3 4 3" xfId="7491"/>
    <cellStyle name="Input 4 3 4 3 2" xfId="26463"/>
    <cellStyle name="Input 4 3 4 3 3" xfId="37308"/>
    <cellStyle name="Input 4 3 4 3 4" xfId="16598"/>
    <cellStyle name="Input 4 3 4 4" xfId="10150"/>
    <cellStyle name="Input 4 3 4 4 2" xfId="29122"/>
    <cellStyle name="Input 4 3 4 4 3" xfId="39967"/>
    <cellStyle name="Input 4 3 4 4 4" xfId="18502"/>
    <cellStyle name="Input 4 3 4 5" xfId="20946"/>
    <cellStyle name="Input 4 3 4 6" xfId="31791"/>
    <cellStyle name="Input 4 3 4 7" xfId="12648"/>
    <cellStyle name="Input 4 3 5" xfId="2358"/>
    <cellStyle name="Input 4 3 5 2" xfId="5211"/>
    <cellStyle name="Input 4 3 5 2 2" xfId="24183"/>
    <cellStyle name="Input 4 3 5 2 3" xfId="35028"/>
    <cellStyle name="Input 4 3 5 2 4" xfId="14965"/>
    <cellStyle name="Input 4 3 5 3" xfId="7882"/>
    <cellStyle name="Input 4 3 5 3 2" xfId="26854"/>
    <cellStyle name="Input 4 3 5 3 3" xfId="37699"/>
    <cellStyle name="Input 4 3 5 3 4" xfId="16878"/>
    <cellStyle name="Input 4 3 5 4" xfId="10541"/>
    <cellStyle name="Input 4 3 5 4 2" xfId="29513"/>
    <cellStyle name="Input 4 3 5 4 3" xfId="40358"/>
    <cellStyle name="Input 4 3 5 4 4" xfId="18782"/>
    <cellStyle name="Input 4 3 5 5" xfId="21337"/>
    <cellStyle name="Input 4 3 5 6" xfId="32182"/>
    <cellStyle name="Input 4 3 5 7" xfId="12928"/>
    <cellStyle name="Input 4 3 6" xfId="2747"/>
    <cellStyle name="Input 4 3 6 2" xfId="5599"/>
    <cellStyle name="Input 4 3 6 2 2" xfId="24571"/>
    <cellStyle name="Input 4 3 6 2 3" xfId="35416"/>
    <cellStyle name="Input 4 3 6 2 4" xfId="15243"/>
    <cellStyle name="Input 4 3 6 3" xfId="8270"/>
    <cellStyle name="Input 4 3 6 3 2" xfId="27242"/>
    <cellStyle name="Input 4 3 6 3 3" xfId="38087"/>
    <cellStyle name="Input 4 3 6 3 4" xfId="17156"/>
    <cellStyle name="Input 4 3 6 4" xfId="10929"/>
    <cellStyle name="Input 4 3 6 4 2" xfId="29901"/>
    <cellStyle name="Input 4 3 6 4 3" xfId="40746"/>
    <cellStyle name="Input 4 3 6 4 4" xfId="19060"/>
    <cellStyle name="Input 4 3 6 5" xfId="21725"/>
    <cellStyle name="Input 4 3 6 6" xfId="32570"/>
    <cellStyle name="Input 4 3 6 7" xfId="13206"/>
    <cellStyle name="Input 4 3 7" xfId="3438"/>
    <cellStyle name="Input 4 3 7 2" xfId="22410"/>
    <cellStyle name="Input 4 3 7 3" xfId="33255"/>
    <cellStyle name="Input 4 3 7 4" xfId="13688"/>
    <cellStyle name="Input 4 3 8" xfId="6114"/>
    <cellStyle name="Input 4 3 8 2" xfId="25086"/>
    <cellStyle name="Input 4 3 8 3" xfId="35931"/>
    <cellStyle name="Input 4 3 8 4" xfId="15605"/>
    <cellStyle name="Input 4 3 9" xfId="8773"/>
    <cellStyle name="Input 4 3 9 2" xfId="27745"/>
    <cellStyle name="Input 4 3 9 3" xfId="38590"/>
    <cellStyle name="Input 4 3 9 4" xfId="17509"/>
    <cellStyle name="Input 4 4" xfId="11457"/>
    <cellStyle name="Input 5" xfId="302"/>
    <cellStyle name="Input 5 2" xfId="423"/>
    <cellStyle name="Input 5 2 10" xfId="2705"/>
    <cellStyle name="Input 5 2 10 2" xfId="5557"/>
    <cellStyle name="Input 5 2 10 2 2" xfId="24529"/>
    <cellStyle name="Input 5 2 10 2 3" xfId="35374"/>
    <cellStyle name="Input 5 2 10 2 4" xfId="15208"/>
    <cellStyle name="Input 5 2 10 3" xfId="8228"/>
    <cellStyle name="Input 5 2 10 3 2" xfId="27200"/>
    <cellStyle name="Input 5 2 10 3 3" xfId="38045"/>
    <cellStyle name="Input 5 2 10 3 4" xfId="17121"/>
    <cellStyle name="Input 5 2 10 4" xfId="10887"/>
    <cellStyle name="Input 5 2 10 4 2" xfId="29859"/>
    <cellStyle name="Input 5 2 10 4 3" xfId="40704"/>
    <cellStyle name="Input 5 2 10 4 4" xfId="19025"/>
    <cellStyle name="Input 5 2 10 5" xfId="21683"/>
    <cellStyle name="Input 5 2 10 6" xfId="32528"/>
    <cellStyle name="Input 5 2 10 7" xfId="13171"/>
    <cellStyle name="Input 5 2 11" xfId="3090"/>
    <cellStyle name="Input 5 2 11 2" xfId="5941"/>
    <cellStyle name="Input 5 2 11 2 2" xfId="24913"/>
    <cellStyle name="Input 5 2 11 2 3" xfId="35758"/>
    <cellStyle name="Input 5 2 11 2 4" xfId="15483"/>
    <cellStyle name="Input 5 2 11 3" xfId="8612"/>
    <cellStyle name="Input 5 2 11 3 2" xfId="27584"/>
    <cellStyle name="Input 5 2 11 3 3" xfId="38429"/>
    <cellStyle name="Input 5 2 11 3 4" xfId="17396"/>
    <cellStyle name="Input 5 2 11 4" xfId="11271"/>
    <cellStyle name="Input 5 2 11 4 2" xfId="30243"/>
    <cellStyle name="Input 5 2 11 4 3" xfId="41088"/>
    <cellStyle name="Input 5 2 11 4 4" xfId="19300"/>
    <cellStyle name="Input 5 2 11 5" xfId="22067"/>
    <cellStyle name="Input 5 2 11 6" xfId="32912"/>
    <cellStyle name="Input 5 2 11 7" xfId="13446"/>
    <cellStyle name="Input 5 2 12" xfId="3147"/>
    <cellStyle name="Input 5 2 12 2" xfId="5998"/>
    <cellStyle name="Input 5 2 12 2 2" xfId="24970"/>
    <cellStyle name="Input 5 2 12 2 3" xfId="35815"/>
    <cellStyle name="Input 5 2 12 2 4" xfId="15520"/>
    <cellStyle name="Input 5 2 12 3" xfId="8669"/>
    <cellStyle name="Input 5 2 12 3 2" xfId="27641"/>
    <cellStyle name="Input 5 2 12 3 3" xfId="38486"/>
    <cellStyle name="Input 5 2 12 3 4" xfId="17433"/>
    <cellStyle name="Input 5 2 12 4" xfId="11328"/>
    <cellStyle name="Input 5 2 12 4 2" xfId="30300"/>
    <cellStyle name="Input 5 2 12 4 3" xfId="41145"/>
    <cellStyle name="Input 5 2 12 4 4" xfId="19337"/>
    <cellStyle name="Input 5 2 12 5" xfId="22124"/>
    <cellStyle name="Input 5 2 12 6" xfId="32969"/>
    <cellStyle name="Input 5 2 12 7" xfId="13483"/>
    <cellStyle name="Input 5 2 13" xfId="3204"/>
    <cellStyle name="Input 5 2 13 2" xfId="6055"/>
    <cellStyle name="Input 5 2 13 2 2" xfId="25027"/>
    <cellStyle name="Input 5 2 13 2 3" xfId="35872"/>
    <cellStyle name="Input 5 2 13 2 4" xfId="15557"/>
    <cellStyle name="Input 5 2 13 3" xfId="8726"/>
    <cellStyle name="Input 5 2 13 3 2" xfId="27698"/>
    <cellStyle name="Input 5 2 13 3 3" xfId="38543"/>
    <cellStyle name="Input 5 2 13 3 4" xfId="17470"/>
    <cellStyle name="Input 5 2 13 4" xfId="11385"/>
    <cellStyle name="Input 5 2 13 4 2" xfId="30357"/>
    <cellStyle name="Input 5 2 13 4 3" xfId="41202"/>
    <cellStyle name="Input 5 2 13 4 4" xfId="19374"/>
    <cellStyle name="Input 5 2 13 5" xfId="22181"/>
    <cellStyle name="Input 5 2 13 6" xfId="33026"/>
    <cellStyle name="Input 5 2 13 7" xfId="13520"/>
    <cellStyle name="Input 5 2 14" xfId="3373"/>
    <cellStyle name="Input 5 2 14 2" xfId="22347"/>
    <cellStyle name="Input 5 2 14 3" xfId="33192"/>
    <cellStyle name="Input 5 2 14 4" xfId="13637"/>
    <cellStyle name="Input 5 2 15" xfId="3388"/>
    <cellStyle name="Input 5 2 15 2" xfId="22360"/>
    <cellStyle name="Input 5 2 15 3" xfId="33205"/>
    <cellStyle name="Input 5 2 15 4" xfId="13643"/>
    <cellStyle name="Input 5 2 16" xfId="3251"/>
    <cellStyle name="Input 5 2 16 2" xfId="22227"/>
    <cellStyle name="Input 5 2 16 3" xfId="33072"/>
    <cellStyle name="Input 5 2 16 4" xfId="13553"/>
    <cellStyle name="Input 5 2 17" xfId="19501"/>
    <cellStyle name="Input 5 2 18" xfId="19385"/>
    <cellStyle name="Input 5 2 19" xfId="11550"/>
    <cellStyle name="Input 5 2 2" xfId="714"/>
    <cellStyle name="Input 5 2 2 10" xfId="19699"/>
    <cellStyle name="Input 5 2 2 11" xfId="30544"/>
    <cellStyle name="Input 5 2 2 12" xfId="11753"/>
    <cellStyle name="Input 5 2 2 2" xfId="1301"/>
    <cellStyle name="Input 5 2 2 2 2" xfId="4154"/>
    <cellStyle name="Input 5 2 2 2 2 2" xfId="23126"/>
    <cellStyle name="Input 5 2 2 2 2 3" xfId="33971"/>
    <cellStyle name="Input 5 2 2 2 2 4" xfId="14214"/>
    <cellStyle name="Input 5 2 2 2 3" xfId="6827"/>
    <cellStyle name="Input 5 2 2 2 3 2" xfId="25799"/>
    <cellStyle name="Input 5 2 2 2 3 3" xfId="36644"/>
    <cellStyle name="Input 5 2 2 2 3 4" xfId="16129"/>
    <cellStyle name="Input 5 2 2 2 4" xfId="9486"/>
    <cellStyle name="Input 5 2 2 2 4 2" xfId="28458"/>
    <cellStyle name="Input 5 2 2 2 4 3" xfId="39303"/>
    <cellStyle name="Input 5 2 2 2 4 4" xfId="18033"/>
    <cellStyle name="Input 5 2 2 2 5" xfId="20282"/>
    <cellStyle name="Input 5 2 2 2 6" xfId="31127"/>
    <cellStyle name="Input 5 2 2 2 7" xfId="12179"/>
    <cellStyle name="Input 5 2 2 3" xfId="1700"/>
    <cellStyle name="Input 5 2 2 3 2" xfId="4553"/>
    <cellStyle name="Input 5 2 2 3 2 2" xfId="23525"/>
    <cellStyle name="Input 5 2 2 3 2 3" xfId="34370"/>
    <cellStyle name="Input 5 2 2 3 2 4" xfId="14501"/>
    <cellStyle name="Input 5 2 2 3 3" xfId="7225"/>
    <cellStyle name="Input 5 2 2 3 3 2" xfId="26197"/>
    <cellStyle name="Input 5 2 2 3 3 3" xfId="37042"/>
    <cellStyle name="Input 5 2 2 3 3 4" xfId="16415"/>
    <cellStyle name="Input 5 2 2 3 4" xfId="9884"/>
    <cellStyle name="Input 5 2 2 3 4 2" xfId="28856"/>
    <cellStyle name="Input 5 2 2 3 4 3" xfId="39701"/>
    <cellStyle name="Input 5 2 2 3 4 4" xfId="18319"/>
    <cellStyle name="Input 5 2 2 3 5" xfId="20680"/>
    <cellStyle name="Input 5 2 2 3 6" xfId="31525"/>
    <cellStyle name="Input 5 2 2 3 7" xfId="12465"/>
    <cellStyle name="Input 5 2 2 4" xfId="2104"/>
    <cellStyle name="Input 5 2 2 4 2" xfId="4957"/>
    <cellStyle name="Input 5 2 2 4 2 2" xfId="23929"/>
    <cellStyle name="Input 5 2 2 4 2 3" xfId="34774"/>
    <cellStyle name="Input 5 2 2 4 2 4" xfId="14788"/>
    <cellStyle name="Input 5 2 2 4 3" xfId="7628"/>
    <cellStyle name="Input 5 2 2 4 3 2" xfId="26600"/>
    <cellStyle name="Input 5 2 2 4 3 3" xfId="37445"/>
    <cellStyle name="Input 5 2 2 4 3 4" xfId="16701"/>
    <cellStyle name="Input 5 2 2 4 4" xfId="10287"/>
    <cellStyle name="Input 5 2 2 4 4 2" xfId="29259"/>
    <cellStyle name="Input 5 2 2 4 4 3" xfId="40104"/>
    <cellStyle name="Input 5 2 2 4 4 4" xfId="18605"/>
    <cellStyle name="Input 5 2 2 4 5" xfId="21083"/>
    <cellStyle name="Input 5 2 2 4 6" xfId="31928"/>
    <cellStyle name="Input 5 2 2 4 7" xfId="12751"/>
    <cellStyle name="Input 5 2 2 5" xfId="2494"/>
    <cellStyle name="Input 5 2 2 5 2" xfId="5346"/>
    <cellStyle name="Input 5 2 2 5 2 2" xfId="24318"/>
    <cellStyle name="Input 5 2 2 5 2 3" xfId="35163"/>
    <cellStyle name="Input 5 2 2 5 2 4" xfId="15067"/>
    <cellStyle name="Input 5 2 2 5 3" xfId="8017"/>
    <cellStyle name="Input 5 2 2 5 3 2" xfId="26989"/>
    <cellStyle name="Input 5 2 2 5 3 3" xfId="37834"/>
    <cellStyle name="Input 5 2 2 5 3 4" xfId="16980"/>
    <cellStyle name="Input 5 2 2 5 4" xfId="10676"/>
    <cellStyle name="Input 5 2 2 5 4 2" xfId="29648"/>
    <cellStyle name="Input 5 2 2 5 4 3" xfId="40493"/>
    <cellStyle name="Input 5 2 2 5 4 4" xfId="18884"/>
    <cellStyle name="Input 5 2 2 5 5" xfId="21472"/>
    <cellStyle name="Input 5 2 2 5 6" xfId="32317"/>
    <cellStyle name="Input 5 2 2 5 7" xfId="13030"/>
    <cellStyle name="Input 5 2 2 6" xfId="2880"/>
    <cellStyle name="Input 5 2 2 6 2" xfId="5731"/>
    <cellStyle name="Input 5 2 2 6 2 2" xfId="24703"/>
    <cellStyle name="Input 5 2 2 6 2 3" xfId="35548"/>
    <cellStyle name="Input 5 2 2 6 2 4" xfId="15343"/>
    <cellStyle name="Input 5 2 2 6 3" xfId="8402"/>
    <cellStyle name="Input 5 2 2 6 3 2" xfId="27374"/>
    <cellStyle name="Input 5 2 2 6 3 3" xfId="38219"/>
    <cellStyle name="Input 5 2 2 6 3 4" xfId="17256"/>
    <cellStyle name="Input 5 2 2 6 4" xfId="11061"/>
    <cellStyle name="Input 5 2 2 6 4 2" xfId="30033"/>
    <cellStyle name="Input 5 2 2 6 4 3" xfId="40878"/>
    <cellStyle name="Input 5 2 2 6 4 4" xfId="19160"/>
    <cellStyle name="Input 5 2 2 6 5" xfId="21857"/>
    <cellStyle name="Input 5 2 2 6 6" xfId="32702"/>
    <cellStyle name="Input 5 2 2 6 7" xfId="13306"/>
    <cellStyle name="Input 5 2 2 7" xfId="3569"/>
    <cellStyle name="Input 5 2 2 7 2" xfId="22541"/>
    <cellStyle name="Input 5 2 2 7 3" xfId="33386"/>
    <cellStyle name="Input 5 2 2 7 4" xfId="13787"/>
    <cellStyle name="Input 5 2 2 8" xfId="6244"/>
    <cellStyle name="Input 5 2 2 8 2" xfId="25216"/>
    <cellStyle name="Input 5 2 2 8 3" xfId="36061"/>
    <cellStyle name="Input 5 2 2 8 4" xfId="15703"/>
    <cellStyle name="Input 5 2 2 9" xfId="8903"/>
    <cellStyle name="Input 5 2 2 9 2" xfId="27875"/>
    <cellStyle name="Input 5 2 2 9 3" xfId="38720"/>
    <cellStyle name="Input 5 2 2 9 4" xfId="17607"/>
    <cellStyle name="Input 5 2 3" xfId="773"/>
    <cellStyle name="Input 5 2 3 10" xfId="19758"/>
    <cellStyle name="Input 5 2 3 11" xfId="30603"/>
    <cellStyle name="Input 5 2 3 12" xfId="11792"/>
    <cellStyle name="Input 5 2 3 2" xfId="1360"/>
    <cellStyle name="Input 5 2 3 2 2" xfId="4213"/>
    <cellStyle name="Input 5 2 3 2 2 2" xfId="23185"/>
    <cellStyle name="Input 5 2 3 2 2 3" xfId="34030"/>
    <cellStyle name="Input 5 2 3 2 2 4" xfId="14253"/>
    <cellStyle name="Input 5 2 3 2 3" xfId="6886"/>
    <cellStyle name="Input 5 2 3 2 3 2" xfId="25858"/>
    <cellStyle name="Input 5 2 3 2 3 3" xfId="36703"/>
    <cellStyle name="Input 5 2 3 2 3 4" xfId="16168"/>
    <cellStyle name="Input 5 2 3 2 4" xfId="9545"/>
    <cellStyle name="Input 5 2 3 2 4 2" xfId="28517"/>
    <cellStyle name="Input 5 2 3 2 4 3" xfId="39362"/>
    <cellStyle name="Input 5 2 3 2 4 4" xfId="18072"/>
    <cellStyle name="Input 5 2 3 2 5" xfId="20341"/>
    <cellStyle name="Input 5 2 3 2 6" xfId="31186"/>
    <cellStyle name="Input 5 2 3 2 7" xfId="12218"/>
    <cellStyle name="Input 5 2 3 3" xfId="1759"/>
    <cellStyle name="Input 5 2 3 3 2" xfId="4612"/>
    <cellStyle name="Input 5 2 3 3 2 2" xfId="23584"/>
    <cellStyle name="Input 5 2 3 3 2 3" xfId="34429"/>
    <cellStyle name="Input 5 2 3 3 2 4" xfId="14540"/>
    <cellStyle name="Input 5 2 3 3 3" xfId="7284"/>
    <cellStyle name="Input 5 2 3 3 3 2" xfId="26256"/>
    <cellStyle name="Input 5 2 3 3 3 3" xfId="37101"/>
    <cellStyle name="Input 5 2 3 3 3 4" xfId="16454"/>
    <cellStyle name="Input 5 2 3 3 4" xfId="9943"/>
    <cellStyle name="Input 5 2 3 3 4 2" xfId="28915"/>
    <cellStyle name="Input 5 2 3 3 4 3" xfId="39760"/>
    <cellStyle name="Input 5 2 3 3 4 4" xfId="18358"/>
    <cellStyle name="Input 5 2 3 3 5" xfId="20739"/>
    <cellStyle name="Input 5 2 3 3 6" xfId="31584"/>
    <cellStyle name="Input 5 2 3 3 7" xfId="12504"/>
    <cellStyle name="Input 5 2 3 4" xfId="2163"/>
    <cellStyle name="Input 5 2 3 4 2" xfId="5016"/>
    <cellStyle name="Input 5 2 3 4 2 2" xfId="23988"/>
    <cellStyle name="Input 5 2 3 4 2 3" xfId="34833"/>
    <cellStyle name="Input 5 2 3 4 2 4" xfId="14827"/>
    <cellStyle name="Input 5 2 3 4 3" xfId="7687"/>
    <cellStyle name="Input 5 2 3 4 3 2" xfId="26659"/>
    <cellStyle name="Input 5 2 3 4 3 3" xfId="37504"/>
    <cellStyle name="Input 5 2 3 4 3 4" xfId="16740"/>
    <cellStyle name="Input 5 2 3 4 4" xfId="10346"/>
    <cellStyle name="Input 5 2 3 4 4 2" xfId="29318"/>
    <cellStyle name="Input 5 2 3 4 4 3" xfId="40163"/>
    <cellStyle name="Input 5 2 3 4 4 4" xfId="18644"/>
    <cellStyle name="Input 5 2 3 4 5" xfId="21142"/>
    <cellStyle name="Input 5 2 3 4 6" xfId="31987"/>
    <cellStyle name="Input 5 2 3 4 7" xfId="12790"/>
    <cellStyle name="Input 5 2 3 5" xfId="2553"/>
    <cellStyle name="Input 5 2 3 5 2" xfId="5405"/>
    <cellStyle name="Input 5 2 3 5 2 2" xfId="24377"/>
    <cellStyle name="Input 5 2 3 5 2 3" xfId="35222"/>
    <cellStyle name="Input 5 2 3 5 2 4" xfId="15106"/>
    <cellStyle name="Input 5 2 3 5 3" xfId="8076"/>
    <cellStyle name="Input 5 2 3 5 3 2" xfId="27048"/>
    <cellStyle name="Input 5 2 3 5 3 3" xfId="37893"/>
    <cellStyle name="Input 5 2 3 5 3 4" xfId="17019"/>
    <cellStyle name="Input 5 2 3 5 4" xfId="10735"/>
    <cellStyle name="Input 5 2 3 5 4 2" xfId="29707"/>
    <cellStyle name="Input 5 2 3 5 4 3" xfId="40552"/>
    <cellStyle name="Input 5 2 3 5 4 4" xfId="18923"/>
    <cellStyle name="Input 5 2 3 5 5" xfId="21531"/>
    <cellStyle name="Input 5 2 3 5 6" xfId="32376"/>
    <cellStyle name="Input 5 2 3 5 7" xfId="13069"/>
    <cellStyle name="Input 5 2 3 6" xfId="2939"/>
    <cellStyle name="Input 5 2 3 6 2" xfId="5790"/>
    <cellStyle name="Input 5 2 3 6 2 2" xfId="24762"/>
    <cellStyle name="Input 5 2 3 6 2 3" xfId="35607"/>
    <cellStyle name="Input 5 2 3 6 2 4" xfId="15382"/>
    <cellStyle name="Input 5 2 3 6 3" xfId="8461"/>
    <cellStyle name="Input 5 2 3 6 3 2" xfId="27433"/>
    <cellStyle name="Input 5 2 3 6 3 3" xfId="38278"/>
    <cellStyle name="Input 5 2 3 6 3 4" xfId="17295"/>
    <cellStyle name="Input 5 2 3 6 4" xfId="11120"/>
    <cellStyle name="Input 5 2 3 6 4 2" xfId="30092"/>
    <cellStyle name="Input 5 2 3 6 4 3" xfId="40937"/>
    <cellStyle name="Input 5 2 3 6 4 4" xfId="19199"/>
    <cellStyle name="Input 5 2 3 6 5" xfId="21916"/>
    <cellStyle name="Input 5 2 3 6 6" xfId="32761"/>
    <cellStyle name="Input 5 2 3 6 7" xfId="13345"/>
    <cellStyle name="Input 5 2 3 7" xfId="3628"/>
    <cellStyle name="Input 5 2 3 7 2" xfId="22600"/>
    <cellStyle name="Input 5 2 3 7 3" xfId="33445"/>
    <cellStyle name="Input 5 2 3 7 4" xfId="13826"/>
    <cellStyle name="Input 5 2 3 8" xfId="6303"/>
    <cellStyle name="Input 5 2 3 8 2" xfId="25275"/>
    <cellStyle name="Input 5 2 3 8 3" xfId="36120"/>
    <cellStyle name="Input 5 2 3 8 4" xfId="15742"/>
    <cellStyle name="Input 5 2 3 9" xfId="8962"/>
    <cellStyle name="Input 5 2 3 9 2" xfId="27934"/>
    <cellStyle name="Input 5 2 3 9 3" xfId="38779"/>
    <cellStyle name="Input 5 2 3 9 4" xfId="17646"/>
    <cellStyle name="Input 5 2 4" xfId="832"/>
    <cellStyle name="Input 5 2 4 10" xfId="19817"/>
    <cellStyle name="Input 5 2 4 11" xfId="30662"/>
    <cellStyle name="Input 5 2 4 12" xfId="11831"/>
    <cellStyle name="Input 5 2 4 2" xfId="1419"/>
    <cellStyle name="Input 5 2 4 2 2" xfId="4272"/>
    <cellStyle name="Input 5 2 4 2 2 2" xfId="23244"/>
    <cellStyle name="Input 5 2 4 2 2 3" xfId="34089"/>
    <cellStyle name="Input 5 2 4 2 2 4" xfId="14292"/>
    <cellStyle name="Input 5 2 4 2 3" xfId="6945"/>
    <cellStyle name="Input 5 2 4 2 3 2" xfId="25917"/>
    <cellStyle name="Input 5 2 4 2 3 3" xfId="36762"/>
    <cellStyle name="Input 5 2 4 2 3 4" xfId="16207"/>
    <cellStyle name="Input 5 2 4 2 4" xfId="9604"/>
    <cellStyle name="Input 5 2 4 2 4 2" xfId="28576"/>
    <cellStyle name="Input 5 2 4 2 4 3" xfId="39421"/>
    <cellStyle name="Input 5 2 4 2 4 4" xfId="18111"/>
    <cellStyle name="Input 5 2 4 2 5" xfId="20400"/>
    <cellStyle name="Input 5 2 4 2 6" xfId="31245"/>
    <cellStyle name="Input 5 2 4 2 7" xfId="12257"/>
    <cellStyle name="Input 5 2 4 3" xfId="1818"/>
    <cellStyle name="Input 5 2 4 3 2" xfId="4671"/>
    <cellStyle name="Input 5 2 4 3 2 2" xfId="23643"/>
    <cellStyle name="Input 5 2 4 3 2 3" xfId="34488"/>
    <cellStyle name="Input 5 2 4 3 2 4" xfId="14579"/>
    <cellStyle name="Input 5 2 4 3 3" xfId="7343"/>
    <cellStyle name="Input 5 2 4 3 3 2" xfId="26315"/>
    <cellStyle name="Input 5 2 4 3 3 3" xfId="37160"/>
    <cellStyle name="Input 5 2 4 3 3 4" xfId="16493"/>
    <cellStyle name="Input 5 2 4 3 4" xfId="10002"/>
    <cellStyle name="Input 5 2 4 3 4 2" xfId="28974"/>
    <cellStyle name="Input 5 2 4 3 4 3" xfId="39819"/>
    <cellStyle name="Input 5 2 4 3 4 4" xfId="18397"/>
    <cellStyle name="Input 5 2 4 3 5" xfId="20798"/>
    <cellStyle name="Input 5 2 4 3 6" xfId="31643"/>
    <cellStyle name="Input 5 2 4 3 7" xfId="12543"/>
    <cellStyle name="Input 5 2 4 4" xfId="2222"/>
    <cellStyle name="Input 5 2 4 4 2" xfId="5075"/>
    <cellStyle name="Input 5 2 4 4 2 2" xfId="24047"/>
    <cellStyle name="Input 5 2 4 4 2 3" xfId="34892"/>
    <cellStyle name="Input 5 2 4 4 2 4" xfId="14866"/>
    <cellStyle name="Input 5 2 4 4 3" xfId="7746"/>
    <cellStyle name="Input 5 2 4 4 3 2" xfId="26718"/>
    <cellStyle name="Input 5 2 4 4 3 3" xfId="37563"/>
    <cellStyle name="Input 5 2 4 4 3 4" xfId="16779"/>
    <cellStyle name="Input 5 2 4 4 4" xfId="10405"/>
    <cellStyle name="Input 5 2 4 4 4 2" xfId="29377"/>
    <cellStyle name="Input 5 2 4 4 4 3" xfId="40222"/>
    <cellStyle name="Input 5 2 4 4 4 4" xfId="18683"/>
    <cellStyle name="Input 5 2 4 4 5" xfId="21201"/>
    <cellStyle name="Input 5 2 4 4 6" xfId="32046"/>
    <cellStyle name="Input 5 2 4 4 7" xfId="12829"/>
    <cellStyle name="Input 5 2 4 5" xfId="2612"/>
    <cellStyle name="Input 5 2 4 5 2" xfId="5464"/>
    <cellStyle name="Input 5 2 4 5 2 2" xfId="24436"/>
    <cellStyle name="Input 5 2 4 5 2 3" xfId="35281"/>
    <cellStyle name="Input 5 2 4 5 2 4" xfId="15145"/>
    <cellStyle name="Input 5 2 4 5 3" xfId="8135"/>
    <cellStyle name="Input 5 2 4 5 3 2" xfId="27107"/>
    <cellStyle name="Input 5 2 4 5 3 3" xfId="37952"/>
    <cellStyle name="Input 5 2 4 5 3 4" xfId="17058"/>
    <cellStyle name="Input 5 2 4 5 4" xfId="10794"/>
    <cellStyle name="Input 5 2 4 5 4 2" xfId="29766"/>
    <cellStyle name="Input 5 2 4 5 4 3" xfId="40611"/>
    <cellStyle name="Input 5 2 4 5 4 4" xfId="18962"/>
    <cellStyle name="Input 5 2 4 5 5" xfId="21590"/>
    <cellStyle name="Input 5 2 4 5 6" xfId="32435"/>
    <cellStyle name="Input 5 2 4 5 7" xfId="13108"/>
    <cellStyle name="Input 5 2 4 6" xfId="2998"/>
    <cellStyle name="Input 5 2 4 6 2" xfId="5849"/>
    <cellStyle name="Input 5 2 4 6 2 2" xfId="24821"/>
    <cellStyle name="Input 5 2 4 6 2 3" xfId="35666"/>
    <cellStyle name="Input 5 2 4 6 2 4" xfId="15421"/>
    <cellStyle name="Input 5 2 4 6 3" xfId="8520"/>
    <cellStyle name="Input 5 2 4 6 3 2" xfId="27492"/>
    <cellStyle name="Input 5 2 4 6 3 3" xfId="38337"/>
    <cellStyle name="Input 5 2 4 6 3 4" xfId="17334"/>
    <cellStyle name="Input 5 2 4 6 4" xfId="11179"/>
    <cellStyle name="Input 5 2 4 6 4 2" xfId="30151"/>
    <cellStyle name="Input 5 2 4 6 4 3" xfId="40996"/>
    <cellStyle name="Input 5 2 4 6 4 4" xfId="19238"/>
    <cellStyle name="Input 5 2 4 6 5" xfId="21975"/>
    <cellStyle name="Input 5 2 4 6 6" xfId="32820"/>
    <cellStyle name="Input 5 2 4 6 7" xfId="13384"/>
    <cellStyle name="Input 5 2 4 7" xfId="3687"/>
    <cellStyle name="Input 5 2 4 7 2" xfId="22659"/>
    <cellStyle name="Input 5 2 4 7 3" xfId="33504"/>
    <cellStyle name="Input 5 2 4 7 4" xfId="13865"/>
    <cellStyle name="Input 5 2 4 8" xfId="6362"/>
    <cellStyle name="Input 5 2 4 8 2" xfId="25334"/>
    <cellStyle name="Input 5 2 4 8 3" xfId="36179"/>
    <cellStyle name="Input 5 2 4 8 4" xfId="15781"/>
    <cellStyle name="Input 5 2 4 9" xfId="9021"/>
    <cellStyle name="Input 5 2 4 9 2" xfId="27993"/>
    <cellStyle name="Input 5 2 4 9 3" xfId="38838"/>
    <cellStyle name="Input 5 2 4 9 4" xfId="17685"/>
    <cellStyle name="Input 5 2 5" xfId="891"/>
    <cellStyle name="Input 5 2 5 10" xfId="19876"/>
    <cellStyle name="Input 5 2 5 11" xfId="30721"/>
    <cellStyle name="Input 5 2 5 12" xfId="11870"/>
    <cellStyle name="Input 5 2 5 2" xfId="1478"/>
    <cellStyle name="Input 5 2 5 2 2" xfId="4331"/>
    <cellStyle name="Input 5 2 5 2 2 2" xfId="23303"/>
    <cellStyle name="Input 5 2 5 2 2 3" xfId="34148"/>
    <cellStyle name="Input 5 2 5 2 2 4" xfId="14331"/>
    <cellStyle name="Input 5 2 5 2 3" xfId="7004"/>
    <cellStyle name="Input 5 2 5 2 3 2" xfId="25976"/>
    <cellStyle name="Input 5 2 5 2 3 3" xfId="36821"/>
    <cellStyle name="Input 5 2 5 2 3 4" xfId="16246"/>
    <cellStyle name="Input 5 2 5 2 4" xfId="9663"/>
    <cellStyle name="Input 5 2 5 2 4 2" xfId="28635"/>
    <cellStyle name="Input 5 2 5 2 4 3" xfId="39480"/>
    <cellStyle name="Input 5 2 5 2 4 4" xfId="18150"/>
    <cellStyle name="Input 5 2 5 2 5" xfId="20459"/>
    <cellStyle name="Input 5 2 5 2 6" xfId="31304"/>
    <cellStyle name="Input 5 2 5 2 7" xfId="12296"/>
    <cellStyle name="Input 5 2 5 3" xfId="1877"/>
    <cellStyle name="Input 5 2 5 3 2" xfId="4730"/>
    <cellStyle name="Input 5 2 5 3 2 2" xfId="23702"/>
    <cellStyle name="Input 5 2 5 3 2 3" xfId="34547"/>
    <cellStyle name="Input 5 2 5 3 2 4" xfId="14618"/>
    <cellStyle name="Input 5 2 5 3 3" xfId="7402"/>
    <cellStyle name="Input 5 2 5 3 3 2" xfId="26374"/>
    <cellStyle name="Input 5 2 5 3 3 3" xfId="37219"/>
    <cellStyle name="Input 5 2 5 3 3 4" xfId="16532"/>
    <cellStyle name="Input 5 2 5 3 4" xfId="10061"/>
    <cellStyle name="Input 5 2 5 3 4 2" xfId="29033"/>
    <cellStyle name="Input 5 2 5 3 4 3" xfId="39878"/>
    <cellStyle name="Input 5 2 5 3 4 4" xfId="18436"/>
    <cellStyle name="Input 5 2 5 3 5" xfId="20857"/>
    <cellStyle name="Input 5 2 5 3 6" xfId="31702"/>
    <cellStyle name="Input 5 2 5 3 7" xfId="12582"/>
    <cellStyle name="Input 5 2 5 4" xfId="2281"/>
    <cellStyle name="Input 5 2 5 4 2" xfId="5134"/>
    <cellStyle name="Input 5 2 5 4 2 2" xfId="24106"/>
    <cellStyle name="Input 5 2 5 4 2 3" xfId="34951"/>
    <cellStyle name="Input 5 2 5 4 2 4" xfId="14905"/>
    <cellStyle name="Input 5 2 5 4 3" xfId="7805"/>
    <cellStyle name="Input 5 2 5 4 3 2" xfId="26777"/>
    <cellStyle name="Input 5 2 5 4 3 3" xfId="37622"/>
    <cellStyle name="Input 5 2 5 4 3 4" xfId="16818"/>
    <cellStyle name="Input 5 2 5 4 4" xfId="10464"/>
    <cellStyle name="Input 5 2 5 4 4 2" xfId="29436"/>
    <cellStyle name="Input 5 2 5 4 4 3" xfId="40281"/>
    <cellStyle name="Input 5 2 5 4 4 4" xfId="18722"/>
    <cellStyle name="Input 5 2 5 4 5" xfId="21260"/>
    <cellStyle name="Input 5 2 5 4 6" xfId="32105"/>
    <cellStyle name="Input 5 2 5 4 7" xfId="12868"/>
    <cellStyle name="Input 5 2 5 5" xfId="2671"/>
    <cellStyle name="Input 5 2 5 5 2" xfId="5523"/>
    <cellStyle name="Input 5 2 5 5 2 2" xfId="24495"/>
    <cellStyle name="Input 5 2 5 5 2 3" xfId="35340"/>
    <cellStyle name="Input 5 2 5 5 2 4" xfId="15184"/>
    <cellStyle name="Input 5 2 5 5 3" xfId="8194"/>
    <cellStyle name="Input 5 2 5 5 3 2" xfId="27166"/>
    <cellStyle name="Input 5 2 5 5 3 3" xfId="38011"/>
    <cellStyle name="Input 5 2 5 5 3 4" xfId="17097"/>
    <cellStyle name="Input 5 2 5 5 4" xfId="10853"/>
    <cellStyle name="Input 5 2 5 5 4 2" xfId="29825"/>
    <cellStyle name="Input 5 2 5 5 4 3" xfId="40670"/>
    <cellStyle name="Input 5 2 5 5 4 4" xfId="19001"/>
    <cellStyle name="Input 5 2 5 5 5" xfId="21649"/>
    <cellStyle name="Input 5 2 5 5 6" xfId="32494"/>
    <cellStyle name="Input 5 2 5 5 7" xfId="13147"/>
    <cellStyle name="Input 5 2 5 6" xfId="3057"/>
    <cellStyle name="Input 5 2 5 6 2" xfId="5908"/>
    <cellStyle name="Input 5 2 5 6 2 2" xfId="24880"/>
    <cellStyle name="Input 5 2 5 6 2 3" xfId="35725"/>
    <cellStyle name="Input 5 2 5 6 2 4" xfId="15460"/>
    <cellStyle name="Input 5 2 5 6 3" xfId="8579"/>
    <cellStyle name="Input 5 2 5 6 3 2" xfId="27551"/>
    <cellStyle name="Input 5 2 5 6 3 3" xfId="38396"/>
    <cellStyle name="Input 5 2 5 6 3 4" xfId="17373"/>
    <cellStyle name="Input 5 2 5 6 4" xfId="11238"/>
    <cellStyle name="Input 5 2 5 6 4 2" xfId="30210"/>
    <cellStyle name="Input 5 2 5 6 4 3" xfId="41055"/>
    <cellStyle name="Input 5 2 5 6 4 4" xfId="19277"/>
    <cellStyle name="Input 5 2 5 6 5" xfId="22034"/>
    <cellStyle name="Input 5 2 5 6 6" xfId="32879"/>
    <cellStyle name="Input 5 2 5 6 7" xfId="13423"/>
    <cellStyle name="Input 5 2 5 7" xfId="3746"/>
    <cellStyle name="Input 5 2 5 7 2" xfId="22718"/>
    <cellStyle name="Input 5 2 5 7 3" xfId="33563"/>
    <cellStyle name="Input 5 2 5 7 4" xfId="13904"/>
    <cellStyle name="Input 5 2 5 8" xfId="6421"/>
    <cellStyle name="Input 5 2 5 8 2" xfId="25393"/>
    <cellStyle name="Input 5 2 5 8 3" xfId="36238"/>
    <cellStyle name="Input 5 2 5 8 4" xfId="15820"/>
    <cellStyle name="Input 5 2 5 9" xfId="9080"/>
    <cellStyle name="Input 5 2 5 9 2" xfId="28052"/>
    <cellStyle name="Input 5 2 5 9 3" xfId="38897"/>
    <cellStyle name="Input 5 2 5 9 4" xfId="17724"/>
    <cellStyle name="Input 5 2 6" xfId="1121"/>
    <cellStyle name="Input 5 2 6 2" xfId="3974"/>
    <cellStyle name="Input 5 2 6 2 2" xfId="22946"/>
    <cellStyle name="Input 5 2 6 2 3" xfId="33791"/>
    <cellStyle name="Input 5 2 6 2 4" xfId="14073"/>
    <cellStyle name="Input 5 2 6 3" xfId="6647"/>
    <cellStyle name="Input 5 2 6 3 2" xfId="25619"/>
    <cellStyle name="Input 5 2 6 3 3" xfId="36464"/>
    <cellStyle name="Input 5 2 6 3 4" xfId="15988"/>
    <cellStyle name="Input 5 2 6 4" xfId="9306"/>
    <cellStyle name="Input 5 2 6 4 2" xfId="28278"/>
    <cellStyle name="Input 5 2 6 4 3" xfId="39123"/>
    <cellStyle name="Input 5 2 6 4 4" xfId="17892"/>
    <cellStyle name="Input 5 2 6 5" xfId="20102"/>
    <cellStyle name="Input 5 2 6 6" xfId="30947"/>
    <cellStyle name="Input 5 2 6 7" xfId="12038"/>
    <cellStyle name="Input 5 2 7" xfId="1517"/>
    <cellStyle name="Input 5 2 7 2" xfId="4370"/>
    <cellStyle name="Input 5 2 7 2 2" xfId="23342"/>
    <cellStyle name="Input 5 2 7 2 3" xfId="34187"/>
    <cellStyle name="Input 5 2 7 2 4" xfId="14359"/>
    <cellStyle name="Input 5 2 7 3" xfId="7043"/>
    <cellStyle name="Input 5 2 7 3 2" xfId="26015"/>
    <cellStyle name="Input 5 2 7 3 3" xfId="36860"/>
    <cellStyle name="Input 5 2 7 3 4" xfId="16274"/>
    <cellStyle name="Input 5 2 7 4" xfId="9702"/>
    <cellStyle name="Input 5 2 7 4 2" xfId="28674"/>
    <cellStyle name="Input 5 2 7 4 3" xfId="39519"/>
    <cellStyle name="Input 5 2 7 4 4" xfId="18178"/>
    <cellStyle name="Input 5 2 7 5" xfId="20498"/>
    <cellStyle name="Input 5 2 7 6" xfId="31343"/>
    <cellStyle name="Input 5 2 7 7" xfId="12324"/>
    <cellStyle name="Input 5 2 8" xfId="1923"/>
    <cellStyle name="Input 5 2 8 2" xfId="4776"/>
    <cellStyle name="Input 5 2 8 2 2" xfId="23748"/>
    <cellStyle name="Input 5 2 8 2 3" xfId="34593"/>
    <cellStyle name="Input 5 2 8 2 4" xfId="14648"/>
    <cellStyle name="Input 5 2 8 3" xfId="7448"/>
    <cellStyle name="Input 5 2 8 3 2" xfId="26420"/>
    <cellStyle name="Input 5 2 8 3 3" xfId="37265"/>
    <cellStyle name="Input 5 2 8 3 4" xfId="16562"/>
    <cellStyle name="Input 5 2 8 4" xfId="10107"/>
    <cellStyle name="Input 5 2 8 4 2" xfId="29079"/>
    <cellStyle name="Input 5 2 8 4 3" xfId="39924"/>
    <cellStyle name="Input 5 2 8 4 4" xfId="18466"/>
    <cellStyle name="Input 5 2 8 5" xfId="20903"/>
    <cellStyle name="Input 5 2 8 6" xfId="31748"/>
    <cellStyle name="Input 5 2 8 7" xfId="12612"/>
    <cellStyle name="Input 5 2 9" xfId="2316"/>
    <cellStyle name="Input 5 2 9 2" xfId="5169"/>
    <cellStyle name="Input 5 2 9 2 2" xfId="24141"/>
    <cellStyle name="Input 5 2 9 2 3" xfId="34986"/>
    <cellStyle name="Input 5 2 9 2 4" xfId="14930"/>
    <cellStyle name="Input 5 2 9 3" xfId="7840"/>
    <cellStyle name="Input 5 2 9 3 2" xfId="26812"/>
    <cellStyle name="Input 5 2 9 3 3" xfId="37657"/>
    <cellStyle name="Input 5 2 9 3 4" xfId="16843"/>
    <cellStyle name="Input 5 2 9 4" xfId="10499"/>
    <cellStyle name="Input 5 2 9 4 2" xfId="29471"/>
    <cellStyle name="Input 5 2 9 4 3" xfId="40316"/>
    <cellStyle name="Input 5 2 9 4 4" xfId="18747"/>
    <cellStyle name="Input 5 2 9 5" xfId="21295"/>
    <cellStyle name="Input 5 2 9 6" xfId="32140"/>
    <cellStyle name="Input 5 2 9 7" xfId="12893"/>
    <cellStyle name="Input 5 3" xfId="611"/>
    <cellStyle name="Input 5 3 10" xfId="19618"/>
    <cellStyle name="Input 5 3 11" xfId="30463"/>
    <cellStyle name="Input 5 3 12" xfId="11673"/>
    <cellStyle name="Input 5 3 2" xfId="1215"/>
    <cellStyle name="Input 5 3 2 2" xfId="4068"/>
    <cellStyle name="Input 5 3 2 2 2" xfId="23040"/>
    <cellStyle name="Input 5 3 2 2 3" xfId="33885"/>
    <cellStyle name="Input 5 3 2 2 4" xfId="14148"/>
    <cellStyle name="Input 5 3 2 3" xfId="6741"/>
    <cellStyle name="Input 5 3 2 3 2" xfId="25713"/>
    <cellStyle name="Input 5 3 2 3 3" xfId="36558"/>
    <cellStyle name="Input 5 3 2 3 4" xfId="16063"/>
    <cellStyle name="Input 5 3 2 4" xfId="9400"/>
    <cellStyle name="Input 5 3 2 4 2" xfId="28372"/>
    <cellStyle name="Input 5 3 2 4 3" xfId="39217"/>
    <cellStyle name="Input 5 3 2 4 4" xfId="17967"/>
    <cellStyle name="Input 5 3 2 5" xfId="20196"/>
    <cellStyle name="Input 5 3 2 6" xfId="31041"/>
    <cellStyle name="Input 5 3 2 7" xfId="12113"/>
    <cellStyle name="Input 5 3 3" xfId="1613"/>
    <cellStyle name="Input 5 3 3 2" xfId="4466"/>
    <cellStyle name="Input 5 3 3 2 2" xfId="23438"/>
    <cellStyle name="Input 5 3 3 2 3" xfId="34283"/>
    <cellStyle name="Input 5 3 3 2 4" xfId="14435"/>
    <cellStyle name="Input 5 3 3 3" xfId="7138"/>
    <cellStyle name="Input 5 3 3 3 2" xfId="26110"/>
    <cellStyle name="Input 5 3 3 3 3" xfId="36955"/>
    <cellStyle name="Input 5 3 3 3 4" xfId="16349"/>
    <cellStyle name="Input 5 3 3 4" xfId="9797"/>
    <cellStyle name="Input 5 3 3 4 2" xfId="28769"/>
    <cellStyle name="Input 5 3 3 4 3" xfId="39614"/>
    <cellStyle name="Input 5 3 3 4 4" xfId="18253"/>
    <cellStyle name="Input 5 3 3 5" xfId="20593"/>
    <cellStyle name="Input 5 3 3 6" xfId="31438"/>
    <cellStyle name="Input 5 3 3 7" xfId="12399"/>
    <cellStyle name="Input 5 3 4" xfId="2015"/>
    <cellStyle name="Input 5 3 4 2" xfId="4868"/>
    <cellStyle name="Input 5 3 4 2 2" xfId="23840"/>
    <cellStyle name="Input 5 3 4 2 3" xfId="34685"/>
    <cellStyle name="Input 5 3 4 2 4" xfId="14721"/>
    <cellStyle name="Input 5 3 4 3" xfId="7540"/>
    <cellStyle name="Input 5 3 4 3 2" xfId="26512"/>
    <cellStyle name="Input 5 3 4 3 3" xfId="37357"/>
    <cellStyle name="Input 5 3 4 3 4" xfId="16635"/>
    <cellStyle name="Input 5 3 4 4" xfId="10199"/>
    <cellStyle name="Input 5 3 4 4 2" xfId="29171"/>
    <cellStyle name="Input 5 3 4 4 3" xfId="40016"/>
    <cellStyle name="Input 5 3 4 4 4" xfId="18539"/>
    <cellStyle name="Input 5 3 4 5" xfId="20995"/>
    <cellStyle name="Input 5 3 4 6" xfId="31840"/>
    <cellStyle name="Input 5 3 4 7" xfId="12685"/>
    <cellStyle name="Input 5 3 5" xfId="2407"/>
    <cellStyle name="Input 5 3 5 2" xfId="5260"/>
    <cellStyle name="Input 5 3 5 2 2" xfId="24232"/>
    <cellStyle name="Input 5 3 5 2 3" xfId="35077"/>
    <cellStyle name="Input 5 3 5 2 4" xfId="15002"/>
    <cellStyle name="Input 5 3 5 3" xfId="7931"/>
    <cellStyle name="Input 5 3 5 3 2" xfId="26903"/>
    <cellStyle name="Input 5 3 5 3 3" xfId="37748"/>
    <cellStyle name="Input 5 3 5 3 4" xfId="16915"/>
    <cellStyle name="Input 5 3 5 4" xfId="10590"/>
    <cellStyle name="Input 5 3 5 4 2" xfId="29562"/>
    <cellStyle name="Input 5 3 5 4 3" xfId="40407"/>
    <cellStyle name="Input 5 3 5 4 4" xfId="18819"/>
    <cellStyle name="Input 5 3 5 5" xfId="21386"/>
    <cellStyle name="Input 5 3 5 6" xfId="32231"/>
    <cellStyle name="Input 5 3 5 7" xfId="12965"/>
    <cellStyle name="Input 5 3 6" xfId="2796"/>
    <cellStyle name="Input 5 3 6 2" xfId="5648"/>
    <cellStyle name="Input 5 3 6 2 2" xfId="24620"/>
    <cellStyle name="Input 5 3 6 2 3" xfId="35465"/>
    <cellStyle name="Input 5 3 6 2 4" xfId="15280"/>
    <cellStyle name="Input 5 3 6 3" xfId="8319"/>
    <cellStyle name="Input 5 3 6 3 2" xfId="27291"/>
    <cellStyle name="Input 5 3 6 3 3" xfId="38136"/>
    <cellStyle name="Input 5 3 6 3 4" xfId="17193"/>
    <cellStyle name="Input 5 3 6 4" xfId="10978"/>
    <cellStyle name="Input 5 3 6 4 2" xfId="29950"/>
    <cellStyle name="Input 5 3 6 4 3" xfId="40795"/>
    <cellStyle name="Input 5 3 6 4 4" xfId="19097"/>
    <cellStyle name="Input 5 3 6 5" xfId="21774"/>
    <cellStyle name="Input 5 3 6 6" xfId="32619"/>
    <cellStyle name="Input 5 3 6 7" xfId="13243"/>
    <cellStyle name="Input 5 3 7" xfId="3487"/>
    <cellStyle name="Input 5 3 7 2" xfId="22459"/>
    <cellStyle name="Input 5 3 7 3" xfId="33304"/>
    <cellStyle name="Input 5 3 7 4" xfId="13725"/>
    <cellStyle name="Input 5 3 8" xfId="6163"/>
    <cellStyle name="Input 5 3 8 2" xfId="25135"/>
    <cellStyle name="Input 5 3 8 3" xfId="35980"/>
    <cellStyle name="Input 5 3 8 4" xfId="15642"/>
    <cellStyle name="Input 5 3 9" xfId="8822"/>
    <cellStyle name="Input 5 3 9 2" xfId="27794"/>
    <cellStyle name="Input 5 3 9 3" xfId="38639"/>
    <cellStyle name="Input 5 3 9 4" xfId="17546"/>
    <cellStyle name="Input 5 4" xfId="11489"/>
    <cellStyle name="Input 6" xfId="365"/>
    <cellStyle name="Input 6 10" xfId="1046"/>
    <cellStyle name="Input 6 10 2" xfId="3899"/>
    <cellStyle name="Input 6 10 2 2" xfId="22871"/>
    <cellStyle name="Input 6 10 2 3" xfId="33716"/>
    <cellStyle name="Input 6 10 2 4" xfId="14015"/>
    <cellStyle name="Input 6 10 3" xfId="6573"/>
    <cellStyle name="Input 6 10 3 2" xfId="25545"/>
    <cellStyle name="Input 6 10 3 3" xfId="36390"/>
    <cellStyle name="Input 6 10 3 4" xfId="15931"/>
    <cellStyle name="Input 6 10 4" xfId="9232"/>
    <cellStyle name="Input 6 10 4 2" xfId="28204"/>
    <cellStyle name="Input 6 10 4 3" xfId="39049"/>
    <cellStyle name="Input 6 10 4 4" xfId="17835"/>
    <cellStyle name="Input 6 10 5" xfId="20028"/>
    <cellStyle name="Input 6 10 6" xfId="30873"/>
    <cellStyle name="Input 6 10 7" xfId="11981"/>
    <cellStyle name="Input 6 11" xfId="1202"/>
    <cellStyle name="Input 6 11 2" xfId="4055"/>
    <cellStyle name="Input 6 11 2 2" xfId="23027"/>
    <cellStyle name="Input 6 11 2 3" xfId="33872"/>
    <cellStyle name="Input 6 11 2 4" xfId="14135"/>
    <cellStyle name="Input 6 11 3" xfId="6728"/>
    <cellStyle name="Input 6 11 3 2" xfId="25700"/>
    <cellStyle name="Input 6 11 3 3" xfId="36545"/>
    <cellStyle name="Input 6 11 3 4" xfId="16050"/>
    <cellStyle name="Input 6 11 4" xfId="9387"/>
    <cellStyle name="Input 6 11 4 2" xfId="28359"/>
    <cellStyle name="Input 6 11 4 3" xfId="39204"/>
    <cellStyle name="Input 6 11 4 4" xfId="17954"/>
    <cellStyle name="Input 6 11 5" xfId="20183"/>
    <cellStyle name="Input 6 11 6" xfId="31028"/>
    <cellStyle name="Input 6 11 7" xfId="12100"/>
    <cellStyle name="Input 6 12" xfId="942"/>
    <cellStyle name="Input 6 12 2" xfId="3796"/>
    <cellStyle name="Input 6 12 2 2" xfId="22768"/>
    <cellStyle name="Input 6 12 2 3" xfId="33613"/>
    <cellStyle name="Input 6 12 2 4" xfId="13941"/>
    <cellStyle name="Input 6 12 3" xfId="6471"/>
    <cellStyle name="Input 6 12 3 2" xfId="25443"/>
    <cellStyle name="Input 6 12 3 3" xfId="36288"/>
    <cellStyle name="Input 6 12 3 4" xfId="15857"/>
    <cellStyle name="Input 6 12 4" xfId="9130"/>
    <cellStyle name="Input 6 12 4 2" xfId="28102"/>
    <cellStyle name="Input 6 12 4 3" xfId="38947"/>
    <cellStyle name="Input 6 12 4 4" xfId="17761"/>
    <cellStyle name="Input 6 12 5" xfId="19926"/>
    <cellStyle name="Input 6 12 6" xfId="30771"/>
    <cellStyle name="Input 6 12 7" xfId="11907"/>
    <cellStyle name="Input 6 13" xfId="967"/>
    <cellStyle name="Input 6 13 2" xfId="3820"/>
    <cellStyle name="Input 6 13 2 2" xfId="22792"/>
    <cellStyle name="Input 6 13 2 3" xfId="33637"/>
    <cellStyle name="Input 6 13 2 4" xfId="13961"/>
    <cellStyle name="Input 6 13 3" xfId="6495"/>
    <cellStyle name="Input 6 13 3 2" xfId="25467"/>
    <cellStyle name="Input 6 13 3 3" xfId="36312"/>
    <cellStyle name="Input 6 13 3 4" xfId="15877"/>
    <cellStyle name="Input 6 13 4" xfId="9154"/>
    <cellStyle name="Input 6 13 4 2" xfId="28126"/>
    <cellStyle name="Input 6 13 4 3" xfId="38971"/>
    <cellStyle name="Input 6 13 4 4" xfId="17781"/>
    <cellStyle name="Input 6 13 5" xfId="19950"/>
    <cellStyle name="Input 6 13 6" xfId="30795"/>
    <cellStyle name="Input 6 13 7" xfId="11927"/>
    <cellStyle name="Input 6 14" xfId="3254"/>
    <cellStyle name="Input 6 14 2" xfId="22229"/>
    <cellStyle name="Input 6 14 3" xfId="33074"/>
    <cellStyle name="Input 6 14 4" xfId="13555"/>
    <cellStyle name="Input 6 15" xfId="3397"/>
    <cellStyle name="Input 6 15 2" xfId="22369"/>
    <cellStyle name="Input 6 15 3" xfId="33214"/>
    <cellStyle name="Input 6 15 4" xfId="13650"/>
    <cellStyle name="Input 6 16" xfId="3227"/>
    <cellStyle name="Input 6 16 2" xfId="22204"/>
    <cellStyle name="Input 6 16 3" xfId="33049"/>
    <cellStyle name="Input 6 16 4" xfId="13535"/>
    <cellStyle name="Input 6 17" xfId="19455"/>
    <cellStyle name="Input 6 18" xfId="19438"/>
    <cellStyle name="Input 6 19" xfId="11514"/>
    <cellStyle name="Input 6 2" xfId="666"/>
    <cellStyle name="Input 6 2 10" xfId="19651"/>
    <cellStyle name="Input 6 2 11" xfId="30496"/>
    <cellStyle name="Input 6 2 12" xfId="11718"/>
    <cellStyle name="Input 6 2 2" xfId="1253"/>
    <cellStyle name="Input 6 2 2 2" xfId="4106"/>
    <cellStyle name="Input 6 2 2 2 2" xfId="23078"/>
    <cellStyle name="Input 6 2 2 2 3" xfId="33923"/>
    <cellStyle name="Input 6 2 2 2 4" xfId="14179"/>
    <cellStyle name="Input 6 2 2 3" xfId="6779"/>
    <cellStyle name="Input 6 2 2 3 2" xfId="25751"/>
    <cellStyle name="Input 6 2 2 3 3" xfId="36596"/>
    <cellStyle name="Input 6 2 2 3 4" xfId="16094"/>
    <cellStyle name="Input 6 2 2 4" xfId="9438"/>
    <cellStyle name="Input 6 2 2 4 2" xfId="28410"/>
    <cellStyle name="Input 6 2 2 4 3" xfId="39255"/>
    <cellStyle name="Input 6 2 2 4 4" xfId="17998"/>
    <cellStyle name="Input 6 2 2 5" xfId="20234"/>
    <cellStyle name="Input 6 2 2 6" xfId="31079"/>
    <cellStyle name="Input 6 2 2 7" xfId="12144"/>
    <cellStyle name="Input 6 2 3" xfId="1652"/>
    <cellStyle name="Input 6 2 3 2" xfId="4505"/>
    <cellStyle name="Input 6 2 3 2 2" xfId="23477"/>
    <cellStyle name="Input 6 2 3 2 3" xfId="34322"/>
    <cellStyle name="Input 6 2 3 2 4" xfId="14466"/>
    <cellStyle name="Input 6 2 3 3" xfId="7177"/>
    <cellStyle name="Input 6 2 3 3 2" xfId="26149"/>
    <cellStyle name="Input 6 2 3 3 3" xfId="36994"/>
    <cellStyle name="Input 6 2 3 3 4" xfId="16380"/>
    <cellStyle name="Input 6 2 3 4" xfId="9836"/>
    <cellStyle name="Input 6 2 3 4 2" xfId="28808"/>
    <cellStyle name="Input 6 2 3 4 3" xfId="39653"/>
    <cellStyle name="Input 6 2 3 4 4" xfId="18284"/>
    <cellStyle name="Input 6 2 3 5" xfId="20632"/>
    <cellStyle name="Input 6 2 3 6" xfId="31477"/>
    <cellStyle name="Input 6 2 3 7" xfId="12430"/>
    <cellStyle name="Input 6 2 4" xfId="2056"/>
    <cellStyle name="Input 6 2 4 2" xfId="4909"/>
    <cellStyle name="Input 6 2 4 2 2" xfId="23881"/>
    <cellStyle name="Input 6 2 4 2 3" xfId="34726"/>
    <cellStyle name="Input 6 2 4 2 4" xfId="14753"/>
    <cellStyle name="Input 6 2 4 3" xfId="7580"/>
    <cellStyle name="Input 6 2 4 3 2" xfId="26552"/>
    <cellStyle name="Input 6 2 4 3 3" xfId="37397"/>
    <cellStyle name="Input 6 2 4 3 4" xfId="16666"/>
    <cellStyle name="Input 6 2 4 4" xfId="10239"/>
    <cellStyle name="Input 6 2 4 4 2" xfId="29211"/>
    <cellStyle name="Input 6 2 4 4 3" xfId="40056"/>
    <cellStyle name="Input 6 2 4 4 4" xfId="18570"/>
    <cellStyle name="Input 6 2 4 5" xfId="21035"/>
    <cellStyle name="Input 6 2 4 6" xfId="31880"/>
    <cellStyle name="Input 6 2 4 7" xfId="12716"/>
    <cellStyle name="Input 6 2 5" xfId="2446"/>
    <cellStyle name="Input 6 2 5 2" xfId="5298"/>
    <cellStyle name="Input 6 2 5 2 2" xfId="24270"/>
    <cellStyle name="Input 6 2 5 2 3" xfId="35115"/>
    <cellStyle name="Input 6 2 5 2 4" xfId="15032"/>
    <cellStyle name="Input 6 2 5 3" xfId="7969"/>
    <cellStyle name="Input 6 2 5 3 2" xfId="26941"/>
    <cellStyle name="Input 6 2 5 3 3" xfId="37786"/>
    <cellStyle name="Input 6 2 5 3 4" xfId="16945"/>
    <cellStyle name="Input 6 2 5 4" xfId="10628"/>
    <cellStyle name="Input 6 2 5 4 2" xfId="29600"/>
    <cellStyle name="Input 6 2 5 4 3" xfId="40445"/>
    <cellStyle name="Input 6 2 5 4 4" xfId="18849"/>
    <cellStyle name="Input 6 2 5 5" xfId="21424"/>
    <cellStyle name="Input 6 2 5 6" xfId="32269"/>
    <cellStyle name="Input 6 2 5 7" xfId="12995"/>
    <cellStyle name="Input 6 2 6" xfId="2832"/>
    <cellStyle name="Input 6 2 6 2" xfId="5683"/>
    <cellStyle name="Input 6 2 6 2 2" xfId="24655"/>
    <cellStyle name="Input 6 2 6 2 3" xfId="35500"/>
    <cellStyle name="Input 6 2 6 2 4" xfId="15308"/>
    <cellStyle name="Input 6 2 6 3" xfId="8354"/>
    <cellStyle name="Input 6 2 6 3 2" xfId="27326"/>
    <cellStyle name="Input 6 2 6 3 3" xfId="38171"/>
    <cellStyle name="Input 6 2 6 3 4" xfId="17221"/>
    <cellStyle name="Input 6 2 6 4" xfId="11013"/>
    <cellStyle name="Input 6 2 6 4 2" xfId="29985"/>
    <cellStyle name="Input 6 2 6 4 3" xfId="40830"/>
    <cellStyle name="Input 6 2 6 4 4" xfId="19125"/>
    <cellStyle name="Input 6 2 6 5" xfId="21809"/>
    <cellStyle name="Input 6 2 6 6" xfId="32654"/>
    <cellStyle name="Input 6 2 6 7" xfId="13271"/>
    <cellStyle name="Input 6 2 7" xfId="3521"/>
    <cellStyle name="Input 6 2 7 2" xfId="22493"/>
    <cellStyle name="Input 6 2 7 3" xfId="33338"/>
    <cellStyle name="Input 6 2 7 4" xfId="13752"/>
    <cellStyle name="Input 6 2 8" xfId="6196"/>
    <cellStyle name="Input 6 2 8 2" xfId="25168"/>
    <cellStyle name="Input 6 2 8 3" xfId="36013"/>
    <cellStyle name="Input 6 2 8 4" xfId="15668"/>
    <cellStyle name="Input 6 2 9" xfId="8855"/>
    <cellStyle name="Input 6 2 9 2" xfId="27827"/>
    <cellStyle name="Input 6 2 9 3" xfId="38672"/>
    <cellStyle name="Input 6 2 9 4" xfId="17572"/>
    <cellStyle name="Input 6 3" xfId="590"/>
    <cellStyle name="Input 6 3 10" xfId="19600"/>
    <cellStyle name="Input 6 3 11" xfId="30445"/>
    <cellStyle name="Input 6 3 12" xfId="11654"/>
    <cellStyle name="Input 6 3 2" xfId="1196"/>
    <cellStyle name="Input 6 3 2 2" xfId="4049"/>
    <cellStyle name="Input 6 3 2 2 2" xfId="23021"/>
    <cellStyle name="Input 6 3 2 2 3" xfId="33866"/>
    <cellStyle name="Input 6 3 2 2 4" xfId="14131"/>
    <cellStyle name="Input 6 3 2 3" xfId="6722"/>
    <cellStyle name="Input 6 3 2 3 2" xfId="25694"/>
    <cellStyle name="Input 6 3 2 3 3" xfId="36539"/>
    <cellStyle name="Input 6 3 2 3 4" xfId="16046"/>
    <cellStyle name="Input 6 3 2 4" xfId="9381"/>
    <cellStyle name="Input 6 3 2 4 2" xfId="28353"/>
    <cellStyle name="Input 6 3 2 4 3" xfId="39198"/>
    <cellStyle name="Input 6 3 2 4 4" xfId="17950"/>
    <cellStyle name="Input 6 3 2 5" xfId="20177"/>
    <cellStyle name="Input 6 3 2 6" xfId="31022"/>
    <cellStyle name="Input 6 3 2 7" xfId="12096"/>
    <cellStyle name="Input 6 3 3" xfId="1593"/>
    <cellStyle name="Input 6 3 3 2" xfId="4446"/>
    <cellStyle name="Input 6 3 3 2 2" xfId="23418"/>
    <cellStyle name="Input 6 3 3 2 3" xfId="34263"/>
    <cellStyle name="Input 6 3 3 2 4" xfId="14417"/>
    <cellStyle name="Input 6 3 3 3" xfId="7118"/>
    <cellStyle name="Input 6 3 3 3 2" xfId="26090"/>
    <cellStyle name="Input 6 3 3 3 3" xfId="36935"/>
    <cellStyle name="Input 6 3 3 3 4" xfId="16331"/>
    <cellStyle name="Input 6 3 3 4" xfId="9777"/>
    <cellStyle name="Input 6 3 3 4 2" xfId="28749"/>
    <cellStyle name="Input 6 3 3 4 3" xfId="39594"/>
    <cellStyle name="Input 6 3 3 4 4" xfId="18235"/>
    <cellStyle name="Input 6 3 3 5" xfId="20573"/>
    <cellStyle name="Input 6 3 3 6" xfId="31418"/>
    <cellStyle name="Input 6 3 3 7" xfId="12381"/>
    <cellStyle name="Input 6 3 4" xfId="1997"/>
    <cellStyle name="Input 6 3 4 2" xfId="4850"/>
    <cellStyle name="Input 6 3 4 2 2" xfId="23822"/>
    <cellStyle name="Input 6 3 4 2 3" xfId="34667"/>
    <cellStyle name="Input 6 3 4 2 4" xfId="14705"/>
    <cellStyle name="Input 6 3 4 3" xfId="7522"/>
    <cellStyle name="Input 6 3 4 3 2" xfId="26494"/>
    <cellStyle name="Input 6 3 4 3 3" xfId="37339"/>
    <cellStyle name="Input 6 3 4 3 4" xfId="16619"/>
    <cellStyle name="Input 6 3 4 4" xfId="10181"/>
    <cellStyle name="Input 6 3 4 4 2" xfId="29153"/>
    <cellStyle name="Input 6 3 4 4 3" xfId="39998"/>
    <cellStyle name="Input 6 3 4 4 4" xfId="18523"/>
    <cellStyle name="Input 6 3 4 5" xfId="20977"/>
    <cellStyle name="Input 6 3 4 6" xfId="31822"/>
    <cellStyle name="Input 6 3 4 7" xfId="12669"/>
    <cellStyle name="Input 6 3 5" xfId="2389"/>
    <cellStyle name="Input 6 3 5 2" xfId="5242"/>
    <cellStyle name="Input 6 3 5 2 2" xfId="24214"/>
    <cellStyle name="Input 6 3 5 2 3" xfId="35059"/>
    <cellStyle name="Input 6 3 5 2 4" xfId="14986"/>
    <cellStyle name="Input 6 3 5 3" xfId="7913"/>
    <cellStyle name="Input 6 3 5 3 2" xfId="26885"/>
    <cellStyle name="Input 6 3 5 3 3" xfId="37730"/>
    <cellStyle name="Input 6 3 5 3 4" xfId="16899"/>
    <cellStyle name="Input 6 3 5 4" xfId="10572"/>
    <cellStyle name="Input 6 3 5 4 2" xfId="29544"/>
    <cellStyle name="Input 6 3 5 4 3" xfId="40389"/>
    <cellStyle name="Input 6 3 5 4 4" xfId="18803"/>
    <cellStyle name="Input 6 3 5 5" xfId="21368"/>
    <cellStyle name="Input 6 3 5 6" xfId="32213"/>
    <cellStyle name="Input 6 3 5 7" xfId="12949"/>
    <cellStyle name="Input 6 3 6" xfId="2778"/>
    <cellStyle name="Input 6 3 6 2" xfId="5630"/>
    <cellStyle name="Input 6 3 6 2 2" xfId="24602"/>
    <cellStyle name="Input 6 3 6 2 3" xfId="35447"/>
    <cellStyle name="Input 6 3 6 2 4" xfId="15264"/>
    <cellStyle name="Input 6 3 6 3" xfId="8301"/>
    <cellStyle name="Input 6 3 6 3 2" xfId="27273"/>
    <cellStyle name="Input 6 3 6 3 3" xfId="38118"/>
    <cellStyle name="Input 6 3 6 3 4" xfId="17177"/>
    <cellStyle name="Input 6 3 6 4" xfId="10960"/>
    <cellStyle name="Input 6 3 6 4 2" xfId="29932"/>
    <cellStyle name="Input 6 3 6 4 3" xfId="40777"/>
    <cellStyle name="Input 6 3 6 4 4" xfId="19081"/>
    <cellStyle name="Input 6 3 6 5" xfId="21756"/>
    <cellStyle name="Input 6 3 6 6" xfId="32601"/>
    <cellStyle name="Input 6 3 6 7" xfId="13227"/>
    <cellStyle name="Input 6 3 7" xfId="3469"/>
    <cellStyle name="Input 6 3 7 2" xfId="22441"/>
    <cellStyle name="Input 6 3 7 3" xfId="33286"/>
    <cellStyle name="Input 6 3 7 4" xfId="13709"/>
    <cellStyle name="Input 6 3 8" xfId="6145"/>
    <cellStyle name="Input 6 3 8 2" xfId="25117"/>
    <cellStyle name="Input 6 3 8 3" xfId="35962"/>
    <cellStyle name="Input 6 3 8 4" xfId="15626"/>
    <cellStyle name="Input 6 3 9" xfId="8804"/>
    <cellStyle name="Input 6 3 9 2" xfId="27776"/>
    <cellStyle name="Input 6 3 9 3" xfId="38621"/>
    <cellStyle name="Input 6 3 9 4" xfId="17530"/>
    <cellStyle name="Input 6 4" xfId="786"/>
    <cellStyle name="Input 6 4 10" xfId="19771"/>
    <cellStyle name="Input 6 4 11" xfId="30616"/>
    <cellStyle name="Input 6 4 12" xfId="11798"/>
    <cellStyle name="Input 6 4 2" xfId="1373"/>
    <cellStyle name="Input 6 4 2 2" xfId="4226"/>
    <cellStyle name="Input 6 4 2 2 2" xfId="23198"/>
    <cellStyle name="Input 6 4 2 2 3" xfId="34043"/>
    <cellStyle name="Input 6 4 2 2 4" xfId="14259"/>
    <cellStyle name="Input 6 4 2 3" xfId="6899"/>
    <cellStyle name="Input 6 4 2 3 2" xfId="25871"/>
    <cellStyle name="Input 6 4 2 3 3" xfId="36716"/>
    <cellStyle name="Input 6 4 2 3 4" xfId="16174"/>
    <cellStyle name="Input 6 4 2 4" xfId="9558"/>
    <cellStyle name="Input 6 4 2 4 2" xfId="28530"/>
    <cellStyle name="Input 6 4 2 4 3" xfId="39375"/>
    <cellStyle name="Input 6 4 2 4 4" xfId="18078"/>
    <cellStyle name="Input 6 4 2 5" xfId="20354"/>
    <cellStyle name="Input 6 4 2 6" xfId="31199"/>
    <cellStyle name="Input 6 4 2 7" xfId="12224"/>
    <cellStyle name="Input 6 4 3" xfId="1772"/>
    <cellStyle name="Input 6 4 3 2" xfId="4625"/>
    <cellStyle name="Input 6 4 3 2 2" xfId="23597"/>
    <cellStyle name="Input 6 4 3 2 3" xfId="34442"/>
    <cellStyle name="Input 6 4 3 2 4" xfId="14546"/>
    <cellStyle name="Input 6 4 3 3" xfId="7297"/>
    <cellStyle name="Input 6 4 3 3 2" xfId="26269"/>
    <cellStyle name="Input 6 4 3 3 3" xfId="37114"/>
    <cellStyle name="Input 6 4 3 3 4" xfId="16460"/>
    <cellStyle name="Input 6 4 3 4" xfId="9956"/>
    <cellStyle name="Input 6 4 3 4 2" xfId="28928"/>
    <cellStyle name="Input 6 4 3 4 3" xfId="39773"/>
    <cellStyle name="Input 6 4 3 4 4" xfId="18364"/>
    <cellStyle name="Input 6 4 3 5" xfId="20752"/>
    <cellStyle name="Input 6 4 3 6" xfId="31597"/>
    <cellStyle name="Input 6 4 3 7" xfId="12510"/>
    <cellStyle name="Input 6 4 4" xfId="2176"/>
    <cellStyle name="Input 6 4 4 2" xfId="5029"/>
    <cellStyle name="Input 6 4 4 2 2" xfId="24001"/>
    <cellStyle name="Input 6 4 4 2 3" xfId="34846"/>
    <cellStyle name="Input 6 4 4 2 4" xfId="14833"/>
    <cellStyle name="Input 6 4 4 3" xfId="7700"/>
    <cellStyle name="Input 6 4 4 3 2" xfId="26672"/>
    <cellStyle name="Input 6 4 4 3 3" xfId="37517"/>
    <cellStyle name="Input 6 4 4 3 4" xfId="16746"/>
    <cellStyle name="Input 6 4 4 4" xfId="10359"/>
    <cellStyle name="Input 6 4 4 4 2" xfId="29331"/>
    <cellStyle name="Input 6 4 4 4 3" xfId="40176"/>
    <cellStyle name="Input 6 4 4 4 4" xfId="18650"/>
    <cellStyle name="Input 6 4 4 5" xfId="21155"/>
    <cellStyle name="Input 6 4 4 6" xfId="32000"/>
    <cellStyle name="Input 6 4 4 7" xfId="12796"/>
    <cellStyle name="Input 6 4 5" xfId="2566"/>
    <cellStyle name="Input 6 4 5 2" xfId="5418"/>
    <cellStyle name="Input 6 4 5 2 2" xfId="24390"/>
    <cellStyle name="Input 6 4 5 2 3" xfId="35235"/>
    <cellStyle name="Input 6 4 5 2 4" xfId="15112"/>
    <cellStyle name="Input 6 4 5 3" xfId="8089"/>
    <cellStyle name="Input 6 4 5 3 2" xfId="27061"/>
    <cellStyle name="Input 6 4 5 3 3" xfId="37906"/>
    <cellStyle name="Input 6 4 5 3 4" xfId="17025"/>
    <cellStyle name="Input 6 4 5 4" xfId="10748"/>
    <cellStyle name="Input 6 4 5 4 2" xfId="29720"/>
    <cellStyle name="Input 6 4 5 4 3" xfId="40565"/>
    <cellStyle name="Input 6 4 5 4 4" xfId="18929"/>
    <cellStyle name="Input 6 4 5 5" xfId="21544"/>
    <cellStyle name="Input 6 4 5 6" xfId="32389"/>
    <cellStyle name="Input 6 4 5 7" xfId="13075"/>
    <cellStyle name="Input 6 4 6" xfId="2952"/>
    <cellStyle name="Input 6 4 6 2" xfId="5803"/>
    <cellStyle name="Input 6 4 6 2 2" xfId="24775"/>
    <cellStyle name="Input 6 4 6 2 3" xfId="35620"/>
    <cellStyle name="Input 6 4 6 2 4" xfId="15388"/>
    <cellStyle name="Input 6 4 6 3" xfId="8474"/>
    <cellStyle name="Input 6 4 6 3 2" xfId="27446"/>
    <cellStyle name="Input 6 4 6 3 3" xfId="38291"/>
    <cellStyle name="Input 6 4 6 3 4" xfId="17301"/>
    <cellStyle name="Input 6 4 6 4" xfId="11133"/>
    <cellStyle name="Input 6 4 6 4 2" xfId="30105"/>
    <cellStyle name="Input 6 4 6 4 3" xfId="40950"/>
    <cellStyle name="Input 6 4 6 4 4" xfId="19205"/>
    <cellStyle name="Input 6 4 6 5" xfId="21929"/>
    <cellStyle name="Input 6 4 6 6" xfId="32774"/>
    <cellStyle name="Input 6 4 6 7" xfId="13351"/>
    <cellStyle name="Input 6 4 7" xfId="3641"/>
    <cellStyle name="Input 6 4 7 2" xfId="22613"/>
    <cellStyle name="Input 6 4 7 3" xfId="33458"/>
    <cellStyle name="Input 6 4 7 4" xfId="13832"/>
    <cellStyle name="Input 6 4 8" xfId="6316"/>
    <cellStyle name="Input 6 4 8 2" xfId="25288"/>
    <cellStyle name="Input 6 4 8 3" xfId="36133"/>
    <cellStyle name="Input 6 4 8 4" xfId="15748"/>
    <cellStyle name="Input 6 4 9" xfId="8975"/>
    <cellStyle name="Input 6 4 9 2" xfId="27947"/>
    <cellStyle name="Input 6 4 9 3" xfId="38792"/>
    <cellStyle name="Input 6 4 9 4" xfId="17652"/>
    <cellStyle name="Input 6 5" xfId="845"/>
    <cellStyle name="Input 6 5 10" xfId="19830"/>
    <cellStyle name="Input 6 5 11" xfId="30675"/>
    <cellStyle name="Input 6 5 12" xfId="11837"/>
    <cellStyle name="Input 6 5 2" xfId="1432"/>
    <cellStyle name="Input 6 5 2 2" xfId="4285"/>
    <cellStyle name="Input 6 5 2 2 2" xfId="23257"/>
    <cellStyle name="Input 6 5 2 2 3" xfId="34102"/>
    <cellStyle name="Input 6 5 2 2 4" xfId="14298"/>
    <cellStyle name="Input 6 5 2 3" xfId="6958"/>
    <cellStyle name="Input 6 5 2 3 2" xfId="25930"/>
    <cellStyle name="Input 6 5 2 3 3" xfId="36775"/>
    <cellStyle name="Input 6 5 2 3 4" xfId="16213"/>
    <cellStyle name="Input 6 5 2 4" xfId="9617"/>
    <cellStyle name="Input 6 5 2 4 2" xfId="28589"/>
    <cellStyle name="Input 6 5 2 4 3" xfId="39434"/>
    <cellStyle name="Input 6 5 2 4 4" xfId="18117"/>
    <cellStyle name="Input 6 5 2 5" xfId="20413"/>
    <cellStyle name="Input 6 5 2 6" xfId="31258"/>
    <cellStyle name="Input 6 5 2 7" xfId="12263"/>
    <cellStyle name="Input 6 5 3" xfId="1831"/>
    <cellStyle name="Input 6 5 3 2" xfId="4684"/>
    <cellStyle name="Input 6 5 3 2 2" xfId="23656"/>
    <cellStyle name="Input 6 5 3 2 3" xfId="34501"/>
    <cellStyle name="Input 6 5 3 2 4" xfId="14585"/>
    <cellStyle name="Input 6 5 3 3" xfId="7356"/>
    <cellStyle name="Input 6 5 3 3 2" xfId="26328"/>
    <cellStyle name="Input 6 5 3 3 3" xfId="37173"/>
    <cellStyle name="Input 6 5 3 3 4" xfId="16499"/>
    <cellStyle name="Input 6 5 3 4" xfId="10015"/>
    <cellStyle name="Input 6 5 3 4 2" xfId="28987"/>
    <cellStyle name="Input 6 5 3 4 3" xfId="39832"/>
    <cellStyle name="Input 6 5 3 4 4" xfId="18403"/>
    <cellStyle name="Input 6 5 3 5" xfId="20811"/>
    <cellStyle name="Input 6 5 3 6" xfId="31656"/>
    <cellStyle name="Input 6 5 3 7" xfId="12549"/>
    <cellStyle name="Input 6 5 4" xfId="2235"/>
    <cellStyle name="Input 6 5 4 2" xfId="5088"/>
    <cellStyle name="Input 6 5 4 2 2" xfId="24060"/>
    <cellStyle name="Input 6 5 4 2 3" xfId="34905"/>
    <cellStyle name="Input 6 5 4 2 4" xfId="14872"/>
    <cellStyle name="Input 6 5 4 3" xfId="7759"/>
    <cellStyle name="Input 6 5 4 3 2" xfId="26731"/>
    <cellStyle name="Input 6 5 4 3 3" xfId="37576"/>
    <cellStyle name="Input 6 5 4 3 4" xfId="16785"/>
    <cellStyle name="Input 6 5 4 4" xfId="10418"/>
    <cellStyle name="Input 6 5 4 4 2" xfId="29390"/>
    <cellStyle name="Input 6 5 4 4 3" xfId="40235"/>
    <cellStyle name="Input 6 5 4 4 4" xfId="18689"/>
    <cellStyle name="Input 6 5 4 5" xfId="21214"/>
    <cellStyle name="Input 6 5 4 6" xfId="32059"/>
    <cellStyle name="Input 6 5 4 7" xfId="12835"/>
    <cellStyle name="Input 6 5 5" xfId="2625"/>
    <cellStyle name="Input 6 5 5 2" xfId="5477"/>
    <cellStyle name="Input 6 5 5 2 2" xfId="24449"/>
    <cellStyle name="Input 6 5 5 2 3" xfId="35294"/>
    <cellStyle name="Input 6 5 5 2 4" xfId="15151"/>
    <cellStyle name="Input 6 5 5 3" xfId="8148"/>
    <cellStyle name="Input 6 5 5 3 2" xfId="27120"/>
    <cellStyle name="Input 6 5 5 3 3" xfId="37965"/>
    <cellStyle name="Input 6 5 5 3 4" xfId="17064"/>
    <cellStyle name="Input 6 5 5 4" xfId="10807"/>
    <cellStyle name="Input 6 5 5 4 2" xfId="29779"/>
    <cellStyle name="Input 6 5 5 4 3" xfId="40624"/>
    <cellStyle name="Input 6 5 5 4 4" xfId="18968"/>
    <cellStyle name="Input 6 5 5 5" xfId="21603"/>
    <cellStyle name="Input 6 5 5 6" xfId="32448"/>
    <cellStyle name="Input 6 5 5 7" xfId="13114"/>
    <cellStyle name="Input 6 5 6" xfId="3011"/>
    <cellStyle name="Input 6 5 6 2" xfId="5862"/>
    <cellStyle name="Input 6 5 6 2 2" xfId="24834"/>
    <cellStyle name="Input 6 5 6 2 3" xfId="35679"/>
    <cellStyle name="Input 6 5 6 2 4" xfId="15427"/>
    <cellStyle name="Input 6 5 6 3" xfId="8533"/>
    <cellStyle name="Input 6 5 6 3 2" xfId="27505"/>
    <cellStyle name="Input 6 5 6 3 3" xfId="38350"/>
    <cellStyle name="Input 6 5 6 3 4" xfId="17340"/>
    <cellStyle name="Input 6 5 6 4" xfId="11192"/>
    <cellStyle name="Input 6 5 6 4 2" xfId="30164"/>
    <cellStyle name="Input 6 5 6 4 3" xfId="41009"/>
    <cellStyle name="Input 6 5 6 4 4" xfId="19244"/>
    <cellStyle name="Input 6 5 6 5" xfId="21988"/>
    <cellStyle name="Input 6 5 6 6" xfId="32833"/>
    <cellStyle name="Input 6 5 6 7" xfId="13390"/>
    <cellStyle name="Input 6 5 7" xfId="3700"/>
    <cellStyle name="Input 6 5 7 2" xfId="22672"/>
    <cellStyle name="Input 6 5 7 3" xfId="33517"/>
    <cellStyle name="Input 6 5 7 4" xfId="13871"/>
    <cellStyle name="Input 6 5 8" xfId="6375"/>
    <cellStyle name="Input 6 5 8 2" xfId="25347"/>
    <cellStyle name="Input 6 5 8 3" xfId="36192"/>
    <cellStyle name="Input 6 5 8 4" xfId="15787"/>
    <cellStyle name="Input 6 5 9" xfId="9034"/>
    <cellStyle name="Input 6 5 9 2" xfId="28006"/>
    <cellStyle name="Input 6 5 9 3" xfId="38851"/>
    <cellStyle name="Input 6 5 9 4" xfId="17691"/>
    <cellStyle name="Input 6 6" xfId="1067"/>
    <cellStyle name="Input 6 6 2" xfId="3920"/>
    <cellStyle name="Input 6 6 2 2" xfId="22892"/>
    <cellStyle name="Input 6 6 2 3" xfId="33737"/>
    <cellStyle name="Input 6 6 2 4" xfId="14033"/>
    <cellStyle name="Input 6 6 3" xfId="6594"/>
    <cellStyle name="Input 6 6 3 2" xfId="25566"/>
    <cellStyle name="Input 6 6 3 3" xfId="36411"/>
    <cellStyle name="Input 6 6 3 4" xfId="15949"/>
    <cellStyle name="Input 6 6 4" xfId="9253"/>
    <cellStyle name="Input 6 6 4 2" xfId="28225"/>
    <cellStyle name="Input 6 6 4 3" xfId="39070"/>
    <cellStyle name="Input 6 6 4 4" xfId="17853"/>
    <cellStyle name="Input 6 6 5" xfId="20049"/>
    <cellStyle name="Input 6 6 6" xfId="30894"/>
    <cellStyle name="Input 6 6 7" xfId="11999"/>
    <cellStyle name="Input 6 7" xfId="915"/>
    <cellStyle name="Input 6 7 2" xfId="3770"/>
    <cellStyle name="Input 6 7 2 2" xfId="22742"/>
    <cellStyle name="Input 6 7 2 3" xfId="33587"/>
    <cellStyle name="Input 6 7 2 4" xfId="13916"/>
    <cellStyle name="Input 6 7 3" xfId="6445"/>
    <cellStyle name="Input 6 7 3 2" xfId="25417"/>
    <cellStyle name="Input 6 7 3 3" xfId="36262"/>
    <cellStyle name="Input 6 7 3 4" xfId="15832"/>
    <cellStyle name="Input 6 7 4" xfId="9104"/>
    <cellStyle name="Input 6 7 4 2" xfId="28076"/>
    <cellStyle name="Input 6 7 4 3" xfId="38921"/>
    <cellStyle name="Input 6 7 4 4" xfId="17736"/>
    <cellStyle name="Input 6 7 5" xfId="19900"/>
    <cellStyle name="Input 6 7 6" xfId="30745"/>
    <cellStyle name="Input 6 7 7" xfId="11882"/>
    <cellStyle name="Input 6 8" xfId="975"/>
    <cellStyle name="Input 6 8 2" xfId="3828"/>
    <cellStyle name="Input 6 8 2 2" xfId="22800"/>
    <cellStyle name="Input 6 8 2 3" xfId="33645"/>
    <cellStyle name="Input 6 8 2 4" xfId="13966"/>
    <cellStyle name="Input 6 8 3" xfId="6503"/>
    <cellStyle name="Input 6 8 3 2" xfId="25475"/>
    <cellStyle name="Input 6 8 3 3" xfId="36320"/>
    <cellStyle name="Input 6 8 3 4" xfId="15882"/>
    <cellStyle name="Input 6 8 4" xfId="9162"/>
    <cellStyle name="Input 6 8 4 2" xfId="28134"/>
    <cellStyle name="Input 6 8 4 3" xfId="38979"/>
    <cellStyle name="Input 6 8 4 4" xfId="17786"/>
    <cellStyle name="Input 6 8 5" xfId="19958"/>
    <cellStyle name="Input 6 8 6" xfId="30803"/>
    <cellStyle name="Input 6 8 7" xfId="11932"/>
    <cellStyle name="Input 6 9" xfId="927"/>
    <cellStyle name="Input 6 9 2" xfId="3782"/>
    <cellStyle name="Input 6 9 2 2" xfId="22754"/>
    <cellStyle name="Input 6 9 2 3" xfId="33599"/>
    <cellStyle name="Input 6 9 2 4" xfId="13928"/>
    <cellStyle name="Input 6 9 3" xfId="6457"/>
    <cellStyle name="Input 6 9 3 2" xfId="25429"/>
    <cellStyle name="Input 6 9 3 3" xfId="36274"/>
    <cellStyle name="Input 6 9 3 4" xfId="15844"/>
    <cellStyle name="Input 6 9 4" xfId="9116"/>
    <cellStyle name="Input 6 9 4 2" xfId="28088"/>
    <cellStyle name="Input 6 9 4 3" xfId="38933"/>
    <cellStyle name="Input 6 9 4 4" xfId="17748"/>
    <cellStyle name="Input 6 9 5" xfId="19912"/>
    <cellStyle name="Input 6 9 6" xfId="30757"/>
    <cellStyle name="Input 6 9 7" xfId="11894"/>
    <cellStyle name="Input 7" xfId="549"/>
    <cellStyle name="Input 7 10" xfId="19559"/>
    <cellStyle name="Input 7 11" xfId="30404"/>
    <cellStyle name="Input 7 12" xfId="11623"/>
    <cellStyle name="Input 7 2" xfId="1155"/>
    <cellStyle name="Input 7 2 2" xfId="4008"/>
    <cellStyle name="Input 7 2 2 2" xfId="22980"/>
    <cellStyle name="Input 7 2 2 3" xfId="33825"/>
    <cellStyle name="Input 7 2 2 4" xfId="14100"/>
    <cellStyle name="Input 7 2 3" xfId="6681"/>
    <cellStyle name="Input 7 2 3 2" xfId="25653"/>
    <cellStyle name="Input 7 2 3 3" xfId="36498"/>
    <cellStyle name="Input 7 2 3 4" xfId="16015"/>
    <cellStyle name="Input 7 2 4" xfId="9340"/>
    <cellStyle name="Input 7 2 4 2" xfId="28312"/>
    <cellStyle name="Input 7 2 4 3" xfId="39157"/>
    <cellStyle name="Input 7 2 4 4" xfId="17919"/>
    <cellStyle name="Input 7 2 5" xfId="20136"/>
    <cellStyle name="Input 7 2 6" xfId="30981"/>
    <cellStyle name="Input 7 2 7" xfId="12065"/>
    <cellStyle name="Input 7 3" xfId="1552"/>
    <cellStyle name="Input 7 3 2" xfId="4405"/>
    <cellStyle name="Input 7 3 2 2" xfId="23377"/>
    <cellStyle name="Input 7 3 2 3" xfId="34222"/>
    <cellStyle name="Input 7 3 2 4" xfId="14386"/>
    <cellStyle name="Input 7 3 3" xfId="7077"/>
    <cellStyle name="Input 7 3 3 2" xfId="26049"/>
    <cellStyle name="Input 7 3 3 3" xfId="36894"/>
    <cellStyle name="Input 7 3 3 4" xfId="16300"/>
    <cellStyle name="Input 7 3 4" xfId="9736"/>
    <cellStyle name="Input 7 3 4 2" xfId="28708"/>
    <cellStyle name="Input 7 3 4 3" xfId="39553"/>
    <cellStyle name="Input 7 3 4 4" xfId="18204"/>
    <cellStyle name="Input 7 3 5" xfId="20532"/>
    <cellStyle name="Input 7 3 6" xfId="31377"/>
    <cellStyle name="Input 7 3 7" xfId="12350"/>
    <cellStyle name="Input 7 4" xfId="1956"/>
    <cellStyle name="Input 7 4 2" xfId="4809"/>
    <cellStyle name="Input 7 4 2 2" xfId="23781"/>
    <cellStyle name="Input 7 4 2 3" xfId="34626"/>
    <cellStyle name="Input 7 4 2 4" xfId="14674"/>
    <cellStyle name="Input 7 4 3" xfId="7481"/>
    <cellStyle name="Input 7 4 3 2" xfId="26453"/>
    <cellStyle name="Input 7 4 3 3" xfId="37298"/>
    <cellStyle name="Input 7 4 3 4" xfId="16588"/>
    <cellStyle name="Input 7 4 4" xfId="10140"/>
    <cellStyle name="Input 7 4 4 2" xfId="29112"/>
    <cellStyle name="Input 7 4 4 3" xfId="39957"/>
    <cellStyle name="Input 7 4 4 4" xfId="18492"/>
    <cellStyle name="Input 7 4 5" xfId="20936"/>
    <cellStyle name="Input 7 4 6" xfId="31781"/>
    <cellStyle name="Input 7 4 7" xfId="12638"/>
    <cellStyle name="Input 7 5" xfId="2348"/>
    <cellStyle name="Input 7 5 2" xfId="5201"/>
    <cellStyle name="Input 7 5 2 2" xfId="24173"/>
    <cellStyle name="Input 7 5 2 3" xfId="35018"/>
    <cellStyle name="Input 7 5 2 4" xfId="14955"/>
    <cellStyle name="Input 7 5 3" xfId="7872"/>
    <cellStyle name="Input 7 5 3 2" xfId="26844"/>
    <cellStyle name="Input 7 5 3 3" xfId="37689"/>
    <cellStyle name="Input 7 5 3 4" xfId="16868"/>
    <cellStyle name="Input 7 5 4" xfId="10531"/>
    <cellStyle name="Input 7 5 4 2" xfId="29503"/>
    <cellStyle name="Input 7 5 4 3" xfId="40348"/>
    <cellStyle name="Input 7 5 4 4" xfId="18772"/>
    <cellStyle name="Input 7 5 5" xfId="21327"/>
    <cellStyle name="Input 7 5 6" xfId="32172"/>
    <cellStyle name="Input 7 5 7" xfId="12918"/>
    <cellStyle name="Input 7 6" xfId="2737"/>
    <cellStyle name="Input 7 6 2" xfId="5589"/>
    <cellStyle name="Input 7 6 2 2" xfId="24561"/>
    <cellStyle name="Input 7 6 2 3" xfId="35406"/>
    <cellStyle name="Input 7 6 2 4" xfId="15233"/>
    <cellStyle name="Input 7 6 3" xfId="8260"/>
    <cellStyle name="Input 7 6 3 2" xfId="27232"/>
    <cellStyle name="Input 7 6 3 3" xfId="38077"/>
    <cellStyle name="Input 7 6 3 4" xfId="17146"/>
    <cellStyle name="Input 7 6 4" xfId="10919"/>
    <cellStyle name="Input 7 6 4 2" xfId="29891"/>
    <cellStyle name="Input 7 6 4 3" xfId="40736"/>
    <cellStyle name="Input 7 6 4 4" xfId="19050"/>
    <cellStyle name="Input 7 6 5" xfId="21715"/>
    <cellStyle name="Input 7 6 6" xfId="32560"/>
    <cellStyle name="Input 7 6 7" xfId="13196"/>
    <cellStyle name="Input 7 7" xfId="3428"/>
    <cellStyle name="Input 7 7 2" xfId="22400"/>
    <cellStyle name="Input 7 7 3" xfId="33245"/>
    <cellStyle name="Input 7 7 4" xfId="13678"/>
    <cellStyle name="Input 7 8" xfId="6104"/>
    <cellStyle name="Input 7 8 2" xfId="25076"/>
    <cellStyle name="Input 7 8 3" xfId="35921"/>
    <cellStyle name="Input 7 8 4" xfId="15595"/>
    <cellStyle name="Input 7 9" xfId="8763"/>
    <cellStyle name="Input 7 9 2" xfId="27735"/>
    <cellStyle name="Input 7 9 3" xfId="38580"/>
    <cellStyle name="Input 7 9 4" xfId="17499"/>
    <cellStyle name="Input 8" xfId="484"/>
    <cellStyle name="Input 8 2" xfId="3403"/>
    <cellStyle name="Input 8 2 2" xfId="22375"/>
    <cellStyle name="Input 8 2 3" xfId="33220"/>
    <cellStyle name="Input 8 2 4" xfId="13656"/>
    <cellStyle name="Input 8 3" xfId="6081"/>
    <cellStyle name="Input 8 3 2" xfId="25053"/>
    <cellStyle name="Input 8 3 3" xfId="35898"/>
    <cellStyle name="Input 8 3 4" xfId="15573"/>
    <cellStyle name="Input 8 4" xfId="8740"/>
    <cellStyle name="Input 8 4 2" xfId="27712"/>
    <cellStyle name="Input 8 4 3" xfId="38557"/>
    <cellStyle name="Input 8 4 4" xfId="17477"/>
    <cellStyle name="Input 8 5" xfId="19525"/>
    <cellStyle name="Input 8 6" xfId="30370"/>
    <cellStyle name="Input 8 7" xfId="11569"/>
    <cellStyle name="Input 9" xfId="11447"/>
    <cellStyle name="Linked Cell" xfId="107" builtinId="24" customBuiltin="1"/>
    <cellStyle name="Linked Cell 2" xfId="108"/>
    <cellStyle name="Linked Cell 3" xfId="109"/>
    <cellStyle name="Linked Cell 4" xfId="303"/>
    <cellStyle name="Linked Cell 5" xfId="486"/>
    <cellStyle name="Linked Cell 6" xfId="11458"/>
    <cellStyle name="Neutral" xfId="110" builtinId="28" customBuiltin="1"/>
    <cellStyle name="Neutral 2" xfId="111"/>
    <cellStyle name="Neutral 3" xfId="304"/>
    <cellStyle name="Neutral 4" xfId="487"/>
    <cellStyle name="Neutral 5" xfId="11459"/>
    <cellStyle name="Normal" xfId="0" builtinId="0"/>
    <cellStyle name="Normal 10" xfId="305"/>
    <cellStyle name="Normal 10 2" xfId="41379"/>
    <cellStyle name="Normal 11" xfId="306"/>
    <cellStyle name="Normal 11 2" xfId="41215"/>
    <cellStyle name="Normal 11 2 2" xfId="41226"/>
    <cellStyle name="Normal 11 2 3" xfId="42638"/>
    <cellStyle name="Normal 11 3" xfId="41380"/>
    <cellStyle name="Normal 12" xfId="307"/>
    <cellStyle name="Normal 12 2" xfId="41381"/>
    <cellStyle name="Normal 13" xfId="330"/>
    <cellStyle name="Normal 13 2" xfId="332"/>
    <cellStyle name="Normal 13 2 2" xfId="437"/>
    <cellStyle name="Normal 13 2 2 2" xfId="647"/>
    <cellStyle name="Normal 13 2 2 2 2" xfId="11398"/>
    <cellStyle name="Normal 13 2 2 2 2 2" xfId="19380"/>
    <cellStyle name="Normal 13 2 2 2 3" xfId="11699"/>
    <cellStyle name="Normal 13 2 2 3" xfId="523"/>
    <cellStyle name="Normal 13 2 2 3 2" xfId="11597"/>
    <cellStyle name="Normal 13 2 2 4" xfId="11557"/>
    <cellStyle name="Normal 13 2 3" xfId="625"/>
    <cellStyle name="Normal 13 2 3 2" xfId="11680"/>
    <cellStyle name="Normal 13 2 4" xfId="504"/>
    <cellStyle name="Normal 13 2 4 2" xfId="11582"/>
    <cellStyle name="Normal 13 2 5" xfId="11496"/>
    <cellStyle name="Normal 13 3" xfId="436"/>
    <cellStyle name="Normal 13 3 2" xfId="646"/>
    <cellStyle name="Normal 13 3 2 2" xfId="11698"/>
    <cellStyle name="Normal 13 3 3" xfId="522"/>
    <cellStyle name="Normal 13 3 3 2" xfId="11596"/>
    <cellStyle name="Normal 13 3 4" xfId="11556"/>
    <cellStyle name="Normal 13 4" xfId="624"/>
    <cellStyle name="Normal 13 4 2" xfId="11679"/>
    <cellStyle name="Normal 13 5" xfId="503"/>
    <cellStyle name="Normal 13 5 2" xfId="11581"/>
    <cellStyle name="Normal 13 6" xfId="11495"/>
    <cellStyle name="Normal 13 7" xfId="41382"/>
    <cellStyle name="Normal 14" xfId="448"/>
    <cellStyle name="Normal 14 2" xfId="3387"/>
    <cellStyle name="Normal 14 2 2" xfId="41383"/>
    <cellStyle name="Normal 14 2 2 2" xfId="41589"/>
    <cellStyle name="Normal 14 2 2 2 2" xfId="42088"/>
    <cellStyle name="Normal 14 2 2 2 3" xfId="42553"/>
    <cellStyle name="Normal 14 2 2 3" xfId="42089"/>
    <cellStyle name="Normal 14 2 2 3 2" xfId="42090"/>
    <cellStyle name="Normal 14 2 2 4" xfId="42091"/>
    <cellStyle name="Normal 14 2 3" xfId="41384"/>
    <cellStyle name="Normal 14 2 3 2" xfId="41590"/>
    <cellStyle name="Normal 14 2 3 2 2" xfId="42092"/>
    <cellStyle name="Normal 14 2 3 2 3" xfId="42554"/>
    <cellStyle name="Normal 14 2 3 3" xfId="42093"/>
    <cellStyle name="Normal 14 2 3 3 2" xfId="42094"/>
    <cellStyle name="Normal 14 2 3 4" xfId="42095"/>
    <cellStyle name="Normal 14 2 4" xfId="41385"/>
    <cellStyle name="Normal 14 2 4 2" xfId="42096"/>
    <cellStyle name="Normal 14 2 4 3" xfId="42555"/>
    <cellStyle name="Normal 14 2 5" xfId="42097"/>
    <cellStyle name="Normal 14 2 5 2" xfId="42098"/>
    <cellStyle name="Normal 14 2 6" xfId="42099"/>
    <cellStyle name="Normal 15" xfId="444"/>
    <cellStyle name="Normal 15 2" xfId="11564"/>
    <cellStyle name="Normal 15 2 2" xfId="41386"/>
    <cellStyle name="Normal 15 2 2 2" xfId="41591"/>
    <cellStyle name="Normal 15 2 2 2 2" xfId="42100"/>
    <cellStyle name="Normal 15 2 2 2 3" xfId="42556"/>
    <cellStyle name="Normal 15 2 2 3" xfId="42101"/>
    <cellStyle name="Normal 15 2 2 3 2" xfId="42102"/>
    <cellStyle name="Normal 15 2 2 4" xfId="42103"/>
    <cellStyle name="Normal 15 2 3" xfId="41387"/>
    <cellStyle name="Normal 15 2 3 2" xfId="41592"/>
    <cellStyle name="Normal 15 2 3 2 2" xfId="42104"/>
    <cellStyle name="Normal 15 2 3 2 3" xfId="42557"/>
    <cellStyle name="Normal 15 2 3 3" xfId="42105"/>
    <cellStyle name="Normal 15 2 3 3 2" xfId="42106"/>
    <cellStyle name="Normal 15 2 3 4" xfId="42107"/>
    <cellStyle name="Normal 15 2 4" xfId="41388"/>
    <cellStyle name="Normal 15 2 4 2" xfId="42108"/>
    <cellStyle name="Normal 15 2 4 3" xfId="42558"/>
    <cellStyle name="Normal 15 2 5" xfId="42109"/>
    <cellStyle name="Normal 15 2 5 2" xfId="42110"/>
    <cellStyle name="Normal 15 2 6" xfId="42111"/>
    <cellStyle name="Normal 15 3" xfId="41389"/>
    <cellStyle name="Normal 15 3 2" xfId="41593"/>
    <cellStyle name="Normal 15 3 2 2" xfId="42112"/>
    <cellStyle name="Normal 15 3 2 3" xfId="42559"/>
    <cellStyle name="Normal 15 3 3" xfId="42113"/>
    <cellStyle name="Normal 15 3 3 2" xfId="42114"/>
    <cellStyle name="Normal 15 3 4" xfId="42115"/>
    <cellStyle name="Normal 15 4" xfId="41390"/>
    <cellStyle name="Normal 15 4 2" xfId="41594"/>
    <cellStyle name="Normal 15 4 2 2" xfId="42116"/>
    <cellStyle name="Normal 15 4 2 3" xfId="42560"/>
    <cellStyle name="Normal 15 4 3" xfId="42117"/>
    <cellStyle name="Normal 15 4 3 2" xfId="42118"/>
    <cellStyle name="Normal 15 4 4" xfId="42119"/>
    <cellStyle name="Normal 15 5" xfId="41391"/>
    <cellStyle name="Normal 15 5 2" xfId="42120"/>
    <cellStyle name="Normal 15 5 3" xfId="42561"/>
    <cellStyle name="Normal 15 6" xfId="42121"/>
    <cellStyle name="Normal 15 6 2" xfId="42122"/>
    <cellStyle name="Normal 15 7" xfId="42123"/>
    <cellStyle name="Normal 16" xfId="11401"/>
    <cellStyle name="Normal 16 2" xfId="41392"/>
    <cellStyle name="Normal 17" xfId="11399"/>
    <cellStyle name="Normal 17 2" xfId="41393"/>
    <cellStyle name="Normal 17 2 2" xfId="41595"/>
    <cellStyle name="Normal 17 2 2 2" xfId="42124"/>
    <cellStyle name="Normal 17 2 2 3" xfId="42562"/>
    <cellStyle name="Normal 17 2 3" xfId="42125"/>
    <cellStyle name="Normal 17 2 3 2" xfId="42126"/>
    <cellStyle name="Normal 17 2 4" xfId="42127"/>
    <cellStyle name="Normal 17 3" xfId="41394"/>
    <cellStyle name="Normal 17 3 2" xfId="41596"/>
    <cellStyle name="Normal 17 3 2 2" xfId="42128"/>
    <cellStyle name="Normal 17 3 2 3" xfId="42563"/>
    <cellStyle name="Normal 17 3 3" xfId="42129"/>
    <cellStyle name="Normal 17 3 3 2" xfId="42130"/>
    <cellStyle name="Normal 17 3 4" xfId="42131"/>
    <cellStyle name="Normal 17 4" xfId="41395"/>
    <cellStyle name="Normal 17 4 2" xfId="42132"/>
    <cellStyle name="Normal 17 4 3" xfId="42564"/>
    <cellStyle name="Normal 17 5" xfId="42133"/>
    <cellStyle name="Normal 17 5 2" xfId="42134"/>
    <cellStyle name="Normal 17 6" xfId="42135"/>
    <cellStyle name="Normal 18" xfId="41217"/>
    <cellStyle name="Normal 18 2" xfId="41597"/>
    <cellStyle name="Normal 18 2 2" xfId="42136"/>
    <cellStyle name="Normal 18 3" xfId="42137"/>
    <cellStyle name="Normal 18 3 2" xfId="42138"/>
    <cellStyle name="Normal 18 4" xfId="42139"/>
    <cellStyle name="Normal 18 5" xfId="42639"/>
    <cellStyle name="Normal 19" xfId="41227"/>
    <cellStyle name="Normal 19 2" xfId="41598"/>
    <cellStyle name="Normal 19 2 2" xfId="42140"/>
    <cellStyle name="Normal 19 3" xfId="42141"/>
    <cellStyle name="Normal 19 3 2" xfId="42142"/>
    <cellStyle name="Normal 19 4" xfId="42143"/>
    <cellStyle name="Normal 2" xfId="112"/>
    <cellStyle name="Normal 2 10" xfId="41396"/>
    <cellStyle name="Normal 2 10 2" xfId="41599"/>
    <cellStyle name="Normal 2 10 2 2" xfId="42144"/>
    <cellStyle name="Normal 2 10 3" xfId="42145"/>
    <cellStyle name="Normal 2 10 3 2" xfId="42146"/>
    <cellStyle name="Normal 2 10 4" xfId="42147"/>
    <cellStyle name="Normal 2 11" xfId="41397"/>
    <cellStyle name="Normal 2 11 2" xfId="42148"/>
    <cellStyle name="Normal 2 12" xfId="41509"/>
    <cellStyle name="Normal 2 12 2" xfId="42149"/>
    <cellStyle name="Normal 2 13" xfId="42150"/>
    <cellStyle name="Normal 2 13 2" xfId="42151"/>
    <cellStyle name="Normal 2 2" xfId="113"/>
    <cellStyle name="Normal 2 2 10" xfId="41398"/>
    <cellStyle name="Normal 2 2 10 2" xfId="42152"/>
    <cellStyle name="Normal 2 2 11" xfId="42153"/>
    <cellStyle name="Normal 2 2 11 2" xfId="42154"/>
    <cellStyle name="Normal 2 2 12" xfId="42155"/>
    <cellStyle name="Normal 2 2 12 2" xfId="42156"/>
    <cellStyle name="Normal 2 2 13" xfId="42157"/>
    <cellStyle name="Normal 2 2 2" xfId="335"/>
    <cellStyle name="Normal 2 2 2 2" xfId="41399"/>
    <cellStyle name="Normal 2 2 2 2 2" xfId="41400"/>
    <cellStyle name="Normal 2 2 2 2 2 2" xfId="41600"/>
    <cellStyle name="Normal 2 2 2 2 2 2 2" xfId="42158"/>
    <cellStyle name="Normal 2 2 2 2 2 3" xfId="42159"/>
    <cellStyle name="Normal 2 2 2 2 2 3 2" xfId="42160"/>
    <cellStyle name="Normal 2 2 2 2 2 4" xfId="42161"/>
    <cellStyle name="Normal 2 2 2 2 3" xfId="41601"/>
    <cellStyle name="Normal 2 2 2 2 3 2" xfId="42162"/>
    <cellStyle name="Normal 2 2 2 2 4" xfId="42163"/>
    <cellStyle name="Normal 2 2 2 2 4 2" xfId="42164"/>
    <cellStyle name="Normal 2 2 2 2 5" xfId="42165"/>
    <cellStyle name="Normal 2 2 2 3" xfId="41401"/>
    <cellStyle name="Normal 2 2 2 3 2" xfId="42565"/>
    <cellStyle name="Normal 2 2 2 3 2 2" xfId="42566"/>
    <cellStyle name="Normal 2 2 2 3 3" xfId="42567"/>
    <cellStyle name="Normal 2 2 2 4" xfId="41402"/>
    <cellStyle name="Normal 2 2 2 4 2" xfId="41602"/>
    <cellStyle name="Normal 2 2 2 4 2 2" xfId="42166"/>
    <cellStyle name="Normal 2 2 2 4 3" xfId="42167"/>
    <cellStyle name="Normal 2 2 2 4 3 2" xfId="42168"/>
    <cellStyle name="Normal 2 2 2 4 4" xfId="42169"/>
    <cellStyle name="Normal 2 2 2 5" xfId="41403"/>
    <cellStyle name="Normal 2 2 2 5 2" xfId="42170"/>
    <cellStyle name="Normal 2 2 2 6" xfId="42171"/>
    <cellStyle name="Normal 2 2 2 6 2" xfId="42172"/>
    <cellStyle name="Normal 2 2 2 7" xfId="42173"/>
    <cellStyle name="Normal 2 2 2 7 2" xfId="42174"/>
    <cellStyle name="Normal 2 2 2 8" xfId="42175"/>
    <cellStyle name="Normal 2 2 3" xfId="41404"/>
    <cellStyle name="Normal 2 2 3 2" xfId="41405"/>
    <cellStyle name="Normal 2 2 3 2 2" xfId="42568"/>
    <cellStyle name="Normal 2 2 3 2 2 2" xfId="42569"/>
    <cellStyle name="Normal 2 2 3 2 3" xfId="42570"/>
    <cellStyle name="Normal 2 2 3 3" xfId="41406"/>
    <cellStyle name="Normal 2 2 3 3 2" xfId="41603"/>
    <cellStyle name="Normal 2 2 3 3 2 2" xfId="42176"/>
    <cellStyle name="Normal 2 2 3 3 3" xfId="42177"/>
    <cellStyle name="Normal 2 2 3 3 3 2" xfId="42178"/>
    <cellStyle name="Normal 2 2 3 3 4" xfId="42179"/>
    <cellStyle name="Normal 2 2 3 4" xfId="41604"/>
    <cellStyle name="Normal 2 2 3 4 2" xfId="42180"/>
    <cellStyle name="Normal 2 2 3 5" xfId="42181"/>
    <cellStyle name="Normal 2 2 3 5 2" xfId="42182"/>
    <cellStyle name="Normal 2 2 3 6" xfId="42183"/>
    <cellStyle name="Normal 2 2 4" xfId="41407"/>
    <cellStyle name="Normal 2 2 4 2" xfId="41605"/>
    <cellStyle name="Normal 2 2 4 2 2" xfId="42184"/>
    <cellStyle name="Normal 2 2 4 2 3" xfId="42571"/>
    <cellStyle name="Normal 2 2 4 3" xfId="42185"/>
    <cellStyle name="Normal 2 2 4 3 2" xfId="42186"/>
    <cellStyle name="Normal 2 2 4 4" xfId="42187"/>
    <cellStyle name="Normal 2 2 4 5" xfId="42572"/>
    <cellStyle name="Normal 2 2 5" xfId="41408"/>
    <cellStyle name="Normal 2 2 5 2" xfId="41606"/>
    <cellStyle name="Normal 2 2 5 2 2" xfId="42188"/>
    <cellStyle name="Normal 2 2 5 2 3" xfId="42573"/>
    <cellStyle name="Normal 2 2 5 3" xfId="42189"/>
    <cellStyle name="Normal 2 2 5 3 2" xfId="42190"/>
    <cellStyle name="Normal 2 2 5 4" xfId="42191"/>
    <cellStyle name="Normal 2 2 6" xfId="41409"/>
    <cellStyle name="Normal 2 2 6 2" xfId="41607"/>
    <cellStyle name="Normal 2 2 6 2 2" xfId="42192"/>
    <cellStyle name="Normal 2 2 6 2 3" xfId="42574"/>
    <cellStyle name="Normal 2 2 6 3" xfId="42193"/>
    <cellStyle name="Normal 2 2 6 3 2" xfId="42194"/>
    <cellStyle name="Normal 2 2 6 4" xfId="42195"/>
    <cellStyle name="Normal 2 2 7" xfId="41410"/>
    <cellStyle name="Normal 2 2 7 2" xfId="41608"/>
    <cellStyle name="Normal 2 2 7 2 2" xfId="42196"/>
    <cellStyle name="Normal 2 2 7 3" xfId="42197"/>
    <cellStyle name="Normal 2 2 7 3 2" xfId="42198"/>
    <cellStyle name="Normal 2 2 7 4" xfId="42199"/>
    <cellStyle name="Normal 2 2 8" xfId="41411"/>
    <cellStyle name="Normal 2 2 8 2" xfId="41609"/>
    <cellStyle name="Normal 2 2 8 2 2" xfId="42200"/>
    <cellStyle name="Normal 2 2 8 3" xfId="42201"/>
    <cellStyle name="Normal 2 2 8 3 2" xfId="42202"/>
    <cellStyle name="Normal 2 2 8 4" xfId="42203"/>
    <cellStyle name="Normal 2 2 9" xfId="41412"/>
    <cellStyle name="Normal 2 2 9 2" xfId="41610"/>
    <cellStyle name="Normal 2 2 9 2 2" xfId="42204"/>
    <cellStyle name="Normal 2 2 9 3" xfId="42205"/>
    <cellStyle name="Normal 2 2 9 3 2" xfId="42206"/>
    <cellStyle name="Normal 2 2 9 4" xfId="42207"/>
    <cellStyle name="Normal 2 2_Inputs Yr 1" xfId="308"/>
    <cellStyle name="Normal 2 3" xfId="114"/>
    <cellStyle name="Normal 2 3 10" xfId="42208"/>
    <cellStyle name="Normal 2 3 2" xfId="376"/>
    <cellStyle name="Normal 2 3 2 2" xfId="41413"/>
    <cellStyle name="Normal 2 3 2 2 2" xfId="42575"/>
    <cellStyle name="Normal 2 3 2 2 2 2" xfId="42576"/>
    <cellStyle name="Normal 2 3 2 2 3" xfId="42577"/>
    <cellStyle name="Normal 2 3 2 3" xfId="41414"/>
    <cellStyle name="Normal 2 3 2 3 2" xfId="41611"/>
    <cellStyle name="Normal 2 3 2 3 2 2" xfId="42209"/>
    <cellStyle name="Normal 2 3 2 3 3" xfId="42210"/>
    <cellStyle name="Normal 2 3 2 3 3 2" xfId="42211"/>
    <cellStyle name="Normal 2 3 2 3 4" xfId="42212"/>
    <cellStyle name="Normal 2 3 2 4" xfId="41415"/>
    <cellStyle name="Normal 2 3 2 4 2" xfId="42213"/>
    <cellStyle name="Normal 2 3 2 5" xfId="42214"/>
    <cellStyle name="Normal 2 3 2 5 2" xfId="42215"/>
    <cellStyle name="Normal 2 3 2 6" xfId="42216"/>
    <cellStyle name="Normal 2 3 3" xfId="41416"/>
    <cellStyle name="Normal 2 3 3 2" xfId="41612"/>
    <cellStyle name="Normal 2 3 3 2 2" xfId="42217"/>
    <cellStyle name="Normal 2 3 3 2 3" xfId="42578"/>
    <cellStyle name="Normal 2 3 3 3" xfId="42218"/>
    <cellStyle name="Normal 2 3 3 3 2" xfId="42219"/>
    <cellStyle name="Normal 2 3 3 4" xfId="42220"/>
    <cellStyle name="Normal 2 3 3 5" xfId="42579"/>
    <cellStyle name="Normal 2 3 4" xfId="41417"/>
    <cellStyle name="Normal 2 3 4 2" xfId="41613"/>
    <cellStyle name="Normal 2 3 4 2 2" xfId="42221"/>
    <cellStyle name="Normal 2 3 4 2 3" xfId="42580"/>
    <cellStyle name="Normal 2 3 4 3" xfId="42222"/>
    <cellStyle name="Normal 2 3 4 3 2" xfId="42223"/>
    <cellStyle name="Normal 2 3 4 4" xfId="42224"/>
    <cellStyle name="Normal 2 3 5" xfId="41418"/>
    <cellStyle name="Normal 2 3 5 2" xfId="41614"/>
    <cellStyle name="Normal 2 3 5 2 2" xfId="42225"/>
    <cellStyle name="Normal 2 3 5 3" xfId="42226"/>
    <cellStyle name="Normal 2 3 5 3 2" xfId="42227"/>
    <cellStyle name="Normal 2 3 5 4" xfId="42228"/>
    <cellStyle name="Normal 2 3 6" xfId="41419"/>
    <cellStyle name="Normal 2 3 6 2" xfId="41615"/>
    <cellStyle name="Normal 2 3 6 2 2" xfId="42229"/>
    <cellStyle name="Normal 2 3 6 3" xfId="42230"/>
    <cellStyle name="Normal 2 3 6 3 2" xfId="42231"/>
    <cellStyle name="Normal 2 3 6 4" xfId="42232"/>
    <cellStyle name="Normal 2 3 7" xfId="41420"/>
    <cellStyle name="Normal 2 3 7 2" xfId="42233"/>
    <cellStyle name="Normal 2 3 8" xfId="42234"/>
    <cellStyle name="Normal 2 3 8 2" xfId="42235"/>
    <cellStyle name="Normal 2 3 9" xfId="42236"/>
    <cellStyle name="Normal 2 3 9 2" xfId="42237"/>
    <cellStyle name="Normal 2 4" xfId="410"/>
    <cellStyle name="Normal 2 4 2" xfId="41421"/>
    <cellStyle name="Normal 2 4 2 2" xfId="41422"/>
    <cellStyle name="Normal 2 4 2 2 2" xfId="41616"/>
    <cellStyle name="Normal 2 4 2 2 2 2" xfId="42238"/>
    <cellStyle name="Normal 2 4 2 2 3" xfId="42239"/>
    <cellStyle name="Normal 2 4 2 2 3 2" xfId="42240"/>
    <cellStyle name="Normal 2 4 2 2 4" xfId="42241"/>
    <cellStyle name="Normal 2 4 2 3" xfId="41423"/>
    <cellStyle name="Normal 2 4 2 3 2" xfId="41617"/>
    <cellStyle name="Normal 2 4 2 3 2 2" xfId="42242"/>
    <cellStyle name="Normal 2 4 2 3 3" xfId="42243"/>
    <cellStyle name="Normal 2 4 2 3 3 2" xfId="42244"/>
    <cellStyle name="Normal 2 4 2 3 4" xfId="42245"/>
    <cellStyle name="Normal 2 4 2 4" xfId="41618"/>
    <cellStyle name="Normal 2 4 2 4 2" xfId="42246"/>
    <cellStyle name="Normal 2 4 2 5" xfId="42247"/>
    <cellStyle name="Normal 2 4 2 5 2" xfId="42248"/>
    <cellStyle name="Normal 2 4 2 6" xfId="42249"/>
    <cellStyle name="Normal 2 4 3" xfId="41424"/>
    <cellStyle name="Normal 2 4 3 2" xfId="41619"/>
    <cellStyle name="Normal 2 4 3 2 2" xfId="42250"/>
    <cellStyle name="Normal 2 4 3 2 3" xfId="42581"/>
    <cellStyle name="Normal 2 4 3 3" xfId="42251"/>
    <cellStyle name="Normal 2 4 3 3 2" xfId="42252"/>
    <cellStyle name="Normal 2 4 3 4" xfId="42253"/>
    <cellStyle name="Normal 2 4 4" xfId="41425"/>
    <cellStyle name="Normal 2 4 4 2" xfId="41620"/>
    <cellStyle name="Normal 2 4 4 2 2" xfId="42254"/>
    <cellStyle name="Normal 2 4 4 3" xfId="42255"/>
    <cellStyle name="Normal 2 4 4 3 2" xfId="42256"/>
    <cellStyle name="Normal 2 4 4 4" xfId="42257"/>
    <cellStyle name="Normal 2 4 5" xfId="41426"/>
    <cellStyle name="Normal 2 4 6" xfId="42258"/>
    <cellStyle name="Normal 2 4 7" xfId="42582"/>
    <cellStyle name="Normal 2 5" xfId="41231"/>
    <cellStyle name="Normal 2 5 2" xfId="41427"/>
    <cellStyle name="Normal 2 5 2 2" xfId="41621"/>
    <cellStyle name="Normal 2 5 2 2 2" xfId="42259"/>
    <cellStyle name="Normal 2 5 2 2 3" xfId="42583"/>
    <cellStyle name="Normal 2 5 2 3" xfId="42260"/>
    <cellStyle name="Normal 2 5 2 3 2" xfId="42261"/>
    <cellStyle name="Normal 2 5 2 4" xfId="42262"/>
    <cellStyle name="Normal 2 5 3" xfId="41428"/>
    <cellStyle name="Normal 2 5 3 2" xfId="41622"/>
    <cellStyle name="Normal 2 5 3 2 2" xfId="42263"/>
    <cellStyle name="Normal 2 5 3 2 3" xfId="42584"/>
    <cellStyle name="Normal 2 5 3 3" xfId="42264"/>
    <cellStyle name="Normal 2 5 3 3 2" xfId="42265"/>
    <cellStyle name="Normal 2 5 3 4" xfId="42266"/>
    <cellStyle name="Normal 2 5 4" xfId="41623"/>
    <cellStyle name="Normal 2 5 4 2" xfId="42267"/>
    <cellStyle name="Normal 2 5 4 3" xfId="42585"/>
    <cellStyle name="Normal 2 5 5" xfId="42268"/>
    <cellStyle name="Normal 2 5 5 2" xfId="42269"/>
    <cellStyle name="Normal 2 5 6" xfId="42270"/>
    <cellStyle name="Normal 2 5 7" xfId="42586"/>
    <cellStyle name="Normal 2 5 8" xfId="42636"/>
    <cellStyle name="Normal 2 6" xfId="41235"/>
    <cellStyle name="Normal 2 6 2" xfId="41624"/>
    <cellStyle name="Normal 2 6 2 2" xfId="42271"/>
    <cellStyle name="Normal 2 6 2 3" xfId="42587"/>
    <cellStyle name="Normal 2 6 3" xfId="42272"/>
    <cellStyle name="Normal 2 6 3 2" xfId="42273"/>
    <cellStyle name="Normal 2 6 4" xfId="42274"/>
    <cellStyle name="Normal 2 6 5" xfId="42588"/>
    <cellStyle name="Normal 2 7" xfId="41429"/>
    <cellStyle name="Normal 2 7 2" xfId="41625"/>
    <cellStyle name="Normal 2 7 2 2" xfId="42275"/>
    <cellStyle name="Normal 2 7 2 3" xfId="42589"/>
    <cellStyle name="Normal 2 7 3" xfId="42276"/>
    <cellStyle name="Normal 2 7 3 2" xfId="42277"/>
    <cellStyle name="Normal 2 7 4" xfId="42278"/>
    <cellStyle name="Normal 2 8" xfId="41430"/>
    <cellStyle name="Normal 2 8 2" xfId="41626"/>
    <cellStyle name="Normal 2 8 2 2" xfId="42279"/>
    <cellStyle name="Normal 2 8 2 3" xfId="42590"/>
    <cellStyle name="Normal 2 8 3" xfId="42280"/>
    <cellStyle name="Normal 2 8 3 2" xfId="42281"/>
    <cellStyle name="Normal 2 8 4" xfId="42282"/>
    <cellStyle name="Normal 2 9" xfId="41431"/>
    <cellStyle name="Normal 2 9 2" xfId="41627"/>
    <cellStyle name="Normal 2 9 2 2" xfId="42283"/>
    <cellStyle name="Normal 2 9 3" xfId="42284"/>
    <cellStyle name="Normal 2 9 3 2" xfId="42285"/>
    <cellStyle name="Normal 2 9 4" xfId="42286"/>
    <cellStyle name="Normal 2_2012 AR ELEC BCR Eval Eval - 012913" xfId="115"/>
    <cellStyle name="Normal 20" xfId="41237"/>
    <cellStyle name="Normal 20 2" xfId="41628"/>
    <cellStyle name="Normal 21" xfId="41432"/>
    <cellStyle name="Normal 21 2" xfId="41629"/>
    <cellStyle name="Normal 22" xfId="41508"/>
    <cellStyle name="Normal 22 2" xfId="42637"/>
    <cellStyle name="Normal 23" xfId="41511"/>
    <cellStyle name="Normal 24" xfId="42477"/>
    <cellStyle name="Normal 25" xfId="42479"/>
    <cellStyle name="Normal 26" xfId="42482"/>
    <cellStyle name="Normal 27" xfId="42634"/>
    <cellStyle name="Normal 28" xfId="42640"/>
    <cellStyle name="Normal 29" xfId="42641"/>
    <cellStyle name="Normal 3" xfId="116"/>
    <cellStyle name="Normal 3 2" xfId="117"/>
    <cellStyle name="Normal 3 2 2" xfId="118"/>
    <cellStyle name="Normal 3 2 2 2" xfId="41433"/>
    <cellStyle name="Normal 3 2 2 2 2" xfId="42287"/>
    <cellStyle name="Normal 3 2 2 3" xfId="42288"/>
    <cellStyle name="Normal 3 2 2 3 2" xfId="42289"/>
    <cellStyle name="Normal 3 2 2 4" xfId="42290"/>
    <cellStyle name="Normal 3 2 3" xfId="41434"/>
    <cellStyle name="Normal 3 3" xfId="119"/>
    <cellStyle name="Normal 3 3 2" xfId="41435"/>
    <cellStyle name="Normal 3 3 2 2" xfId="41436"/>
    <cellStyle name="Normal 3 3 2 2 2" xfId="41630"/>
    <cellStyle name="Normal 3 3 2 2 2 2" xfId="42291"/>
    <cellStyle name="Normal 3 3 2 2 2 3" xfId="42591"/>
    <cellStyle name="Normal 3 3 2 2 3" xfId="42292"/>
    <cellStyle name="Normal 3 3 2 2 3 2" xfId="42293"/>
    <cellStyle name="Normal 3 3 2 2 4" xfId="42294"/>
    <cellStyle name="Normal 3 3 2 3" xfId="41437"/>
    <cellStyle name="Normal 3 3 2 3 2" xfId="41631"/>
    <cellStyle name="Normal 3 3 2 3 2 2" xfId="42295"/>
    <cellStyle name="Normal 3 3 2 3 2 3" xfId="42592"/>
    <cellStyle name="Normal 3 3 2 3 3" xfId="42296"/>
    <cellStyle name="Normal 3 3 2 3 3 2" xfId="42297"/>
    <cellStyle name="Normal 3 3 2 3 4" xfId="42298"/>
    <cellStyle name="Normal 3 3 2 4" xfId="41632"/>
    <cellStyle name="Normal 3 3 2 4 2" xfId="42299"/>
    <cellStyle name="Normal 3 3 2 4 3" xfId="42593"/>
    <cellStyle name="Normal 3 3 2 5" xfId="42300"/>
    <cellStyle name="Normal 3 3 2 5 2" xfId="42301"/>
    <cellStyle name="Normal 3 3 2 6" xfId="42302"/>
    <cellStyle name="Normal 3 3 2 7" xfId="42594"/>
    <cellStyle name="Normal 3 3 3" xfId="41438"/>
    <cellStyle name="Normal 3 3 3 2" xfId="41633"/>
    <cellStyle name="Normal 3 3 3 2 2" xfId="42303"/>
    <cellStyle name="Normal 3 3 3 2 3" xfId="42595"/>
    <cellStyle name="Normal 3 3 3 3" xfId="42304"/>
    <cellStyle name="Normal 3 3 3 3 2" xfId="42305"/>
    <cellStyle name="Normal 3 3 3 4" xfId="42306"/>
    <cellStyle name="Normal 3 3 4" xfId="41439"/>
    <cellStyle name="Normal 3 3 4 2" xfId="41634"/>
    <cellStyle name="Normal 3 3 4 2 2" xfId="42307"/>
    <cellStyle name="Normal 3 3 4 2 3" xfId="42596"/>
    <cellStyle name="Normal 3 3 4 3" xfId="42308"/>
    <cellStyle name="Normal 3 3 4 3 2" xfId="42309"/>
    <cellStyle name="Normal 3 3 4 4" xfId="42310"/>
    <cellStyle name="Normal 3 3 5" xfId="41440"/>
    <cellStyle name="Normal 3 3 5 2" xfId="41635"/>
    <cellStyle name="Normal 3 3 5 2 2" xfId="42311"/>
    <cellStyle name="Normal 3 3 5 3" xfId="42312"/>
    <cellStyle name="Normal 3 3 5 3 2" xfId="42313"/>
    <cellStyle name="Normal 3 3 5 4" xfId="42314"/>
    <cellStyle name="Normal 3 3 6" xfId="41441"/>
    <cellStyle name="Normal 3 3 6 2" xfId="41636"/>
    <cellStyle name="Normal 3 3 6 2 2" xfId="42315"/>
    <cellStyle name="Normal 3 3 6 3" xfId="42316"/>
    <cellStyle name="Normal 3 3 6 3 2" xfId="42317"/>
    <cellStyle name="Normal 3 3 6 4" xfId="42318"/>
    <cellStyle name="Normal 3 3 7" xfId="41442"/>
    <cellStyle name="Normal 3 3 7 2" xfId="42319"/>
    <cellStyle name="Normal 3 3 8" xfId="42320"/>
    <cellStyle name="Normal 3 3 8 2" xfId="42321"/>
    <cellStyle name="Normal 3 3 9" xfId="42322"/>
    <cellStyle name="Normal 3 4" xfId="189"/>
    <cellStyle name="Normal 3 4 2" xfId="413"/>
    <cellStyle name="Normal 3 4 2 2" xfId="41443"/>
    <cellStyle name="Normal 3 4 2 2 2" xfId="42323"/>
    <cellStyle name="Normal 3 4 2 3" xfId="42324"/>
    <cellStyle name="Normal 3 4 2 3 2" xfId="42325"/>
    <cellStyle name="Normal 3 4 2 4" xfId="42326"/>
    <cellStyle name="Normal 3 4 3" xfId="41444"/>
    <cellStyle name="Normal 3 4 3 2" xfId="41637"/>
    <cellStyle name="Normal 3 4 3 2 2" xfId="42327"/>
    <cellStyle name="Normal 3 4 3 3" xfId="42328"/>
    <cellStyle name="Normal 3 4 3 3 2" xfId="42329"/>
    <cellStyle name="Normal 3 4 3 4" xfId="42330"/>
    <cellStyle name="Normal 3 4 4" xfId="41445"/>
    <cellStyle name="Normal 3 4 4 2" xfId="42331"/>
    <cellStyle name="Normal 3 4 5" xfId="42332"/>
    <cellStyle name="Normal 3 4 5 2" xfId="42333"/>
    <cellStyle name="Normal 3 4 6" xfId="42334"/>
    <cellStyle name="Normal 3 5" xfId="41225"/>
    <cellStyle name="Normal 3 5 2" xfId="41638"/>
    <cellStyle name="Normal 3 5 2 2" xfId="42335"/>
    <cellStyle name="Normal 3 5 2 3" xfId="42597"/>
    <cellStyle name="Normal 3 5 3" xfId="42336"/>
    <cellStyle name="Normal 3 5 3 2" xfId="42337"/>
    <cellStyle name="Normal 3 5 4" xfId="42338"/>
    <cellStyle name="Normal 3 5 5" xfId="42598"/>
    <cellStyle name="Normal 3 6" xfId="41446"/>
    <cellStyle name="Normal 3 6 2" xfId="41639"/>
    <cellStyle name="Normal 3 6 2 2" xfId="42339"/>
    <cellStyle name="Normal 3 6 2 3" xfId="42599"/>
    <cellStyle name="Normal 3 6 3" xfId="42340"/>
    <cellStyle name="Normal 3 6 3 2" xfId="42341"/>
    <cellStyle name="Normal 3 6 4" xfId="42342"/>
    <cellStyle name="Normal 3 7" xfId="42343"/>
    <cellStyle name="Normal 3 7 2" xfId="42600"/>
    <cellStyle name="Normal 3 7 3" xfId="42601"/>
    <cellStyle name="Normal 3 8" xfId="42602"/>
    <cellStyle name="Normal 3 9" xfId="42603"/>
    <cellStyle name="Normal 3_2012 AR ELEC BCR Eval Eval - 012913" xfId="120"/>
    <cellStyle name="Normal 38 10" xfId="195"/>
    <cellStyle name="Normal 4" xfId="121"/>
    <cellStyle name="Normal 4 10" xfId="42344"/>
    <cellStyle name="Normal 4 2" xfId="333"/>
    <cellStyle name="Normal 4 2 2" xfId="438"/>
    <cellStyle name="Normal 4 2 2 2" xfId="648"/>
    <cellStyle name="Normal 4 2 2 2 2" xfId="11700"/>
    <cellStyle name="Normal 4 2 2 2 2 2" xfId="42345"/>
    <cellStyle name="Normal 4 2 2 2 2 3" xfId="42604"/>
    <cellStyle name="Normal 4 2 2 2 3" xfId="41447"/>
    <cellStyle name="Normal 4 2 2 2 3 2" xfId="42346"/>
    <cellStyle name="Normal 4 2 2 2 4" xfId="42347"/>
    <cellStyle name="Normal 4 2 2 3" xfId="524"/>
    <cellStyle name="Normal 4 2 2 3 2" xfId="11598"/>
    <cellStyle name="Normal 4 2 2 3 2 2" xfId="42348"/>
    <cellStyle name="Normal 4 2 2 3 2 3" xfId="42605"/>
    <cellStyle name="Normal 4 2 2 3 3" xfId="41448"/>
    <cellStyle name="Normal 4 2 2 3 3 2" xfId="42349"/>
    <cellStyle name="Normal 4 2 2 3 4" xfId="42350"/>
    <cellStyle name="Normal 4 2 2 4" xfId="11558"/>
    <cellStyle name="Normal 4 2 2 4 2" xfId="42351"/>
    <cellStyle name="Normal 4 2 2 4 3" xfId="42606"/>
    <cellStyle name="Normal 4 2 2 5" xfId="41449"/>
    <cellStyle name="Normal 4 2 2 5 2" xfId="42352"/>
    <cellStyle name="Normal 4 2 2 6" xfId="42353"/>
    <cellStyle name="Normal 4 2 3" xfId="626"/>
    <cellStyle name="Normal 4 2 3 2" xfId="11681"/>
    <cellStyle name="Normal 4 2 3 2 2" xfId="42354"/>
    <cellStyle name="Normal 4 2 3 2 3" xfId="42607"/>
    <cellStyle name="Normal 4 2 3 3" xfId="41450"/>
    <cellStyle name="Normal 4 2 3 3 2" xfId="42355"/>
    <cellStyle name="Normal 4 2 3 4" xfId="42356"/>
    <cellStyle name="Normal 4 2 4" xfId="505"/>
    <cellStyle name="Normal 4 2 4 2" xfId="11583"/>
    <cellStyle name="Normal 4 2 4 2 2" xfId="42357"/>
    <cellStyle name="Normal 4 2 4 2 3" xfId="42608"/>
    <cellStyle name="Normal 4 2 4 3" xfId="41451"/>
    <cellStyle name="Normal 4 2 4 3 2" xfId="42358"/>
    <cellStyle name="Normal 4 2 4 4" xfId="42359"/>
    <cellStyle name="Normal 4 2 5" xfId="11497"/>
    <cellStyle name="Normal 4 2 5 2" xfId="41452"/>
    <cellStyle name="Normal 4 2 5 2 2" xfId="42360"/>
    <cellStyle name="Normal 4 2 5 3" xfId="42361"/>
    <cellStyle name="Normal 4 2 5 3 2" xfId="42362"/>
    <cellStyle name="Normal 4 2 5 4" xfId="42363"/>
    <cellStyle name="Normal 4 2 6" xfId="41453"/>
    <cellStyle name="Normal 4 2 7" xfId="42609"/>
    <cellStyle name="Normal 4 2 8" xfId="42610"/>
    <cellStyle name="Normal 4 3" xfId="337"/>
    <cellStyle name="Normal 4 3 2" xfId="440"/>
    <cellStyle name="Normal 4 3 2 2" xfId="650"/>
    <cellStyle name="Normal 4 3 2 2 2" xfId="11702"/>
    <cellStyle name="Normal 4 3 2 3" xfId="526"/>
    <cellStyle name="Normal 4 3 2 3 2" xfId="11600"/>
    <cellStyle name="Normal 4 3 2 4" xfId="11560"/>
    <cellStyle name="Normal 4 3 2 5" xfId="41454"/>
    <cellStyle name="Normal 4 3 3" xfId="628"/>
    <cellStyle name="Normal 4 3 3 2" xfId="11683"/>
    <cellStyle name="Normal 4 3 4" xfId="507"/>
    <cellStyle name="Normal 4 3 4 2" xfId="11585"/>
    <cellStyle name="Normal 4 3 5" xfId="11499"/>
    <cellStyle name="Normal 4 3 6" xfId="41455"/>
    <cellStyle name="Normal 4 4" xfId="340"/>
    <cellStyle name="Normal 4 4 2" xfId="442"/>
    <cellStyle name="Normal 4 4 2 2" xfId="652"/>
    <cellStyle name="Normal 4 4 2 2 2" xfId="11704"/>
    <cellStyle name="Normal 4 4 2 2 3" xfId="42611"/>
    <cellStyle name="Normal 4 4 2 3" xfId="528"/>
    <cellStyle name="Normal 4 4 2 3 2" xfId="11602"/>
    <cellStyle name="Normal 4 4 2 4" xfId="11562"/>
    <cellStyle name="Normal 4 4 2 5" xfId="41456"/>
    <cellStyle name="Normal 4 4 3" xfId="630"/>
    <cellStyle name="Normal 4 4 3 2" xfId="11685"/>
    <cellStyle name="Normal 4 4 3 2 2" xfId="42364"/>
    <cellStyle name="Normal 4 4 3 2 3" xfId="42612"/>
    <cellStyle name="Normal 4 4 3 3" xfId="41457"/>
    <cellStyle name="Normal 4 4 3 3 2" xfId="42365"/>
    <cellStyle name="Normal 4 4 3 4" xfId="42366"/>
    <cellStyle name="Normal 4 4 4" xfId="509"/>
    <cellStyle name="Normal 4 4 4 2" xfId="11587"/>
    <cellStyle name="Normal 4 4 4 3" xfId="42613"/>
    <cellStyle name="Normal 4 4 5" xfId="11501"/>
    <cellStyle name="Normal 4 4 5 2" xfId="42367"/>
    <cellStyle name="Normal 4 4 6" xfId="41458"/>
    <cellStyle name="Normal 4 4 7" xfId="42614"/>
    <cellStyle name="Normal 4 5" xfId="41459"/>
    <cellStyle name="Normal 4 5 2" xfId="41640"/>
    <cellStyle name="Normal 4 5 2 2" xfId="42368"/>
    <cellStyle name="Normal 4 5 3" xfId="42369"/>
    <cellStyle name="Normal 4 5 3 2" xfId="42370"/>
    <cellStyle name="Normal 4 5 4" xfId="42371"/>
    <cellStyle name="Normal 4 6" xfId="41460"/>
    <cellStyle name="Normal 4 6 2" xfId="41641"/>
    <cellStyle name="Normal 4 6 2 2" xfId="42372"/>
    <cellStyle name="Normal 4 6 3" xfId="42373"/>
    <cellStyle name="Normal 4 6 3 2" xfId="42374"/>
    <cellStyle name="Normal 4 6 4" xfId="42375"/>
    <cellStyle name="Normal 4 7" xfId="41461"/>
    <cellStyle name="Normal 4 7 2" xfId="42376"/>
    <cellStyle name="Normal 4 8" xfId="42377"/>
    <cellStyle name="Normal 4 8 2" xfId="42378"/>
    <cellStyle name="Normal 4 9" xfId="42379"/>
    <cellStyle name="Normal 4 9 2" xfId="42380"/>
    <cellStyle name="Normal 40" xfId="42615"/>
    <cellStyle name="Normal 5" xfId="122"/>
    <cellStyle name="Normal 5 2" xfId="334"/>
    <cellStyle name="Normal 5 2 2" xfId="439"/>
    <cellStyle name="Normal 5 2 2 2" xfId="649"/>
    <cellStyle name="Normal 5 2 2 2 2" xfId="11701"/>
    <cellStyle name="Normal 5 2 2 2 3" xfId="42616"/>
    <cellStyle name="Normal 5 2 2 3" xfId="525"/>
    <cellStyle name="Normal 5 2 2 3 2" xfId="11599"/>
    <cellStyle name="Normal 5 2 2 4" xfId="11559"/>
    <cellStyle name="Normal 5 2 2 5" xfId="41462"/>
    <cellStyle name="Normal 5 2 3" xfId="627"/>
    <cellStyle name="Normal 5 2 3 2" xfId="11682"/>
    <cellStyle name="Normal 5 2 3 2 2" xfId="42381"/>
    <cellStyle name="Normal 5 2 3 2 3" xfId="42617"/>
    <cellStyle name="Normal 5 2 3 3" xfId="41463"/>
    <cellStyle name="Normal 5 2 3 3 2" xfId="42382"/>
    <cellStyle name="Normal 5 2 3 4" xfId="42383"/>
    <cellStyle name="Normal 5 2 4" xfId="506"/>
    <cellStyle name="Normal 5 2 4 2" xfId="11584"/>
    <cellStyle name="Normal 5 2 4 3" xfId="42618"/>
    <cellStyle name="Normal 5 2 5" xfId="11498"/>
    <cellStyle name="Normal 5 2 5 2" xfId="42384"/>
    <cellStyle name="Normal 5 2 6" xfId="41464"/>
    <cellStyle name="Normal 5 3" xfId="341"/>
    <cellStyle name="Normal 5 3 2" xfId="443"/>
    <cellStyle name="Normal 5 3 2 2" xfId="653"/>
    <cellStyle name="Normal 5 3 2 2 2" xfId="11705"/>
    <cellStyle name="Normal 5 3 2 3" xfId="529"/>
    <cellStyle name="Normal 5 3 2 3 2" xfId="11603"/>
    <cellStyle name="Normal 5 3 2 4" xfId="11563"/>
    <cellStyle name="Normal 5 3 3" xfId="631"/>
    <cellStyle name="Normal 5 3 3 2" xfId="11686"/>
    <cellStyle name="Normal 5 3 4" xfId="510"/>
    <cellStyle name="Normal 5 3 4 2" xfId="11588"/>
    <cellStyle name="Normal 5 3 5" xfId="11502"/>
    <cellStyle name="Normal 5 3 6" xfId="41465"/>
    <cellStyle name="Normal 5 4" xfId="41466"/>
    <cellStyle name="Normal 6" xfId="123"/>
    <cellStyle name="Normal 6 2" xfId="41467"/>
    <cellStyle name="Normal 6 2 2" xfId="41642"/>
    <cellStyle name="Normal 6 2 2 2" xfId="42385"/>
    <cellStyle name="Normal 6 2 3" xfId="42386"/>
    <cellStyle name="Normal 6 2 3 2" xfId="42387"/>
    <cellStyle name="Normal 6 2 4" xfId="42388"/>
    <cellStyle name="Normal 6 3" xfId="41468"/>
    <cellStyle name="Normal 6 3 2" xfId="41643"/>
    <cellStyle name="Normal 6 3 2 2" xfId="42389"/>
    <cellStyle name="Normal 6 3 3" xfId="42390"/>
    <cellStyle name="Normal 6 3 3 2" xfId="42391"/>
    <cellStyle name="Normal 6 3 4" xfId="42392"/>
    <cellStyle name="Normal 6 4" xfId="41469"/>
    <cellStyle name="Normal 6 4 2" xfId="42393"/>
    <cellStyle name="Normal 6 5" xfId="42394"/>
    <cellStyle name="Normal 6 5 2" xfId="42395"/>
    <cellStyle name="Normal 6 6" xfId="42396"/>
    <cellStyle name="Normal 6 6 2" xfId="42397"/>
    <cellStyle name="Normal 6 7" xfId="42398"/>
    <cellStyle name="Normal 7" xfId="201"/>
    <cellStyle name="Normal 7 2" xfId="339"/>
    <cellStyle name="Normal 7 2 2" xfId="441"/>
    <cellStyle name="Normal 7 2 2 2" xfId="651"/>
    <cellStyle name="Normal 7 2 2 2 2" xfId="11703"/>
    <cellStyle name="Normal 7 2 2 3" xfId="527"/>
    <cellStyle name="Normal 7 2 2 3 2" xfId="11601"/>
    <cellStyle name="Normal 7 2 2 4" xfId="11561"/>
    <cellStyle name="Normal 7 2 3" xfId="629"/>
    <cellStyle name="Normal 7 2 3 2" xfId="11684"/>
    <cellStyle name="Normal 7 2 4" xfId="508"/>
    <cellStyle name="Normal 7 2 4 2" xfId="11586"/>
    <cellStyle name="Normal 7 2 5" xfId="11500"/>
    <cellStyle name="Normal 7 2 6" xfId="41238"/>
    <cellStyle name="Normal 7 3" xfId="418"/>
    <cellStyle name="Normal 7 3 2" xfId="641"/>
    <cellStyle name="Normal 7 3 2 2" xfId="11693"/>
    <cellStyle name="Normal 7 3 3" xfId="519"/>
    <cellStyle name="Normal 7 3 3 2" xfId="11593"/>
    <cellStyle name="Normal 7 3 4" xfId="11545"/>
    <cellStyle name="Normal 7 3 5" xfId="41470"/>
    <cellStyle name="Normal 7 4" xfId="596"/>
    <cellStyle name="Normal 7 4 2" xfId="11658"/>
    <cellStyle name="Normal 7 5" xfId="494"/>
    <cellStyle name="Normal 7 5 2" xfId="11573"/>
    <cellStyle name="Normal 7 6" xfId="11484"/>
    <cellStyle name="Normal 7 7" xfId="41471"/>
    <cellStyle name="Normal 7 8" xfId="42480"/>
    <cellStyle name="Normal 8" xfId="309"/>
    <cellStyle name="Normal 8 2" xfId="41223"/>
    <cellStyle name="Normal 9" xfId="310"/>
    <cellStyle name="Normal 9 2" xfId="41472"/>
    <cellStyle name="Normal_Appendix BC" xfId="41216"/>
    <cellStyle name="Normal_Demand Model Lookups" xfId="124"/>
    <cellStyle name="Note" xfId="125" builtinId="10" customBuiltin="1"/>
    <cellStyle name="Note 10" xfId="311"/>
    <cellStyle name="Note 10 2" xfId="424"/>
    <cellStyle name="Note 10 2 10" xfId="2706"/>
    <cellStyle name="Note 10 2 10 2" xfId="5558"/>
    <cellStyle name="Note 10 2 10 2 2" xfId="24530"/>
    <cellStyle name="Note 10 2 10 2 3" xfId="35375"/>
    <cellStyle name="Note 10 2 10 3" xfId="8229"/>
    <cellStyle name="Note 10 2 10 3 2" xfId="27201"/>
    <cellStyle name="Note 10 2 10 3 3" xfId="38046"/>
    <cellStyle name="Note 10 2 10 4" xfId="10888"/>
    <cellStyle name="Note 10 2 10 4 2" xfId="29860"/>
    <cellStyle name="Note 10 2 10 4 3" xfId="40705"/>
    <cellStyle name="Note 10 2 10 5" xfId="21684"/>
    <cellStyle name="Note 10 2 10 6" xfId="32529"/>
    <cellStyle name="Note 10 2 11" xfId="3091"/>
    <cellStyle name="Note 10 2 11 2" xfId="5942"/>
    <cellStyle name="Note 10 2 11 2 2" xfId="24914"/>
    <cellStyle name="Note 10 2 11 2 3" xfId="35759"/>
    <cellStyle name="Note 10 2 11 3" xfId="8613"/>
    <cellStyle name="Note 10 2 11 3 2" xfId="27585"/>
    <cellStyle name="Note 10 2 11 3 3" xfId="38430"/>
    <cellStyle name="Note 10 2 11 4" xfId="11272"/>
    <cellStyle name="Note 10 2 11 4 2" xfId="30244"/>
    <cellStyle name="Note 10 2 11 4 3" xfId="41089"/>
    <cellStyle name="Note 10 2 11 5" xfId="22068"/>
    <cellStyle name="Note 10 2 11 6" xfId="32913"/>
    <cellStyle name="Note 10 2 12" xfId="3148"/>
    <cellStyle name="Note 10 2 12 2" xfId="5999"/>
    <cellStyle name="Note 10 2 12 2 2" xfId="24971"/>
    <cellStyle name="Note 10 2 12 2 3" xfId="35816"/>
    <cellStyle name="Note 10 2 12 3" xfId="8670"/>
    <cellStyle name="Note 10 2 12 3 2" xfId="27642"/>
    <cellStyle name="Note 10 2 12 3 3" xfId="38487"/>
    <cellStyle name="Note 10 2 12 4" xfId="11329"/>
    <cellStyle name="Note 10 2 12 4 2" xfId="30301"/>
    <cellStyle name="Note 10 2 12 4 3" xfId="41146"/>
    <cellStyle name="Note 10 2 12 5" xfId="22125"/>
    <cellStyle name="Note 10 2 12 6" xfId="32970"/>
    <cellStyle name="Note 10 2 13" xfId="3205"/>
    <cellStyle name="Note 10 2 13 2" xfId="6056"/>
    <cellStyle name="Note 10 2 13 2 2" xfId="25028"/>
    <cellStyle name="Note 10 2 13 2 3" xfId="35873"/>
    <cellStyle name="Note 10 2 13 3" xfId="8727"/>
    <cellStyle name="Note 10 2 13 3 2" xfId="27699"/>
    <cellStyle name="Note 10 2 13 3 3" xfId="38544"/>
    <cellStyle name="Note 10 2 13 4" xfId="11386"/>
    <cellStyle name="Note 10 2 13 4 2" xfId="30358"/>
    <cellStyle name="Note 10 2 13 4 3" xfId="41203"/>
    <cellStyle name="Note 10 2 13 5" xfId="22182"/>
    <cellStyle name="Note 10 2 13 6" xfId="33027"/>
    <cellStyle name="Note 10 2 14" xfId="3374"/>
    <cellStyle name="Note 10 2 14 2" xfId="22348"/>
    <cellStyle name="Note 10 2 14 3" xfId="33193"/>
    <cellStyle name="Note 10 2 15" xfId="3286"/>
    <cellStyle name="Note 10 2 15 2" xfId="22260"/>
    <cellStyle name="Note 10 2 15 3" xfId="33105"/>
    <cellStyle name="Note 10 2 16" xfId="3280"/>
    <cellStyle name="Note 10 2 16 2" xfId="22254"/>
    <cellStyle name="Note 10 2 16 3" xfId="33099"/>
    <cellStyle name="Note 10 2 17" xfId="19502"/>
    <cellStyle name="Note 10 2 18" xfId="19516"/>
    <cellStyle name="Note 10 2 2" xfId="715"/>
    <cellStyle name="Note 10 2 2 10" xfId="19700"/>
    <cellStyle name="Note 10 2 2 11" xfId="30545"/>
    <cellStyle name="Note 10 2 2 2" xfId="1302"/>
    <cellStyle name="Note 10 2 2 2 2" xfId="4155"/>
    <cellStyle name="Note 10 2 2 2 2 2" xfId="23127"/>
    <cellStyle name="Note 10 2 2 2 2 3" xfId="33972"/>
    <cellStyle name="Note 10 2 2 2 3" xfId="6828"/>
    <cellStyle name="Note 10 2 2 2 3 2" xfId="25800"/>
    <cellStyle name="Note 10 2 2 2 3 3" xfId="36645"/>
    <cellStyle name="Note 10 2 2 2 4" xfId="9487"/>
    <cellStyle name="Note 10 2 2 2 4 2" xfId="28459"/>
    <cellStyle name="Note 10 2 2 2 4 3" xfId="39304"/>
    <cellStyle name="Note 10 2 2 2 5" xfId="20283"/>
    <cellStyle name="Note 10 2 2 2 6" xfId="31128"/>
    <cellStyle name="Note 10 2 2 3" xfId="1701"/>
    <cellStyle name="Note 10 2 2 3 2" xfId="4554"/>
    <cellStyle name="Note 10 2 2 3 2 2" xfId="23526"/>
    <cellStyle name="Note 10 2 2 3 2 3" xfId="34371"/>
    <cellStyle name="Note 10 2 2 3 3" xfId="7226"/>
    <cellStyle name="Note 10 2 2 3 3 2" xfId="26198"/>
    <cellStyle name="Note 10 2 2 3 3 3" xfId="37043"/>
    <cellStyle name="Note 10 2 2 3 4" xfId="9885"/>
    <cellStyle name="Note 10 2 2 3 4 2" xfId="28857"/>
    <cellStyle name="Note 10 2 2 3 4 3" xfId="39702"/>
    <cellStyle name="Note 10 2 2 3 5" xfId="20681"/>
    <cellStyle name="Note 10 2 2 3 6" xfId="31526"/>
    <cellStyle name="Note 10 2 2 4" xfId="2105"/>
    <cellStyle name="Note 10 2 2 4 2" xfId="4958"/>
    <cellStyle name="Note 10 2 2 4 2 2" xfId="23930"/>
    <cellStyle name="Note 10 2 2 4 2 3" xfId="34775"/>
    <cellStyle name="Note 10 2 2 4 3" xfId="7629"/>
    <cellStyle name="Note 10 2 2 4 3 2" xfId="26601"/>
    <cellStyle name="Note 10 2 2 4 3 3" xfId="37446"/>
    <cellStyle name="Note 10 2 2 4 4" xfId="10288"/>
    <cellStyle name="Note 10 2 2 4 4 2" xfId="29260"/>
    <cellStyle name="Note 10 2 2 4 4 3" xfId="40105"/>
    <cellStyle name="Note 10 2 2 4 5" xfId="21084"/>
    <cellStyle name="Note 10 2 2 4 6" xfId="31929"/>
    <cellStyle name="Note 10 2 2 5" xfId="2495"/>
    <cellStyle name="Note 10 2 2 5 2" xfId="5347"/>
    <cellStyle name="Note 10 2 2 5 2 2" xfId="24319"/>
    <cellStyle name="Note 10 2 2 5 2 3" xfId="35164"/>
    <cellStyle name="Note 10 2 2 5 3" xfId="8018"/>
    <cellStyle name="Note 10 2 2 5 3 2" xfId="26990"/>
    <cellStyle name="Note 10 2 2 5 3 3" xfId="37835"/>
    <cellStyle name="Note 10 2 2 5 4" xfId="10677"/>
    <cellStyle name="Note 10 2 2 5 4 2" xfId="29649"/>
    <cellStyle name="Note 10 2 2 5 4 3" xfId="40494"/>
    <cellStyle name="Note 10 2 2 5 5" xfId="21473"/>
    <cellStyle name="Note 10 2 2 5 6" xfId="32318"/>
    <cellStyle name="Note 10 2 2 6" xfId="2881"/>
    <cellStyle name="Note 10 2 2 6 2" xfId="5732"/>
    <cellStyle name="Note 10 2 2 6 2 2" xfId="24704"/>
    <cellStyle name="Note 10 2 2 6 2 3" xfId="35549"/>
    <cellStyle name="Note 10 2 2 6 3" xfId="8403"/>
    <cellStyle name="Note 10 2 2 6 3 2" xfId="27375"/>
    <cellStyle name="Note 10 2 2 6 3 3" xfId="38220"/>
    <cellStyle name="Note 10 2 2 6 4" xfId="11062"/>
    <cellStyle name="Note 10 2 2 6 4 2" xfId="30034"/>
    <cellStyle name="Note 10 2 2 6 4 3" xfId="40879"/>
    <cellStyle name="Note 10 2 2 6 5" xfId="21858"/>
    <cellStyle name="Note 10 2 2 6 6" xfId="32703"/>
    <cellStyle name="Note 10 2 2 7" xfId="3570"/>
    <cellStyle name="Note 10 2 2 7 2" xfId="22542"/>
    <cellStyle name="Note 10 2 2 7 3" xfId="33387"/>
    <cellStyle name="Note 10 2 2 8" xfId="6245"/>
    <cellStyle name="Note 10 2 2 8 2" xfId="25217"/>
    <cellStyle name="Note 10 2 2 8 3" xfId="36062"/>
    <cellStyle name="Note 10 2 2 9" xfId="8904"/>
    <cellStyle name="Note 10 2 2 9 2" xfId="27876"/>
    <cellStyle name="Note 10 2 2 9 3" xfId="38721"/>
    <cellStyle name="Note 10 2 3" xfId="774"/>
    <cellStyle name="Note 10 2 3 10" xfId="19759"/>
    <cellStyle name="Note 10 2 3 11" xfId="30604"/>
    <cellStyle name="Note 10 2 3 2" xfId="1361"/>
    <cellStyle name="Note 10 2 3 2 2" xfId="4214"/>
    <cellStyle name="Note 10 2 3 2 2 2" xfId="23186"/>
    <cellStyle name="Note 10 2 3 2 2 3" xfId="34031"/>
    <cellStyle name="Note 10 2 3 2 3" xfId="6887"/>
    <cellStyle name="Note 10 2 3 2 3 2" xfId="25859"/>
    <cellStyle name="Note 10 2 3 2 3 3" xfId="36704"/>
    <cellStyle name="Note 10 2 3 2 4" xfId="9546"/>
    <cellStyle name="Note 10 2 3 2 4 2" xfId="28518"/>
    <cellStyle name="Note 10 2 3 2 4 3" xfId="39363"/>
    <cellStyle name="Note 10 2 3 2 5" xfId="20342"/>
    <cellStyle name="Note 10 2 3 2 6" xfId="31187"/>
    <cellStyle name="Note 10 2 3 3" xfId="1760"/>
    <cellStyle name="Note 10 2 3 3 2" xfId="4613"/>
    <cellStyle name="Note 10 2 3 3 2 2" xfId="23585"/>
    <cellStyle name="Note 10 2 3 3 2 3" xfId="34430"/>
    <cellStyle name="Note 10 2 3 3 3" xfId="7285"/>
    <cellStyle name="Note 10 2 3 3 3 2" xfId="26257"/>
    <cellStyle name="Note 10 2 3 3 3 3" xfId="37102"/>
    <cellStyle name="Note 10 2 3 3 4" xfId="9944"/>
    <cellStyle name="Note 10 2 3 3 4 2" xfId="28916"/>
    <cellStyle name="Note 10 2 3 3 4 3" xfId="39761"/>
    <cellStyle name="Note 10 2 3 3 5" xfId="20740"/>
    <cellStyle name="Note 10 2 3 3 6" xfId="31585"/>
    <cellStyle name="Note 10 2 3 4" xfId="2164"/>
    <cellStyle name="Note 10 2 3 4 2" xfId="5017"/>
    <cellStyle name="Note 10 2 3 4 2 2" xfId="23989"/>
    <cellStyle name="Note 10 2 3 4 2 3" xfId="34834"/>
    <cellStyle name="Note 10 2 3 4 3" xfId="7688"/>
    <cellStyle name="Note 10 2 3 4 3 2" xfId="26660"/>
    <cellStyle name="Note 10 2 3 4 3 3" xfId="37505"/>
    <cellStyle name="Note 10 2 3 4 4" xfId="10347"/>
    <cellStyle name="Note 10 2 3 4 4 2" xfId="29319"/>
    <cellStyle name="Note 10 2 3 4 4 3" xfId="40164"/>
    <cellStyle name="Note 10 2 3 4 5" xfId="21143"/>
    <cellStyle name="Note 10 2 3 4 6" xfId="31988"/>
    <cellStyle name="Note 10 2 3 5" xfId="2554"/>
    <cellStyle name="Note 10 2 3 5 2" xfId="5406"/>
    <cellStyle name="Note 10 2 3 5 2 2" xfId="24378"/>
    <cellStyle name="Note 10 2 3 5 2 3" xfId="35223"/>
    <cellStyle name="Note 10 2 3 5 3" xfId="8077"/>
    <cellStyle name="Note 10 2 3 5 3 2" xfId="27049"/>
    <cellStyle name="Note 10 2 3 5 3 3" xfId="37894"/>
    <cellStyle name="Note 10 2 3 5 4" xfId="10736"/>
    <cellStyle name="Note 10 2 3 5 4 2" xfId="29708"/>
    <cellStyle name="Note 10 2 3 5 4 3" xfId="40553"/>
    <cellStyle name="Note 10 2 3 5 5" xfId="21532"/>
    <cellStyle name="Note 10 2 3 5 6" xfId="32377"/>
    <cellStyle name="Note 10 2 3 6" xfId="2940"/>
    <cellStyle name="Note 10 2 3 6 2" xfId="5791"/>
    <cellStyle name="Note 10 2 3 6 2 2" xfId="24763"/>
    <cellStyle name="Note 10 2 3 6 2 3" xfId="35608"/>
    <cellStyle name="Note 10 2 3 6 3" xfId="8462"/>
    <cellStyle name="Note 10 2 3 6 3 2" xfId="27434"/>
    <cellStyle name="Note 10 2 3 6 3 3" xfId="38279"/>
    <cellStyle name="Note 10 2 3 6 4" xfId="11121"/>
    <cellStyle name="Note 10 2 3 6 4 2" xfId="30093"/>
    <cellStyle name="Note 10 2 3 6 4 3" xfId="40938"/>
    <cellStyle name="Note 10 2 3 6 5" xfId="21917"/>
    <cellStyle name="Note 10 2 3 6 6" xfId="32762"/>
    <cellStyle name="Note 10 2 3 7" xfId="3629"/>
    <cellStyle name="Note 10 2 3 7 2" xfId="22601"/>
    <cellStyle name="Note 10 2 3 7 3" xfId="33446"/>
    <cellStyle name="Note 10 2 3 8" xfId="6304"/>
    <cellStyle name="Note 10 2 3 8 2" xfId="25276"/>
    <cellStyle name="Note 10 2 3 8 3" xfId="36121"/>
    <cellStyle name="Note 10 2 3 9" xfId="8963"/>
    <cellStyle name="Note 10 2 3 9 2" xfId="27935"/>
    <cellStyle name="Note 10 2 3 9 3" xfId="38780"/>
    <cellStyle name="Note 10 2 4" xfId="833"/>
    <cellStyle name="Note 10 2 4 10" xfId="19818"/>
    <cellStyle name="Note 10 2 4 11" xfId="30663"/>
    <cellStyle name="Note 10 2 4 2" xfId="1420"/>
    <cellStyle name="Note 10 2 4 2 2" xfId="4273"/>
    <cellStyle name="Note 10 2 4 2 2 2" xfId="23245"/>
    <cellStyle name="Note 10 2 4 2 2 3" xfId="34090"/>
    <cellStyle name="Note 10 2 4 2 3" xfId="6946"/>
    <cellStyle name="Note 10 2 4 2 3 2" xfId="25918"/>
    <cellStyle name="Note 10 2 4 2 3 3" xfId="36763"/>
    <cellStyle name="Note 10 2 4 2 4" xfId="9605"/>
    <cellStyle name="Note 10 2 4 2 4 2" xfId="28577"/>
    <cellStyle name="Note 10 2 4 2 4 3" xfId="39422"/>
    <cellStyle name="Note 10 2 4 2 5" xfId="20401"/>
    <cellStyle name="Note 10 2 4 2 6" xfId="31246"/>
    <cellStyle name="Note 10 2 4 3" xfId="1819"/>
    <cellStyle name="Note 10 2 4 3 2" xfId="4672"/>
    <cellStyle name="Note 10 2 4 3 2 2" xfId="23644"/>
    <cellStyle name="Note 10 2 4 3 2 3" xfId="34489"/>
    <cellStyle name="Note 10 2 4 3 3" xfId="7344"/>
    <cellStyle name="Note 10 2 4 3 3 2" xfId="26316"/>
    <cellStyle name="Note 10 2 4 3 3 3" xfId="37161"/>
    <cellStyle name="Note 10 2 4 3 4" xfId="10003"/>
    <cellStyle name="Note 10 2 4 3 4 2" xfId="28975"/>
    <cellStyle name="Note 10 2 4 3 4 3" xfId="39820"/>
    <cellStyle name="Note 10 2 4 3 5" xfId="20799"/>
    <cellStyle name="Note 10 2 4 3 6" xfId="31644"/>
    <cellStyle name="Note 10 2 4 4" xfId="2223"/>
    <cellStyle name="Note 10 2 4 4 2" xfId="5076"/>
    <cellStyle name="Note 10 2 4 4 2 2" xfId="24048"/>
    <cellStyle name="Note 10 2 4 4 2 3" xfId="34893"/>
    <cellStyle name="Note 10 2 4 4 3" xfId="7747"/>
    <cellStyle name="Note 10 2 4 4 3 2" xfId="26719"/>
    <cellStyle name="Note 10 2 4 4 3 3" xfId="37564"/>
    <cellStyle name="Note 10 2 4 4 4" xfId="10406"/>
    <cellStyle name="Note 10 2 4 4 4 2" xfId="29378"/>
    <cellStyle name="Note 10 2 4 4 4 3" xfId="40223"/>
    <cellStyle name="Note 10 2 4 4 5" xfId="21202"/>
    <cellStyle name="Note 10 2 4 4 6" xfId="32047"/>
    <cellStyle name="Note 10 2 4 5" xfId="2613"/>
    <cellStyle name="Note 10 2 4 5 2" xfId="5465"/>
    <cellStyle name="Note 10 2 4 5 2 2" xfId="24437"/>
    <cellStyle name="Note 10 2 4 5 2 3" xfId="35282"/>
    <cellStyle name="Note 10 2 4 5 3" xfId="8136"/>
    <cellStyle name="Note 10 2 4 5 3 2" xfId="27108"/>
    <cellStyle name="Note 10 2 4 5 3 3" xfId="37953"/>
    <cellStyle name="Note 10 2 4 5 4" xfId="10795"/>
    <cellStyle name="Note 10 2 4 5 4 2" xfId="29767"/>
    <cellStyle name="Note 10 2 4 5 4 3" xfId="40612"/>
    <cellStyle name="Note 10 2 4 5 5" xfId="21591"/>
    <cellStyle name="Note 10 2 4 5 6" xfId="32436"/>
    <cellStyle name="Note 10 2 4 6" xfId="2999"/>
    <cellStyle name="Note 10 2 4 6 2" xfId="5850"/>
    <cellStyle name="Note 10 2 4 6 2 2" xfId="24822"/>
    <cellStyle name="Note 10 2 4 6 2 3" xfId="35667"/>
    <cellStyle name="Note 10 2 4 6 3" xfId="8521"/>
    <cellStyle name="Note 10 2 4 6 3 2" xfId="27493"/>
    <cellStyle name="Note 10 2 4 6 3 3" xfId="38338"/>
    <cellStyle name="Note 10 2 4 6 4" xfId="11180"/>
    <cellStyle name="Note 10 2 4 6 4 2" xfId="30152"/>
    <cellStyle name="Note 10 2 4 6 4 3" xfId="40997"/>
    <cellStyle name="Note 10 2 4 6 5" xfId="21976"/>
    <cellStyle name="Note 10 2 4 6 6" xfId="32821"/>
    <cellStyle name="Note 10 2 4 7" xfId="3688"/>
    <cellStyle name="Note 10 2 4 7 2" xfId="22660"/>
    <cellStyle name="Note 10 2 4 7 3" xfId="33505"/>
    <cellStyle name="Note 10 2 4 8" xfId="6363"/>
    <cellStyle name="Note 10 2 4 8 2" xfId="25335"/>
    <cellStyle name="Note 10 2 4 8 3" xfId="36180"/>
    <cellStyle name="Note 10 2 4 9" xfId="9022"/>
    <cellStyle name="Note 10 2 4 9 2" xfId="27994"/>
    <cellStyle name="Note 10 2 4 9 3" xfId="38839"/>
    <cellStyle name="Note 10 2 5" xfId="892"/>
    <cellStyle name="Note 10 2 5 10" xfId="19877"/>
    <cellStyle name="Note 10 2 5 11" xfId="30722"/>
    <cellStyle name="Note 10 2 5 2" xfId="1479"/>
    <cellStyle name="Note 10 2 5 2 2" xfId="4332"/>
    <cellStyle name="Note 10 2 5 2 2 2" xfId="23304"/>
    <cellStyle name="Note 10 2 5 2 2 3" xfId="34149"/>
    <cellStyle name="Note 10 2 5 2 3" xfId="7005"/>
    <cellStyle name="Note 10 2 5 2 3 2" xfId="25977"/>
    <cellStyle name="Note 10 2 5 2 3 3" xfId="36822"/>
    <cellStyle name="Note 10 2 5 2 4" xfId="9664"/>
    <cellStyle name="Note 10 2 5 2 4 2" xfId="28636"/>
    <cellStyle name="Note 10 2 5 2 4 3" xfId="39481"/>
    <cellStyle name="Note 10 2 5 2 5" xfId="20460"/>
    <cellStyle name="Note 10 2 5 2 6" xfId="31305"/>
    <cellStyle name="Note 10 2 5 3" xfId="1878"/>
    <cellStyle name="Note 10 2 5 3 2" xfId="4731"/>
    <cellStyle name="Note 10 2 5 3 2 2" xfId="23703"/>
    <cellStyle name="Note 10 2 5 3 2 3" xfId="34548"/>
    <cellStyle name="Note 10 2 5 3 3" xfId="7403"/>
    <cellStyle name="Note 10 2 5 3 3 2" xfId="26375"/>
    <cellStyle name="Note 10 2 5 3 3 3" xfId="37220"/>
    <cellStyle name="Note 10 2 5 3 4" xfId="10062"/>
    <cellStyle name="Note 10 2 5 3 4 2" xfId="29034"/>
    <cellStyle name="Note 10 2 5 3 4 3" xfId="39879"/>
    <cellStyle name="Note 10 2 5 3 5" xfId="20858"/>
    <cellStyle name="Note 10 2 5 3 6" xfId="31703"/>
    <cellStyle name="Note 10 2 5 4" xfId="2282"/>
    <cellStyle name="Note 10 2 5 4 2" xfId="5135"/>
    <cellStyle name="Note 10 2 5 4 2 2" xfId="24107"/>
    <cellStyle name="Note 10 2 5 4 2 3" xfId="34952"/>
    <cellStyle name="Note 10 2 5 4 3" xfId="7806"/>
    <cellStyle name="Note 10 2 5 4 3 2" xfId="26778"/>
    <cellStyle name="Note 10 2 5 4 3 3" xfId="37623"/>
    <cellStyle name="Note 10 2 5 4 4" xfId="10465"/>
    <cellStyle name="Note 10 2 5 4 4 2" xfId="29437"/>
    <cellStyle name="Note 10 2 5 4 4 3" xfId="40282"/>
    <cellStyle name="Note 10 2 5 4 5" xfId="21261"/>
    <cellStyle name="Note 10 2 5 4 6" xfId="32106"/>
    <cellStyle name="Note 10 2 5 5" xfId="2672"/>
    <cellStyle name="Note 10 2 5 5 2" xfId="5524"/>
    <cellStyle name="Note 10 2 5 5 2 2" xfId="24496"/>
    <cellStyle name="Note 10 2 5 5 2 3" xfId="35341"/>
    <cellStyle name="Note 10 2 5 5 3" xfId="8195"/>
    <cellStyle name="Note 10 2 5 5 3 2" xfId="27167"/>
    <cellStyle name="Note 10 2 5 5 3 3" xfId="38012"/>
    <cellStyle name="Note 10 2 5 5 4" xfId="10854"/>
    <cellStyle name="Note 10 2 5 5 4 2" xfId="29826"/>
    <cellStyle name="Note 10 2 5 5 4 3" xfId="40671"/>
    <cellStyle name="Note 10 2 5 5 5" xfId="21650"/>
    <cellStyle name="Note 10 2 5 5 6" xfId="32495"/>
    <cellStyle name="Note 10 2 5 6" xfId="3058"/>
    <cellStyle name="Note 10 2 5 6 2" xfId="5909"/>
    <cellStyle name="Note 10 2 5 6 2 2" xfId="24881"/>
    <cellStyle name="Note 10 2 5 6 2 3" xfId="35726"/>
    <cellStyle name="Note 10 2 5 6 3" xfId="8580"/>
    <cellStyle name="Note 10 2 5 6 3 2" xfId="27552"/>
    <cellStyle name="Note 10 2 5 6 3 3" xfId="38397"/>
    <cellStyle name="Note 10 2 5 6 4" xfId="11239"/>
    <cellStyle name="Note 10 2 5 6 4 2" xfId="30211"/>
    <cellStyle name="Note 10 2 5 6 4 3" xfId="41056"/>
    <cellStyle name="Note 10 2 5 6 5" xfId="22035"/>
    <cellStyle name="Note 10 2 5 6 6" xfId="32880"/>
    <cellStyle name="Note 10 2 5 7" xfId="3747"/>
    <cellStyle name="Note 10 2 5 7 2" xfId="22719"/>
    <cellStyle name="Note 10 2 5 7 3" xfId="33564"/>
    <cellStyle name="Note 10 2 5 8" xfId="6422"/>
    <cellStyle name="Note 10 2 5 8 2" xfId="25394"/>
    <cellStyle name="Note 10 2 5 8 3" xfId="36239"/>
    <cellStyle name="Note 10 2 5 9" xfId="9081"/>
    <cellStyle name="Note 10 2 5 9 2" xfId="28053"/>
    <cellStyle name="Note 10 2 5 9 3" xfId="38898"/>
    <cellStyle name="Note 10 2 6" xfId="1122"/>
    <cellStyle name="Note 10 2 6 2" xfId="3975"/>
    <cellStyle name="Note 10 2 6 2 2" xfId="22947"/>
    <cellStyle name="Note 10 2 6 2 3" xfId="33792"/>
    <cellStyle name="Note 10 2 6 3" xfId="6648"/>
    <cellStyle name="Note 10 2 6 3 2" xfId="25620"/>
    <cellStyle name="Note 10 2 6 3 3" xfId="36465"/>
    <cellStyle name="Note 10 2 6 4" xfId="9307"/>
    <cellStyle name="Note 10 2 6 4 2" xfId="28279"/>
    <cellStyle name="Note 10 2 6 4 3" xfId="39124"/>
    <cellStyle name="Note 10 2 6 5" xfId="20103"/>
    <cellStyle name="Note 10 2 6 6" xfId="30948"/>
    <cellStyle name="Note 10 2 7" xfId="1518"/>
    <cellStyle name="Note 10 2 7 2" xfId="4371"/>
    <cellStyle name="Note 10 2 7 2 2" xfId="23343"/>
    <cellStyle name="Note 10 2 7 2 3" xfId="34188"/>
    <cellStyle name="Note 10 2 7 3" xfId="7044"/>
    <cellStyle name="Note 10 2 7 3 2" xfId="26016"/>
    <cellStyle name="Note 10 2 7 3 3" xfId="36861"/>
    <cellStyle name="Note 10 2 7 4" xfId="9703"/>
    <cellStyle name="Note 10 2 7 4 2" xfId="28675"/>
    <cellStyle name="Note 10 2 7 4 3" xfId="39520"/>
    <cellStyle name="Note 10 2 7 5" xfId="20499"/>
    <cellStyle name="Note 10 2 7 6" xfId="31344"/>
    <cellStyle name="Note 10 2 8" xfId="1924"/>
    <cellStyle name="Note 10 2 8 2" xfId="4777"/>
    <cellStyle name="Note 10 2 8 2 2" xfId="23749"/>
    <cellStyle name="Note 10 2 8 2 3" xfId="34594"/>
    <cellStyle name="Note 10 2 8 3" xfId="7449"/>
    <cellStyle name="Note 10 2 8 3 2" xfId="26421"/>
    <cellStyle name="Note 10 2 8 3 3" xfId="37266"/>
    <cellStyle name="Note 10 2 8 4" xfId="10108"/>
    <cellStyle name="Note 10 2 8 4 2" xfId="29080"/>
    <cellStyle name="Note 10 2 8 4 3" xfId="39925"/>
    <cellStyle name="Note 10 2 8 5" xfId="20904"/>
    <cellStyle name="Note 10 2 8 6" xfId="31749"/>
    <cellStyle name="Note 10 2 9" xfId="2317"/>
    <cellStyle name="Note 10 2 9 2" xfId="5170"/>
    <cellStyle name="Note 10 2 9 2 2" xfId="24142"/>
    <cellStyle name="Note 10 2 9 2 3" xfId="34987"/>
    <cellStyle name="Note 10 2 9 3" xfId="7841"/>
    <cellStyle name="Note 10 2 9 3 2" xfId="26813"/>
    <cellStyle name="Note 10 2 9 3 3" xfId="37658"/>
    <cellStyle name="Note 10 2 9 4" xfId="10500"/>
    <cellStyle name="Note 10 2 9 4 2" xfId="29472"/>
    <cellStyle name="Note 10 2 9 4 3" xfId="40317"/>
    <cellStyle name="Note 10 2 9 5" xfId="21296"/>
    <cellStyle name="Note 10 2 9 6" xfId="32141"/>
    <cellStyle name="Note 10 3" xfId="612"/>
    <cellStyle name="Note 10 3 10" xfId="19619"/>
    <cellStyle name="Note 10 3 11" xfId="30464"/>
    <cellStyle name="Note 10 3 2" xfId="1216"/>
    <cellStyle name="Note 10 3 2 2" xfId="4069"/>
    <cellStyle name="Note 10 3 2 2 2" xfId="23041"/>
    <cellStyle name="Note 10 3 2 2 3" xfId="33886"/>
    <cellStyle name="Note 10 3 2 3" xfId="6742"/>
    <cellStyle name="Note 10 3 2 3 2" xfId="25714"/>
    <cellStyle name="Note 10 3 2 3 3" xfId="36559"/>
    <cellStyle name="Note 10 3 2 4" xfId="9401"/>
    <cellStyle name="Note 10 3 2 4 2" xfId="28373"/>
    <cellStyle name="Note 10 3 2 4 3" xfId="39218"/>
    <cellStyle name="Note 10 3 2 5" xfId="20197"/>
    <cellStyle name="Note 10 3 2 6" xfId="31042"/>
    <cellStyle name="Note 10 3 3" xfId="1614"/>
    <cellStyle name="Note 10 3 3 2" xfId="4467"/>
    <cellStyle name="Note 10 3 3 2 2" xfId="23439"/>
    <cellStyle name="Note 10 3 3 2 3" xfId="34284"/>
    <cellStyle name="Note 10 3 3 3" xfId="7139"/>
    <cellStyle name="Note 10 3 3 3 2" xfId="26111"/>
    <cellStyle name="Note 10 3 3 3 3" xfId="36956"/>
    <cellStyle name="Note 10 3 3 4" xfId="9798"/>
    <cellStyle name="Note 10 3 3 4 2" xfId="28770"/>
    <cellStyle name="Note 10 3 3 4 3" xfId="39615"/>
    <cellStyle name="Note 10 3 3 5" xfId="20594"/>
    <cellStyle name="Note 10 3 3 6" xfId="31439"/>
    <cellStyle name="Note 10 3 4" xfId="2016"/>
    <cellStyle name="Note 10 3 4 2" xfId="4869"/>
    <cellStyle name="Note 10 3 4 2 2" xfId="23841"/>
    <cellStyle name="Note 10 3 4 2 3" xfId="34686"/>
    <cellStyle name="Note 10 3 4 3" xfId="7541"/>
    <cellStyle name="Note 10 3 4 3 2" xfId="26513"/>
    <cellStyle name="Note 10 3 4 3 3" xfId="37358"/>
    <cellStyle name="Note 10 3 4 4" xfId="10200"/>
    <cellStyle name="Note 10 3 4 4 2" xfId="29172"/>
    <cellStyle name="Note 10 3 4 4 3" xfId="40017"/>
    <cellStyle name="Note 10 3 4 5" xfId="20996"/>
    <cellStyle name="Note 10 3 4 6" xfId="31841"/>
    <cellStyle name="Note 10 3 5" xfId="2408"/>
    <cellStyle name="Note 10 3 5 2" xfId="5261"/>
    <cellStyle name="Note 10 3 5 2 2" xfId="24233"/>
    <cellStyle name="Note 10 3 5 2 3" xfId="35078"/>
    <cellStyle name="Note 10 3 5 3" xfId="7932"/>
    <cellStyle name="Note 10 3 5 3 2" xfId="26904"/>
    <cellStyle name="Note 10 3 5 3 3" xfId="37749"/>
    <cellStyle name="Note 10 3 5 4" xfId="10591"/>
    <cellStyle name="Note 10 3 5 4 2" xfId="29563"/>
    <cellStyle name="Note 10 3 5 4 3" xfId="40408"/>
    <cellStyle name="Note 10 3 5 5" xfId="21387"/>
    <cellStyle name="Note 10 3 5 6" xfId="32232"/>
    <cellStyle name="Note 10 3 6" xfId="2797"/>
    <cellStyle name="Note 10 3 6 2" xfId="5649"/>
    <cellStyle name="Note 10 3 6 2 2" xfId="24621"/>
    <cellStyle name="Note 10 3 6 2 3" xfId="35466"/>
    <cellStyle name="Note 10 3 6 3" xfId="8320"/>
    <cellStyle name="Note 10 3 6 3 2" xfId="27292"/>
    <cellStyle name="Note 10 3 6 3 3" xfId="38137"/>
    <cellStyle name="Note 10 3 6 4" xfId="10979"/>
    <cellStyle name="Note 10 3 6 4 2" xfId="29951"/>
    <cellStyle name="Note 10 3 6 4 3" xfId="40796"/>
    <cellStyle name="Note 10 3 6 5" xfId="21775"/>
    <cellStyle name="Note 10 3 6 6" xfId="32620"/>
    <cellStyle name="Note 10 3 7" xfId="3488"/>
    <cellStyle name="Note 10 3 7 2" xfId="22460"/>
    <cellStyle name="Note 10 3 7 3" xfId="33305"/>
    <cellStyle name="Note 10 3 8" xfId="6164"/>
    <cellStyle name="Note 10 3 8 2" xfId="25136"/>
    <cellStyle name="Note 10 3 8 3" xfId="35981"/>
    <cellStyle name="Note 10 3 9" xfId="8823"/>
    <cellStyle name="Note 10 3 9 2" xfId="27795"/>
    <cellStyle name="Note 10 3 9 3" xfId="38640"/>
    <cellStyle name="Note 11" xfId="411"/>
    <cellStyle name="Note 11 10" xfId="2700"/>
    <cellStyle name="Note 11 10 2" xfId="5552"/>
    <cellStyle name="Note 11 10 2 2" xfId="24524"/>
    <cellStyle name="Note 11 10 2 3" xfId="35369"/>
    <cellStyle name="Note 11 10 3" xfId="8223"/>
    <cellStyle name="Note 11 10 3 2" xfId="27195"/>
    <cellStyle name="Note 11 10 3 3" xfId="38040"/>
    <cellStyle name="Note 11 10 4" xfId="10882"/>
    <cellStyle name="Note 11 10 4 2" xfId="29854"/>
    <cellStyle name="Note 11 10 4 3" xfId="40699"/>
    <cellStyle name="Note 11 10 5" xfId="21678"/>
    <cellStyle name="Note 11 10 6" xfId="32523"/>
    <cellStyle name="Note 11 11" xfId="3085"/>
    <cellStyle name="Note 11 11 2" xfId="5936"/>
    <cellStyle name="Note 11 11 2 2" xfId="24908"/>
    <cellStyle name="Note 11 11 2 3" xfId="35753"/>
    <cellStyle name="Note 11 11 3" xfId="8607"/>
    <cellStyle name="Note 11 11 3 2" xfId="27579"/>
    <cellStyle name="Note 11 11 3 3" xfId="38424"/>
    <cellStyle name="Note 11 11 4" xfId="11266"/>
    <cellStyle name="Note 11 11 4 2" xfId="30238"/>
    <cellStyle name="Note 11 11 4 3" xfId="41083"/>
    <cellStyle name="Note 11 11 5" xfId="22062"/>
    <cellStyle name="Note 11 11 6" xfId="32907"/>
    <cellStyle name="Note 11 12" xfId="3142"/>
    <cellStyle name="Note 11 12 2" xfId="5993"/>
    <cellStyle name="Note 11 12 2 2" xfId="24965"/>
    <cellStyle name="Note 11 12 2 3" xfId="35810"/>
    <cellStyle name="Note 11 12 3" xfId="8664"/>
    <cellStyle name="Note 11 12 3 2" xfId="27636"/>
    <cellStyle name="Note 11 12 3 3" xfId="38481"/>
    <cellStyle name="Note 11 12 4" xfId="11323"/>
    <cellStyle name="Note 11 12 4 2" xfId="30295"/>
    <cellStyle name="Note 11 12 4 3" xfId="41140"/>
    <cellStyle name="Note 11 12 5" xfId="22119"/>
    <cellStyle name="Note 11 12 6" xfId="32964"/>
    <cellStyle name="Note 11 13" xfId="3199"/>
    <cellStyle name="Note 11 13 2" xfId="6050"/>
    <cellStyle name="Note 11 13 2 2" xfId="25022"/>
    <cellStyle name="Note 11 13 2 3" xfId="35867"/>
    <cellStyle name="Note 11 13 3" xfId="8721"/>
    <cellStyle name="Note 11 13 3 2" xfId="27693"/>
    <cellStyle name="Note 11 13 3 3" xfId="38538"/>
    <cellStyle name="Note 11 13 4" xfId="11380"/>
    <cellStyle name="Note 11 13 4 2" xfId="30352"/>
    <cellStyle name="Note 11 13 4 3" xfId="41197"/>
    <cellStyle name="Note 11 13 5" xfId="22176"/>
    <cellStyle name="Note 11 13 6" xfId="33021"/>
    <cellStyle name="Note 11 14" xfId="3367"/>
    <cellStyle name="Note 11 14 2" xfId="22341"/>
    <cellStyle name="Note 11 14 3" xfId="33186"/>
    <cellStyle name="Note 11 15" xfId="3389"/>
    <cellStyle name="Note 11 15 2" xfId="22361"/>
    <cellStyle name="Note 11 15 3" xfId="33206"/>
    <cellStyle name="Note 11 16" xfId="3355"/>
    <cellStyle name="Note 11 16 2" xfId="22329"/>
    <cellStyle name="Note 11 16 3" xfId="33174"/>
    <cellStyle name="Note 11 17" xfId="19496"/>
    <cellStyle name="Note 11 18" xfId="19387"/>
    <cellStyle name="Note 11 2" xfId="708"/>
    <cellStyle name="Note 11 2 10" xfId="19693"/>
    <cellStyle name="Note 11 2 11" xfId="30538"/>
    <cellStyle name="Note 11 2 2" xfId="1295"/>
    <cellStyle name="Note 11 2 2 2" xfId="4148"/>
    <cellStyle name="Note 11 2 2 2 2" xfId="23120"/>
    <cellStyle name="Note 11 2 2 2 3" xfId="33965"/>
    <cellStyle name="Note 11 2 2 3" xfId="6821"/>
    <cellStyle name="Note 11 2 2 3 2" xfId="25793"/>
    <cellStyle name="Note 11 2 2 3 3" xfId="36638"/>
    <cellStyle name="Note 11 2 2 4" xfId="9480"/>
    <cellStyle name="Note 11 2 2 4 2" xfId="28452"/>
    <cellStyle name="Note 11 2 2 4 3" xfId="39297"/>
    <cellStyle name="Note 11 2 2 5" xfId="20276"/>
    <cellStyle name="Note 11 2 2 6" xfId="31121"/>
    <cellStyle name="Note 11 2 3" xfId="1694"/>
    <cellStyle name="Note 11 2 3 2" xfId="4547"/>
    <cellStyle name="Note 11 2 3 2 2" xfId="23519"/>
    <cellStyle name="Note 11 2 3 2 3" xfId="34364"/>
    <cellStyle name="Note 11 2 3 3" xfId="7219"/>
    <cellStyle name="Note 11 2 3 3 2" xfId="26191"/>
    <cellStyle name="Note 11 2 3 3 3" xfId="37036"/>
    <cellStyle name="Note 11 2 3 4" xfId="9878"/>
    <cellStyle name="Note 11 2 3 4 2" xfId="28850"/>
    <cellStyle name="Note 11 2 3 4 3" xfId="39695"/>
    <cellStyle name="Note 11 2 3 5" xfId="20674"/>
    <cellStyle name="Note 11 2 3 6" xfId="31519"/>
    <cellStyle name="Note 11 2 4" xfId="2098"/>
    <cellStyle name="Note 11 2 4 2" xfId="4951"/>
    <cellStyle name="Note 11 2 4 2 2" xfId="23923"/>
    <cellStyle name="Note 11 2 4 2 3" xfId="34768"/>
    <cellStyle name="Note 11 2 4 3" xfId="7622"/>
    <cellStyle name="Note 11 2 4 3 2" xfId="26594"/>
    <cellStyle name="Note 11 2 4 3 3" xfId="37439"/>
    <cellStyle name="Note 11 2 4 4" xfId="10281"/>
    <cellStyle name="Note 11 2 4 4 2" xfId="29253"/>
    <cellStyle name="Note 11 2 4 4 3" xfId="40098"/>
    <cellStyle name="Note 11 2 4 5" xfId="21077"/>
    <cellStyle name="Note 11 2 4 6" xfId="31922"/>
    <cellStyle name="Note 11 2 5" xfId="2488"/>
    <cellStyle name="Note 11 2 5 2" xfId="5340"/>
    <cellStyle name="Note 11 2 5 2 2" xfId="24312"/>
    <cellStyle name="Note 11 2 5 2 3" xfId="35157"/>
    <cellStyle name="Note 11 2 5 3" xfId="8011"/>
    <cellStyle name="Note 11 2 5 3 2" xfId="26983"/>
    <cellStyle name="Note 11 2 5 3 3" xfId="37828"/>
    <cellStyle name="Note 11 2 5 4" xfId="10670"/>
    <cellStyle name="Note 11 2 5 4 2" xfId="29642"/>
    <cellStyle name="Note 11 2 5 4 3" xfId="40487"/>
    <cellStyle name="Note 11 2 5 5" xfId="21466"/>
    <cellStyle name="Note 11 2 5 6" xfId="32311"/>
    <cellStyle name="Note 11 2 6" xfId="2874"/>
    <cellStyle name="Note 11 2 6 2" xfId="5725"/>
    <cellStyle name="Note 11 2 6 2 2" xfId="24697"/>
    <cellStyle name="Note 11 2 6 2 3" xfId="35542"/>
    <cellStyle name="Note 11 2 6 3" xfId="8396"/>
    <cellStyle name="Note 11 2 6 3 2" xfId="27368"/>
    <cellStyle name="Note 11 2 6 3 3" xfId="38213"/>
    <cellStyle name="Note 11 2 6 4" xfId="11055"/>
    <cellStyle name="Note 11 2 6 4 2" xfId="30027"/>
    <cellStyle name="Note 11 2 6 4 3" xfId="40872"/>
    <cellStyle name="Note 11 2 6 5" xfId="21851"/>
    <cellStyle name="Note 11 2 6 6" xfId="32696"/>
    <cellStyle name="Note 11 2 7" xfId="3563"/>
    <cellStyle name="Note 11 2 7 2" xfId="22535"/>
    <cellStyle name="Note 11 2 7 3" xfId="33380"/>
    <cellStyle name="Note 11 2 8" xfId="6238"/>
    <cellStyle name="Note 11 2 8 2" xfId="25210"/>
    <cellStyle name="Note 11 2 8 3" xfId="36055"/>
    <cellStyle name="Note 11 2 9" xfId="8897"/>
    <cellStyle name="Note 11 2 9 2" xfId="27869"/>
    <cellStyle name="Note 11 2 9 3" xfId="38714"/>
    <cellStyle name="Note 11 3" xfId="767"/>
    <cellStyle name="Note 11 3 10" xfId="19752"/>
    <cellStyle name="Note 11 3 11" xfId="30597"/>
    <cellStyle name="Note 11 3 2" xfId="1354"/>
    <cellStyle name="Note 11 3 2 2" xfId="4207"/>
    <cellStyle name="Note 11 3 2 2 2" xfId="23179"/>
    <cellStyle name="Note 11 3 2 2 3" xfId="34024"/>
    <cellStyle name="Note 11 3 2 3" xfId="6880"/>
    <cellStyle name="Note 11 3 2 3 2" xfId="25852"/>
    <cellStyle name="Note 11 3 2 3 3" xfId="36697"/>
    <cellStyle name="Note 11 3 2 4" xfId="9539"/>
    <cellStyle name="Note 11 3 2 4 2" xfId="28511"/>
    <cellStyle name="Note 11 3 2 4 3" xfId="39356"/>
    <cellStyle name="Note 11 3 2 5" xfId="20335"/>
    <cellStyle name="Note 11 3 2 6" xfId="31180"/>
    <cellStyle name="Note 11 3 3" xfId="1753"/>
    <cellStyle name="Note 11 3 3 2" xfId="4606"/>
    <cellStyle name="Note 11 3 3 2 2" xfId="23578"/>
    <cellStyle name="Note 11 3 3 2 3" xfId="34423"/>
    <cellStyle name="Note 11 3 3 3" xfId="7278"/>
    <cellStyle name="Note 11 3 3 3 2" xfId="26250"/>
    <cellStyle name="Note 11 3 3 3 3" xfId="37095"/>
    <cellStyle name="Note 11 3 3 4" xfId="9937"/>
    <cellStyle name="Note 11 3 3 4 2" xfId="28909"/>
    <cellStyle name="Note 11 3 3 4 3" xfId="39754"/>
    <cellStyle name="Note 11 3 3 5" xfId="20733"/>
    <cellStyle name="Note 11 3 3 6" xfId="31578"/>
    <cellStyle name="Note 11 3 4" xfId="2157"/>
    <cellStyle name="Note 11 3 4 2" xfId="5010"/>
    <cellStyle name="Note 11 3 4 2 2" xfId="23982"/>
    <cellStyle name="Note 11 3 4 2 3" xfId="34827"/>
    <cellStyle name="Note 11 3 4 3" xfId="7681"/>
    <cellStyle name="Note 11 3 4 3 2" xfId="26653"/>
    <cellStyle name="Note 11 3 4 3 3" xfId="37498"/>
    <cellStyle name="Note 11 3 4 4" xfId="10340"/>
    <cellStyle name="Note 11 3 4 4 2" xfId="29312"/>
    <cellStyle name="Note 11 3 4 4 3" xfId="40157"/>
    <cellStyle name="Note 11 3 4 5" xfId="21136"/>
    <cellStyle name="Note 11 3 4 6" xfId="31981"/>
    <cellStyle name="Note 11 3 5" xfId="2547"/>
    <cellStyle name="Note 11 3 5 2" xfId="5399"/>
    <cellStyle name="Note 11 3 5 2 2" xfId="24371"/>
    <cellStyle name="Note 11 3 5 2 3" xfId="35216"/>
    <cellStyle name="Note 11 3 5 3" xfId="8070"/>
    <cellStyle name="Note 11 3 5 3 2" xfId="27042"/>
    <cellStyle name="Note 11 3 5 3 3" xfId="37887"/>
    <cellStyle name="Note 11 3 5 4" xfId="10729"/>
    <cellStyle name="Note 11 3 5 4 2" xfId="29701"/>
    <cellStyle name="Note 11 3 5 4 3" xfId="40546"/>
    <cellStyle name="Note 11 3 5 5" xfId="21525"/>
    <cellStyle name="Note 11 3 5 6" xfId="32370"/>
    <cellStyle name="Note 11 3 6" xfId="2933"/>
    <cellStyle name="Note 11 3 6 2" xfId="5784"/>
    <cellStyle name="Note 11 3 6 2 2" xfId="24756"/>
    <cellStyle name="Note 11 3 6 2 3" xfId="35601"/>
    <cellStyle name="Note 11 3 6 3" xfId="8455"/>
    <cellStyle name="Note 11 3 6 3 2" xfId="27427"/>
    <cellStyle name="Note 11 3 6 3 3" xfId="38272"/>
    <cellStyle name="Note 11 3 6 4" xfId="11114"/>
    <cellStyle name="Note 11 3 6 4 2" xfId="30086"/>
    <cellStyle name="Note 11 3 6 4 3" xfId="40931"/>
    <cellStyle name="Note 11 3 6 5" xfId="21910"/>
    <cellStyle name="Note 11 3 6 6" xfId="32755"/>
    <cellStyle name="Note 11 3 7" xfId="3622"/>
    <cellStyle name="Note 11 3 7 2" xfId="22594"/>
    <cellStyle name="Note 11 3 7 3" xfId="33439"/>
    <cellStyle name="Note 11 3 8" xfId="6297"/>
    <cellStyle name="Note 11 3 8 2" xfId="25269"/>
    <cellStyle name="Note 11 3 8 3" xfId="36114"/>
    <cellStyle name="Note 11 3 9" xfId="8956"/>
    <cellStyle name="Note 11 3 9 2" xfId="27928"/>
    <cellStyle name="Note 11 3 9 3" xfId="38773"/>
    <cellStyle name="Note 11 4" xfId="827"/>
    <cellStyle name="Note 11 4 10" xfId="19812"/>
    <cellStyle name="Note 11 4 11" xfId="30657"/>
    <cellStyle name="Note 11 4 2" xfId="1414"/>
    <cellStyle name="Note 11 4 2 2" xfId="4267"/>
    <cellStyle name="Note 11 4 2 2 2" xfId="23239"/>
    <cellStyle name="Note 11 4 2 2 3" xfId="34084"/>
    <cellStyle name="Note 11 4 2 3" xfId="6940"/>
    <cellStyle name="Note 11 4 2 3 2" xfId="25912"/>
    <cellStyle name="Note 11 4 2 3 3" xfId="36757"/>
    <cellStyle name="Note 11 4 2 4" xfId="9599"/>
    <cellStyle name="Note 11 4 2 4 2" xfId="28571"/>
    <cellStyle name="Note 11 4 2 4 3" xfId="39416"/>
    <cellStyle name="Note 11 4 2 5" xfId="20395"/>
    <cellStyle name="Note 11 4 2 6" xfId="31240"/>
    <cellStyle name="Note 11 4 3" xfId="1813"/>
    <cellStyle name="Note 11 4 3 2" xfId="4666"/>
    <cellStyle name="Note 11 4 3 2 2" xfId="23638"/>
    <cellStyle name="Note 11 4 3 2 3" xfId="34483"/>
    <cellStyle name="Note 11 4 3 3" xfId="7338"/>
    <cellStyle name="Note 11 4 3 3 2" xfId="26310"/>
    <cellStyle name="Note 11 4 3 3 3" xfId="37155"/>
    <cellStyle name="Note 11 4 3 4" xfId="9997"/>
    <cellStyle name="Note 11 4 3 4 2" xfId="28969"/>
    <cellStyle name="Note 11 4 3 4 3" xfId="39814"/>
    <cellStyle name="Note 11 4 3 5" xfId="20793"/>
    <cellStyle name="Note 11 4 3 6" xfId="31638"/>
    <cellStyle name="Note 11 4 4" xfId="2217"/>
    <cellStyle name="Note 11 4 4 2" xfId="5070"/>
    <cellStyle name="Note 11 4 4 2 2" xfId="24042"/>
    <cellStyle name="Note 11 4 4 2 3" xfId="34887"/>
    <cellStyle name="Note 11 4 4 3" xfId="7741"/>
    <cellStyle name="Note 11 4 4 3 2" xfId="26713"/>
    <cellStyle name="Note 11 4 4 3 3" xfId="37558"/>
    <cellStyle name="Note 11 4 4 4" xfId="10400"/>
    <cellStyle name="Note 11 4 4 4 2" xfId="29372"/>
    <cellStyle name="Note 11 4 4 4 3" xfId="40217"/>
    <cellStyle name="Note 11 4 4 5" xfId="21196"/>
    <cellStyle name="Note 11 4 4 6" xfId="32041"/>
    <cellStyle name="Note 11 4 5" xfId="2607"/>
    <cellStyle name="Note 11 4 5 2" xfId="5459"/>
    <cellStyle name="Note 11 4 5 2 2" xfId="24431"/>
    <cellStyle name="Note 11 4 5 2 3" xfId="35276"/>
    <cellStyle name="Note 11 4 5 3" xfId="8130"/>
    <cellStyle name="Note 11 4 5 3 2" xfId="27102"/>
    <cellStyle name="Note 11 4 5 3 3" xfId="37947"/>
    <cellStyle name="Note 11 4 5 4" xfId="10789"/>
    <cellStyle name="Note 11 4 5 4 2" xfId="29761"/>
    <cellStyle name="Note 11 4 5 4 3" xfId="40606"/>
    <cellStyle name="Note 11 4 5 5" xfId="21585"/>
    <cellStyle name="Note 11 4 5 6" xfId="32430"/>
    <cellStyle name="Note 11 4 6" xfId="2993"/>
    <cellStyle name="Note 11 4 6 2" xfId="5844"/>
    <cellStyle name="Note 11 4 6 2 2" xfId="24816"/>
    <cellStyle name="Note 11 4 6 2 3" xfId="35661"/>
    <cellStyle name="Note 11 4 6 3" xfId="8515"/>
    <cellStyle name="Note 11 4 6 3 2" xfId="27487"/>
    <cellStyle name="Note 11 4 6 3 3" xfId="38332"/>
    <cellStyle name="Note 11 4 6 4" xfId="11174"/>
    <cellStyle name="Note 11 4 6 4 2" xfId="30146"/>
    <cellStyle name="Note 11 4 6 4 3" xfId="40991"/>
    <cellStyle name="Note 11 4 6 5" xfId="21970"/>
    <cellStyle name="Note 11 4 6 6" xfId="32815"/>
    <cellStyle name="Note 11 4 7" xfId="3682"/>
    <cellStyle name="Note 11 4 7 2" xfId="22654"/>
    <cellStyle name="Note 11 4 7 3" xfId="33499"/>
    <cellStyle name="Note 11 4 8" xfId="6357"/>
    <cellStyle name="Note 11 4 8 2" xfId="25329"/>
    <cellStyle name="Note 11 4 8 3" xfId="36174"/>
    <cellStyle name="Note 11 4 9" xfId="9016"/>
    <cellStyle name="Note 11 4 9 2" xfId="27988"/>
    <cellStyle name="Note 11 4 9 3" xfId="38833"/>
    <cellStyle name="Note 11 5" xfId="886"/>
    <cellStyle name="Note 11 5 10" xfId="19871"/>
    <cellStyle name="Note 11 5 11" xfId="30716"/>
    <cellStyle name="Note 11 5 2" xfId="1473"/>
    <cellStyle name="Note 11 5 2 2" xfId="4326"/>
    <cellStyle name="Note 11 5 2 2 2" xfId="23298"/>
    <cellStyle name="Note 11 5 2 2 3" xfId="34143"/>
    <cellStyle name="Note 11 5 2 3" xfId="6999"/>
    <cellStyle name="Note 11 5 2 3 2" xfId="25971"/>
    <cellStyle name="Note 11 5 2 3 3" xfId="36816"/>
    <cellStyle name="Note 11 5 2 4" xfId="9658"/>
    <cellStyle name="Note 11 5 2 4 2" xfId="28630"/>
    <cellStyle name="Note 11 5 2 4 3" xfId="39475"/>
    <cellStyle name="Note 11 5 2 5" xfId="20454"/>
    <cellStyle name="Note 11 5 2 6" xfId="31299"/>
    <cellStyle name="Note 11 5 3" xfId="1872"/>
    <cellStyle name="Note 11 5 3 2" xfId="4725"/>
    <cellStyle name="Note 11 5 3 2 2" xfId="23697"/>
    <cellStyle name="Note 11 5 3 2 3" xfId="34542"/>
    <cellStyle name="Note 11 5 3 3" xfId="7397"/>
    <cellStyle name="Note 11 5 3 3 2" xfId="26369"/>
    <cellStyle name="Note 11 5 3 3 3" xfId="37214"/>
    <cellStyle name="Note 11 5 3 4" xfId="10056"/>
    <cellStyle name="Note 11 5 3 4 2" xfId="29028"/>
    <cellStyle name="Note 11 5 3 4 3" xfId="39873"/>
    <cellStyle name="Note 11 5 3 5" xfId="20852"/>
    <cellStyle name="Note 11 5 3 6" xfId="31697"/>
    <cellStyle name="Note 11 5 4" xfId="2276"/>
    <cellStyle name="Note 11 5 4 2" xfId="5129"/>
    <cellStyle name="Note 11 5 4 2 2" xfId="24101"/>
    <cellStyle name="Note 11 5 4 2 3" xfId="34946"/>
    <cellStyle name="Note 11 5 4 3" xfId="7800"/>
    <cellStyle name="Note 11 5 4 3 2" xfId="26772"/>
    <cellStyle name="Note 11 5 4 3 3" xfId="37617"/>
    <cellStyle name="Note 11 5 4 4" xfId="10459"/>
    <cellStyle name="Note 11 5 4 4 2" xfId="29431"/>
    <cellStyle name="Note 11 5 4 4 3" xfId="40276"/>
    <cellStyle name="Note 11 5 4 5" xfId="21255"/>
    <cellStyle name="Note 11 5 4 6" xfId="32100"/>
    <cellStyle name="Note 11 5 5" xfId="2666"/>
    <cellStyle name="Note 11 5 5 2" xfId="5518"/>
    <cellStyle name="Note 11 5 5 2 2" xfId="24490"/>
    <cellStyle name="Note 11 5 5 2 3" xfId="35335"/>
    <cellStyle name="Note 11 5 5 3" xfId="8189"/>
    <cellStyle name="Note 11 5 5 3 2" xfId="27161"/>
    <cellStyle name="Note 11 5 5 3 3" xfId="38006"/>
    <cellStyle name="Note 11 5 5 4" xfId="10848"/>
    <cellStyle name="Note 11 5 5 4 2" xfId="29820"/>
    <cellStyle name="Note 11 5 5 4 3" xfId="40665"/>
    <cellStyle name="Note 11 5 5 5" xfId="21644"/>
    <cellStyle name="Note 11 5 5 6" xfId="32489"/>
    <cellStyle name="Note 11 5 6" xfId="3052"/>
    <cellStyle name="Note 11 5 6 2" xfId="5903"/>
    <cellStyle name="Note 11 5 6 2 2" xfId="24875"/>
    <cellStyle name="Note 11 5 6 2 3" xfId="35720"/>
    <cellStyle name="Note 11 5 6 3" xfId="8574"/>
    <cellStyle name="Note 11 5 6 3 2" xfId="27546"/>
    <cellStyle name="Note 11 5 6 3 3" xfId="38391"/>
    <cellStyle name="Note 11 5 6 4" xfId="11233"/>
    <cellStyle name="Note 11 5 6 4 2" xfId="30205"/>
    <cellStyle name="Note 11 5 6 4 3" xfId="41050"/>
    <cellStyle name="Note 11 5 6 5" xfId="22029"/>
    <cellStyle name="Note 11 5 6 6" xfId="32874"/>
    <cellStyle name="Note 11 5 7" xfId="3741"/>
    <cellStyle name="Note 11 5 7 2" xfId="22713"/>
    <cellStyle name="Note 11 5 7 3" xfId="33558"/>
    <cellStyle name="Note 11 5 8" xfId="6416"/>
    <cellStyle name="Note 11 5 8 2" xfId="25388"/>
    <cellStyle name="Note 11 5 8 3" xfId="36233"/>
    <cellStyle name="Note 11 5 9" xfId="9075"/>
    <cellStyle name="Note 11 5 9 2" xfId="28047"/>
    <cellStyle name="Note 11 5 9 3" xfId="38892"/>
    <cellStyle name="Note 11 6" xfId="1111"/>
    <cellStyle name="Note 11 6 2" xfId="3964"/>
    <cellStyle name="Note 11 6 2 2" xfId="22936"/>
    <cellStyle name="Note 11 6 2 3" xfId="33781"/>
    <cellStyle name="Note 11 6 3" xfId="6638"/>
    <cellStyle name="Note 11 6 3 2" xfId="25610"/>
    <cellStyle name="Note 11 6 3 3" xfId="36455"/>
    <cellStyle name="Note 11 6 4" xfId="9297"/>
    <cellStyle name="Note 11 6 4 2" xfId="28269"/>
    <cellStyle name="Note 11 6 4 3" xfId="39114"/>
    <cellStyle name="Note 11 6 5" xfId="20093"/>
    <cellStyle name="Note 11 6 6" xfId="30938"/>
    <cellStyle name="Note 11 7" xfId="1509"/>
    <cellStyle name="Note 11 7 2" xfId="4362"/>
    <cellStyle name="Note 11 7 2 2" xfId="23334"/>
    <cellStyle name="Note 11 7 2 3" xfId="34179"/>
    <cellStyle name="Note 11 7 3" xfId="7035"/>
    <cellStyle name="Note 11 7 3 2" xfId="26007"/>
    <cellStyle name="Note 11 7 3 3" xfId="36852"/>
    <cellStyle name="Note 11 7 4" xfId="9694"/>
    <cellStyle name="Note 11 7 4 2" xfId="28666"/>
    <cellStyle name="Note 11 7 4 3" xfId="39511"/>
    <cellStyle name="Note 11 7 5" xfId="20490"/>
    <cellStyle name="Note 11 7 6" xfId="31335"/>
    <cellStyle name="Note 11 8" xfId="1917"/>
    <cellStyle name="Note 11 8 2" xfId="4770"/>
    <cellStyle name="Note 11 8 2 2" xfId="23742"/>
    <cellStyle name="Note 11 8 2 3" xfId="34587"/>
    <cellStyle name="Note 11 8 3" xfId="7442"/>
    <cellStyle name="Note 11 8 3 2" xfId="26414"/>
    <cellStyle name="Note 11 8 3 3" xfId="37259"/>
    <cellStyle name="Note 11 8 4" xfId="10101"/>
    <cellStyle name="Note 11 8 4 2" xfId="29073"/>
    <cellStyle name="Note 11 8 4 3" xfId="39918"/>
    <cellStyle name="Note 11 8 5" xfId="20897"/>
    <cellStyle name="Note 11 8 6" xfId="31742"/>
    <cellStyle name="Note 11 9" xfId="2311"/>
    <cellStyle name="Note 11 9 2" xfId="5164"/>
    <cellStyle name="Note 11 9 2 2" xfId="24136"/>
    <cellStyle name="Note 11 9 2 3" xfId="34981"/>
    <cellStyle name="Note 11 9 3" xfId="7835"/>
    <cellStyle name="Note 11 9 3 2" xfId="26807"/>
    <cellStyle name="Note 11 9 3 3" xfId="37652"/>
    <cellStyle name="Note 11 9 4" xfId="10494"/>
    <cellStyle name="Note 11 9 4 2" xfId="29466"/>
    <cellStyle name="Note 11 9 4 3" xfId="40311"/>
    <cellStyle name="Note 11 9 5" xfId="21290"/>
    <cellStyle name="Note 11 9 6" xfId="32135"/>
    <cellStyle name="Note 12" xfId="377"/>
    <cellStyle name="Note 12 10" xfId="2031"/>
    <cellStyle name="Note 12 10 2" xfId="4884"/>
    <cellStyle name="Note 12 10 2 2" xfId="23856"/>
    <cellStyle name="Note 12 10 2 3" xfId="34701"/>
    <cellStyle name="Note 12 10 3" xfId="7556"/>
    <cellStyle name="Note 12 10 3 2" xfId="26528"/>
    <cellStyle name="Note 12 10 3 3" xfId="37373"/>
    <cellStyle name="Note 12 10 4" xfId="10215"/>
    <cellStyle name="Note 12 10 4 2" xfId="29187"/>
    <cellStyle name="Note 12 10 4 3" xfId="40032"/>
    <cellStyle name="Note 12 10 5" xfId="21011"/>
    <cellStyle name="Note 12 10 6" xfId="31856"/>
    <cellStyle name="Note 12 11" xfId="2422"/>
    <cellStyle name="Note 12 11 2" xfId="5275"/>
    <cellStyle name="Note 12 11 2 2" xfId="24247"/>
    <cellStyle name="Note 12 11 2 3" xfId="35092"/>
    <cellStyle name="Note 12 11 3" xfId="7946"/>
    <cellStyle name="Note 12 11 3 2" xfId="26918"/>
    <cellStyle name="Note 12 11 3 3" xfId="37763"/>
    <cellStyle name="Note 12 11 4" xfId="10605"/>
    <cellStyle name="Note 12 11 4 2" xfId="29577"/>
    <cellStyle name="Note 12 11 4 3" xfId="40422"/>
    <cellStyle name="Note 12 11 5" xfId="21401"/>
    <cellStyle name="Note 12 11 6" xfId="32246"/>
    <cellStyle name="Note 12 12" xfId="3112"/>
    <cellStyle name="Note 12 12 2" xfId="5963"/>
    <cellStyle name="Note 12 12 2 2" xfId="24935"/>
    <cellStyle name="Note 12 12 2 3" xfId="35780"/>
    <cellStyle name="Note 12 12 3" xfId="8634"/>
    <cellStyle name="Note 12 12 3 2" xfId="27606"/>
    <cellStyle name="Note 12 12 3 3" xfId="38451"/>
    <cellStyle name="Note 12 12 4" xfId="11293"/>
    <cellStyle name="Note 12 12 4 2" xfId="30265"/>
    <cellStyle name="Note 12 12 4 3" xfId="41110"/>
    <cellStyle name="Note 12 12 5" xfId="22089"/>
    <cellStyle name="Note 12 12 6" xfId="32934"/>
    <cellStyle name="Note 12 13" xfId="3169"/>
    <cellStyle name="Note 12 13 2" xfId="6020"/>
    <cellStyle name="Note 12 13 2 2" xfId="24992"/>
    <cellStyle name="Note 12 13 2 3" xfId="35837"/>
    <cellStyle name="Note 12 13 3" xfId="8691"/>
    <cellStyle name="Note 12 13 3 2" xfId="27663"/>
    <cellStyle name="Note 12 13 3 3" xfId="38508"/>
    <cellStyle name="Note 12 13 4" xfId="11350"/>
    <cellStyle name="Note 12 13 4 2" xfId="30322"/>
    <cellStyle name="Note 12 13 4 3" xfId="41167"/>
    <cellStyle name="Note 12 13 5" xfId="22146"/>
    <cellStyle name="Note 12 13 6" xfId="32991"/>
    <cellStyle name="Note 12 14" xfId="3335"/>
    <cellStyle name="Note 12 14 2" xfId="22309"/>
    <cellStyle name="Note 12 14 3" xfId="33154"/>
    <cellStyle name="Note 12 15" xfId="3239"/>
    <cellStyle name="Note 12 15 2" xfId="22216"/>
    <cellStyle name="Note 12 15 3" xfId="33061"/>
    <cellStyle name="Note 12 16" xfId="3281"/>
    <cellStyle name="Note 12 16 2" xfId="22255"/>
    <cellStyle name="Note 12 16 3" xfId="33100"/>
    <cellStyle name="Note 12 17" xfId="19466"/>
    <cellStyle name="Note 12 18" xfId="19434"/>
    <cellStyle name="Note 12 2" xfId="677"/>
    <cellStyle name="Note 12 2 10" xfId="19662"/>
    <cellStyle name="Note 12 2 11" xfId="30507"/>
    <cellStyle name="Note 12 2 2" xfId="1264"/>
    <cellStyle name="Note 12 2 2 2" xfId="4117"/>
    <cellStyle name="Note 12 2 2 2 2" xfId="23089"/>
    <cellStyle name="Note 12 2 2 2 3" xfId="33934"/>
    <cellStyle name="Note 12 2 2 3" xfId="6790"/>
    <cellStyle name="Note 12 2 2 3 2" xfId="25762"/>
    <cellStyle name="Note 12 2 2 3 3" xfId="36607"/>
    <cellStyle name="Note 12 2 2 4" xfId="9449"/>
    <cellStyle name="Note 12 2 2 4 2" xfId="28421"/>
    <cellStyle name="Note 12 2 2 4 3" xfId="39266"/>
    <cellStyle name="Note 12 2 2 5" xfId="20245"/>
    <cellStyle name="Note 12 2 2 6" xfId="31090"/>
    <cellStyle name="Note 12 2 3" xfId="1663"/>
    <cellStyle name="Note 12 2 3 2" xfId="4516"/>
    <cellStyle name="Note 12 2 3 2 2" xfId="23488"/>
    <cellStyle name="Note 12 2 3 2 3" xfId="34333"/>
    <cellStyle name="Note 12 2 3 3" xfId="7188"/>
    <cellStyle name="Note 12 2 3 3 2" xfId="26160"/>
    <cellStyle name="Note 12 2 3 3 3" xfId="37005"/>
    <cellStyle name="Note 12 2 3 4" xfId="9847"/>
    <cellStyle name="Note 12 2 3 4 2" xfId="28819"/>
    <cellStyle name="Note 12 2 3 4 3" xfId="39664"/>
    <cellStyle name="Note 12 2 3 5" xfId="20643"/>
    <cellStyle name="Note 12 2 3 6" xfId="31488"/>
    <cellStyle name="Note 12 2 4" xfId="2067"/>
    <cellStyle name="Note 12 2 4 2" xfId="4920"/>
    <cellStyle name="Note 12 2 4 2 2" xfId="23892"/>
    <cellStyle name="Note 12 2 4 2 3" xfId="34737"/>
    <cellStyle name="Note 12 2 4 3" xfId="7591"/>
    <cellStyle name="Note 12 2 4 3 2" xfId="26563"/>
    <cellStyle name="Note 12 2 4 3 3" xfId="37408"/>
    <cellStyle name="Note 12 2 4 4" xfId="10250"/>
    <cellStyle name="Note 12 2 4 4 2" xfId="29222"/>
    <cellStyle name="Note 12 2 4 4 3" xfId="40067"/>
    <cellStyle name="Note 12 2 4 5" xfId="21046"/>
    <cellStyle name="Note 12 2 4 6" xfId="31891"/>
    <cellStyle name="Note 12 2 5" xfId="2457"/>
    <cellStyle name="Note 12 2 5 2" xfId="5309"/>
    <cellStyle name="Note 12 2 5 2 2" xfId="24281"/>
    <cellStyle name="Note 12 2 5 2 3" xfId="35126"/>
    <cellStyle name="Note 12 2 5 3" xfId="7980"/>
    <cellStyle name="Note 12 2 5 3 2" xfId="26952"/>
    <cellStyle name="Note 12 2 5 3 3" xfId="37797"/>
    <cellStyle name="Note 12 2 5 4" xfId="10639"/>
    <cellStyle name="Note 12 2 5 4 2" xfId="29611"/>
    <cellStyle name="Note 12 2 5 4 3" xfId="40456"/>
    <cellStyle name="Note 12 2 5 5" xfId="21435"/>
    <cellStyle name="Note 12 2 5 6" xfId="32280"/>
    <cellStyle name="Note 12 2 6" xfId="2843"/>
    <cellStyle name="Note 12 2 6 2" xfId="5694"/>
    <cellStyle name="Note 12 2 6 2 2" xfId="24666"/>
    <cellStyle name="Note 12 2 6 2 3" xfId="35511"/>
    <cellStyle name="Note 12 2 6 3" xfId="8365"/>
    <cellStyle name="Note 12 2 6 3 2" xfId="27337"/>
    <cellStyle name="Note 12 2 6 3 3" xfId="38182"/>
    <cellStyle name="Note 12 2 6 4" xfId="11024"/>
    <cellStyle name="Note 12 2 6 4 2" xfId="29996"/>
    <cellStyle name="Note 12 2 6 4 3" xfId="40841"/>
    <cellStyle name="Note 12 2 6 5" xfId="21820"/>
    <cellStyle name="Note 12 2 6 6" xfId="32665"/>
    <cellStyle name="Note 12 2 7" xfId="3532"/>
    <cellStyle name="Note 12 2 7 2" xfId="22504"/>
    <cellStyle name="Note 12 2 7 3" xfId="33349"/>
    <cellStyle name="Note 12 2 8" xfId="6207"/>
    <cellStyle name="Note 12 2 8 2" xfId="25179"/>
    <cellStyle name="Note 12 2 8 3" xfId="36024"/>
    <cellStyle name="Note 12 2 9" xfId="8866"/>
    <cellStyle name="Note 12 2 9 2" xfId="27838"/>
    <cellStyle name="Note 12 2 9 3" xfId="38683"/>
    <cellStyle name="Note 12 3" xfId="737"/>
    <cellStyle name="Note 12 3 10" xfId="19722"/>
    <cellStyle name="Note 12 3 11" xfId="30567"/>
    <cellStyle name="Note 12 3 2" xfId="1324"/>
    <cellStyle name="Note 12 3 2 2" xfId="4177"/>
    <cellStyle name="Note 12 3 2 2 2" xfId="23149"/>
    <cellStyle name="Note 12 3 2 2 3" xfId="33994"/>
    <cellStyle name="Note 12 3 2 3" xfId="6850"/>
    <cellStyle name="Note 12 3 2 3 2" xfId="25822"/>
    <cellStyle name="Note 12 3 2 3 3" xfId="36667"/>
    <cellStyle name="Note 12 3 2 4" xfId="9509"/>
    <cellStyle name="Note 12 3 2 4 2" xfId="28481"/>
    <cellStyle name="Note 12 3 2 4 3" xfId="39326"/>
    <cellStyle name="Note 12 3 2 5" xfId="20305"/>
    <cellStyle name="Note 12 3 2 6" xfId="31150"/>
    <cellStyle name="Note 12 3 3" xfId="1723"/>
    <cellStyle name="Note 12 3 3 2" xfId="4576"/>
    <cellStyle name="Note 12 3 3 2 2" xfId="23548"/>
    <cellStyle name="Note 12 3 3 2 3" xfId="34393"/>
    <cellStyle name="Note 12 3 3 3" xfId="7248"/>
    <cellStyle name="Note 12 3 3 3 2" xfId="26220"/>
    <cellStyle name="Note 12 3 3 3 3" xfId="37065"/>
    <cellStyle name="Note 12 3 3 4" xfId="9907"/>
    <cellStyle name="Note 12 3 3 4 2" xfId="28879"/>
    <cellStyle name="Note 12 3 3 4 3" xfId="39724"/>
    <cellStyle name="Note 12 3 3 5" xfId="20703"/>
    <cellStyle name="Note 12 3 3 6" xfId="31548"/>
    <cellStyle name="Note 12 3 4" xfId="2127"/>
    <cellStyle name="Note 12 3 4 2" xfId="4980"/>
    <cellStyle name="Note 12 3 4 2 2" xfId="23952"/>
    <cellStyle name="Note 12 3 4 2 3" xfId="34797"/>
    <cellStyle name="Note 12 3 4 3" xfId="7651"/>
    <cellStyle name="Note 12 3 4 3 2" xfId="26623"/>
    <cellStyle name="Note 12 3 4 3 3" xfId="37468"/>
    <cellStyle name="Note 12 3 4 4" xfId="10310"/>
    <cellStyle name="Note 12 3 4 4 2" xfId="29282"/>
    <cellStyle name="Note 12 3 4 4 3" xfId="40127"/>
    <cellStyle name="Note 12 3 4 5" xfId="21106"/>
    <cellStyle name="Note 12 3 4 6" xfId="31951"/>
    <cellStyle name="Note 12 3 5" xfId="2517"/>
    <cellStyle name="Note 12 3 5 2" xfId="5369"/>
    <cellStyle name="Note 12 3 5 2 2" xfId="24341"/>
    <cellStyle name="Note 12 3 5 2 3" xfId="35186"/>
    <cellStyle name="Note 12 3 5 3" xfId="8040"/>
    <cellStyle name="Note 12 3 5 3 2" xfId="27012"/>
    <cellStyle name="Note 12 3 5 3 3" xfId="37857"/>
    <cellStyle name="Note 12 3 5 4" xfId="10699"/>
    <cellStyle name="Note 12 3 5 4 2" xfId="29671"/>
    <cellStyle name="Note 12 3 5 4 3" xfId="40516"/>
    <cellStyle name="Note 12 3 5 5" xfId="21495"/>
    <cellStyle name="Note 12 3 5 6" xfId="32340"/>
    <cellStyle name="Note 12 3 6" xfId="2903"/>
    <cellStyle name="Note 12 3 6 2" xfId="5754"/>
    <cellStyle name="Note 12 3 6 2 2" xfId="24726"/>
    <cellStyle name="Note 12 3 6 2 3" xfId="35571"/>
    <cellStyle name="Note 12 3 6 3" xfId="8425"/>
    <cellStyle name="Note 12 3 6 3 2" xfId="27397"/>
    <cellStyle name="Note 12 3 6 3 3" xfId="38242"/>
    <cellStyle name="Note 12 3 6 4" xfId="11084"/>
    <cellStyle name="Note 12 3 6 4 2" xfId="30056"/>
    <cellStyle name="Note 12 3 6 4 3" xfId="40901"/>
    <cellStyle name="Note 12 3 6 5" xfId="21880"/>
    <cellStyle name="Note 12 3 6 6" xfId="32725"/>
    <cellStyle name="Note 12 3 7" xfId="3592"/>
    <cellStyle name="Note 12 3 7 2" xfId="22564"/>
    <cellStyle name="Note 12 3 7 3" xfId="33409"/>
    <cellStyle name="Note 12 3 8" xfId="6267"/>
    <cellStyle name="Note 12 3 8 2" xfId="25239"/>
    <cellStyle name="Note 12 3 8 3" xfId="36084"/>
    <cellStyle name="Note 12 3 9" xfId="8926"/>
    <cellStyle name="Note 12 3 9 2" xfId="27898"/>
    <cellStyle name="Note 12 3 9 3" xfId="38743"/>
    <cellStyle name="Note 12 4" xfId="797"/>
    <cellStyle name="Note 12 4 10" xfId="19782"/>
    <cellStyle name="Note 12 4 11" xfId="30627"/>
    <cellStyle name="Note 12 4 2" xfId="1384"/>
    <cellStyle name="Note 12 4 2 2" xfId="4237"/>
    <cellStyle name="Note 12 4 2 2 2" xfId="23209"/>
    <cellStyle name="Note 12 4 2 2 3" xfId="34054"/>
    <cellStyle name="Note 12 4 2 3" xfId="6910"/>
    <cellStyle name="Note 12 4 2 3 2" xfId="25882"/>
    <cellStyle name="Note 12 4 2 3 3" xfId="36727"/>
    <cellStyle name="Note 12 4 2 4" xfId="9569"/>
    <cellStyle name="Note 12 4 2 4 2" xfId="28541"/>
    <cellStyle name="Note 12 4 2 4 3" xfId="39386"/>
    <cellStyle name="Note 12 4 2 5" xfId="20365"/>
    <cellStyle name="Note 12 4 2 6" xfId="31210"/>
    <cellStyle name="Note 12 4 3" xfId="1783"/>
    <cellStyle name="Note 12 4 3 2" xfId="4636"/>
    <cellStyle name="Note 12 4 3 2 2" xfId="23608"/>
    <cellStyle name="Note 12 4 3 2 3" xfId="34453"/>
    <cellStyle name="Note 12 4 3 3" xfId="7308"/>
    <cellStyle name="Note 12 4 3 3 2" xfId="26280"/>
    <cellStyle name="Note 12 4 3 3 3" xfId="37125"/>
    <cellStyle name="Note 12 4 3 4" xfId="9967"/>
    <cellStyle name="Note 12 4 3 4 2" xfId="28939"/>
    <cellStyle name="Note 12 4 3 4 3" xfId="39784"/>
    <cellStyle name="Note 12 4 3 5" xfId="20763"/>
    <cellStyle name="Note 12 4 3 6" xfId="31608"/>
    <cellStyle name="Note 12 4 4" xfId="2187"/>
    <cellStyle name="Note 12 4 4 2" xfId="5040"/>
    <cellStyle name="Note 12 4 4 2 2" xfId="24012"/>
    <cellStyle name="Note 12 4 4 2 3" xfId="34857"/>
    <cellStyle name="Note 12 4 4 3" xfId="7711"/>
    <cellStyle name="Note 12 4 4 3 2" xfId="26683"/>
    <cellStyle name="Note 12 4 4 3 3" xfId="37528"/>
    <cellStyle name="Note 12 4 4 4" xfId="10370"/>
    <cellStyle name="Note 12 4 4 4 2" xfId="29342"/>
    <cellStyle name="Note 12 4 4 4 3" xfId="40187"/>
    <cellStyle name="Note 12 4 4 5" xfId="21166"/>
    <cellStyle name="Note 12 4 4 6" xfId="32011"/>
    <cellStyle name="Note 12 4 5" xfId="2577"/>
    <cellStyle name="Note 12 4 5 2" xfId="5429"/>
    <cellStyle name="Note 12 4 5 2 2" xfId="24401"/>
    <cellStyle name="Note 12 4 5 2 3" xfId="35246"/>
    <cellStyle name="Note 12 4 5 3" xfId="8100"/>
    <cellStyle name="Note 12 4 5 3 2" xfId="27072"/>
    <cellStyle name="Note 12 4 5 3 3" xfId="37917"/>
    <cellStyle name="Note 12 4 5 4" xfId="10759"/>
    <cellStyle name="Note 12 4 5 4 2" xfId="29731"/>
    <cellStyle name="Note 12 4 5 4 3" xfId="40576"/>
    <cellStyle name="Note 12 4 5 5" xfId="21555"/>
    <cellStyle name="Note 12 4 5 6" xfId="32400"/>
    <cellStyle name="Note 12 4 6" xfId="2963"/>
    <cellStyle name="Note 12 4 6 2" xfId="5814"/>
    <cellStyle name="Note 12 4 6 2 2" xfId="24786"/>
    <cellStyle name="Note 12 4 6 2 3" xfId="35631"/>
    <cellStyle name="Note 12 4 6 3" xfId="8485"/>
    <cellStyle name="Note 12 4 6 3 2" xfId="27457"/>
    <cellStyle name="Note 12 4 6 3 3" xfId="38302"/>
    <cellStyle name="Note 12 4 6 4" xfId="11144"/>
    <cellStyle name="Note 12 4 6 4 2" xfId="30116"/>
    <cellStyle name="Note 12 4 6 4 3" xfId="40961"/>
    <cellStyle name="Note 12 4 6 5" xfId="21940"/>
    <cellStyle name="Note 12 4 6 6" xfId="32785"/>
    <cellStyle name="Note 12 4 7" xfId="3652"/>
    <cellStyle name="Note 12 4 7 2" xfId="22624"/>
    <cellStyle name="Note 12 4 7 3" xfId="33469"/>
    <cellStyle name="Note 12 4 8" xfId="6327"/>
    <cellStyle name="Note 12 4 8 2" xfId="25299"/>
    <cellStyle name="Note 12 4 8 3" xfId="36144"/>
    <cellStyle name="Note 12 4 9" xfId="8986"/>
    <cellStyle name="Note 12 4 9 2" xfId="27958"/>
    <cellStyle name="Note 12 4 9 3" xfId="38803"/>
    <cellStyle name="Note 12 5" xfId="856"/>
    <cellStyle name="Note 12 5 10" xfId="19841"/>
    <cellStyle name="Note 12 5 11" xfId="30686"/>
    <cellStyle name="Note 12 5 2" xfId="1443"/>
    <cellStyle name="Note 12 5 2 2" xfId="4296"/>
    <cellStyle name="Note 12 5 2 2 2" xfId="23268"/>
    <cellStyle name="Note 12 5 2 2 3" xfId="34113"/>
    <cellStyle name="Note 12 5 2 3" xfId="6969"/>
    <cellStyle name="Note 12 5 2 3 2" xfId="25941"/>
    <cellStyle name="Note 12 5 2 3 3" xfId="36786"/>
    <cellStyle name="Note 12 5 2 4" xfId="9628"/>
    <cellStyle name="Note 12 5 2 4 2" xfId="28600"/>
    <cellStyle name="Note 12 5 2 4 3" xfId="39445"/>
    <cellStyle name="Note 12 5 2 5" xfId="20424"/>
    <cellStyle name="Note 12 5 2 6" xfId="31269"/>
    <cellStyle name="Note 12 5 3" xfId="1842"/>
    <cellStyle name="Note 12 5 3 2" xfId="4695"/>
    <cellStyle name="Note 12 5 3 2 2" xfId="23667"/>
    <cellStyle name="Note 12 5 3 2 3" xfId="34512"/>
    <cellStyle name="Note 12 5 3 3" xfId="7367"/>
    <cellStyle name="Note 12 5 3 3 2" xfId="26339"/>
    <cellStyle name="Note 12 5 3 3 3" xfId="37184"/>
    <cellStyle name="Note 12 5 3 4" xfId="10026"/>
    <cellStyle name="Note 12 5 3 4 2" xfId="28998"/>
    <cellStyle name="Note 12 5 3 4 3" xfId="39843"/>
    <cellStyle name="Note 12 5 3 5" xfId="20822"/>
    <cellStyle name="Note 12 5 3 6" xfId="31667"/>
    <cellStyle name="Note 12 5 4" xfId="2246"/>
    <cellStyle name="Note 12 5 4 2" xfId="5099"/>
    <cellStyle name="Note 12 5 4 2 2" xfId="24071"/>
    <cellStyle name="Note 12 5 4 2 3" xfId="34916"/>
    <cellStyle name="Note 12 5 4 3" xfId="7770"/>
    <cellStyle name="Note 12 5 4 3 2" xfId="26742"/>
    <cellStyle name="Note 12 5 4 3 3" xfId="37587"/>
    <cellStyle name="Note 12 5 4 4" xfId="10429"/>
    <cellStyle name="Note 12 5 4 4 2" xfId="29401"/>
    <cellStyle name="Note 12 5 4 4 3" xfId="40246"/>
    <cellStyle name="Note 12 5 4 5" xfId="21225"/>
    <cellStyle name="Note 12 5 4 6" xfId="32070"/>
    <cellStyle name="Note 12 5 5" xfId="2636"/>
    <cellStyle name="Note 12 5 5 2" xfId="5488"/>
    <cellStyle name="Note 12 5 5 2 2" xfId="24460"/>
    <cellStyle name="Note 12 5 5 2 3" xfId="35305"/>
    <cellStyle name="Note 12 5 5 3" xfId="8159"/>
    <cellStyle name="Note 12 5 5 3 2" xfId="27131"/>
    <cellStyle name="Note 12 5 5 3 3" xfId="37976"/>
    <cellStyle name="Note 12 5 5 4" xfId="10818"/>
    <cellStyle name="Note 12 5 5 4 2" xfId="29790"/>
    <cellStyle name="Note 12 5 5 4 3" xfId="40635"/>
    <cellStyle name="Note 12 5 5 5" xfId="21614"/>
    <cellStyle name="Note 12 5 5 6" xfId="32459"/>
    <cellStyle name="Note 12 5 6" xfId="3022"/>
    <cellStyle name="Note 12 5 6 2" xfId="5873"/>
    <cellStyle name="Note 12 5 6 2 2" xfId="24845"/>
    <cellStyle name="Note 12 5 6 2 3" xfId="35690"/>
    <cellStyle name="Note 12 5 6 3" xfId="8544"/>
    <cellStyle name="Note 12 5 6 3 2" xfId="27516"/>
    <cellStyle name="Note 12 5 6 3 3" xfId="38361"/>
    <cellStyle name="Note 12 5 6 4" xfId="11203"/>
    <cellStyle name="Note 12 5 6 4 2" xfId="30175"/>
    <cellStyle name="Note 12 5 6 4 3" xfId="41020"/>
    <cellStyle name="Note 12 5 6 5" xfId="21999"/>
    <cellStyle name="Note 12 5 6 6" xfId="32844"/>
    <cellStyle name="Note 12 5 7" xfId="3711"/>
    <cellStyle name="Note 12 5 7 2" xfId="22683"/>
    <cellStyle name="Note 12 5 7 3" xfId="33528"/>
    <cellStyle name="Note 12 5 8" xfId="6386"/>
    <cellStyle name="Note 12 5 8 2" xfId="25358"/>
    <cellStyle name="Note 12 5 8 3" xfId="36203"/>
    <cellStyle name="Note 12 5 9" xfId="9045"/>
    <cellStyle name="Note 12 5 9 2" xfId="28017"/>
    <cellStyle name="Note 12 5 9 3" xfId="38862"/>
    <cellStyle name="Note 12 6" xfId="1078"/>
    <cellStyle name="Note 12 6 2" xfId="3931"/>
    <cellStyle name="Note 12 6 2 2" xfId="22903"/>
    <cellStyle name="Note 12 6 2 3" xfId="33748"/>
    <cellStyle name="Note 12 6 3" xfId="6605"/>
    <cellStyle name="Note 12 6 3 2" xfId="25577"/>
    <cellStyle name="Note 12 6 3 3" xfId="36422"/>
    <cellStyle name="Note 12 6 4" xfId="9264"/>
    <cellStyle name="Note 12 6 4 2" xfId="28236"/>
    <cellStyle name="Note 12 6 4 3" xfId="39081"/>
    <cellStyle name="Note 12 6 5" xfId="20060"/>
    <cellStyle name="Note 12 6 6" xfId="30905"/>
    <cellStyle name="Note 12 7" xfId="997"/>
    <cellStyle name="Note 12 7 2" xfId="3850"/>
    <cellStyle name="Note 12 7 2 2" xfId="22822"/>
    <cellStyle name="Note 12 7 2 3" xfId="33667"/>
    <cellStyle name="Note 12 7 3" xfId="6525"/>
    <cellStyle name="Note 12 7 3 2" xfId="25497"/>
    <cellStyle name="Note 12 7 3 3" xfId="36342"/>
    <cellStyle name="Note 12 7 4" xfId="9184"/>
    <cellStyle name="Note 12 7 4 2" xfId="28156"/>
    <cellStyle name="Note 12 7 4 3" xfId="39001"/>
    <cellStyle name="Note 12 7 5" xfId="19980"/>
    <cellStyle name="Note 12 7 6" xfId="30825"/>
    <cellStyle name="Note 12 8" xfId="1044"/>
    <cellStyle name="Note 12 8 2" xfId="3897"/>
    <cellStyle name="Note 12 8 2 2" xfId="22869"/>
    <cellStyle name="Note 12 8 2 3" xfId="33714"/>
    <cellStyle name="Note 12 8 3" xfId="6571"/>
    <cellStyle name="Note 12 8 3 2" xfId="25543"/>
    <cellStyle name="Note 12 8 3 3" xfId="36388"/>
    <cellStyle name="Note 12 8 4" xfId="9230"/>
    <cellStyle name="Note 12 8 4 2" xfId="28202"/>
    <cellStyle name="Note 12 8 4 3" xfId="39047"/>
    <cellStyle name="Note 12 8 5" xfId="20026"/>
    <cellStyle name="Note 12 8 6" xfId="30871"/>
    <cellStyle name="Note 12 9" xfId="984"/>
    <cellStyle name="Note 12 9 2" xfId="3837"/>
    <cellStyle name="Note 12 9 2 2" xfId="22809"/>
    <cellStyle name="Note 12 9 2 3" xfId="33654"/>
    <cellStyle name="Note 12 9 3" xfId="6512"/>
    <cellStyle name="Note 12 9 3 2" xfId="25484"/>
    <cellStyle name="Note 12 9 3 3" xfId="36329"/>
    <cellStyle name="Note 12 9 4" xfId="9171"/>
    <cellStyle name="Note 12 9 4 2" xfId="28143"/>
    <cellStyle name="Note 12 9 4 3" xfId="38988"/>
    <cellStyle name="Note 12 9 5" xfId="19967"/>
    <cellStyle name="Note 12 9 6" xfId="30812"/>
    <cellStyle name="Note 13" xfId="560"/>
    <cellStyle name="Note 13 10" xfId="19570"/>
    <cellStyle name="Note 13 11" xfId="30415"/>
    <cellStyle name="Note 13 2" xfId="1166"/>
    <cellStyle name="Note 13 2 2" xfId="4019"/>
    <cellStyle name="Note 13 2 2 2" xfId="22991"/>
    <cellStyle name="Note 13 2 2 3" xfId="33836"/>
    <cellStyle name="Note 13 2 3" xfId="6692"/>
    <cellStyle name="Note 13 2 3 2" xfId="25664"/>
    <cellStyle name="Note 13 2 3 3" xfId="36509"/>
    <cellStyle name="Note 13 2 4" xfId="9351"/>
    <cellStyle name="Note 13 2 4 2" xfId="28323"/>
    <cellStyle name="Note 13 2 4 3" xfId="39168"/>
    <cellStyle name="Note 13 2 5" xfId="20147"/>
    <cellStyle name="Note 13 2 6" xfId="30992"/>
    <cellStyle name="Note 13 3" xfId="1563"/>
    <cellStyle name="Note 13 3 2" xfId="4416"/>
    <cellStyle name="Note 13 3 2 2" xfId="23388"/>
    <cellStyle name="Note 13 3 2 3" xfId="34233"/>
    <cellStyle name="Note 13 3 3" xfId="7088"/>
    <cellStyle name="Note 13 3 3 2" xfId="26060"/>
    <cellStyle name="Note 13 3 3 3" xfId="36905"/>
    <cellStyle name="Note 13 3 4" xfId="9747"/>
    <cellStyle name="Note 13 3 4 2" xfId="28719"/>
    <cellStyle name="Note 13 3 4 3" xfId="39564"/>
    <cellStyle name="Note 13 3 5" xfId="20543"/>
    <cellStyle name="Note 13 3 6" xfId="31388"/>
    <cellStyle name="Note 13 4" xfId="1967"/>
    <cellStyle name="Note 13 4 2" xfId="4820"/>
    <cellStyle name="Note 13 4 2 2" xfId="23792"/>
    <cellStyle name="Note 13 4 2 3" xfId="34637"/>
    <cellStyle name="Note 13 4 3" xfId="7492"/>
    <cellStyle name="Note 13 4 3 2" xfId="26464"/>
    <cellStyle name="Note 13 4 3 3" xfId="37309"/>
    <cellStyle name="Note 13 4 4" xfId="10151"/>
    <cellStyle name="Note 13 4 4 2" xfId="29123"/>
    <cellStyle name="Note 13 4 4 3" xfId="39968"/>
    <cellStyle name="Note 13 4 5" xfId="20947"/>
    <cellStyle name="Note 13 4 6" xfId="31792"/>
    <cellStyle name="Note 13 5" xfId="2359"/>
    <cellStyle name="Note 13 5 2" xfId="5212"/>
    <cellStyle name="Note 13 5 2 2" xfId="24184"/>
    <cellStyle name="Note 13 5 2 3" xfId="35029"/>
    <cellStyle name="Note 13 5 3" xfId="7883"/>
    <cellStyle name="Note 13 5 3 2" xfId="26855"/>
    <cellStyle name="Note 13 5 3 3" xfId="37700"/>
    <cellStyle name="Note 13 5 4" xfId="10542"/>
    <cellStyle name="Note 13 5 4 2" xfId="29514"/>
    <cellStyle name="Note 13 5 4 3" xfId="40359"/>
    <cellStyle name="Note 13 5 5" xfId="21338"/>
    <cellStyle name="Note 13 5 6" xfId="32183"/>
    <cellStyle name="Note 13 6" xfId="2748"/>
    <cellStyle name="Note 13 6 2" xfId="5600"/>
    <cellStyle name="Note 13 6 2 2" xfId="24572"/>
    <cellStyle name="Note 13 6 2 3" xfId="35417"/>
    <cellStyle name="Note 13 6 3" xfId="8271"/>
    <cellStyle name="Note 13 6 3 2" xfId="27243"/>
    <cellStyle name="Note 13 6 3 3" xfId="38088"/>
    <cellStyle name="Note 13 6 4" xfId="10930"/>
    <cellStyle name="Note 13 6 4 2" xfId="29902"/>
    <cellStyle name="Note 13 6 4 3" xfId="40747"/>
    <cellStyle name="Note 13 6 5" xfId="21726"/>
    <cellStyle name="Note 13 6 6" xfId="32571"/>
    <cellStyle name="Note 13 7" xfId="3439"/>
    <cellStyle name="Note 13 7 2" xfId="22411"/>
    <cellStyle name="Note 13 7 3" xfId="33256"/>
    <cellStyle name="Note 13 8" xfId="6115"/>
    <cellStyle name="Note 13 8 2" xfId="25087"/>
    <cellStyle name="Note 13 8 3" xfId="35932"/>
    <cellStyle name="Note 13 9" xfId="8774"/>
    <cellStyle name="Note 13 9 2" xfId="27746"/>
    <cellStyle name="Note 13 9 3" xfId="38591"/>
    <cellStyle name="Note 14" xfId="488"/>
    <cellStyle name="Note 14 2" xfId="3404"/>
    <cellStyle name="Note 14 2 2" xfId="22376"/>
    <cellStyle name="Note 14 2 3" xfId="33221"/>
    <cellStyle name="Note 14 3" xfId="6082"/>
    <cellStyle name="Note 14 3 2" xfId="25054"/>
    <cellStyle name="Note 14 3 3" xfId="35899"/>
    <cellStyle name="Note 14 4" xfId="8741"/>
    <cellStyle name="Note 14 4 2" xfId="27713"/>
    <cellStyle name="Note 14 4 3" xfId="38558"/>
    <cellStyle name="Note 14 5" xfId="19527"/>
    <cellStyle name="Note 14 6" xfId="30372"/>
    <cellStyle name="Note 15" xfId="11460"/>
    <cellStyle name="Note 2" xfId="126"/>
    <cellStyle name="Note 2 10" xfId="378"/>
    <cellStyle name="Note 2 10 10" xfId="1116"/>
    <cellStyle name="Note 2 10 10 2" xfId="3969"/>
    <cellStyle name="Note 2 10 10 2 2" xfId="22941"/>
    <cellStyle name="Note 2 10 10 2 3" xfId="33786"/>
    <cellStyle name="Note 2 10 10 3" xfId="6643"/>
    <cellStyle name="Note 2 10 10 3 2" xfId="25615"/>
    <cellStyle name="Note 2 10 10 3 3" xfId="36460"/>
    <cellStyle name="Note 2 10 10 4" xfId="9302"/>
    <cellStyle name="Note 2 10 10 4 2" xfId="28274"/>
    <cellStyle name="Note 2 10 10 4 3" xfId="39119"/>
    <cellStyle name="Note 2 10 10 5" xfId="20098"/>
    <cellStyle name="Note 2 10 10 6" xfId="30943"/>
    <cellStyle name="Note 2 10 11" xfId="1639"/>
    <cellStyle name="Note 2 10 11 2" xfId="4492"/>
    <cellStyle name="Note 2 10 11 2 2" xfId="23464"/>
    <cellStyle name="Note 2 10 11 2 3" xfId="34309"/>
    <cellStyle name="Note 2 10 11 3" xfId="7164"/>
    <cellStyle name="Note 2 10 11 3 2" xfId="26136"/>
    <cellStyle name="Note 2 10 11 3 3" xfId="36981"/>
    <cellStyle name="Note 2 10 11 4" xfId="9823"/>
    <cellStyle name="Note 2 10 11 4 2" xfId="28795"/>
    <cellStyle name="Note 2 10 11 4 3" xfId="39640"/>
    <cellStyle name="Note 2 10 11 5" xfId="20619"/>
    <cellStyle name="Note 2 10 11 6" xfId="31464"/>
    <cellStyle name="Note 2 10 12" xfId="3113"/>
    <cellStyle name="Note 2 10 12 2" xfId="5964"/>
    <cellStyle name="Note 2 10 12 2 2" xfId="24936"/>
    <cellStyle name="Note 2 10 12 2 3" xfId="35781"/>
    <cellStyle name="Note 2 10 12 3" xfId="8635"/>
    <cellStyle name="Note 2 10 12 3 2" xfId="27607"/>
    <cellStyle name="Note 2 10 12 3 3" xfId="38452"/>
    <cellStyle name="Note 2 10 12 4" xfId="11294"/>
    <cellStyle name="Note 2 10 12 4 2" xfId="30266"/>
    <cellStyle name="Note 2 10 12 4 3" xfId="41111"/>
    <cellStyle name="Note 2 10 12 5" xfId="22090"/>
    <cellStyle name="Note 2 10 12 6" xfId="32935"/>
    <cellStyle name="Note 2 10 13" xfId="3170"/>
    <cellStyle name="Note 2 10 13 2" xfId="6021"/>
    <cellStyle name="Note 2 10 13 2 2" xfId="24993"/>
    <cellStyle name="Note 2 10 13 2 3" xfId="35838"/>
    <cellStyle name="Note 2 10 13 3" xfId="8692"/>
    <cellStyle name="Note 2 10 13 3 2" xfId="27664"/>
    <cellStyle name="Note 2 10 13 3 3" xfId="38509"/>
    <cellStyle name="Note 2 10 13 4" xfId="11351"/>
    <cellStyle name="Note 2 10 13 4 2" xfId="30323"/>
    <cellStyle name="Note 2 10 13 4 3" xfId="41168"/>
    <cellStyle name="Note 2 10 13 5" xfId="22147"/>
    <cellStyle name="Note 2 10 13 6" xfId="32992"/>
    <cellStyle name="Note 2 10 14" xfId="3336"/>
    <cellStyle name="Note 2 10 14 2" xfId="22310"/>
    <cellStyle name="Note 2 10 14 3" xfId="33155"/>
    <cellStyle name="Note 2 10 15" xfId="3324"/>
    <cellStyle name="Note 2 10 15 2" xfId="22298"/>
    <cellStyle name="Note 2 10 15 3" xfId="33143"/>
    <cellStyle name="Note 2 10 16" xfId="3290"/>
    <cellStyle name="Note 2 10 16 2" xfId="22264"/>
    <cellStyle name="Note 2 10 16 3" xfId="33109"/>
    <cellStyle name="Note 2 10 17" xfId="19467"/>
    <cellStyle name="Note 2 10 18" xfId="19399"/>
    <cellStyle name="Note 2 10 2" xfId="678"/>
    <cellStyle name="Note 2 10 2 10" xfId="19663"/>
    <cellStyle name="Note 2 10 2 11" xfId="30508"/>
    <cellStyle name="Note 2 10 2 2" xfId="1265"/>
    <cellStyle name="Note 2 10 2 2 2" xfId="4118"/>
    <cellStyle name="Note 2 10 2 2 2 2" xfId="23090"/>
    <cellStyle name="Note 2 10 2 2 2 3" xfId="33935"/>
    <cellStyle name="Note 2 10 2 2 3" xfId="6791"/>
    <cellStyle name="Note 2 10 2 2 3 2" xfId="25763"/>
    <cellStyle name="Note 2 10 2 2 3 3" xfId="36608"/>
    <cellStyle name="Note 2 10 2 2 4" xfId="9450"/>
    <cellStyle name="Note 2 10 2 2 4 2" xfId="28422"/>
    <cellStyle name="Note 2 10 2 2 4 3" xfId="39267"/>
    <cellStyle name="Note 2 10 2 2 5" xfId="20246"/>
    <cellStyle name="Note 2 10 2 2 6" xfId="31091"/>
    <cellStyle name="Note 2 10 2 3" xfId="1664"/>
    <cellStyle name="Note 2 10 2 3 2" xfId="4517"/>
    <cellStyle name="Note 2 10 2 3 2 2" xfId="23489"/>
    <cellStyle name="Note 2 10 2 3 2 3" xfId="34334"/>
    <cellStyle name="Note 2 10 2 3 3" xfId="7189"/>
    <cellStyle name="Note 2 10 2 3 3 2" xfId="26161"/>
    <cellStyle name="Note 2 10 2 3 3 3" xfId="37006"/>
    <cellStyle name="Note 2 10 2 3 4" xfId="9848"/>
    <cellStyle name="Note 2 10 2 3 4 2" xfId="28820"/>
    <cellStyle name="Note 2 10 2 3 4 3" xfId="39665"/>
    <cellStyle name="Note 2 10 2 3 5" xfId="20644"/>
    <cellStyle name="Note 2 10 2 3 6" xfId="31489"/>
    <cellStyle name="Note 2 10 2 4" xfId="2068"/>
    <cellStyle name="Note 2 10 2 4 2" xfId="4921"/>
    <cellStyle name="Note 2 10 2 4 2 2" xfId="23893"/>
    <cellStyle name="Note 2 10 2 4 2 3" xfId="34738"/>
    <cellStyle name="Note 2 10 2 4 3" xfId="7592"/>
    <cellStyle name="Note 2 10 2 4 3 2" xfId="26564"/>
    <cellStyle name="Note 2 10 2 4 3 3" xfId="37409"/>
    <cellStyle name="Note 2 10 2 4 4" xfId="10251"/>
    <cellStyle name="Note 2 10 2 4 4 2" xfId="29223"/>
    <cellStyle name="Note 2 10 2 4 4 3" xfId="40068"/>
    <cellStyle name="Note 2 10 2 4 5" xfId="21047"/>
    <cellStyle name="Note 2 10 2 4 6" xfId="31892"/>
    <cellStyle name="Note 2 10 2 5" xfId="2458"/>
    <cellStyle name="Note 2 10 2 5 2" xfId="5310"/>
    <cellStyle name="Note 2 10 2 5 2 2" xfId="24282"/>
    <cellStyle name="Note 2 10 2 5 2 3" xfId="35127"/>
    <cellStyle name="Note 2 10 2 5 3" xfId="7981"/>
    <cellStyle name="Note 2 10 2 5 3 2" xfId="26953"/>
    <cellStyle name="Note 2 10 2 5 3 3" xfId="37798"/>
    <cellStyle name="Note 2 10 2 5 4" xfId="10640"/>
    <cellStyle name="Note 2 10 2 5 4 2" xfId="29612"/>
    <cellStyle name="Note 2 10 2 5 4 3" xfId="40457"/>
    <cellStyle name="Note 2 10 2 5 5" xfId="21436"/>
    <cellStyle name="Note 2 10 2 5 6" xfId="32281"/>
    <cellStyle name="Note 2 10 2 6" xfId="2844"/>
    <cellStyle name="Note 2 10 2 6 2" xfId="5695"/>
    <cellStyle name="Note 2 10 2 6 2 2" xfId="24667"/>
    <cellStyle name="Note 2 10 2 6 2 3" xfId="35512"/>
    <cellStyle name="Note 2 10 2 6 3" xfId="8366"/>
    <cellStyle name="Note 2 10 2 6 3 2" xfId="27338"/>
    <cellStyle name="Note 2 10 2 6 3 3" xfId="38183"/>
    <cellStyle name="Note 2 10 2 6 4" xfId="11025"/>
    <cellStyle name="Note 2 10 2 6 4 2" xfId="29997"/>
    <cellStyle name="Note 2 10 2 6 4 3" xfId="40842"/>
    <cellStyle name="Note 2 10 2 6 5" xfId="21821"/>
    <cellStyle name="Note 2 10 2 6 6" xfId="32666"/>
    <cellStyle name="Note 2 10 2 7" xfId="3533"/>
    <cellStyle name="Note 2 10 2 7 2" xfId="22505"/>
    <cellStyle name="Note 2 10 2 7 3" xfId="33350"/>
    <cellStyle name="Note 2 10 2 8" xfId="6208"/>
    <cellStyle name="Note 2 10 2 8 2" xfId="25180"/>
    <cellStyle name="Note 2 10 2 8 3" xfId="36025"/>
    <cellStyle name="Note 2 10 2 9" xfId="8867"/>
    <cellStyle name="Note 2 10 2 9 2" xfId="27839"/>
    <cellStyle name="Note 2 10 2 9 3" xfId="38684"/>
    <cellStyle name="Note 2 10 3" xfId="738"/>
    <cellStyle name="Note 2 10 3 10" xfId="19723"/>
    <cellStyle name="Note 2 10 3 11" xfId="30568"/>
    <cellStyle name="Note 2 10 3 2" xfId="1325"/>
    <cellStyle name="Note 2 10 3 2 2" xfId="4178"/>
    <cellStyle name="Note 2 10 3 2 2 2" xfId="23150"/>
    <cellStyle name="Note 2 10 3 2 2 3" xfId="33995"/>
    <cellStyle name="Note 2 10 3 2 3" xfId="6851"/>
    <cellStyle name="Note 2 10 3 2 3 2" xfId="25823"/>
    <cellStyle name="Note 2 10 3 2 3 3" xfId="36668"/>
    <cellStyle name="Note 2 10 3 2 4" xfId="9510"/>
    <cellStyle name="Note 2 10 3 2 4 2" xfId="28482"/>
    <cellStyle name="Note 2 10 3 2 4 3" xfId="39327"/>
    <cellStyle name="Note 2 10 3 2 5" xfId="20306"/>
    <cellStyle name="Note 2 10 3 2 6" xfId="31151"/>
    <cellStyle name="Note 2 10 3 3" xfId="1724"/>
    <cellStyle name="Note 2 10 3 3 2" xfId="4577"/>
    <cellStyle name="Note 2 10 3 3 2 2" xfId="23549"/>
    <cellStyle name="Note 2 10 3 3 2 3" xfId="34394"/>
    <cellStyle name="Note 2 10 3 3 3" xfId="7249"/>
    <cellStyle name="Note 2 10 3 3 3 2" xfId="26221"/>
    <cellStyle name="Note 2 10 3 3 3 3" xfId="37066"/>
    <cellStyle name="Note 2 10 3 3 4" xfId="9908"/>
    <cellStyle name="Note 2 10 3 3 4 2" xfId="28880"/>
    <cellStyle name="Note 2 10 3 3 4 3" xfId="39725"/>
    <cellStyle name="Note 2 10 3 3 5" xfId="20704"/>
    <cellStyle name="Note 2 10 3 3 6" xfId="31549"/>
    <cellStyle name="Note 2 10 3 4" xfId="2128"/>
    <cellStyle name="Note 2 10 3 4 2" xfId="4981"/>
    <cellStyle name="Note 2 10 3 4 2 2" xfId="23953"/>
    <cellStyle name="Note 2 10 3 4 2 3" xfId="34798"/>
    <cellStyle name="Note 2 10 3 4 3" xfId="7652"/>
    <cellStyle name="Note 2 10 3 4 3 2" xfId="26624"/>
    <cellStyle name="Note 2 10 3 4 3 3" xfId="37469"/>
    <cellStyle name="Note 2 10 3 4 4" xfId="10311"/>
    <cellStyle name="Note 2 10 3 4 4 2" xfId="29283"/>
    <cellStyle name="Note 2 10 3 4 4 3" xfId="40128"/>
    <cellStyle name="Note 2 10 3 4 5" xfId="21107"/>
    <cellStyle name="Note 2 10 3 4 6" xfId="31952"/>
    <cellStyle name="Note 2 10 3 5" xfId="2518"/>
    <cellStyle name="Note 2 10 3 5 2" xfId="5370"/>
    <cellStyle name="Note 2 10 3 5 2 2" xfId="24342"/>
    <cellStyle name="Note 2 10 3 5 2 3" xfId="35187"/>
    <cellStyle name="Note 2 10 3 5 3" xfId="8041"/>
    <cellStyle name="Note 2 10 3 5 3 2" xfId="27013"/>
    <cellStyle name="Note 2 10 3 5 3 3" xfId="37858"/>
    <cellStyle name="Note 2 10 3 5 4" xfId="10700"/>
    <cellStyle name="Note 2 10 3 5 4 2" xfId="29672"/>
    <cellStyle name="Note 2 10 3 5 4 3" xfId="40517"/>
    <cellStyle name="Note 2 10 3 5 5" xfId="21496"/>
    <cellStyle name="Note 2 10 3 5 6" xfId="32341"/>
    <cellStyle name="Note 2 10 3 6" xfId="2904"/>
    <cellStyle name="Note 2 10 3 6 2" xfId="5755"/>
    <cellStyle name="Note 2 10 3 6 2 2" xfId="24727"/>
    <cellStyle name="Note 2 10 3 6 2 3" xfId="35572"/>
    <cellStyle name="Note 2 10 3 6 3" xfId="8426"/>
    <cellStyle name="Note 2 10 3 6 3 2" xfId="27398"/>
    <cellStyle name="Note 2 10 3 6 3 3" xfId="38243"/>
    <cellStyle name="Note 2 10 3 6 4" xfId="11085"/>
    <cellStyle name="Note 2 10 3 6 4 2" xfId="30057"/>
    <cellStyle name="Note 2 10 3 6 4 3" xfId="40902"/>
    <cellStyle name="Note 2 10 3 6 5" xfId="21881"/>
    <cellStyle name="Note 2 10 3 6 6" xfId="32726"/>
    <cellStyle name="Note 2 10 3 7" xfId="3593"/>
    <cellStyle name="Note 2 10 3 7 2" xfId="22565"/>
    <cellStyle name="Note 2 10 3 7 3" xfId="33410"/>
    <cellStyle name="Note 2 10 3 8" xfId="6268"/>
    <cellStyle name="Note 2 10 3 8 2" xfId="25240"/>
    <cellStyle name="Note 2 10 3 8 3" xfId="36085"/>
    <cellStyle name="Note 2 10 3 9" xfId="8927"/>
    <cellStyle name="Note 2 10 3 9 2" xfId="27899"/>
    <cellStyle name="Note 2 10 3 9 3" xfId="38744"/>
    <cellStyle name="Note 2 10 4" xfId="798"/>
    <cellStyle name="Note 2 10 4 10" xfId="19783"/>
    <cellStyle name="Note 2 10 4 11" xfId="30628"/>
    <cellStyle name="Note 2 10 4 2" xfId="1385"/>
    <cellStyle name="Note 2 10 4 2 2" xfId="4238"/>
    <cellStyle name="Note 2 10 4 2 2 2" xfId="23210"/>
    <cellStyle name="Note 2 10 4 2 2 3" xfId="34055"/>
    <cellStyle name="Note 2 10 4 2 3" xfId="6911"/>
    <cellStyle name="Note 2 10 4 2 3 2" xfId="25883"/>
    <cellStyle name="Note 2 10 4 2 3 3" xfId="36728"/>
    <cellStyle name="Note 2 10 4 2 4" xfId="9570"/>
    <cellStyle name="Note 2 10 4 2 4 2" xfId="28542"/>
    <cellStyle name="Note 2 10 4 2 4 3" xfId="39387"/>
    <cellStyle name="Note 2 10 4 2 5" xfId="20366"/>
    <cellStyle name="Note 2 10 4 2 6" xfId="31211"/>
    <cellStyle name="Note 2 10 4 3" xfId="1784"/>
    <cellStyle name="Note 2 10 4 3 2" xfId="4637"/>
    <cellStyle name="Note 2 10 4 3 2 2" xfId="23609"/>
    <cellStyle name="Note 2 10 4 3 2 3" xfId="34454"/>
    <cellStyle name="Note 2 10 4 3 3" xfId="7309"/>
    <cellStyle name="Note 2 10 4 3 3 2" xfId="26281"/>
    <cellStyle name="Note 2 10 4 3 3 3" xfId="37126"/>
    <cellStyle name="Note 2 10 4 3 4" xfId="9968"/>
    <cellStyle name="Note 2 10 4 3 4 2" xfId="28940"/>
    <cellStyle name="Note 2 10 4 3 4 3" xfId="39785"/>
    <cellStyle name="Note 2 10 4 3 5" xfId="20764"/>
    <cellStyle name="Note 2 10 4 3 6" xfId="31609"/>
    <cellStyle name="Note 2 10 4 4" xfId="2188"/>
    <cellStyle name="Note 2 10 4 4 2" xfId="5041"/>
    <cellStyle name="Note 2 10 4 4 2 2" xfId="24013"/>
    <cellStyle name="Note 2 10 4 4 2 3" xfId="34858"/>
    <cellStyle name="Note 2 10 4 4 3" xfId="7712"/>
    <cellStyle name="Note 2 10 4 4 3 2" xfId="26684"/>
    <cellStyle name="Note 2 10 4 4 3 3" xfId="37529"/>
    <cellStyle name="Note 2 10 4 4 4" xfId="10371"/>
    <cellStyle name="Note 2 10 4 4 4 2" xfId="29343"/>
    <cellStyle name="Note 2 10 4 4 4 3" xfId="40188"/>
    <cellStyle name="Note 2 10 4 4 5" xfId="21167"/>
    <cellStyle name="Note 2 10 4 4 6" xfId="32012"/>
    <cellStyle name="Note 2 10 4 5" xfId="2578"/>
    <cellStyle name="Note 2 10 4 5 2" xfId="5430"/>
    <cellStyle name="Note 2 10 4 5 2 2" xfId="24402"/>
    <cellStyle name="Note 2 10 4 5 2 3" xfId="35247"/>
    <cellStyle name="Note 2 10 4 5 3" xfId="8101"/>
    <cellStyle name="Note 2 10 4 5 3 2" xfId="27073"/>
    <cellStyle name="Note 2 10 4 5 3 3" xfId="37918"/>
    <cellStyle name="Note 2 10 4 5 4" xfId="10760"/>
    <cellStyle name="Note 2 10 4 5 4 2" xfId="29732"/>
    <cellStyle name="Note 2 10 4 5 4 3" xfId="40577"/>
    <cellStyle name="Note 2 10 4 5 5" xfId="21556"/>
    <cellStyle name="Note 2 10 4 5 6" xfId="32401"/>
    <cellStyle name="Note 2 10 4 6" xfId="2964"/>
    <cellStyle name="Note 2 10 4 6 2" xfId="5815"/>
    <cellStyle name="Note 2 10 4 6 2 2" xfId="24787"/>
    <cellStyle name="Note 2 10 4 6 2 3" xfId="35632"/>
    <cellStyle name="Note 2 10 4 6 3" xfId="8486"/>
    <cellStyle name="Note 2 10 4 6 3 2" xfId="27458"/>
    <cellStyle name="Note 2 10 4 6 3 3" xfId="38303"/>
    <cellStyle name="Note 2 10 4 6 4" xfId="11145"/>
    <cellStyle name="Note 2 10 4 6 4 2" xfId="30117"/>
    <cellStyle name="Note 2 10 4 6 4 3" xfId="40962"/>
    <cellStyle name="Note 2 10 4 6 5" xfId="21941"/>
    <cellStyle name="Note 2 10 4 6 6" xfId="32786"/>
    <cellStyle name="Note 2 10 4 7" xfId="3653"/>
    <cellStyle name="Note 2 10 4 7 2" xfId="22625"/>
    <cellStyle name="Note 2 10 4 7 3" xfId="33470"/>
    <cellStyle name="Note 2 10 4 8" xfId="6328"/>
    <cellStyle name="Note 2 10 4 8 2" xfId="25300"/>
    <cellStyle name="Note 2 10 4 8 3" xfId="36145"/>
    <cellStyle name="Note 2 10 4 9" xfId="8987"/>
    <cellStyle name="Note 2 10 4 9 2" xfId="27959"/>
    <cellStyle name="Note 2 10 4 9 3" xfId="38804"/>
    <cellStyle name="Note 2 10 5" xfId="857"/>
    <cellStyle name="Note 2 10 5 10" xfId="19842"/>
    <cellStyle name="Note 2 10 5 11" xfId="30687"/>
    <cellStyle name="Note 2 10 5 2" xfId="1444"/>
    <cellStyle name="Note 2 10 5 2 2" xfId="4297"/>
    <cellStyle name="Note 2 10 5 2 2 2" xfId="23269"/>
    <cellStyle name="Note 2 10 5 2 2 3" xfId="34114"/>
    <cellStyle name="Note 2 10 5 2 3" xfId="6970"/>
    <cellStyle name="Note 2 10 5 2 3 2" xfId="25942"/>
    <cellStyle name="Note 2 10 5 2 3 3" xfId="36787"/>
    <cellStyle name="Note 2 10 5 2 4" xfId="9629"/>
    <cellStyle name="Note 2 10 5 2 4 2" xfId="28601"/>
    <cellStyle name="Note 2 10 5 2 4 3" xfId="39446"/>
    <cellStyle name="Note 2 10 5 2 5" xfId="20425"/>
    <cellStyle name="Note 2 10 5 2 6" xfId="31270"/>
    <cellStyle name="Note 2 10 5 3" xfId="1843"/>
    <cellStyle name="Note 2 10 5 3 2" xfId="4696"/>
    <cellStyle name="Note 2 10 5 3 2 2" xfId="23668"/>
    <cellStyle name="Note 2 10 5 3 2 3" xfId="34513"/>
    <cellStyle name="Note 2 10 5 3 3" xfId="7368"/>
    <cellStyle name="Note 2 10 5 3 3 2" xfId="26340"/>
    <cellStyle name="Note 2 10 5 3 3 3" xfId="37185"/>
    <cellStyle name="Note 2 10 5 3 4" xfId="10027"/>
    <cellStyle name="Note 2 10 5 3 4 2" xfId="28999"/>
    <cellStyle name="Note 2 10 5 3 4 3" xfId="39844"/>
    <cellStyle name="Note 2 10 5 3 5" xfId="20823"/>
    <cellStyle name="Note 2 10 5 3 6" xfId="31668"/>
    <cellStyle name="Note 2 10 5 4" xfId="2247"/>
    <cellStyle name="Note 2 10 5 4 2" xfId="5100"/>
    <cellStyle name="Note 2 10 5 4 2 2" xfId="24072"/>
    <cellStyle name="Note 2 10 5 4 2 3" xfId="34917"/>
    <cellStyle name="Note 2 10 5 4 3" xfId="7771"/>
    <cellStyle name="Note 2 10 5 4 3 2" xfId="26743"/>
    <cellStyle name="Note 2 10 5 4 3 3" xfId="37588"/>
    <cellStyle name="Note 2 10 5 4 4" xfId="10430"/>
    <cellStyle name="Note 2 10 5 4 4 2" xfId="29402"/>
    <cellStyle name="Note 2 10 5 4 4 3" xfId="40247"/>
    <cellStyle name="Note 2 10 5 4 5" xfId="21226"/>
    <cellStyle name="Note 2 10 5 4 6" xfId="32071"/>
    <cellStyle name="Note 2 10 5 5" xfId="2637"/>
    <cellStyle name="Note 2 10 5 5 2" xfId="5489"/>
    <cellStyle name="Note 2 10 5 5 2 2" xfId="24461"/>
    <cellStyle name="Note 2 10 5 5 2 3" xfId="35306"/>
    <cellStyle name="Note 2 10 5 5 3" xfId="8160"/>
    <cellStyle name="Note 2 10 5 5 3 2" xfId="27132"/>
    <cellStyle name="Note 2 10 5 5 3 3" xfId="37977"/>
    <cellStyle name="Note 2 10 5 5 4" xfId="10819"/>
    <cellStyle name="Note 2 10 5 5 4 2" xfId="29791"/>
    <cellStyle name="Note 2 10 5 5 4 3" xfId="40636"/>
    <cellStyle name="Note 2 10 5 5 5" xfId="21615"/>
    <cellStyle name="Note 2 10 5 5 6" xfId="32460"/>
    <cellStyle name="Note 2 10 5 6" xfId="3023"/>
    <cellStyle name="Note 2 10 5 6 2" xfId="5874"/>
    <cellStyle name="Note 2 10 5 6 2 2" xfId="24846"/>
    <cellStyle name="Note 2 10 5 6 2 3" xfId="35691"/>
    <cellStyle name="Note 2 10 5 6 3" xfId="8545"/>
    <cellStyle name="Note 2 10 5 6 3 2" xfId="27517"/>
    <cellStyle name="Note 2 10 5 6 3 3" xfId="38362"/>
    <cellStyle name="Note 2 10 5 6 4" xfId="11204"/>
    <cellStyle name="Note 2 10 5 6 4 2" xfId="30176"/>
    <cellStyle name="Note 2 10 5 6 4 3" xfId="41021"/>
    <cellStyle name="Note 2 10 5 6 5" xfId="22000"/>
    <cellStyle name="Note 2 10 5 6 6" xfId="32845"/>
    <cellStyle name="Note 2 10 5 7" xfId="3712"/>
    <cellStyle name="Note 2 10 5 7 2" xfId="22684"/>
    <cellStyle name="Note 2 10 5 7 3" xfId="33529"/>
    <cellStyle name="Note 2 10 5 8" xfId="6387"/>
    <cellStyle name="Note 2 10 5 8 2" xfId="25359"/>
    <cellStyle name="Note 2 10 5 8 3" xfId="36204"/>
    <cellStyle name="Note 2 10 5 9" xfId="9046"/>
    <cellStyle name="Note 2 10 5 9 2" xfId="28018"/>
    <cellStyle name="Note 2 10 5 9 3" xfId="38863"/>
    <cellStyle name="Note 2 10 6" xfId="1079"/>
    <cellStyle name="Note 2 10 6 2" xfId="3932"/>
    <cellStyle name="Note 2 10 6 2 2" xfId="22904"/>
    <cellStyle name="Note 2 10 6 2 3" xfId="33749"/>
    <cellStyle name="Note 2 10 6 3" xfId="6606"/>
    <cellStyle name="Note 2 10 6 3 2" xfId="25578"/>
    <cellStyle name="Note 2 10 6 3 3" xfId="36423"/>
    <cellStyle name="Note 2 10 6 4" xfId="9265"/>
    <cellStyle name="Note 2 10 6 4 2" xfId="28237"/>
    <cellStyle name="Note 2 10 6 4 3" xfId="39082"/>
    <cellStyle name="Note 2 10 6 5" xfId="20061"/>
    <cellStyle name="Note 2 10 6 6" xfId="30906"/>
    <cellStyle name="Note 2 10 7" xfId="981"/>
    <cellStyle name="Note 2 10 7 2" xfId="3834"/>
    <cellStyle name="Note 2 10 7 2 2" xfId="22806"/>
    <cellStyle name="Note 2 10 7 2 3" xfId="33651"/>
    <cellStyle name="Note 2 10 7 3" xfId="6509"/>
    <cellStyle name="Note 2 10 7 3 2" xfId="25481"/>
    <cellStyle name="Note 2 10 7 3 3" xfId="36326"/>
    <cellStyle name="Note 2 10 7 4" xfId="9168"/>
    <cellStyle name="Note 2 10 7 4 2" xfId="28140"/>
    <cellStyle name="Note 2 10 7 4 3" xfId="38985"/>
    <cellStyle name="Note 2 10 7 5" xfId="19964"/>
    <cellStyle name="Note 2 10 7 6" xfId="30809"/>
    <cellStyle name="Note 2 10 8" xfId="1007"/>
    <cellStyle name="Note 2 10 8 2" xfId="3860"/>
    <cellStyle name="Note 2 10 8 2 2" xfId="22832"/>
    <cellStyle name="Note 2 10 8 2 3" xfId="33677"/>
    <cellStyle name="Note 2 10 8 3" xfId="6534"/>
    <cellStyle name="Note 2 10 8 3 2" xfId="25506"/>
    <cellStyle name="Note 2 10 8 3 3" xfId="36351"/>
    <cellStyle name="Note 2 10 8 4" xfId="9193"/>
    <cellStyle name="Note 2 10 8 4 2" xfId="28165"/>
    <cellStyle name="Note 2 10 8 4 3" xfId="39010"/>
    <cellStyle name="Note 2 10 8 5" xfId="19989"/>
    <cellStyle name="Note 2 10 8 6" xfId="30834"/>
    <cellStyle name="Note 2 10 9" xfId="933"/>
    <cellStyle name="Note 2 10 9 2" xfId="3787"/>
    <cellStyle name="Note 2 10 9 2 2" xfId="22759"/>
    <cellStyle name="Note 2 10 9 2 3" xfId="33604"/>
    <cellStyle name="Note 2 10 9 3" xfId="6462"/>
    <cellStyle name="Note 2 10 9 3 2" xfId="25434"/>
    <cellStyle name="Note 2 10 9 3 3" xfId="36279"/>
    <cellStyle name="Note 2 10 9 4" xfId="9121"/>
    <cellStyle name="Note 2 10 9 4 2" xfId="28093"/>
    <cellStyle name="Note 2 10 9 4 3" xfId="38938"/>
    <cellStyle name="Note 2 10 9 5" xfId="19917"/>
    <cellStyle name="Note 2 10 9 6" xfId="30762"/>
    <cellStyle name="Note 2 11" xfId="561"/>
    <cellStyle name="Note 2 11 10" xfId="19571"/>
    <cellStyle name="Note 2 11 11" xfId="30416"/>
    <cellStyle name="Note 2 11 2" xfId="1167"/>
    <cellStyle name="Note 2 11 2 2" xfId="4020"/>
    <cellStyle name="Note 2 11 2 2 2" xfId="22992"/>
    <cellStyle name="Note 2 11 2 2 3" xfId="33837"/>
    <cellStyle name="Note 2 11 2 3" xfId="6693"/>
    <cellStyle name="Note 2 11 2 3 2" xfId="25665"/>
    <cellStyle name="Note 2 11 2 3 3" xfId="36510"/>
    <cellStyle name="Note 2 11 2 4" xfId="9352"/>
    <cellStyle name="Note 2 11 2 4 2" xfId="28324"/>
    <cellStyle name="Note 2 11 2 4 3" xfId="39169"/>
    <cellStyle name="Note 2 11 2 5" xfId="20148"/>
    <cellStyle name="Note 2 11 2 6" xfId="30993"/>
    <cellStyle name="Note 2 11 3" xfId="1564"/>
    <cellStyle name="Note 2 11 3 2" xfId="4417"/>
    <cellStyle name="Note 2 11 3 2 2" xfId="23389"/>
    <cellStyle name="Note 2 11 3 2 3" xfId="34234"/>
    <cellStyle name="Note 2 11 3 3" xfId="7089"/>
    <cellStyle name="Note 2 11 3 3 2" xfId="26061"/>
    <cellStyle name="Note 2 11 3 3 3" xfId="36906"/>
    <cellStyle name="Note 2 11 3 4" xfId="9748"/>
    <cellStyle name="Note 2 11 3 4 2" xfId="28720"/>
    <cellStyle name="Note 2 11 3 4 3" xfId="39565"/>
    <cellStyle name="Note 2 11 3 5" xfId="20544"/>
    <cellStyle name="Note 2 11 3 6" xfId="31389"/>
    <cellStyle name="Note 2 11 4" xfId="1968"/>
    <cellStyle name="Note 2 11 4 2" xfId="4821"/>
    <cellStyle name="Note 2 11 4 2 2" xfId="23793"/>
    <cellStyle name="Note 2 11 4 2 3" xfId="34638"/>
    <cellStyle name="Note 2 11 4 3" xfId="7493"/>
    <cellStyle name="Note 2 11 4 3 2" xfId="26465"/>
    <cellStyle name="Note 2 11 4 3 3" xfId="37310"/>
    <cellStyle name="Note 2 11 4 4" xfId="10152"/>
    <cellStyle name="Note 2 11 4 4 2" xfId="29124"/>
    <cellStyle name="Note 2 11 4 4 3" xfId="39969"/>
    <cellStyle name="Note 2 11 4 5" xfId="20948"/>
    <cellStyle name="Note 2 11 4 6" xfId="31793"/>
    <cellStyle name="Note 2 11 5" xfId="2360"/>
    <cellStyle name="Note 2 11 5 2" xfId="5213"/>
    <cellStyle name="Note 2 11 5 2 2" xfId="24185"/>
    <cellStyle name="Note 2 11 5 2 3" xfId="35030"/>
    <cellStyle name="Note 2 11 5 3" xfId="7884"/>
    <cellStyle name="Note 2 11 5 3 2" xfId="26856"/>
    <cellStyle name="Note 2 11 5 3 3" xfId="37701"/>
    <cellStyle name="Note 2 11 5 4" xfId="10543"/>
    <cellStyle name="Note 2 11 5 4 2" xfId="29515"/>
    <cellStyle name="Note 2 11 5 4 3" xfId="40360"/>
    <cellStyle name="Note 2 11 5 5" xfId="21339"/>
    <cellStyle name="Note 2 11 5 6" xfId="32184"/>
    <cellStyle name="Note 2 11 6" xfId="2749"/>
    <cellStyle name="Note 2 11 6 2" xfId="5601"/>
    <cellStyle name="Note 2 11 6 2 2" xfId="24573"/>
    <cellStyle name="Note 2 11 6 2 3" xfId="35418"/>
    <cellStyle name="Note 2 11 6 3" xfId="8272"/>
    <cellStyle name="Note 2 11 6 3 2" xfId="27244"/>
    <cellStyle name="Note 2 11 6 3 3" xfId="38089"/>
    <cellStyle name="Note 2 11 6 4" xfId="10931"/>
    <cellStyle name="Note 2 11 6 4 2" xfId="29903"/>
    <cellStyle name="Note 2 11 6 4 3" xfId="40748"/>
    <cellStyle name="Note 2 11 6 5" xfId="21727"/>
    <cellStyle name="Note 2 11 6 6" xfId="32572"/>
    <cellStyle name="Note 2 11 7" xfId="3440"/>
    <cellStyle name="Note 2 11 7 2" xfId="22412"/>
    <cellStyle name="Note 2 11 7 3" xfId="33257"/>
    <cellStyle name="Note 2 11 8" xfId="6116"/>
    <cellStyle name="Note 2 11 8 2" xfId="25088"/>
    <cellStyle name="Note 2 11 8 3" xfId="35933"/>
    <cellStyle name="Note 2 11 9" xfId="8775"/>
    <cellStyle name="Note 2 11 9 2" xfId="27747"/>
    <cellStyle name="Note 2 11 9 3" xfId="38592"/>
    <cellStyle name="Note 2 2" xfId="127"/>
    <cellStyle name="Note 2 2 2" xfId="191"/>
    <cellStyle name="Note 2 2 2 2" xfId="415"/>
    <cellStyle name="Note 2 2 2 2 10" xfId="2702"/>
    <cellStyle name="Note 2 2 2 2 10 2" xfId="5554"/>
    <cellStyle name="Note 2 2 2 2 10 2 2" xfId="24526"/>
    <cellStyle name="Note 2 2 2 2 10 2 3" xfId="35371"/>
    <cellStyle name="Note 2 2 2 2 10 3" xfId="8225"/>
    <cellStyle name="Note 2 2 2 2 10 3 2" xfId="27197"/>
    <cellStyle name="Note 2 2 2 2 10 3 3" xfId="38042"/>
    <cellStyle name="Note 2 2 2 2 10 4" xfId="10884"/>
    <cellStyle name="Note 2 2 2 2 10 4 2" xfId="29856"/>
    <cellStyle name="Note 2 2 2 2 10 4 3" xfId="40701"/>
    <cellStyle name="Note 2 2 2 2 10 5" xfId="21680"/>
    <cellStyle name="Note 2 2 2 2 10 6" xfId="32525"/>
    <cellStyle name="Note 2 2 2 2 11" xfId="3087"/>
    <cellStyle name="Note 2 2 2 2 11 2" xfId="5938"/>
    <cellStyle name="Note 2 2 2 2 11 2 2" xfId="24910"/>
    <cellStyle name="Note 2 2 2 2 11 2 3" xfId="35755"/>
    <cellStyle name="Note 2 2 2 2 11 3" xfId="8609"/>
    <cellStyle name="Note 2 2 2 2 11 3 2" xfId="27581"/>
    <cellStyle name="Note 2 2 2 2 11 3 3" xfId="38426"/>
    <cellStyle name="Note 2 2 2 2 11 4" xfId="11268"/>
    <cellStyle name="Note 2 2 2 2 11 4 2" xfId="30240"/>
    <cellStyle name="Note 2 2 2 2 11 4 3" xfId="41085"/>
    <cellStyle name="Note 2 2 2 2 11 5" xfId="22064"/>
    <cellStyle name="Note 2 2 2 2 11 6" xfId="32909"/>
    <cellStyle name="Note 2 2 2 2 12" xfId="3144"/>
    <cellStyle name="Note 2 2 2 2 12 2" xfId="5995"/>
    <cellStyle name="Note 2 2 2 2 12 2 2" xfId="24967"/>
    <cellStyle name="Note 2 2 2 2 12 2 3" xfId="35812"/>
    <cellStyle name="Note 2 2 2 2 12 3" xfId="8666"/>
    <cellStyle name="Note 2 2 2 2 12 3 2" xfId="27638"/>
    <cellStyle name="Note 2 2 2 2 12 3 3" xfId="38483"/>
    <cellStyle name="Note 2 2 2 2 12 4" xfId="11325"/>
    <cellStyle name="Note 2 2 2 2 12 4 2" xfId="30297"/>
    <cellStyle name="Note 2 2 2 2 12 4 3" xfId="41142"/>
    <cellStyle name="Note 2 2 2 2 12 5" xfId="22121"/>
    <cellStyle name="Note 2 2 2 2 12 6" xfId="32966"/>
    <cellStyle name="Note 2 2 2 2 13" xfId="3201"/>
    <cellStyle name="Note 2 2 2 2 13 2" xfId="6052"/>
    <cellStyle name="Note 2 2 2 2 13 2 2" xfId="25024"/>
    <cellStyle name="Note 2 2 2 2 13 2 3" xfId="35869"/>
    <cellStyle name="Note 2 2 2 2 13 3" xfId="8723"/>
    <cellStyle name="Note 2 2 2 2 13 3 2" xfId="27695"/>
    <cellStyle name="Note 2 2 2 2 13 3 3" xfId="38540"/>
    <cellStyle name="Note 2 2 2 2 13 4" xfId="11382"/>
    <cellStyle name="Note 2 2 2 2 13 4 2" xfId="30354"/>
    <cellStyle name="Note 2 2 2 2 13 4 3" xfId="41199"/>
    <cellStyle name="Note 2 2 2 2 13 5" xfId="22178"/>
    <cellStyle name="Note 2 2 2 2 13 6" xfId="33023"/>
    <cellStyle name="Note 2 2 2 2 14" xfId="3369"/>
    <cellStyle name="Note 2 2 2 2 14 2" xfId="22343"/>
    <cellStyle name="Note 2 2 2 2 14 3" xfId="33188"/>
    <cellStyle name="Note 2 2 2 2 15" xfId="518"/>
    <cellStyle name="Note 2 2 2 2 15 2" xfId="19539"/>
    <cellStyle name="Note 2 2 2 2 15 3" xfId="30384"/>
    <cellStyle name="Note 2 2 2 2 16" xfId="501"/>
    <cellStyle name="Note 2 2 2 2 16 2" xfId="19534"/>
    <cellStyle name="Note 2 2 2 2 16 3" xfId="30379"/>
    <cellStyle name="Note 2 2 2 2 17" xfId="19498"/>
    <cellStyle name="Note 2 2 2 2 18" xfId="19412"/>
    <cellStyle name="Note 2 2 2 2 2" xfId="710"/>
    <cellStyle name="Note 2 2 2 2 2 10" xfId="19695"/>
    <cellStyle name="Note 2 2 2 2 2 11" xfId="30540"/>
    <cellStyle name="Note 2 2 2 2 2 2" xfId="1297"/>
    <cellStyle name="Note 2 2 2 2 2 2 2" xfId="4150"/>
    <cellStyle name="Note 2 2 2 2 2 2 2 2" xfId="23122"/>
    <cellStyle name="Note 2 2 2 2 2 2 2 3" xfId="33967"/>
    <cellStyle name="Note 2 2 2 2 2 2 3" xfId="6823"/>
    <cellStyle name="Note 2 2 2 2 2 2 3 2" xfId="25795"/>
    <cellStyle name="Note 2 2 2 2 2 2 3 3" xfId="36640"/>
    <cellStyle name="Note 2 2 2 2 2 2 4" xfId="9482"/>
    <cellStyle name="Note 2 2 2 2 2 2 4 2" xfId="28454"/>
    <cellStyle name="Note 2 2 2 2 2 2 4 3" xfId="39299"/>
    <cellStyle name="Note 2 2 2 2 2 2 5" xfId="20278"/>
    <cellStyle name="Note 2 2 2 2 2 2 6" xfId="31123"/>
    <cellStyle name="Note 2 2 2 2 2 3" xfId="1696"/>
    <cellStyle name="Note 2 2 2 2 2 3 2" xfId="4549"/>
    <cellStyle name="Note 2 2 2 2 2 3 2 2" xfId="23521"/>
    <cellStyle name="Note 2 2 2 2 2 3 2 3" xfId="34366"/>
    <cellStyle name="Note 2 2 2 2 2 3 3" xfId="7221"/>
    <cellStyle name="Note 2 2 2 2 2 3 3 2" xfId="26193"/>
    <cellStyle name="Note 2 2 2 2 2 3 3 3" xfId="37038"/>
    <cellStyle name="Note 2 2 2 2 2 3 4" xfId="9880"/>
    <cellStyle name="Note 2 2 2 2 2 3 4 2" xfId="28852"/>
    <cellStyle name="Note 2 2 2 2 2 3 4 3" xfId="39697"/>
    <cellStyle name="Note 2 2 2 2 2 3 5" xfId="20676"/>
    <cellStyle name="Note 2 2 2 2 2 3 6" xfId="31521"/>
    <cellStyle name="Note 2 2 2 2 2 4" xfId="2100"/>
    <cellStyle name="Note 2 2 2 2 2 4 2" xfId="4953"/>
    <cellStyle name="Note 2 2 2 2 2 4 2 2" xfId="23925"/>
    <cellStyle name="Note 2 2 2 2 2 4 2 3" xfId="34770"/>
    <cellStyle name="Note 2 2 2 2 2 4 3" xfId="7624"/>
    <cellStyle name="Note 2 2 2 2 2 4 3 2" xfId="26596"/>
    <cellStyle name="Note 2 2 2 2 2 4 3 3" xfId="37441"/>
    <cellStyle name="Note 2 2 2 2 2 4 4" xfId="10283"/>
    <cellStyle name="Note 2 2 2 2 2 4 4 2" xfId="29255"/>
    <cellStyle name="Note 2 2 2 2 2 4 4 3" xfId="40100"/>
    <cellStyle name="Note 2 2 2 2 2 4 5" xfId="21079"/>
    <cellStyle name="Note 2 2 2 2 2 4 6" xfId="31924"/>
    <cellStyle name="Note 2 2 2 2 2 5" xfId="2490"/>
    <cellStyle name="Note 2 2 2 2 2 5 2" xfId="5342"/>
    <cellStyle name="Note 2 2 2 2 2 5 2 2" xfId="24314"/>
    <cellStyle name="Note 2 2 2 2 2 5 2 3" xfId="35159"/>
    <cellStyle name="Note 2 2 2 2 2 5 3" xfId="8013"/>
    <cellStyle name="Note 2 2 2 2 2 5 3 2" xfId="26985"/>
    <cellStyle name="Note 2 2 2 2 2 5 3 3" xfId="37830"/>
    <cellStyle name="Note 2 2 2 2 2 5 4" xfId="10672"/>
    <cellStyle name="Note 2 2 2 2 2 5 4 2" xfId="29644"/>
    <cellStyle name="Note 2 2 2 2 2 5 4 3" xfId="40489"/>
    <cellStyle name="Note 2 2 2 2 2 5 5" xfId="21468"/>
    <cellStyle name="Note 2 2 2 2 2 5 6" xfId="32313"/>
    <cellStyle name="Note 2 2 2 2 2 6" xfId="2876"/>
    <cellStyle name="Note 2 2 2 2 2 6 2" xfId="5727"/>
    <cellStyle name="Note 2 2 2 2 2 6 2 2" xfId="24699"/>
    <cellStyle name="Note 2 2 2 2 2 6 2 3" xfId="35544"/>
    <cellStyle name="Note 2 2 2 2 2 6 3" xfId="8398"/>
    <cellStyle name="Note 2 2 2 2 2 6 3 2" xfId="27370"/>
    <cellStyle name="Note 2 2 2 2 2 6 3 3" xfId="38215"/>
    <cellStyle name="Note 2 2 2 2 2 6 4" xfId="11057"/>
    <cellStyle name="Note 2 2 2 2 2 6 4 2" xfId="30029"/>
    <cellStyle name="Note 2 2 2 2 2 6 4 3" xfId="40874"/>
    <cellStyle name="Note 2 2 2 2 2 6 5" xfId="21853"/>
    <cellStyle name="Note 2 2 2 2 2 6 6" xfId="32698"/>
    <cellStyle name="Note 2 2 2 2 2 7" xfId="3565"/>
    <cellStyle name="Note 2 2 2 2 2 7 2" xfId="22537"/>
    <cellStyle name="Note 2 2 2 2 2 7 3" xfId="33382"/>
    <cellStyle name="Note 2 2 2 2 2 8" xfId="6240"/>
    <cellStyle name="Note 2 2 2 2 2 8 2" xfId="25212"/>
    <cellStyle name="Note 2 2 2 2 2 8 3" xfId="36057"/>
    <cellStyle name="Note 2 2 2 2 2 9" xfId="8899"/>
    <cellStyle name="Note 2 2 2 2 2 9 2" xfId="27871"/>
    <cellStyle name="Note 2 2 2 2 2 9 3" xfId="38716"/>
    <cellStyle name="Note 2 2 2 2 3" xfId="769"/>
    <cellStyle name="Note 2 2 2 2 3 10" xfId="19754"/>
    <cellStyle name="Note 2 2 2 2 3 11" xfId="30599"/>
    <cellStyle name="Note 2 2 2 2 3 2" xfId="1356"/>
    <cellStyle name="Note 2 2 2 2 3 2 2" xfId="4209"/>
    <cellStyle name="Note 2 2 2 2 3 2 2 2" xfId="23181"/>
    <cellStyle name="Note 2 2 2 2 3 2 2 3" xfId="34026"/>
    <cellStyle name="Note 2 2 2 2 3 2 3" xfId="6882"/>
    <cellStyle name="Note 2 2 2 2 3 2 3 2" xfId="25854"/>
    <cellStyle name="Note 2 2 2 2 3 2 3 3" xfId="36699"/>
    <cellStyle name="Note 2 2 2 2 3 2 4" xfId="9541"/>
    <cellStyle name="Note 2 2 2 2 3 2 4 2" xfId="28513"/>
    <cellStyle name="Note 2 2 2 2 3 2 4 3" xfId="39358"/>
    <cellStyle name="Note 2 2 2 2 3 2 5" xfId="20337"/>
    <cellStyle name="Note 2 2 2 2 3 2 6" xfId="31182"/>
    <cellStyle name="Note 2 2 2 2 3 3" xfId="1755"/>
    <cellStyle name="Note 2 2 2 2 3 3 2" xfId="4608"/>
    <cellStyle name="Note 2 2 2 2 3 3 2 2" xfId="23580"/>
    <cellStyle name="Note 2 2 2 2 3 3 2 3" xfId="34425"/>
    <cellStyle name="Note 2 2 2 2 3 3 3" xfId="7280"/>
    <cellStyle name="Note 2 2 2 2 3 3 3 2" xfId="26252"/>
    <cellStyle name="Note 2 2 2 2 3 3 3 3" xfId="37097"/>
    <cellStyle name="Note 2 2 2 2 3 3 4" xfId="9939"/>
    <cellStyle name="Note 2 2 2 2 3 3 4 2" xfId="28911"/>
    <cellStyle name="Note 2 2 2 2 3 3 4 3" xfId="39756"/>
    <cellStyle name="Note 2 2 2 2 3 3 5" xfId="20735"/>
    <cellStyle name="Note 2 2 2 2 3 3 6" xfId="31580"/>
    <cellStyle name="Note 2 2 2 2 3 4" xfId="2159"/>
    <cellStyle name="Note 2 2 2 2 3 4 2" xfId="5012"/>
    <cellStyle name="Note 2 2 2 2 3 4 2 2" xfId="23984"/>
    <cellStyle name="Note 2 2 2 2 3 4 2 3" xfId="34829"/>
    <cellStyle name="Note 2 2 2 2 3 4 3" xfId="7683"/>
    <cellStyle name="Note 2 2 2 2 3 4 3 2" xfId="26655"/>
    <cellStyle name="Note 2 2 2 2 3 4 3 3" xfId="37500"/>
    <cellStyle name="Note 2 2 2 2 3 4 4" xfId="10342"/>
    <cellStyle name="Note 2 2 2 2 3 4 4 2" xfId="29314"/>
    <cellStyle name="Note 2 2 2 2 3 4 4 3" xfId="40159"/>
    <cellStyle name="Note 2 2 2 2 3 4 5" xfId="21138"/>
    <cellStyle name="Note 2 2 2 2 3 4 6" xfId="31983"/>
    <cellStyle name="Note 2 2 2 2 3 5" xfId="2549"/>
    <cellStyle name="Note 2 2 2 2 3 5 2" xfId="5401"/>
    <cellStyle name="Note 2 2 2 2 3 5 2 2" xfId="24373"/>
    <cellStyle name="Note 2 2 2 2 3 5 2 3" xfId="35218"/>
    <cellStyle name="Note 2 2 2 2 3 5 3" xfId="8072"/>
    <cellStyle name="Note 2 2 2 2 3 5 3 2" xfId="27044"/>
    <cellStyle name="Note 2 2 2 2 3 5 3 3" xfId="37889"/>
    <cellStyle name="Note 2 2 2 2 3 5 4" xfId="10731"/>
    <cellStyle name="Note 2 2 2 2 3 5 4 2" xfId="29703"/>
    <cellStyle name="Note 2 2 2 2 3 5 4 3" xfId="40548"/>
    <cellStyle name="Note 2 2 2 2 3 5 5" xfId="21527"/>
    <cellStyle name="Note 2 2 2 2 3 5 6" xfId="32372"/>
    <cellStyle name="Note 2 2 2 2 3 6" xfId="2935"/>
    <cellStyle name="Note 2 2 2 2 3 6 2" xfId="5786"/>
    <cellStyle name="Note 2 2 2 2 3 6 2 2" xfId="24758"/>
    <cellStyle name="Note 2 2 2 2 3 6 2 3" xfId="35603"/>
    <cellStyle name="Note 2 2 2 2 3 6 3" xfId="8457"/>
    <cellStyle name="Note 2 2 2 2 3 6 3 2" xfId="27429"/>
    <cellStyle name="Note 2 2 2 2 3 6 3 3" xfId="38274"/>
    <cellStyle name="Note 2 2 2 2 3 6 4" xfId="11116"/>
    <cellStyle name="Note 2 2 2 2 3 6 4 2" xfId="30088"/>
    <cellStyle name="Note 2 2 2 2 3 6 4 3" xfId="40933"/>
    <cellStyle name="Note 2 2 2 2 3 6 5" xfId="21912"/>
    <cellStyle name="Note 2 2 2 2 3 6 6" xfId="32757"/>
    <cellStyle name="Note 2 2 2 2 3 7" xfId="3624"/>
    <cellStyle name="Note 2 2 2 2 3 7 2" xfId="22596"/>
    <cellStyle name="Note 2 2 2 2 3 7 3" xfId="33441"/>
    <cellStyle name="Note 2 2 2 2 3 8" xfId="6299"/>
    <cellStyle name="Note 2 2 2 2 3 8 2" xfId="25271"/>
    <cellStyle name="Note 2 2 2 2 3 8 3" xfId="36116"/>
    <cellStyle name="Note 2 2 2 2 3 9" xfId="8958"/>
    <cellStyle name="Note 2 2 2 2 3 9 2" xfId="27930"/>
    <cellStyle name="Note 2 2 2 2 3 9 3" xfId="38775"/>
    <cellStyle name="Note 2 2 2 2 4" xfId="829"/>
    <cellStyle name="Note 2 2 2 2 4 10" xfId="19814"/>
    <cellStyle name="Note 2 2 2 2 4 11" xfId="30659"/>
    <cellStyle name="Note 2 2 2 2 4 2" xfId="1416"/>
    <cellStyle name="Note 2 2 2 2 4 2 2" xfId="4269"/>
    <cellStyle name="Note 2 2 2 2 4 2 2 2" xfId="23241"/>
    <cellStyle name="Note 2 2 2 2 4 2 2 3" xfId="34086"/>
    <cellStyle name="Note 2 2 2 2 4 2 3" xfId="6942"/>
    <cellStyle name="Note 2 2 2 2 4 2 3 2" xfId="25914"/>
    <cellStyle name="Note 2 2 2 2 4 2 3 3" xfId="36759"/>
    <cellStyle name="Note 2 2 2 2 4 2 4" xfId="9601"/>
    <cellStyle name="Note 2 2 2 2 4 2 4 2" xfId="28573"/>
    <cellStyle name="Note 2 2 2 2 4 2 4 3" xfId="39418"/>
    <cellStyle name="Note 2 2 2 2 4 2 5" xfId="20397"/>
    <cellStyle name="Note 2 2 2 2 4 2 6" xfId="31242"/>
    <cellStyle name="Note 2 2 2 2 4 3" xfId="1815"/>
    <cellStyle name="Note 2 2 2 2 4 3 2" xfId="4668"/>
    <cellStyle name="Note 2 2 2 2 4 3 2 2" xfId="23640"/>
    <cellStyle name="Note 2 2 2 2 4 3 2 3" xfId="34485"/>
    <cellStyle name="Note 2 2 2 2 4 3 3" xfId="7340"/>
    <cellStyle name="Note 2 2 2 2 4 3 3 2" xfId="26312"/>
    <cellStyle name="Note 2 2 2 2 4 3 3 3" xfId="37157"/>
    <cellStyle name="Note 2 2 2 2 4 3 4" xfId="9999"/>
    <cellStyle name="Note 2 2 2 2 4 3 4 2" xfId="28971"/>
    <cellStyle name="Note 2 2 2 2 4 3 4 3" xfId="39816"/>
    <cellStyle name="Note 2 2 2 2 4 3 5" xfId="20795"/>
    <cellStyle name="Note 2 2 2 2 4 3 6" xfId="31640"/>
    <cellStyle name="Note 2 2 2 2 4 4" xfId="2219"/>
    <cellStyle name="Note 2 2 2 2 4 4 2" xfId="5072"/>
    <cellStyle name="Note 2 2 2 2 4 4 2 2" xfId="24044"/>
    <cellStyle name="Note 2 2 2 2 4 4 2 3" xfId="34889"/>
    <cellStyle name="Note 2 2 2 2 4 4 3" xfId="7743"/>
    <cellStyle name="Note 2 2 2 2 4 4 3 2" xfId="26715"/>
    <cellStyle name="Note 2 2 2 2 4 4 3 3" xfId="37560"/>
    <cellStyle name="Note 2 2 2 2 4 4 4" xfId="10402"/>
    <cellStyle name="Note 2 2 2 2 4 4 4 2" xfId="29374"/>
    <cellStyle name="Note 2 2 2 2 4 4 4 3" xfId="40219"/>
    <cellStyle name="Note 2 2 2 2 4 4 5" xfId="21198"/>
    <cellStyle name="Note 2 2 2 2 4 4 6" xfId="32043"/>
    <cellStyle name="Note 2 2 2 2 4 5" xfId="2609"/>
    <cellStyle name="Note 2 2 2 2 4 5 2" xfId="5461"/>
    <cellStyle name="Note 2 2 2 2 4 5 2 2" xfId="24433"/>
    <cellStyle name="Note 2 2 2 2 4 5 2 3" xfId="35278"/>
    <cellStyle name="Note 2 2 2 2 4 5 3" xfId="8132"/>
    <cellStyle name="Note 2 2 2 2 4 5 3 2" xfId="27104"/>
    <cellStyle name="Note 2 2 2 2 4 5 3 3" xfId="37949"/>
    <cellStyle name="Note 2 2 2 2 4 5 4" xfId="10791"/>
    <cellStyle name="Note 2 2 2 2 4 5 4 2" xfId="29763"/>
    <cellStyle name="Note 2 2 2 2 4 5 4 3" xfId="40608"/>
    <cellStyle name="Note 2 2 2 2 4 5 5" xfId="21587"/>
    <cellStyle name="Note 2 2 2 2 4 5 6" xfId="32432"/>
    <cellStyle name="Note 2 2 2 2 4 6" xfId="2995"/>
    <cellStyle name="Note 2 2 2 2 4 6 2" xfId="5846"/>
    <cellStyle name="Note 2 2 2 2 4 6 2 2" xfId="24818"/>
    <cellStyle name="Note 2 2 2 2 4 6 2 3" xfId="35663"/>
    <cellStyle name="Note 2 2 2 2 4 6 3" xfId="8517"/>
    <cellStyle name="Note 2 2 2 2 4 6 3 2" xfId="27489"/>
    <cellStyle name="Note 2 2 2 2 4 6 3 3" xfId="38334"/>
    <cellStyle name="Note 2 2 2 2 4 6 4" xfId="11176"/>
    <cellStyle name="Note 2 2 2 2 4 6 4 2" xfId="30148"/>
    <cellStyle name="Note 2 2 2 2 4 6 4 3" xfId="40993"/>
    <cellStyle name="Note 2 2 2 2 4 6 5" xfId="21972"/>
    <cellStyle name="Note 2 2 2 2 4 6 6" xfId="32817"/>
    <cellStyle name="Note 2 2 2 2 4 7" xfId="3684"/>
    <cellStyle name="Note 2 2 2 2 4 7 2" xfId="22656"/>
    <cellStyle name="Note 2 2 2 2 4 7 3" xfId="33501"/>
    <cellStyle name="Note 2 2 2 2 4 8" xfId="6359"/>
    <cellStyle name="Note 2 2 2 2 4 8 2" xfId="25331"/>
    <cellStyle name="Note 2 2 2 2 4 8 3" xfId="36176"/>
    <cellStyle name="Note 2 2 2 2 4 9" xfId="9018"/>
    <cellStyle name="Note 2 2 2 2 4 9 2" xfId="27990"/>
    <cellStyle name="Note 2 2 2 2 4 9 3" xfId="38835"/>
    <cellStyle name="Note 2 2 2 2 5" xfId="888"/>
    <cellStyle name="Note 2 2 2 2 5 10" xfId="19873"/>
    <cellStyle name="Note 2 2 2 2 5 11" xfId="30718"/>
    <cellStyle name="Note 2 2 2 2 5 2" xfId="1475"/>
    <cellStyle name="Note 2 2 2 2 5 2 2" xfId="4328"/>
    <cellStyle name="Note 2 2 2 2 5 2 2 2" xfId="23300"/>
    <cellStyle name="Note 2 2 2 2 5 2 2 3" xfId="34145"/>
    <cellStyle name="Note 2 2 2 2 5 2 3" xfId="7001"/>
    <cellStyle name="Note 2 2 2 2 5 2 3 2" xfId="25973"/>
    <cellStyle name="Note 2 2 2 2 5 2 3 3" xfId="36818"/>
    <cellStyle name="Note 2 2 2 2 5 2 4" xfId="9660"/>
    <cellStyle name="Note 2 2 2 2 5 2 4 2" xfId="28632"/>
    <cellStyle name="Note 2 2 2 2 5 2 4 3" xfId="39477"/>
    <cellStyle name="Note 2 2 2 2 5 2 5" xfId="20456"/>
    <cellStyle name="Note 2 2 2 2 5 2 6" xfId="31301"/>
    <cellStyle name="Note 2 2 2 2 5 3" xfId="1874"/>
    <cellStyle name="Note 2 2 2 2 5 3 2" xfId="4727"/>
    <cellStyle name="Note 2 2 2 2 5 3 2 2" xfId="23699"/>
    <cellStyle name="Note 2 2 2 2 5 3 2 3" xfId="34544"/>
    <cellStyle name="Note 2 2 2 2 5 3 3" xfId="7399"/>
    <cellStyle name="Note 2 2 2 2 5 3 3 2" xfId="26371"/>
    <cellStyle name="Note 2 2 2 2 5 3 3 3" xfId="37216"/>
    <cellStyle name="Note 2 2 2 2 5 3 4" xfId="10058"/>
    <cellStyle name="Note 2 2 2 2 5 3 4 2" xfId="29030"/>
    <cellStyle name="Note 2 2 2 2 5 3 4 3" xfId="39875"/>
    <cellStyle name="Note 2 2 2 2 5 3 5" xfId="20854"/>
    <cellStyle name="Note 2 2 2 2 5 3 6" xfId="31699"/>
    <cellStyle name="Note 2 2 2 2 5 4" xfId="2278"/>
    <cellStyle name="Note 2 2 2 2 5 4 2" xfId="5131"/>
    <cellStyle name="Note 2 2 2 2 5 4 2 2" xfId="24103"/>
    <cellStyle name="Note 2 2 2 2 5 4 2 3" xfId="34948"/>
    <cellStyle name="Note 2 2 2 2 5 4 3" xfId="7802"/>
    <cellStyle name="Note 2 2 2 2 5 4 3 2" xfId="26774"/>
    <cellStyle name="Note 2 2 2 2 5 4 3 3" xfId="37619"/>
    <cellStyle name="Note 2 2 2 2 5 4 4" xfId="10461"/>
    <cellStyle name="Note 2 2 2 2 5 4 4 2" xfId="29433"/>
    <cellStyle name="Note 2 2 2 2 5 4 4 3" xfId="40278"/>
    <cellStyle name="Note 2 2 2 2 5 4 5" xfId="21257"/>
    <cellStyle name="Note 2 2 2 2 5 4 6" xfId="32102"/>
    <cellStyle name="Note 2 2 2 2 5 5" xfId="2668"/>
    <cellStyle name="Note 2 2 2 2 5 5 2" xfId="5520"/>
    <cellStyle name="Note 2 2 2 2 5 5 2 2" xfId="24492"/>
    <cellStyle name="Note 2 2 2 2 5 5 2 3" xfId="35337"/>
    <cellStyle name="Note 2 2 2 2 5 5 3" xfId="8191"/>
    <cellStyle name="Note 2 2 2 2 5 5 3 2" xfId="27163"/>
    <cellStyle name="Note 2 2 2 2 5 5 3 3" xfId="38008"/>
    <cellStyle name="Note 2 2 2 2 5 5 4" xfId="10850"/>
    <cellStyle name="Note 2 2 2 2 5 5 4 2" xfId="29822"/>
    <cellStyle name="Note 2 2 2 2 5 5 4 3" xfId="40667"/>
    <cellStyle name="Note 2 2 2 2 5 5 5" xfId="21646"/>
    <cellStyle name="Note 2 2 2 2 5 5 6" xfId="32491"/>
    <cellStyle name="Note 2 2 2 2 5 6" xfId="3054"/>
    <cellStyle name="Note 2 2 2 2 5 6 2" xfId="5905"/>
    <cellStyle name="Note 2 2 2 2 5 6 2 2" xfId="24877"/>
    <cellStyle name="Note 2 2 2 2 5 6 2 3" xfId="35722"/>
    <cellStyle name="Note 2 2 2 2 5 6 3" xfId="8576"/>
    <cellStyle name="Note 2 2 2 2 5 6 3 2" xfId="27548"/>
    <cellStyle name="Note 2 2 2 2 5 6 3 3" xfId="38393"/>
    <cellStyle name="Note 2 2 2 2 5 6 4" xfId="11235"/>
    <cellStyle name="Note 2 2 2 2 5 6 4 2" xfId="30207"/>
    <cellStyle name="Note 2 2 2 2 5 6 4 3" xfId="41052"/>
    <cellStyle name="Note 2 2 2 2 5 6 5" xfId="22031"/>
    <cellStyle name="Note 2 2 2 2 5 6 6" xfId="32876"/>
    <cellStyle name="Note 2 2 2 2 5 7" xfId="3743"/>
    <cellStyle name="Note 2 2 2 2 5 7 2" xfId="22715"/>
    <cellStyle name="Note 2 2 2 2 5 7 3" xfId="33560"/>
    <cellStyle name="Note 2 2 2 2 5 8" xfId="6418"/>
    <cellStyle name="Note 2 2 2 2 5 8 2" xfId="25390"/>
    <cellStyle name="Note 2 2 2 2 5 8 3" xfId="36235"/>
    <cellStyle name="Note 2 2 2 2 5 9" xfId="9077"/>
    <cellStyle name="Note 2 2 2 2 5 9 2" xfId="28049"/>
    <cellStyle name="Note 2 2 2 2 5 9 3" xfId="38894"/>
    <cellStyle name="Note 2 2 2 2 6" xfId="1114"/>
    <cellStyle name="Note 2 2 2 2 6 2" xfId="3967"/>
    <cellStyle name="Note 2 2 2 2 6 2 2" xfId="22939"/>
    <cellStyle name="Note 2 2 2 2 6 2 3" xfId="33784"/>
    <cellStyle name="Note 2 2 2 2 6 3" xfId="6641"/>
    <cellStyle name="Note 2 2 2 2 6 3 2" xfId="25613"/>
    <cellStyle name="Note 2 2 2 2 6 3 3" xfId="36458"/>
    <cellStyle name="Note 2 2 2 2 6 4" xfId="9300"/>
    <cellStyle name="Note 2 2 2 2 6 4 2" xfId="28272"/>
    <cellStyle name="Note 2 2 2 2 6 4 3" xfId="39117"/>
    <cellStyle name="Note 2 2 2 2 6 5" xfId="20096"/>
    <cellStyle name="Note 2 2 2 2 6 6" xfId="30941"/>
    <cellStyle name="Note 2 2 2 2 7" xfId="1512"/>
    <cellStyle name="Note 2 2 2 2 7 2" xfId="4365"/>
    <cellStyle name="Note 2 2 2 2 7 2 2" xfId="23337"/>
    <cellStyle name="Note 2 2 2 2 7 2 3" xfId="34182"/>
    <cellStyle name="Note 2 2 2 2 7 3" xfId="7038"/>
    <cellStyle name="Note 2 2 2 2 7 3 2" xfId="26010"/>
    <cellStyle name="Note 2 2 2 2 7 3 3" xfId="36855"/>
    <cellStyle name="Note 2 2 2 2 7 4" xfId="9697"/>
    <cellStyle name="Note 2 2 2 2 7 4 2" xfId="28669"/>
    <cellStyle name="Note 2 2 2 2 7 4 3" xfId="39514"/>
    <cellStyle name="Note 2 2 2 2 7 5" xfId="20493"/>
    <cellStyle name="Note 2 2 2 2 7 6" xfId="31338"/>
    <cellStyle name="Note 2 2 2 2 8" xfId="1919"/>
    <cellStyle name="Note 2 2 2 2 8 2" xfId="4772"/>
    <cellStyle name="Note 2 2 2 2 8 2 2" xfId="23744"/>
    <cellStyle name="Note 2 2 2 2 8 2 3" xfId="34589"/>
    <cellStyle name="Note 2 2 2 2 8 3" xfId="7444"/>
    <cellStyle name="Note 2 2 2 2 8 3 2" xfId="26416"/>
    <cellStyle name="Note 2 2 2 2 8 3 3" xfId="37261"/>
    <cellStyle name="Note 2 2 2 2 8 4" xfId="10103"/>
    <cellStyle name="Note 2 2 2 2 8 4 2" xfId="29075"/>
    <cellStyle name="Note 2 2 2 2 8 4 3" xfId="39920"/>
    <cellStyle name="Note 2 2 2 2 8 5" xfId="20899"/>
    <cellStyle name="Note 2 2 2 2 8 6" xfId="31744"/>
    <cellStyle name="Note 2 2 2 2 9" xfId="2313"/>
    <cellStyle name="Note 2 2 2 2 9 2" xfId="5166"/>
    <cellStyle name="Note 2 2 2 2 9 2 2" xfId="24138"/>
    <cellStyle name="Note 2 2 2 2 9 2 3" xfId="34983"/>
    <cellStyle name="Note 2 2 2 2 9 3" xfId="7837"/>
    <cellStyle name="Note 2 2 2 2 9 3 2" xfId="26809"/>
    <cellStyle name="Note 2 2 2 2 9 3 3" xfId="37654"/>
    <cellStyle name="Note 2 2 2 2 9 4" xfId="10496"/>
    <cellStyle name="Note 2 2 2 2 9 4 2" xfId="29468"/>
    <cellStyle name="Note 2 2 2 2 9 4 3" xfId="40313"/>
    <cellStyle name="Note 2 2 2 2 9 5" xfId="21292"/>
    <cellStyle name="Note 2 2 2 2 9 6" xfId="32137"/>
    <cellStyle name="Note 2 2 2 3" xfId="595"/>
    <cellStyle name="Note 2 2 2 3 10" xfId="19605"/>
    <cellStyle name="Note 2 2 2 3 11" xfId="30450"/>
    <cellStyle name="Note 2 2 2 3 2" xfId="1201"/>
    <cellStyle name="Note 2 2 2 3 2 2" xfId="4054"/>
    <cellStyle name="Note 2 2 2 3 2 2 2" xfId="23026"/>
    <cellStyle name="Note 2 2 2 3 2 2 3" xfId="33871"/>
    <cellStyle name="Note 2 2 2 3 2 3" xfId="6727"/>
    <cellStyle name="Note 2 2 2 3 2 3 2" xfId="25699"/>
    <cellStyle name="Note 2 2 2 3 2 3 3" xfId="36544"/>
    <cellStyle name="Note 2 2 2 3 2 4" xfId="9386"/>
    <cellStyle name="Note 2 2 2 3 2 4 2" xfId="28358"/>
    <cellStyle name="Note 2 2 2 3 2 4 3" xfId="39203"/>
    <cellStyle name="Note 2 2 2 3 2 5" xfId="20182"/>
    <cellStyle name="Note 2 2 2 3 2 6" xfId="31027"/>
    <cellStyle name="Note 2 2 2 3 3" xfId="1598"/>
    <cellStyle name="Note 2 2 2 3 3 2" xfId="4451"/>
    <cellStyle name="Note 2 2 2 3 3 2 2" xfId="23423"/>
    <cellStyle name="Note 2 2 2 3 3 2 3" xfId="34268"/>
    <cellStyle name="Note 2 2 2 3 3 3" xfId="7123"/>
    <cellStyle name="Note 2 2 2 3 3 3 2" xfId="26095"/>
    <cellStyle name="Note 2 2 2 3 3 3 3" xfId="36940"/>
    <cellStyle name="Note 2 2 2 3 3 4" xfId="9782"/>
    <cellStyle name="Note 2 2 2 3 3 4 2" xfId="28754"/>
    <cellStyle name="Note 2 2 2 3 3 4 3" xfId="39599"/>
    <cellStyle name="Note 2 2 2 3 3 5" xfId="20578"/>
    <cellStyle name="Note 2 2 2 3 3 6" xfId="31423"/>
    <cellStyle name="Note 2 2 2 3 4" xfId="2002"/>
    <cellStyle name="Note 2 2 2 3 4 2" xfId="4855"/>
    <cellStyle name="Note 2 2 2 3 4 2 2" xfId="23827"/>
    <cellStyle name="Note 2 2 2 3 4 2 3" xfId="34672"/>
    <cellStyle name="Note 2 2 2 3 4 3" xfId="7527"/>
    <cellStyle name="Note 2 2 2 3 4 3 2" xfId="26499"/>
    <cellStyle name="Note 2 2 2 3 4 3 3" xfId="37344"/>
    <cellStyle name="Note 2 2 2 3 4 4" xfId="10186"/>
    <cellStyle name="Note 2 2 2 3 4 4 2" xfId="29158"/>
    <cellStyle name="Note 2 2 2 3 4 4 3" xfId="40003"/>
    <cellStyle name="Note 2 2 2 3 4 5" xfId="20982"/>
    <cellStyle name="Note 2 2 2 3 4 6" xfId="31827"/>
    <cellStyle name="Note 2 2 2 3 5" xfId="2394"/>
    <cellStyle name="Note 2 2 2 3 5 2" xfId="5247"/>
    <cellStyle name="Note 2 2 2 3 5 2 2" xfId="24219"/>
    <cellStyle name="Note 2 2 2 3 5 2 3" xfId="35064"/>
    <cellStyle name="Note 2 2 2 3 5 3" xfId="7918"/>
    <cellStyle name="Note 2 2 2 3 5 3 2" xfId="26890"/>
    <cellStyle name="Note 2 2 2 3 5 3 3" xfId="37735"/>
    <cellStyle name="Note 2 2 2 3 5 4" xfId="10577"/>
    <cellStyle name="Note 2 2 2 3 5 4 2" xfId="29549"/>
    <cellStyle name="Note 2 2 2 3 5 4 3" xfId="40394"/>
    <cellStyle name="Note 2 2 2 3 5 5" xfId="21373"/>
    <cellStyle name="Note 2 2 2 3 5 6" xfId="32218"/>
    <cellStyle name="Note 2 2 2 3 6" xfId="2783"/>
    <cellStyle name="Note 2 2 2 3 6 2" xfId="5635"/>
    <cellStyle name="Note 2 2 2 3 6 2 2" xfId="24607"/>
    <cellStyle name="Note 2 2 2 3 6 2 3" xfId="35452"/>
    <cellStyle name="Note 2 2 2 3 6 3" xfId="8306"/>
    <cellStyle name="Note 2 2 2 3 6 3 2" xfId="27278"/>
    <cellStyle name="Note 2 2 2 3 6 3 3" xfId="38123"/>
    <cellStyle name="Note 2 2 2 3 6 4" xfId="10965"/>
    <cellStyle name="Note 2 2 2 3 6 4 2" xfId="29937"/>
    <cellStyle name="Note 2 2 2 3 6 4 3" xfId="40782"/>
    <cellStyle name="Note 2 2 2 3 6 5" xfId="21761"/>
    <cellStyle name="Note 2 2 2 3 6 6" xfId="32606"/>
    <cellStyle name="Note 2 2 2 3 7" xfId="3474"/>
    <cellStyle name="Note 2 2 2 3 7 2" xfId="22446"/>
    <cellStyle name="Note 2 2 2 3 7 3" xfId="33291"/>
    <cellStyle name="Note 2 2 2 3 8" xfId="6150"/>
    <cellStyle name="Note 2 2 2 3 8 2" xfId="25122"/>
    <cellStyle name="Note 2 2 2 3 8 3" xfId="35967"/>
    <cellStyle name="Note 2 2 2 3 9" xfId="8809"/>
    <cellStyle name="Note 2 2 2 3 9 2" xfId="27781"/>
    <cellStyle name="Note 2 2 2 3 9 3" xfId="38626"/>
    <cellStyle name="Note 2 2 3" xfId="379"/>
    <cellStyle name="Note 2 2 3 10" xfId="1531"/>
    <cellStyle name="Note 2 2 3 10 2" xfId="4384"/>
    <cellStyle name="Note 2 2 3 10 2 2" xfId="23356"/>
    <cellStyle name="Note 2 2 3 10 2 3" xfId="34201"/>
    <cellStyle name="Note 2 2 3 10 3" xfId="7057"/>
    <cellStyle name="Note 2 2 3 10 3 2" xfId="26029"/>
    <cellStyle name="Note 2 2 3 10 3 3" xfId="36874"/>
    <cellStyle name="Note 2 2 3 10 4" xfId="9716"/>
    <cellStyle name="Note 2 2 3 10 4 2" xfId="28688"/>
    <cellStyle name="Note 2 2 3 10 4 3" xfId="39533"/>
    <cellStyle name="Note 2 2 3 10 5" xfId="20512"/>
    <cellStyle name="Note 2 2 3 10 6" xfId="31357"/>
    <cellStyle name="Note 2 2 3 11" xfId="2042"/>
    <cellStyle name="Note 2 2 3 11 2" xfId="4895"/>
    <cellStyle name="Note 2 2 3 11 2 2" xfId="23867"/>
    <cellStyle name="Note 2 2 3 11 2 3" xfId="34712"/>
    <cellStyle name="Note 2 2 3 11 3" xfId="7566"/>
    <cellStyle name="Note 2 2 3 11 3 2" xfId="26538"/>
    <cellStyle name="Note 2 2 3 11 3 3" xfId="37383"/>
    <cellStyle name="Note 2 2 3 11 4" xfId="10225"/>
    <cellStyle name="Note 2 2 3 11 4 2" xfId="29197"/>
    <cellStyle name="Note 2 2 3 11 4 3" xfId="40042"/>
    <cellStyle name="Note 2 2 3 11 5" xfId="21021"/>
    <cellStyle name="Note 2 2 3 11 6" xfId="31866"/>
    <cellStyle name="Note 2 2 3 12" xfId="3114"/>
    <cellStyle name="Note 2 2 3 12 2" xfId="5965"/>
    <cellStyle name="Note 2 2 3 12 2 2" xfId="24937"/>
    <cellStyle name="Note 2 2 3 12 2 3" xfId="35782"/>
    <cellStyle name="Note 2 2 3 12 3" xfId="8636"/>
    <cellStyle name="Note 2 2 3 12 3 2" xfId="27608"/>
    <cellStyle name="Note 2 2 3 12 3 3" xfId="38453"/>
    <cellStyle name="Note 2 2 3 12 4" xfId="11295"/>
    <cellStyle name="Note 2 2 3 12 4 2" xfId="30267"/>
    <cellStyle name="Note 2 2 3 12 4 3" xfId="41112"/>
    <cellStyle name="Note 2 2 3 12 5" xfId="22091"/>
    <cellStyle name="Note 2 2 3 12 6" xfId="32936"/>
    <cellStyle name="Note 2 2 3 13" xfId="3171"/>
    <cellStyle name="Note 2 2 3 13 2" xfId="6022"/>
    <cellStyle name="Note 2 2 3 13 2 2" xfId="24994"/>
    <cellStyle name="Note 2 2 3 13 2 3" xfId="35839"/>
    <cellStyle name="Note 2 2 3 13 3" xfId="8693"/>
    <cellStyle name="Note 2 2 3 13 3 2" xfId="27665"/>
    <cellStyle name="Note 2 2 3 13 3 3" xfId="38510"/>
    <cellStyle name="Note 2 2 3 13 4" xfId="11352"/>
    <cellStyle name="Note 2 2 3 13 4 2" xfId="30324"/>
    <cellStyle name="Note 2 2 3 13 4 3" xfId="41169"/>
    <cellStyle name="Note 2 2 3 13 5" xfId="22148"/>
    <cellStyle name="Note 2 2 3 13 6" xfId="32993"/>
    <cellStyle name="Note 2 2 3 14" xfId="3337"/>
    <cellStyle name="Note 2 2 3 14 2" xfId="22311"/>
    <cellStyle name="Note 2 2 3 14 3" xfId="33156"/>
    <cellStyle name="Note 2 2 3 15" xfId="3309"/>
    <cellStyle name="Note 2 2 3 15 2" xfId="22283"/>
    <cellStyle name="Note 2 2 3 15 3" xfId="33128"/>
    <cellStyle name="Note 2 2 3 16" xfId="3302"/>
    <cellStyle name="Note 2 2 3 16 2" xfId="22276"/>
    <cellStyle name="Note 2 2 3 16 3" xfId="33121"/>
    <cellStyle name="Note 2 2 3 17" xfId="19468"/>
    <cellStyle name="Note 2 2 3 18" xfId="19398"/>
    <cellStyle name="Note 2 2 3 2" xfId="679"/>
    <cellStyle name="Note 2 2 3 2 10" xfId="19664"/>
    <cellStyle name="Note 2 2 3 2 11" xfId="30509"/>
    <cellStyle name="Note 2 2 3 2 2" xfId="1266"/>
    <cellStyle name="Note 2 2 3 2 2 2" xfId="4119"/>
    <cellStyle name="Note 2 2 3 2 2 2 2" xfId="23091"/>
    <cellStyle name="Note 2 2 3 2 2 2 3" xfId="33936"/>
    <cellStyle name="Note 2 2 3 2 2 3" xfId="6792"/>
    <cellStyle name="Note 2 2 3 2 2 3 2" xfId="25764"/>
    <cellStyle name="Note 2 2 3 2 2 3 3" xfId="36609"/>
    <cellStyle name="Note 2 2 3 2 2 4" xfId="9451"/>
    <cellStyle name="Note 2 2 3 2 2 4 2" xfId="28423"/>
    <cellStyle name="Note 2 2 3 2 2 4 3" xfId="39268"/>
    <cellStyle name="Note 2 2 3 2 2 5" xfId="20247"/>
    <cellStyle name="Note 2 2 3 2 2 6" xfId="31092"/>
    <cellStyle name="Note 2 2 3 2 3" xfId="1665"/>
    <cellStyle name="Note 2 2 3 2 3 2" xfId="4518"/>
    <cellStyle name="Note 2 2 3 2 3 2 2" xfId="23490"/>
    <cellStyle name="Note 2 2 3 2 3 2 3" xfId="34335"/>
    <cellStyle name="Note 2 2 3 2 3 3" xfId="7190"/>
    <cellStyle name="Note 2 2 3 2 3 3 2" xfId="26162"/>
    <cellStyle name="Note 2 2 3 2 3 3 3" xfId="37007"/>
    <cellStyle name="Note 2 2 3 2 3 4" xfId="9849"/>
    <cellStyle name="Note 2 2 3 2 3 4 2" xfId="28821"/>
    <cellStyle name="Note 2 2 3 2 3 4 3" xfId="39666"/>
    <cellStyle name="Note 2 2 3 2 3 5" xfId="20645"/>
    <cellStyle name="Note 2 2 3 2 3 6" xfId="31490"/>
    <cellStyle name="Note 2 2 3 2 4" xfId="2069"/>
    <cellStyle name="Note 2 2 3 2 4 2" xfId="4922"/>
    <cellStyle name="Note 2 2 3 2 4 2 2" xfId="23894"/>
    <cellStyle name="Note 2 2 3 2 4 2 3" xfId="34739"/>
    <cellStyle name="Note 2 2 3 2 4 3" xfId="7593"/>
    <cellStyle name="Note 2 2 3 2 4 3 2" xfId="26565"/>
    <cellStyle name="Note 2 2 3 2 4 3 3" xfId="37410"/>
    <cellStyle name="Note 2 2 3 2 4 4" xfId="10252"/>
    <cellStyle name="Note 2 2 3 2 4 4 2" xfId="29224"/>
    <cellStyle name="Note 2 2 3 2 4 4 3" xfId="40069"/>
    <cellStyle name="Note 2 2 3 2 4 5" xfId="21048"/>
    <cellStyle name="Note 2 2 3 2 4 6" xfId="31893"/>
    <cellStyle name="Note 2 2 3 2 5" xfId="2459"/>
    <cellStyle name="Note 2 2 3 2 5 2" xfId="5311"/>
    <cellStyle name="Note 2 2 3 2 5 2 2" xfId="24283"/>
    <cellStyle name="Note 2 2 3 2 5 2 3" xfId="35128"/>
    <cellStyle name="Note 2 2 3 2 5 3" xfId="7982"/>
    <cellStyle name="Note 2 2 3 2 5 3 2" xfId="26954"/>
    <cellStyle name="Note 2 2 3 2 5 3 3" xfId="37799"/>
    <cellStyle name="Note 2 2 3 2 5 4" xfId="10641"/>
    <cellStyle name="Note 2 2 3 2 5 4 2" xfId="29613"/>
    <cellStyle name="Note 2 2 3 2 5 4 3" xfId="40458"/>
    <cellStyle name="Note 2 2 3 2 5 5" xfId="21437"/>
    <cellStyle name="Note 2 2 3 2 5 6" xfId="32282"/>
    <cellStyle name="Note 2 2 3 2 6" xfId="2845"/>
    <cellStyle name="Note 2 2 3 2 6 2" xfId="5696"/>
    <cellStyle name="Note 2 2 3 2 6 2 2" xfId="24668"/>
    <cellStyle name="Note 2 2 3 2 6 2 3" xfId="35513"/>
    <cellStyle name="Note 2 2 3 2 6 3" xfId="8367"/>
    <cellStyle name="Note 2 2 3 2 6 3 2" xfId="27339"/>
    <cellStyle name="Note 2 2 3 2 6 3 3" xfId="38184"/>
    <cellStyle name="Note 2 2 3 2 6 4" xfId="11026"/>
    <cellStyle name="Note 2 2 3 2 6 4 2" xfId="29998"/>
    <cellStyle name="Note 2 2 3 2 6 4 3" xfId="40843"/>
    <cellStyle name="Note 2 2 3 2 6 5" xfId="21822"/>
    <cellStyle name="Note 2 2 3 2 6 6" xfId="32667"/>
    <cellStyle name="Note 2 2 3 2 7" xfId="3534"/>
    <cellStyle name="Note 2 2 3 2 7 2" xfId="22506"/>
    <cellStyle name="Note 2 2 3 2 7 3" xfId="33351"/>
    <cellStyle name="Note 2 2 3 2 8" xfId="6209"/>
    <cellStyle name="Note 2 2 3 2 8 2" xfId="25181"/>
    <cellStyle name="Note 2 2 3 2 8 3" xfId="36026"/>
    <cellStyle name="Note 2 2 3 2 9" xfId="8868"/>
    <cellStyle name="Note 2 2 3 2 9 2" xfId="27840"/>
    <cellStyle name="Note 2 2 3 2 9 3" xfId="38685"/>
    <cellStyle name="Note 2 2 3 3" xfId="739"/>
    <cellStyle name="Note 2 2 3 3 10" xfId="19724"/>
    <cellStyle name="Note 2 2 3 3 11" xfId="30569"/>
    <cellStyle name="Note 2 2 3 3 2" xfId="1326"/>
    <cellStyle name="Note 2 2 3 3 2 2" xfId="4179"/>
    <cellStyle name="Note 2 2 3 3 2 2 2" xfId="23151"/>
    <cellStyle name="Note 2 2 3 3 2 2 3" xfId="33996"/>
    <cellStyle name="Note 2 2 3 3 2 3" xfId="6852"/>
    <cellStyle name="Note 2 2 3 3 2 3 2" xfId="25824"/>
    <cellStyle name="Note 2 2 3 3 2 3 3" xfId="36669"/>
    <cellStyle name="Note 2 2 3 3 2 4" xfId="9511"/>
    <cellStyle name="Note 2 2 3 3 2 4 2" xfId="28483"/>
    <cellStyle name="Note 2 2 3 3 2 4 3" xfId="39328"/>
    <cellStyle name="Note 2 2 3 3 2 5" xfId="20307"/>
    <cellStyle name="Note 2 2 3 3 2 6" xfId="31152"/>
    <cellStyle name="Note 2 2 3 3 3" xfId="1725"/>
    <cellStyle name="Note 2 2 3 3 3 2" xfId="4578"/>
    <cellStyle name="Note 2 2 3 3 3 2 2" xfId="23550"/>
    <cellStyle name="Note 2 2 3 3 3 2 3" xfId="34395"/>
    <cellStyle name="Note 2 2 3 3 3 3" xfId="7250"/>
    <cellStyle name="Note 2 2 3 3 3 3 2" xfId="26222"/>
    <cellStyle name="Note 2 2 3 3 3 3 3" xfId="37067"/>
    <cellStyle name="Note 2 2 3 3 3 4" xfId="9909"/>
    <cellStyle name="Note 2 2 3 3 3 4 2" xfId="28881"/>
    <cellStyle name="Note 2 2 3 3 3 4 3" xfId="39726"/>
    <cellStyle name="Note 2 2 3 3 3 5" xfId="20705"/>
    <cellStyle name="Note 2 2 3 3 3 6" xfId="31550"/>
    <cellStyle name="Note 2 2 3 3 4" xfId="2129"/>
    <cellStyle name="Note 2 2 3 3 4 2" xfId="4982"/>
    <cellStyle name="Note 2 2 3 3 4 2 2" xfId="23954"/>
    <cellStyle name="Note 2 2 3 3 4 2 3" xfId="34799"/>
    <cellStyle name="Note 2 2 3 3 4 3" xfId="7653"/>
    <cellStyle name="Note 2 2 3 3 4 3 2" xfId="26625"/>
    <cellStyle name="Note 2 2 3 3 4 3 3" xfId="37470"/>
    <cellStyle name="Note 2 2 3 3 4 4" xfId="10312"/>
    <cellStyle name="Note 2 2 3 3 4 4 2" xfId="29284"/>
    <cellStyle name="Note 2 2 3 3 4 4 3" xfId="40129"/>
    <cellStyle name="Note 2 2 3 3 4 5" xfId="21108"/>
    <cellStyle name="Note 2 2 3 3 4 6" xfId="31953"/>
    <cellStyle name="Note 2 2 3 3 5" xfId="2519"/>
    <cellStyle name="Note 2 2 3 3 5 2" xfId="5371"/>
    <cellStyle name="Note 2 2 3 3 5 2 2" xfId="24343"/>
    <cellStyle name="Note 2 2 3 3 5 2 3" xfId="35188"/>
    <cellStyle name="Note 2 2 3 3 5 3" xfId="8042"/>
    <cellStyle name="Note 2 2 3 3 5 3 2" xfId="27014"/>
    <cellStyle name="Note 2 2 3 3 5 3 3" xfId="37859"/>
    <cellStyle name="Note 2 2 3 3 5 4" xfId="10701"/>
    <cellStyle name="Note 2 2 3 3 5 4 2" xfId="29673"/>
    <cellStyle name="Note 2 2 3 3 5 4 3" xfId="40518"/>
    <cellStyle name="Note 2 2 3 3 5 5" xfId="21497"/>
    <cellStyle name="Note 2 2 3 3 5 6" xfId="32342"/>
    <cellStyle name="Note 2 2 3 3 6" xfId="2905"/>
    <cellStyle name="Note 2 2 3 3 6 2" xfId="5756"/>
    <cellStyle name="Note 2 2 3 3 6 2 2" xfId="24728"/>
    <cellStyle name="Note 2 2 3 3 6 2 3" xfId="35573"/>
    <cellStyle name="Note 2 2 3 3 6 3" xfId="8427"/>
    <cellStyle name="Note 2 2 3 3 6 3 2" xfId="27399"/>
    <cellStyle name="Note 2 2 3 3 6 3 3" xfId="38244"/>
    <cellStyle name="Note 2 2 3 3 6 4" xfId="11086"/>
    <cellStyle name="Note 2 2 3 3 6 4 2" xfId="30058"/>
    <cellStyle name="Note 2 2 3 3 6 4 3" xfId="40903"/>
    <cellStyle name="Note 2 2 3 3 6 5" xfId="21882"/>
    <cellStyle name="Note 2 2 3 3 6 6" xfId="32727"/>
    <cellStyle name="Note 2 2 3 3 7" xfId="3594"/>
    <cellStyle name="Note 2 2 3 3 7 2" xfId="22566"/>
    <cellStyle name="Note 2 2 3 3 7 3" xfId="33411"/>
    <cellStyle name="Note 2 2 3 3 8" xfId="6269"/>
    <cellStyle name="Note 2 2 3 3 8 2" xfId="25241"/>
    <cellStyle name="Note 2 2 3 3 8 3" xfId="36086"/>
    <cellStyle name="Note 2 2 3 3 9" xfId="8928"/>
    <cellStyle name="Note 2 2 3 3 9 2" xfId="27900"/>
    <cellStyle name="Note 2 2 3 3 9 3" xfId="38745"/>
    <cellStyle name="Note 2 2 3 4" xfId="799"/>
    <cellStyle name="Note 2 2 3 4 10" xfId="19784"/>
    <cellStyle name="Note 2 2 3 4 11" xfId="30629"/>
    <cellStyle name="Note 2 2 3 4 2" xfId="1386"/>
    <cellStyle name="Note 2 2 3 4 2 2" xfId="4239"/>
    <cellStyle name="Note 2 2 3 4 2 2 2" xfId="23211"/>
    <cellStyle name="Note 2 2 3 4 2 2 3" xfId="34056"/>
    <cellStyle name="Note 2 2 3 4 2 3" xfId="6912"/>
    <cellStyle name="Note 2 2 3 4 2 3 2" xfId="25884"/>
    <cellStyle name="Note 2 2 3 4 2 3 3" xfId="36729"/>
    <cellStyle name="Note 2 2 3 4 2 4" xfId="9571"/>
    <cellStyle name="Note 2 2 3 4 2 4 2" xfId="28543"/>
    <cellStyle name="Note 2 2 3 4 2 4 3" xfId="39388"/>
    <cellStyle name="Note 2 2 3 4 2 5" xfId="20367"/>
    <cellStyle name="Note 2 2 3 4 2 6" xfId="31212"/>
    <cellStyle name="Note 2 2 3 4 3" xfId="1785"/>
    <cellStyle name="Note 2 2 3 4 3 2" xfId="4638"/>
    <cellStyle name="Note 2 2 3 4 3 2 2" xfId="23610"/>
    <cellStyle name="Note 2 2 3 4 3 2 3" xfId="34455"/>
    <cellStyle name="Note 2 2 3 4 3 3" xfId="7310"/>
    <cellStyle name="Note 2 2 3 4 3 3 2" xfId="26282"/>
    <cellStyle name="Note 2 2 3 4 3 3 3" xfId="37127"/>
    <cellStyle name="Note 2 2 3 4 3 4" xfId="9969"/>
    <cellStyle name="Note 2 2 3 4 3 4 2" xfId="28941"/>
    <cellStyle name="Note 2 2 3 4 3 4 3" xfId="39786"/>
    <cellStyle name="Note 2 2 3 4 3 5" xfId="20765"/>
    <cellStyle name="Note 2 2 3 4 3 6" xfId="31610"/>
    <cellStyle name="Note 2 2 3 4 4" xfId="2189"/>
    <cellStyle name="Note 2 2 3 4 4 2" xfId="5042"/>
    <cellStyle name="Note 2 2 3 4 4 2 2" xfId="24014"/>
    <cellStyle name="Note 2 2 3 4 4 2 3" xfId="34859"/>
    <cellStyle name="Note 2 2 3 4 4 3" xfId="7713"/>
    <cellStyle name="Note 2 2 3 4 4 3 2" xfId="26685"/>
    <cellStyle name="Note 2 2 3 4 4 3 3" xfId="37530"/>
    <cellStyle name="Note 2 2 3 4 4 4" xfId="10372"/>
    <cellStyle name="Note 2 2 3 4 4 4 2" xfId="29344"/>
    <cellStyle name="Note 2 2 3 4 4 4 3" xfId="40189"/>
    <cellStyle name="Note 2 2 3 4 4 5" xfId="21168"/>
    <cellStyle name="Note 2 2 3 4 4 6" xfId="32013"/>
    <cellStyle name="Note 2 2 3 4 5" xfId="2579"/>
    <cellStyle name="Note 2 2 3 4 5 2" xfId="5431"/>
    <cellStyle name="Note 2 2 3 4 5 2 2" xfId="24403"/>
    <cellStyle name="Note 2 2 3 4 5 2 3" xfId="35248"/>
    <cellStyle name="Note 2 2 3 4 5 3" xfId="8102"/>
    <cellStyle name="Note 2 2 3 4 5 3 2" xfId="27074"/>
    <cellStyle name="Note 2 2 3 4 5 3 3" xfId="37919"/>
    <cellStyle name="Note 2 2 3 4 5 4" xfId="10761"/>
    <cellStyle name="Note 2 2 3 4 5 4 2" xfId="29733"/>
    <cellStyle name="Note 2 2 3 4 5 4 3" xfId="40578"/>
    <cellStyle name="Note 2 2 3 4 5 5" xfId="21557"/>
    <cellStyle name="Note 2 2 3 4 5 6" xfId="32402"/>
    <cellStyle name="Note 2 2 3 4 6" xfId="2965"/>
    <cellStyle name="Note 2 2 3 4 6 2" xfId="5816"/>
    <cellStyle name="Note 2 2 3 4 6 2 2" xfId="24788"/>
    <cellStyle name="Note 2 2 3 4 6 2 3" xfId="35633"/>
    <cellStyle name="Note 2 2 3 4 6 3" xfId="8487"/>
    <cellStyle name="Note 2 2 3 4 6 3 2" xfId="27459"/>
    <cellStyle name="Note 2 2 3 4 6 3 3" xfId="38304"/>
    <cellStyle name="Note 2 2 3 4 6 4" xfId="11146"/>
    <cellStyle name="Note 2 2 3 4 6 4 2" xfId="30118"/>
    <cellStyle name="Note 2 2 3 4 6 4 3" xfId="40963"/>
    <cellStyle name="Note 2 2 3 4 6 5" xfId="21942"/>
    <cellStyle name="Note 2 2 3 4 6 6" xfId="32787"/>
    <cellStyle name="Note 2 2 3 4 7" xfId="3654"/>
    <cellStyle name="Note 2 2 3 4 7 2" xfId="22626"/>
    <cellStyle name="Note 2 2 3 4 7 3" xfId="33471"/>
    <cellStyle name="Note 2 2 3 4 8" xfId="6329"/>
    <cellStyle name="Note 2 2 3 4 8 2" xfId="25301"/>
    <cellStyle name="Note 2 2 3 4 8 3" xfId="36146"/>
    <cellStyle name="Note 2 2 3 4 9" xfId="8988"/>
    <cellStyle name="Note 2 2 3 4 9 2" xfId="27960"/>
    <cellStyle name="Note 2 2 3 4 9 3" xfId="38805"/>
    <cellStyle name="Note 2 2 3 5" xfId="858"/>
    <cellStyle name="Note 2 2 3 5 10" xfId="19843"/>
    <cellStyle name="Note 2 2 3 5 11" xfId="30688"/>
    <cellStyle name="Note 2 2 3 5 2" xfId="1445"/>
    <cellStyle name="Note 2 2 3 5 2 2" xfId="4298"/>
    <cellStyle name="Note 2 2 3 5 2 2 2" xfId="23270"/>
    <cellStyle name="Note 2 2 3 5 2 2 3" xfId="34115"/>
    <cellStyle name="Note 2 2 3 5 2 3" xfId="6971"/>
    <cellStyle name="Note 2 2 3 5 2 3 2" xfId="25943"/>
    <cellStyle name="Note 2 2 3 5 2 3 3" xfId="36788"/>
    <cellStyle name="Note 2 2 3 5 2 4" xfId="9630"/>
    <cellStyle name="Note 2 2 3 5 2 4 2" xfId="28602"/>
    <cellStyle name="Note 2 2 3 5 2 4 3" xfId="39447"/>
    <cellStyle name="Note 2 2 3 5 2 5" xfId="20426"/>
    <cellStyle name="Note 2 2 3 5 2 6" xfId="31271"/>
    <cellStyle name="Note 2 2 3 5 3" xfId="1844"/>
    <cellStyle name="Note 2 2 3 5 3 2" xfId="4697"/>
    <cellStyle name="Note 2 2 3 5 3 2 2" xfId="23669"/>
    <cellStyle name="Note 2 2 3 5 3 2 3" xfId="34514"/>
    <cellStyle name="Note 2 2 3 5 3 3" xfId="7369"/>
    <cellStyle name="Note 2 2 3 5 3 3 2" xfId="26341"/>
    <cellStyle name="Note 2 2 3 5 3 3 3" xfId="37186"/>
    <cellStyle name="Note 2 2 3 5 3 4" xfId="10028"/>
    <cellStyle name="Note 2 2 3 5 3 4 2" xfId="29000"/>
    <cellStyle name="Note 2 2 3 5 3 4 3" xfId="39845"/>
    <cellStyle name="Note 2 2 3 5 3 5" xfId="20824"/>
    <cellStyle name="Note 2 2 3 5 3 6" xfId="31669"/>
    <cellStyle name="Note 2 2 3 5 4" xfId="2248"/>
    <cellStyle name="Note 2 2 3 5 4 2" xfId="5101"/>
    <cellStyle name="Note 2 2 3 5 4 2 2" xfId="24073"/>
    <cellStyle name="Note 2 2 3 5 4 2 3" xfId="34918"/>
    <cellStyle name="Note 2 2 3 5 4 3" xfId="7772"/>
    <cellStyle name="Note 2 2 3 5 4 3 2" xfId="26744"/>
    <cellStyle name="Note 2 2 3 5 4 3 3" xfId="37589"/>
    <cellStyle name="Note 2 2 3 5 4 4" xfId="10431"/>
    <cellStyle name="Note 2 2 3 5 4 4 2" xfId="29403"/>
    <cellStyle name="Note 2 2 3 5 4 4 3" xfId="40248"/>
    <cellStyle name="Note 2 2 3 5 4 5" xfId="21227"/>
    <cellStyle name="Note 2 2 3 5 4 6" xfId="32072"/>
    <cellStyle name="Note 2 2 3 5 5" xfId="2638"/>
    <cellStyle name="Note 2 2 3 5 5 2" xfId="5490"/>
    <cellStyle name="Note 2 2 3 5 5 2 2" xfId="24462"/>
    <cellStyle name="Note 2 2 3 5 5 2 3" xfId="35307"/>
    <cellStyle name="Note 2 2 3 5 5 3" xfId="8161"/>
    <cellStyle name="Note 2 2 3 5 5 3 2" xfId="27133"/>
    <cellStyle name="Note 2 2 3 5 5 3 3" xfId="37978"/>
    <cellStyle name="Note 2 2 3 5 5 4" xfId="10820"/>
    <cellStyle name="Note 2 2 3 5 5 4 2" xfId="29792"/>
    <cellStyle name="Note 2 2 3 5 5 4 3" xfId="40637"/>
    <cellStyle name="Note 2 2 3 5 5 5" xfId="21616"/>
    <cellStyle name="Note 2 2 3 5 5 6" xfId="32461"/>
    <cellStyle name="Note 2 2 3 5 6" xfId="3024"/>
    <cellStyle name="Note 2 2 3 5 6 2" xfId="5875"/>
    <cellStyle name="Note 2 2 3 5 6 2 2" xfId="24847"/>
    <cellStyle name="Note 2 2 3 5 6 2 3" xfId="35692"/>
    <cellStyle name="Note 2 2 3 5 6 3" xfId="8546"/>
    <cellStyle name="Note 2 2 3 5 6 3 2" xfId="27518"/>
    <cellStyle name="Note 2 2 3 5 6 3 3" xfId="38363"/>
    <cellStyle name="Note 2 2 3 5 6 4" xfId="11205"/>
    <cellStyle name="Note 2 2 3 5 6 4 2" xfId="30177"/>
    <cellStyle name="Note 2 2 3 5 6 4 3" xfId="41022"/>
    <cellStyle name="Note 2 2 3 5 6 5" xfId="22001"/>
    <cellStyle name="Note 2 2 3 5 6 6" xfId="32846"/>
    <cellStyle name="Note 2 2 3 5 7" xfId="3713"/>
    <cellStyle name="Note 2 2 3 5 7 2" xfId="22685"/>
    <cellStyle name="Note 2 2 3 5 7 3" xfId="33530"/>
    <cellStyle name="Note 2 2 3 5 8" xfId="6388"/>
    <cellStyle name="Note 2 2 3 5 8 2" xfId="25360"/>
    <cellStyle name="Note 2 2 3 5 8 3" xfId="36205"/>
    <cellStyle name="Note 2 2 3 5 9" xfId="9047"/>
    <cellStyle name="Note 2 2 3 5 9 2" xfId="28019"/>
    <cellStyle name="Note 2 2 3 5 9 3" xfId="38864"/>
    <cellStyle name="Note 2 2 3 6" xfId="1080"/>
    <cellStyle name="Note 2 2 3 6 2" xfId="3933"/>
    <cellStyle name="Note 2 2 3 6 2 2" xfId="22905"/>
    <cellStyle name="Note 2 2 3 6 2 3" xfId="33750"/>
    <cellStyle name="Note 2 2 3 6 3" xfId="6607"/>
    <cellStyle name="Note 2 2 3 6 3 2" xfId="25579"/>
    <cellStyle name="Note 2 2 3 6 3 3" xfId="36424"/>
    <cellStyle name="Note 2 2 3 6 4" xfId="9266"/>
    <cellStyle name="Note 2 2 3 6 4 2" xfId="28238"/>
    <cellStyle name="Note 2 2 3 6 4 3" xfId="39083"/>
    <cellStyle name="Note 2 2 3 6 5" xfId="20062"/>
    <cellStyle name="Note 2 2 3 6 6" xfId="30907"/>
    <cellStyle name="Note 2 2 3 7" xfId="910"/>
    <cellStyle name="Note 2 2 3 7 2" xfId="3765"/>
    <cellStyle name="Note 2 2 3 7 2 2" xfId="22737"/>
    <cellStyle name="Note 2 2 3 7 2 3" xfId="33582"/>
    <cellStyle name="Note 2 2 3 7 3" xfId="6440"/>
    <cellStyle name="Note 2 2 3 7 3 2" xfId="25412"/>
    <cellStyle name="Note 2 2 3 7 3 3" xfId="36257"/>
    <cellStyle name="Note 2 2 3 7 4" xfId="9099"/>
    <cellStyle name="Note 2 2 3 7 4 2" xfId="28071"/>
    <cellStyle name="Note 2 2 3 7 4 3" xfId="38916"/>
    <cellStyle name="Note 2 2 3 7 5" xfId="19895"/>
    <cellStyle name="Note 2 2 3 7 6" xfId="30740"/>
    <cellStyle name="Note 2 2 3 8" xfId="979"/>
    <cellStyle name="Note 2 2 3 8 2" xfId="3832"/>
    <cellStyle name="Note 2 2 3 8 2 2" xfId="22804"/>
    <cellStyle name="Note 2 2 3 8 2 3" xfId="33649"/>
    <cellStyle name="Note 2 2 3 8 3" xfId="6507"/>
    <cellStyle name="Note 2 2 3 8 3 2" xfId="25479"/>
    <cellStyle name="Note 2 2 3 8 3 3" xfId="36324"/>
    <cellStyle name="Note 2 2 3 8 4" xfId="9166"/>
    <cellStyle name="Note 2 2 3 8 4 2" xfId="28138"/>
    <cellStyle name="Note 2 2 3 8 4 3" xfId="38983"/>
    <cellStyle name="Note 2 2 3 8 5" xfId="19962"/>
    <cellStyle name="Note 2 2 3 8 6" xfId="30807"/>
    <cellStyle name="Note 2 2 3 9" xfId="1016"/>
    <cellStyle name="Note 2 2 3 9 2" xfId="3869"/>
    <cellStyle name="Note 2 2 3 9 2 2" xfId="22841"/>
    <cellStyle name="Note 2 2 3 9 2 3" xfId="33686"/>
    <cellStyle name="Note 2 2 3 9 3" xfId="6543"/>
    <cellStyle name="Note 2 2 3 9 3 2" xfId="25515"/>
    <cellStyle name="Note 2 2 3 9 3 3" xfId="36360"/>
    <cellStyle name="Note 2 2 3 9 4" xfId="9202"/>
    <cellStyle name="Note 2 2 3 9 4 2" xfId="28174"/>
    <cellStyle name="Note 2 2 3 9 4 3" xfId="39019"/>
    <cellStyle name="Note 2 2 3 9 5" xfId="19998"/>
    <cellStyle name="Note 2 2 3 9 6" xfId="30843"/>
    <cellStyle name="Note 2 2 4" xfId="562"/>
    <cellStyle name="Note 2 2 4 10" xfId="19572"/>
    <cellStyle name="Note 2 2 4 11" xfId="30417"/>
    <cellStyle name="Note 2 2 4 2" xfId="1168"/>
    <cellStyle name="Note 2 2 4 2 2" xfId="4021"/>
    <cellStyle name="Note 2 2 4 2 2 2" xfId="22993"/>
    <cellStyle name="Note 2 2 4 2 2 3" xfId="33838"/>
    <cellStyle name="Note 2 2 4 2 3" xfId="6694"/>
    <cellStyle name="Note 2 2 4 2 3 2" xfId="25666"/>
    <cellStyle name="Note 2 2 4 2 3 3" xfId="36511"/>
    <cellStyle name="Note 2 2 4 2 4" xfId="9353"/>
    <cellStyle name="Note 2 2 4 2 4 2" xfId="28325"/>
    <cellStyle name="Note 2 2 4 2 4 3" xfId="39170"/>
    <cellStyle name="Note 2 2 4 2 5" xfId="20149"/>
    <cellStyle name="Note 2 2 4 2 6" xfId="30994"/>
    <cellStyle name="Note 2 2 4 3" xfId="1565"/>
    <cellStyle name="Note 2 2 4 3 2" xfId="4418"/>
    <cellStyle name="Note 2 2 4 3 2 2" xfId="23390"/>
    <cellStyle name="Note 2 2 4 3 2 3" xfId="34235"/>
    <cellStyle name="Note 2 2 4 3 3" xfId="7090"/>
    <cellStyle name="Note 2 2 4 3 3 2" xfId="26062"/>
    <cellStyle name="Note 2 2 4 3 3 3" xfId="36907"/>
    <cellStyle name="Note 2 2 4 3 4" xfId="9749"/>
    <cellStyle name="Note 2 2 4 3 4 2" xfId="28721"/>
    <cellStyle name="Note 2 2 4 3 4 3" xfId="39566"/>
    <cellStyle name="Note 2 2 4 3 5" xfId="20545"/>
    <cellStyle name="Note 2 2 4 3 6" xfId="31390"/>
    <cellStyle name="Note 2 2 4 4" xfId="1969"/>
    <cellStyle name="Note 2 2 4 4 2" xfId="4822"/>
    <cellStyle name="Note 2 2 4 4 2 2" xfId="23794"/>
    <cellStyle name="Note 2 2 4 4 2 3" xfId="34639"/>
    <cellStyle name="Note 2 2 4 4 3" xfId="7494"/>
    <cellStyle name="Note 2 2 4 4 3 2" xfId="26466"/>
    <cellStyle name="Note 2 2 4 4 3 3" xfId="37311"/>
    <cellStyle name="Note 2 2 4 4 4" xfId="10153"/>
    <cellStyle name="Note 2 2 4 4 4 2" xfId="29125"/>
    <cellStyle name="Note 2 2 4 4 4 3" xfId="39970"/>
    <cellStyle name="Note 2 2 4 4 5" xfId="20949"/>
    <cellStyle name="Note 2 2 4 4 6" xfId="31794"/>
    <cellStyle name="Note 2 2 4 5" xfId="2361"/>
    <cellStyle name="Note 2 2 4 5 2" xfId="5214"/>
    <cellStyle name="Note 2 2 4 5 2 2" xfId="24186"/>
    <cellStyle name="Note 2 2 4 5 2 3" xfId="35031"/>
    <cellStyle name="Note 2 2 4 5 3" xfId="7885"/>
    <cellStyle name="Note 2 2 4 5 3 2" xfId="26857"/>
    <cellStyle name="Note 2 2 4 5 3 3" xfId="37702"/>
    <cellStyle name="Note 2 2 4 5 4" xfId="10544"/>
    <cellStyle name="Note 2 2 4 5 4 2" xfId="29516"/>
    <cellStyle name="Note 2 2 4 5 4 3" xfId="40361"/>
    <cellStyle name="Note 2 2 4 5 5" xfId="21340"/>
    <cellStyle name="Note 2 2 4 5 6" xfId="32185"/>
    <cellStyle name="Note 2 2 4 6" xfId="2750"/>
    <cellStyle name="Note 2 2 4 6 2" xfId="5602"/>
    <cellStyle name="Note 2 2 4 6 2 2" xfId="24574"/>
    <cellStyle name="Note 2 2 4 6 2 3" xfId="35419"/>
    <cellStyle name="Note 2 2 4 6 3" xfId="8273"/>
    <cellStyle name="Note 2 2 4 6 3 2" xfId="27245"/>
    <cellStyle name="Note 2 2 4 6 3 3" xfId="38090"/>
    <cellStyle name="Note 2 2 4 6 4" xfId="10932"/>
    <cellStyle name="Note 2 2 4 6 4 2" xfId="29904"/>
    <cellStyle name="Note 2 2 4 6 4 3" xfId="40749"/>
    <cellStyle name="Note 2 2 4 6 5" xfId="21728"/>
    <cellStyle name="Note 2 2 4 6 6" xfId="32573"/>
    <cellStyle name="Note 2 2 4 7" xfId="3441"/>
    <cellStyle name="Note 2 2 4 7 2" xfId="22413"/>
    <cellStyle name="Note 2 2 4 7 3" xfId="33258"/>
    <cellStyle name="Note 2 2 4 8" xfId="6117"/>
    <cellStyle name="Note 2 2 4 8 2" xfId="25089"/>
    <cellStyle name="Note 2 2 4 8 3" xfId="35934"/>
    <cellStyle name="Note 2 2 4 9" xfId="8776"/>
    <cellStyle name="Note 2 2 4 9 2" xfId="27748"/>
    <cellStyle name="Note 2 2 4 9 3" xfId="38593"/>
    <cellStyle name="Note 2 2 5" xfId="41473"/>
    <cellStyle name="Note 2 2_2012 WMECO MTM ELEC BCR - EVAL-EVAL - LINKED" xfId="312"/>
    <cellStyle name="Note 2 3" xfId="128"/>
    <cellStyle name="Note 2 3 2" xfId="380"/>
    <cellStyle name="Note 2 3 2 10" xfId="1513"/>
    <cellStyle name="Note 2 3 2 10 2" xfId="4366"/>
    <cellStyle name="Note 2 3 2 10 2 2" xfId="23338"/>
    <cellStyle name="Note 2 3 2 10 2 3" xfId="34183"/>
    <cellStyle name="Note 2 3 2 10 3" xfId="7039"/>
    <cellStyle name="Note 2 3 2 10 3 2" xfId="26011"/>
    <cellStyle name="Note 2 3 2 10 3 3" xfId="36856"/>
    <cellStyle name="Note 2 3 2 10 4" xfId="9698"/>
    <cellStyle name="Note 2 3 2 10 4 2" xfId="28670"/>
    <cellStyle name="Note 2 3 2 10 4 3" xfId="39515"/>
    <cellStyle name="Note 2 3 2 10 5" xfId="20494"/>
    <cellStyle name="Note 2 3 2 10 6" xfId="31339"/>
    <cellStyle name="Note 2 3 2 11" xfId="987"/>
    <cellStyle name="Note 2 3 2 11 2" xfId="3840"/>
    <cellStyle name="Note 2 3 2 11 2 2" xfId="22812"/>
    <cellStyle name="Note 2 3 2 11 2 3" xfId="33657"/>
    <cellStyle name="Note 2 3 2 11 3" xfId="6515"/>
    <cellStyle name="Note 2 3 2 11 3 2" xfId="25487"/>
    <cellStyle name="Note 2 3 2 11 3 3" xfId="36332"/>
    <cellStyle name="Note 2 3 2 11 4" xfId="9174"/>
    <cellStyle name="Note 2 3 2 11 4 2" xfId="28146"/>
    <cellStyle name="Note 2 3 2 11 4 3" xfId="38991"/>
    <cellStyle name="Note 2 3 2 11 5" xfId="19970"/>
    <cellStyle name="Note 2 3 2 11 6" xfId="30815"/>
    <cellStyle name="Note 2 3 2 12" xfId="3115"/>
    <cellStyle name="Note 2 3 2 12 2" xfId="5966"/>
    <cellStyle name="Note 2 3 2 12 2 2" xfId="24938"/>
    <cellStyle name="Note 2 3 2 12 2 3" xfId="35783"/>
    <cellStyle name="Note 2 3 2 12 3" xfId="8637"/>
    <cellStyle name="Note 2 3 2 12 3 2" xfId="27609"/>
    <cellStyle name="Note 2 3 2 12 3 3" xfId="38454"/>
    <cellStyle name="Note 2 3 2 12 4" xfId="11296"/>
    <cellStyle name="Note 2 3 2 12 4 2" xfId="30268"/>
    <cellStyle name="Note 2 3 2 12 4 3" xfId="41113"/>
    <cellStyle name="Note 2 3 2 12 5" xfId="22092"/>
    <cellStyle name="Note 2 3 2 12 6" xfId="32937"/>
    <cellStyle name="Note 2 3 2 13" xfId="3172"/>
    <cellStyle name="Note 2 3 2 13 2" xfId="6023"/>
    <cellStyle name="Note 2 3 2 13 2 2" xfId="24995"/>
    <cellStyle name="Note 2 3 2 13 2 3" xfId="35840"/>
    <cellStyle name="Note 2 3 2 13 3" xfId="8694"/>
    <cellStyle name="Note 2 3 2 13 3 2" xfId="27666"/>
    <cellStyle name="Note 2 3 2 13 3 3" xfId="38511"/>
    <cellStyle name="Note 2 3 2 13 4" xfId="11353"/>
    <cellStyle name="Note 2 3 2 13 4 2" xfId="30325"/>
    <cellStyle name="Note 2 3 2 13 4 3" xfId="41170"/>
    <cellStyle name="Note 2 3 2 13 5" xfId="22149"/>
    <cellStyle name="Note 2 3 2 13 6" xfId="32994"/>
    <cellStyle name="Note 2 3 2 14" xfId="3338"/>
    <cellStyle name="Note 2 3 2 14 2" xfId="22312"/>
    <cellStyle name="Note 2 3 2 14 3" xfId="33157"/>
    <cellStyle name="Note 2 3 2 15" xfId="3296"/>
    <cellStyle name="Note 2 3 2 15 2" xfId="22270"/>
    <cellStyle name="Note 2 3 2 15 3" xfId="33115"/>
    <cellStyle name="Note 2 3 2 16" xfId="6076"/>
    <cellStyle name="Note 2 3 2 16 2" xfId="25048"/>
    <cellStyle name="Note 2 3 2 16 3" xfId="35893"/>
    <cellStyle name="Note 2 3 2 17" xfId="19469"/>
    <cellStyle name="Note 2 3 2 18" xfId="19521"/>
    <cellStyle name="Note 2 3 2 2" xfId="680"/>
    <cellStyle name="Note 2 3 2 2 10" xfId="19665"/>
    <cellStyle name="Note 2 3 2 2 11" xfId="30510"/>
    <cellStyle name="Note 2 3 2 2 2" xfId="1267"/>
    <cellStyle name="Note 2 3 2 2 2 2" xfId="4120"/>
    <cellStyle name="Note 2 3 2 2 2 2 2" xfId="23092"/>
    <cellStyle name="Note 2 3 2 2 2 2 3" xfId="33937"/>
    <cellStyle name="Note 2 3 2 2 2 3" xfId="6793"/>
    <cellStyle name="Note 2 3 2 2 2 3 2" xfId="25765"/>
    <cellStyle name="Note 2 3 2 2 2 3 3" xfId="36610"/>
    <cellStyle name="Note 2 3 2 2 2 4" xfId="9452"/>
    <cellStyle name="Note 2 3 2 2 2 4 2" xfId="28424"/>
    <cellStyle name="Note 2 3 2 2 2 4 3" xfId="39269"/>
    <cellStyle name="Note 2 3 2 2 2 5" xfId="20248"/>
    <cellStyle name="Note 2 3 2 2 2 6" xfId="31093"/>
    <cellStyle name="Note 2 3 2 2 3" xfId="1666"/>
    <cellStyle name="Note 2 3 2 2 3 2" xfId="4519"/>
    <cellStyle name="Note 2 3 2 2 3 2 2" xfId="23491"/>
    <cellStyle name="Note 2 3 2 2 3 2 3" xfId="34336"/>
    <cellStyle name="Note 2 3 2 2 3 3" xfId="7191"/>
    <cellStyle name="Note 2 3 2 2 3 3 2" xfId="26163"/>
    <cellStyle name="Note 2 3 2 2 3 3 3" xfId="37008"/>
    <cellStyle name="Note 2 3 2 2 3 4" xfId="9850"/>
    <cellStyle name="Note 2 3 2 2 3 4 2" xfId="28822"/>
    <cellStyle name="Note 2 3 2 2 3 4 3" xfId="39667"/>
    <cellStyle name="Note 2 3 2 2 3 5" xfId="20646"/>
    <cellStyle name="Note 2 3 2 2 3 6" xfId="31491"/>
    <cellStyle name="Note 2 3 2 2 4" xfId="2070"/>
    <cellStyle name="Note 2 3 2 2 4 2" xfId="4923"/>
    <cellStyle name="Note 2 3 2 2 4 2 2" xfId="23895"/>
    <cellStyle name="Note 2 3 2 2 4 2 3" xfId="34740"/>
    <cellStyle name="Note 2 3 2 2 4 3" xfId="7594"/>
    <cellStyle name="Note 2 3 2 2 4 3 2" xfId="26566"/>
    <cellStyle name="Note 2 3 2 2 4 3 3" xfId="37411"/>
    <cellStyle name="Note 2 3 2 2 4 4" xfId="10253"/>
    <cellStyle name="Note 2 3 2 2 4 4 2" xfId="29225"/>
    <cellStyle name="Note 2 3 2 2 4 4 3" xfId="40070"/>
    <cellStyle name="Note 2 3 2 2 4 5" xfId="21049"/>
    <cellStyle name="Note 2 3 2 2 4 6" xfId="31894"/>
    <cellStyle name="Note 2 3 2 2 5" xfId="2460"/>
    <cellStyle name="Note 2 3 2 2 5 2" xfId="5312"/>
    <cellStyle name="Note 2 3 2 2 5 2 2" xfId="24284"/>
    <cellStyle name="Note 2 3 2 2 5 2 3" xfId="35129"/>
    <cellStyle name="Note 2 3 2 2 5 3" xfId="7983"/>
    <cellStyle name="Note 2 3 2 2 5 3 2" xfId="26955"/>
    <cellStyle name="Note 2 3 2 2 5 3 3" xfId="37800"/>
    <cellStyle name="Note 2 3 2 2 5 4" xfId="10642"/>
    <cellStyle name="Note 2 3 2 2 5 4 2" xfId="29614"/>
    <cellStyle name="Note 2 3 2 2 5 4 3" xfId="40459"/>
    <cellStyle name="Note 2 3 2 2 5 5" xfId="21438"/>
    <cellStyle name="Note 2 3 2 2 5 6" xfId="32283"/>
    <cellStyle name="Note 2 3 2 2 6" xfId="2846"/>
    <cellStyle name="Note 2 3 2 2 6 2" xfId="5697"/>
    <cellStyle name="Note 2 3 2 2 6 2 2" xfId="24669"/>
    <cellStyle name="Note 2 3 2 2 6 2 3" xfId="35514"/>
    <cellStyle name="Note 2 3 2 2 6 3" xfId="8368"/>
    <cellStyle name="Note 2 3 2 2 6 3 2" xfId="27340"/>
    <cellStyle name="Note 2 3 2 2 6 3 3" xfId="38185"/>
    <cellStyle name="Note 2 3 2 2 6 4" xfId="11027"/>
    <cellStyle name="Note 2 3 2 2 6 4 2" xfId="29999"/>
    <cellStyle name="Note 2 3 2 2 6 4 3" xfId="40844"/>
    <cellStyle name="Note 2 3 2 2 6 5" xfId="21823"/>
    <cellStyle name="Note 2 3 2 2 6 6" xfId="32668"/>
    <cellStyle name="Note 2 3 2 2 7" xfId="3535"/>
    <cellStyle name="Note 2 3 2 2 7 2" xfId="22507"/>
    <cellStyle name="Note 2 3 2 2 7 3" xfId="33352"/>
    <cellStyle name="Note 2 3 2 2 8" xfId="6210"/>
    <cellStyle name="Note 2 3 2 2 8 2" xfId="25182"/>
    <cellStyle name="Note 2 3 2 2 8 3" xfId="36027"/>
    <cellStyle name="Note 2 3 2 2 9" xfId="8869"/>
    <cellStyle name="Note 2 3 2 2 9 2" xfId="27841"/>
    <cellStyle name="Note 2 3 2 2 9 3" xfId="38686"/>
    <cellStyle name="Note 2 3 2 3" xfId="740"/>
    <cellStyle name="Note 2 3 2 3 10" xfId="19725"/>
    <cellStyle name="Note 2 3 2 3 11" xfId="30570"/>
    <cellStyle name="Note 2 3 2 3 2" xfId="1327"/>
    <cellStyle name="Note 2 3 2 3 2 2" xfId="4180"/>
    <cellStyle name="Note 2 3 2 3 2 2 2" xfId="23152"/>
    <cellStyle name="Note 2 3 2 3 2 2 3" xfId="33997"/>
    <cellStyle name="Note 2 3 2 3 2 3" xfId="6853"/>
    <cellStyle name="Note 2 3 2 3 2 3 2" xfId="25825"/>
    <cellStyle name="Note 2 3 2 3 2 3 3" xfId="36670"/>
    <cellStyle name="Note 2 3 2 3 2 4" xfId="9512"/>
    <cellStyle name="Note 2 3 2 3 2 4 2" xfId="28484"/>
    <cellStyle name="Note 2 3 2 3 2 4 3" xfId="39329"/>
    <cellStyle name="Note 2 3 2 3 2 5" xfId="20308"/>
    <cellStyle name="Note 2 3 2 3 2 6" xfId="31153"/>
    <cellStyle name="Note 2 3 2 3 3" xfId="1726"/>
    <cellStyle name="Note 2 3 2 3 3 2" xfId="4579"/>
    <cellStyle name="Note 2 3 2 3 3 2 2" xfId="23551"/>
    <cellStyle name="Note 2 3 2 3 3 2 3" xfId="34396"/>
    <cellStyle name="Note 2 3 2 3 3 3" xfId="7251"/>
    <cellStyle name="Note 2 3 2 3 3 3 2" xfId="26223"/>
    <cellStyle name="Note 2 3 2 3 3 3 3" xfId="37068"/>
    <cellStyle name="Note 2 3 2 3 3 4" xfId="9910"/>
    <cellStyle name="Note 2 3 2 3 3 4 2" xfId="28882"/>
    <cellStyle name="Note 2 3 2 3 3 4 3" xfId="39727"/>
    <cellStyle name="Note 2 3 2 3 3 5" xfId="20706"/>
    <cellStyle name="Note 2 3 2 3 3 6" xfId="31551"/>
    <cellStyle name="Note 2 3 2 3 4" xfId="2130"/>
    <cellStyle name="Note 2 3 2 3 4 2" xfId="4983"/>
    <cellStyle name="Note 2 3 2 3 4 2 2" xfId="23955"/>
    <cellStyle name="Note 2 3 2 3 4 2 3" xfId="34800"/>
    <cellStyle name="Note 2 3 2 3 4 3" xfId="7654"/>
    <cellStyle name="Note 2 3 2 3 4 3 2" xfId="26626"/>
    <cellStyle name="Note 2 3 2 3 4 3 3" xfId="37471"/>
    <cellStyle name="Note 2 3 2 3 4 4" xfId="10313"/>
    <cellStyle name="Note 2 3 2 3 4 4 2" xfId="29285"/>
    <cellStyle name="Note 2 3 2 3 4 4 3" xfId="40130"/>
    <cellStyle name="Note 2 3 2 3 4 5" xfId="21109"/>
    <cellStyle name="Note 2 3 2 3 4 6" xfId="31954"/>
    <cellStyle name="Note 2 3 2 3 5" xfId="2520"/>
    <cellStyle name="Note 2 3 2 3 5 2" xfId="5372"/>
    <cellStyle name="Note 2 3 2 3 5 2 2" xfId="24344"/>
    <cellStyle name="Note 2 3 2 3 5 2 3" xfId="35189"/>
    <cellStyle name="Note 2 3 2 3 5 3" xfId="8043"/>
    <cellStyle name="Note 2 3 2 3 5 3 2" xfId="27015"/>
    <cellStyle name="Note 2 3 2 3 5 3 3" xfId="37860"/>
    <cellStyle name="Note 2 3 2 3 5 4" xfId="10702"/>
    <cellStyle name="Note 2 3 2 3 5 4 2" xfId="29674"/>
    <cellStyle name="Note 2 3 2 3 5 4 3" xfId="40519"/>
    <cellStyle name="Note 2 3 2 3 5 5" xfId="21498"/>
    <cellStyle name="Note 2 3 2 3 5 6" xfId="32343"/>
    <cellStyle name="Note 2 3 2 3 6" xfId="2906"/>
    <cellStyle name="Note 2 3 2 3 6 2" xfId="5757"/>
    <cellStyle name="Note 2 3 2 3 6 2 2" xfId="24729"/>
    <cellStyle name="Note 2 3 2 3 6 2 3" xfId="35574"/>
    <cellStyle name="Note 2 3 2 3 6 3" xfId="8428"/>
    <cellStyle name="Note 2 3 2 3 6 3 2" xfId="27400"/>
    <cellStyle name="Note 2 3 2 3 6 3 3" xfId="38245"/>
    <cellStyle name="Note 2 3 2 3 6 4" xfId="11087"/>
    <cellStyle name="Note 2 3 2 3 6 4 2" xfId="30059"/>
    <cellStyle name="Note 2 3 2 3 6 4 3" xfId="40904"/>
    <cellStyle name="Note 2 3 2 3 6 5" xfId="21883"/>
    <cellStyle name="Note 2 3 2 3 6 6" xfId="32728"/>
    <cellStyle name="Note 2 3 2 3 7" xfId="3595"/>
    <cellStyle name="Note 2 3 2 3 7 2" xfId="22567"/>
    <cellStyle name="Note 2 3 2 3 7 3" xfId="33412"/>
    <cellStyle name="Note 2 3 2 3 8" xfId="6270"/>
    <cellStyle name="Note 2 3 2 3 8 2" xfId="25242"/>
    <cellStyle name="Note 2 3 2 3 8 3" xfId="36087"/>
    <cellStyle name="Note 2 3 2 3 9" xfId="8929"/>
    <cellStyle name="Note 2 3 2 3 9 2" xfId="27901"/>
    <cellStyle name="Note 2 3 2 3 9 3" xfId="38746"/>
    <cellStyle name="Note 2 3 2 4" xfId="800"/>
    <cellStyle name="Note 2 3 2 4 10" xfId="19785"/>
    <cellStyle name="Note 2 3 2 4 11" xfId="30630"/>
    <cellStyle name="Note 2 3 2 4 2" xfId="1387"/>
    <cellStyle name="Note 2 3 2 4 2 2" xfId="4240"/>
    <cellStyle name="Note 2 3 2 4 2 2 2" xfId="23212"/>
    <cellStyle name="Note 2 3 2 4 2 2 3" xfId="34057"/>
    <cellStyle name="Note 2 3 2 4 2 3" xfId="6913"/>
    <cellStyle name="Note 2 3 2 4 2 3 2" xfId="25885"/>
    <cellStyle name="Note 2 3 2 4 2 3 3" xfId="36730"/>
    <cellStyle name="Note 2 3 2 4 2 4" xfId="9572"/>
    <cellStyle name="Note 2 3 2 4 2 4 2" xfId="28544"/>
    <cellStyle name="Note 2 3 2 4 2 4 3" xfId="39389"/>
    <cellStyle name="Note 2 3 2 4 2 5" xfId="20368"/>
    <cellStyle name="Note 2 3 2 4 2 6" xfId="31213"/>
    <cellStyle name="Note 2 3 2 4 3" xfId="1786"/>
    <cellStyle name="Note 2 3 2 4 3 2" xfId="4639"/>
    <cellStyle name="Note 2 3 2 4 3 2 2" xfId="23611"/>
    <cellStyle name="Note 2 3 2 4 3 2 3" xfId="34456"/>
    <cellStyle name="Note 2 3 2 4 3 3" xfId="7311"/>
    <cellStyle name="Note 2 3 2 4 3 3 2" xfId="26283"/>
    <cellStyle name="Note 2 3 2 4 3 3 3" xfId="37128"/>
    <cellStyle name="Note 2 3 2 4 3 4" xfId="9970"/>
    <cellStyle name="Note 2 3 2 4 3 4 2" xfId="28942"/>
    <cellStyle name="Note 2 3 2 4 3 4 3" xfId="39787"/>
    <cellStyle name="Note 2 3 2 4 3 5" xfId="20766"/>
    <cellStyle name="Note 2 3 2 4 3 6" xfId="31611"/>
    <cellStyle name="Note 2 3 2 4 4" xfId="2190"/>
    <cellStyle name="Note 2 3 2 4 4 2" xfId="5043"/>
    <cellStyle name="Note 2 3 2 4 4 2 2" xfId="24015"/>
    <cellStyle name="Note 2 3 2 4 4 2 3" xfId="34860"/>
    <cellStyle name="Note 2 3 2 4 4 3" xfId="7714"/>
    <cellStyle name="Note 2 3 2 4 4 3 2" xfId="26686"/>
    <cellStyle name="Note 2 3 2 4 4 3 3" xfId="37531"/>
    <cellStyle name="Note 2 3 2 4 4 4" xfId="10373"/>
    <cellStyle name="Note 2 3 2 4 4 4 2" xfId="29345"/>
    <cellStyle name="Note 2 3 2 4 4 4 3" xfId="40190"/>
    <cellStyle name="Note 2 3 2 4 4 5" xfId="21169"/>
    <cellStyle name="Note 2 3 2 4 4 6" xfId="32014"/>
    <cellStyle name="Note 2 3 2 4 5" xfId="2580"/>
    <cellStyle name="Note 2 3 2 4 5 2" xfId="5432"/>
    <cellStyle name="Note 2 3 2 4 5 2 2" xfId="24404"/>
    <cellStyle name="Note 2 3 2 4 5 2 3" xfId="35249"/>
    <cellStyle name="Note 2 3 2 4 5 3" xfId="8103"/>
    <cellStyle name="Note 2 3 2 4 5 3 2" xfId="27075"/>
    <cellStyle name="Note 2 3 2 4 5 3 3" xfId="37920"/>
    <cellStyle name="Note 2 3 2 4 5 4" xfId="10762"/>
    <cellStyle name="Note 2 3 2 4 5 4 2" xfId="29734"/>
    <cellStyle name="Note 2 3 2 4 5 4 3" xfId="40579"/>
    <cellStyle name="Note 2 3 2 4 5 5" xfId="21558"/>
    <cellStyle name="Note 2 3 2 4 5 6" xfId="32403"/>
    <cellStyle name="Note 2 3 2 4 6" xfId="2966"/>
    <cellStyle name="Note 2 3 2 4 6 2" xfId="5817"/>
    <cellStyle name="Note 2 3 2 4 6 2 2" xfId="24789"/>
    <cellStyle name="Note 2 3 2 4 6 2 3" xfId="35634"/>
    <cellStyle name="Note 2 3 2 4 6 3" xfId="8488"/>
    <cellStyle name="Note 2 3 2 4 6 3 2" xfId="27460"/>
    <cellStyle name="Note 2 3 2 4 6 3 3" xfId="38305"/>
    <cellStyle name="Note 2 3 2 4 6 4" xfId="11147"/>
    <cellStyle name="Note 2 3 2 4 6 4 2" xfId="30119"/>
    <cellStyle name="Note 2 3 2 4 6 4 3" xfId="40964"/>
    <cellStyle name="Note 2 3 2 4 6 5" xfId="21943"/>
    <cellStyle name="Note 2 3 2 4 6 6" xfId="32788"/>
    <cellStyle name="Note 2 3 2 4 7" xfId="3655"/>
    <cellStyle name="Note 2 3 2 4 7 2" xfId="22627"/>
    <cellStyle name="Note 2 3 2 4 7 3" xfId="33472"/>
    <cellStyle name="Note 2 3 2 4 8" xfId="6330"/>
    <cellStyle name="Note 2 3 2 4 8 2" xfId="25302"/>
    <cellStyle name="Note 2 3 2 4 8 3" xfId="36147"/>
    <cellStyle name="Note 2 3 2 4 9" xfId="8989"/>
    <cellStyle name="Note 2 3 2 4 9 2" xfId="27961"/>
    <cellStyle name="Note 2 3 2 4 9 3" xfId="38806"/>
    <cellStyle name="Note 2 3 2 5" xfId="859"/>
    <cellStyle name="Note 2 3 2 5 10" xfId="19844"/>
    <cellStyle name="Note 2 3 2 5 11" xfId="30689"/>
    <cellStyle name="Note 2 3 2 5 2" xfId="1446"/>
    <cellStyle name="Note 2 3 2 5 2 2" xfId="4299"/>
    <cellStyle name="Note 2 3 2 5 2 2 2" xfId="23271"/>
    <cellStyle name="Note 2 3 2 5 2 2 3" xfId="34116"/>
    <cellStyle name="Note 2 3 2 5 2 3" xfId="6972"/>
    <cellStyle name="Note 2 3 2 5 2 3 2" xfId="25944"/>
    <cellStyle name="Note 2 3 2 5 2 3 3" xfId="36789"/>
    <cellStyle name="Note 2 3 2 5 2 4" xfId="9631"/>
    <cellStyle name="Note 2 3 2 5 2 4 2" xfId="28603"/>
    <cellStyle name="Note 2 3 2 5 2 4 3" xfId="39448"/>
    <cellStyle name="Note 2 3 2 5 2 5" xfId="20427"/>
    <cellStyle name="Note 2 3 2 5 2 6" xfId="31272"/>
    <cellStyle name="Note 2 3 2 5 3" xfId="1845"/>
    <cellStyle name="Note 2 3 2 5 3 2" xfId="4698"/>
    <cellStyle name="Note 2 3 2 5 3 2 2" xfId="23670"/>
    <cellStyle name="Note 2 3 2 5 3 2 3" xfId="34515"/>
    <cellStyle name="Note 2 3 2 5 3 3" xfId="7370"/>
    <cellStyle name="Note 2 3 2 5 3 3 2" xfId="26342"/>
    <cellStyle name="Note 2 3 2 5 3 3 3" xfId="37187"/>
    <cellStyle name="Note 2 3 2 5 3 4" xfId="10029"/>
    <cellStyle name="Note 2 3 2 5 3 4 2" xfId="29001"/>
    <cellStyle name="Note 2 3 2 5 3 4 3" xfId="39846"/>
    <cellStyle name="Note 2 3 2 5 3 5" xfId="20825"/>
    <cellStyle name="Note 2 3 2 5 3 6" xfId="31670"/>
    <cellStyle name="Note 2 3 2 5 4" xfId="2249"/>
    <cellStyle name="Note 2 3 2 5 4 2" xfId="5102"/>
    <cellStyle name="Note 2 3 2 5 4 2 2" xfId="24074"/>
    <cellStyle name="Note 2 3 2 5 4 2 3" xfId="34919"/>
    <cellStyle name="Note 2 3 2 5 4 3" xfId="7773"/>
    <cellStyle name="Note 2 3 2 5 4 3 2" xfId="26745"/>
    <cellStyle name="Note 2 3 2 5 4 3 3" xfId="37590"/>
    <cellStyle name="Note 2 3 2 5 4 4" xfId="10432"/>
    <cellStyle name="Note 2 3 2 5 4 4 2" xfId="29404"/>
    <cellStyle name="Note 2 3 2 5 4 4 3" xfId="40249"/>
    <cellStyle name="Note 2 3 2 5 4 5" xfId="21228"/>
    <cellStyle name="Note 2 3 2 5 4 6" xfId="32073"/>
    <cellStyle name="Note 2 3 2 5 5" xfId="2639"/>
    <cellStyle name="Note 2 3 2 5 5 2" xfId="5491"/>
    <cellStyle name="Note 2 3 2 5 5 2 2" xfId="24463"/>
    <cellStyle name="Note 2 3 2 5 5 2 3" xfId="35308"/>
    <cellStyle name="Note 2 3 2 5 5 3" xfId="8162"/>
    <cellStyle name="Note 2 3 2 5 5 3 2" xfId="27134"/>
    <cellStyle name="Note 2 3 2 5 5 3 3" xfId="37979"/>
    <cellStyle name="Note 2 3 2 5 5 4" xfId="10821"/>
    <cellStyle name="Note 2 3 2 5 5 4 2" xfId="29793"/>
    <cellStyle name="Note 2 3 2 5 5 4 3" xfId="40638"/>
    <cellStyle name="Note 2 3 2 5 5 5" xfId="21617"/>
    <cellStyle name="Note 2 3 2 5 5 6" xfId="32462"/>
    <cellStyle name="Note 2 3 2 5 6" xfId="3025"/>
    <cellStyle name="Note 2 3 2 5 6 2" xfId="5876"/>
    <cellStyle name="Note 2 3 2 5 6 2 2" xfId="24848"/>
    <cellStyle name="Note 2 3 2 5 6 2 3" xfId="35693"/>
    <cellStyle name="Note 2 3 2 5 6 3" xfId="8547"/>
    <cellStyle name="Note 2 3 2 5 6 3 2" xfId="27519"/>
    <cellStyle name="Note 2 3 2 5 6 3 3" xfId="38364"/>
    <cellStyle name="Note 2 3 2 5 6 4" xfId="11206"/>
    <cellStyle name="Note 2 3 2 5 6 4 2" xfId="30178"/>
    <cellStyle name="Note 2 3 2 5 6 4 3" xfId="41023"/>
    <cellStyle name="Note 2 3 2 5 6 5" xfId="22002"/>
    <cellStyle name="Note 2 3 2 5 6 6" xfId="32847"/>
    <cellStyle name="Note 2 3 2 5 7" xfId="3714"/>
    <cellStyle name="Note 2 3 2 5 7 2" xfId="22686"/>
    <cellStyle name="Note 2 3 2 5 7 3" xfId="33531"/>
    <cellStyle name="Note 2 3 2 5 8" xfId="6389"/>
    <cellStyle name="Note 2 3 2 5 8 2" xfId="25361"/>
    <cellStyle name="Note 2 3 2 5 8 3" xfId="36206"/>
    <cellStyle name="Note 2 3 2 5 9" xfId="9048"/>
    <cellStyle name="Note 2 3 2 5 9 2" xfId="28020"/>
    <cellStyle name="Note 2 3 2 5 9 3" xfId="38865"/>
    <cellStyle name="Note 2 3 2 6" xfId="1081"/>
    <cellStyle name="Note 2 3 2 6 2" xfId="3934"/>
    <cellStyle name="Note 2 3 2 6 2 2" xfId="22906"/>
    <cellStyle name="Note 2 3 2 6 2 3" xfId="33751"/>
    <cellStyle name="Note 2 3 2 6 3" xfId="6608"/>
    <cellStyle name="Note 2 3 2 6 3 2" xfId="25580"/>
    <cellStyle name="Note 2 3 2 6 3 3" xfId="36425"/>
    <cellStyle name="Note 2 3 2 6 4" xfId="9267"/>
    <cellStyle name="Note 2 3 2 6 4 2" xfId="28239"/>
    <cellStyle name="Note 2 3 2 6 4 3" xfId="39084"/>
    <cellStyle name="Note 2 3 2 6 5" xfId="20063"/>
    <cellStyle name="Note 2 3 2 6 6" xfId="30908"/>
    <cellStyle name="Note 2 3 2 7" xfId="909"/>
    <cellStyle name="Note 2 3 2 7 2" xfId="3764"/>
    <cellStyle name="Note 2 3 2 7 2 2" xfId="22736"/>
    <cellStyle name="Note 2 3 2 7 2 3" xfId="33581"/>
    <cellStyle name="Note 2 3 2 7 3" xfId="6439"/>
    <cellStyle name="Note 2 3 2 7 3 2" xfId="25411"/>
    <cellStyle name="Note 2 3 2 7 3 3" xfId="36256"/>
    <cellStyle name="Note 2 3 2 7 4" xfId="9098"/>
    <cellStyle name="Note 2 3 2 7 4 2" xfId="28070"/>
    <cellStyle name="Note 2 3 2 7 4 3" xfId="38915"/>
    <cellStyle name="Note 2 3 2 7 5" xfId="19894"/>
    <cellStyle name="Note 2 3 2 7 6" xfId="30739"/>
    <cellStyle name="Note 2 3 2 8" xfId="1008"/>
    <cellStyle name="Note 2 3 2 8 2" xfId="3861"/>
    <cellStyle name="Note 2 3 2 8 2 2" xfId="22833"/>
    <cellStyle name="Note 2 3 2 8 2 3" xfId="33678"/>
    <cellStyle name="Note 2 3 2 8 3" xfId="6535"/>
    <cellStyle name="Note 2 3 2 8 3 2" xfId="25507"/>
    <cellStyle name="Note 2 3 2 8 3 3" xfId="36352"/>
    <cellStyle name="Note 2 3 2 8 4" xfId="9194"/>
    <cellStyle name="Note 2 3 2 8 4 2" xfId="28166"/>
    <cellStyle name="Note 2 3 2 8 4 3" xfId="39011"/>
    <cellStyle name="Note 2 3 2 8 5" xfId="19990"/>
    <cellStyle name="Note 2 3 2 8 6" xfId="30835"/>
    <cellStyle name="Note 2 3 2 9" xfId="1010"/>
    <cellStyle name="Note 2 3 2 9 2" xfId="3863"/>
    <cellStyle name="Note 2 3 2 9 2 2" xfId="22835"/>
    <cellStyle name="Note 2 3 2 9 2 3" xfId="33680"/>
    <cellStyle name="Note 2 3 2 9 3" xfId="6537"/>
    <cellStyle name="Note 2 3 2 9 3 2" xfId="25509"/>
    <cellStyle name="Note 2 3 2 9 3 3" xfId="36354"/>
    <cellStyle name="Note 2 3 2 9 4" xfId="9196"/>
    <cellStyle name="Note 2 3 2 9 4 2" xfId="28168"/>
    <cellStyle name="Note 2 3 2 9 4 3" xfId="39013"/>
    <cellStyle name="Note 2 3 2 9 5" xfId="19992"/>
    <cellStyle name="Note 2 3 2 9 6" xfId="30837"/>
    <cellStyle name="Note 2 3 3" xfId="563"/>
    <cellStyle name="Note 2 3 3 10" xfId="19573"/>
    <cellStyle name="Note 2 3 3 11" xfId="30418"/>
    <cellStyle name="Note 2 3 3 2" xfId="1169"/>
    <cellStyle name="Note 2 3 3 2 2" xfId="4022"/>
    <cellStyle name="Note 2 3 3 2 2 2" xfId="22994"/>
    <cellStyle name="Note 2 3 3 2 2 3" xfId="33839"/>
    <cellStyle name="Note 2 3 3 2 3" xfId="6695"/>
    <cellStyle name="Note 2 3 3 2 3 2" xfId="25667"/>
    <cellStyle name="Note 2 3 3 2 3 3" xfId="36512"/>
    <cellStyle name="Note 2 3 3 2 4" xfId="9354"/>
    <cellStyle name="Note 2 3 3 2 4 2" xfId="28326"/>
    <cellStyle name="Note 2 3 3 2 4 3" xfId="39171"/>
    <cellStyle name="Note 2 3 3 2 5" xfId="20150"/>
    <cellStyle name="Note 2 3 3 2 6" xfId="30995"/>
    <cellStyle name="Note 2 3 3 3" xfId="1566"/>
    <cellStyle name="Note 2 3 3 3 2" xfId="4419"/>
    <cellStyle name="Note 2 3 3 3 2 2" xfId="23391"/>
    <cellStyle name="Note 2 3 3 3 2 3" xfId="34236"/>
    <cellStyle name="Note 2 3 3 3 3" xfId="7091"/>
    <cellStyle name="Note 2 3 3 3 3 2" xfId="26063"/>
    <cellStyle name="Note 2 3 3 3 3 3" xfId="36908"/>
    <cellStyle name="Note 2 3 3 3 4" xfId="9750"/>
    <cellStyle name="Note 2 3 3 3 4 2" xfId="28722"/>
    <cellStyle name="Note 2 3 3 3 4 3" xfId="39567"/>
    <cellStyle name="Note 2 3 3 3 5" xfId="20546"/>
    <cellStyle name="Note 2 3 3 3 6" xfId="31391"/>
    <cellStyle name="Note 2 3 3 4" xfId="1970"/>
    <cellStyle name="Note 2 3 3 4 2" xfId="4823"/>
    <cellStyle name="Note 2 3 3 4 2 2" xfId="23795"/>
    <cellStyle name="Note 2 3 3 4 2 3" xfId="34640"/>
    <cellStyle name="Note 2 3 3 4 3" xfId="7495"/>
    <cellStyle name="Note 2 3 3 4 3 2" xfId="26467"/>
    <cellStyle name="Note 2 3 3 4 3 3" xfId="37312"/>
    <cellStyle name="Note 2 3 3 4 4" xfId="10154"/>
    <cellStyle name="Note 2 3 3 4 4 2" xfId="29126"/>
    <cellStyle name="Note 2 3 3 4 4 3" xfId="39971"/>
    <cellStyle name="Note 2 3 3 4 5" xfId="20950"/>
    <cellStyle name="Note 2 3 3 4 6" xfId="31795"/>
    <cellStyle name="Note 2 3 3 5" xfId="2362"/>
    <cellStyle name="Note 2 3 3 5 2" xfId="5215"/>
    <cellStyle name="Note 2 3 3 5 2 2" xfId="24187"/>
    <cellStyle name="Note 2 3 3 5 2 3" xfId="35032"/>
    <cellStyle name="Note 2 3 3 5 3" xfId="7886"/>
    <cellStyle name="Note 2 3 3 5 3 2" xfId="26858"/>
    <cellStyle name="Note 2 3 3 5 3 3" xfId="37703"/>
    <cellStyle name="Note 2 3 3 5 4" xfId="10545"/>
    <cellStyle name="Note 2 3 3 5 4 2" xfId="29517"/>
    <cellStyle name="Note 2 3 3 5 4 3" xfId="40362"/>
    <cellStyle name="Note 2 3 3 5 5" xfId="21341"/>
    <cellStyle name="Note 2 3 3 5 6" xfId="32186"/>
    <cellStyle name="Note 2 3 3 6" xfId="2751"/>
    <cellStyle name="Note 2 3 3 6 2" xfId="5603"/>
    <cellStyle name="Note 2 3 3 6 2 2" xfId="24575"/>
    <cellStyle name="Note 2 3 3 6 2 3" xfId="35420"/>
    <cellStyle name="Note 2 3 3 6 3" xfId="8274"/>
    <cellStyle name="Note 2 3 3 6 3 2" xfId="27246"/>
    <cellStyle name="Note 2 3 3 6 3 3" xfId="38091"/>
    <cellStyle name="Note 2 3 3 6 4" xfId="10933"/>
    <cellStyle name="Note 2 3 3 6 4 2" xfId="29905"/>
    <cellStyle name="Note 2 3 3 6 4 3" xfId="40750"/>
    <cellStyle name="Note 2 3 3 6 5" xfId="21729"/>
    <cellStyle name="Note 2 3 3 6 6" xfId="32574"/>
    <cellStyle name="Note 2 3 3 7" xfId="3442"/>
    <cellStyle name="Note 2 3 3 7 2" xfId="22414"/>
    <cellStyle name="Note 2 3 3 7 3" xfId="33259"/>
    <cellStyle name="Note 2 3 3 8" xfId="6118"/>
    <cellStyle name="Note 2 3 3 8 2" xfId="25090"/>
    <cellStyle name="Note 2 3 3 8 3" xfId="35935"/>
    <cellStyle name="Note 2 3 3 9" xfId="8777"/>
    <cellStyle name="Note 2 3 3 9 2" xfId="27749"/>
    <cellStyle name="Note 2 3 3 9 3" xfId="38594"/>
    <cellStyle name="Note 2 3 4" xfId="41474"/>
    <cellStyle name="Note 2 4" xfId="129"/>
    <cellStyle name="Note 2 4 2" xfId="381"/>
    <cellStyle name="Note 2 4 2 10" xfId="994"/>
    <cellStyle name="Note 2 4 2 10 2" xfId="3847"/>
    <cellStyle name="Note 2 4 2 10 2 2" xfId="22819"/>
    <cellStyle name="Note 2 4 2 10 2 3" xfId="33664"/>
    <cellStyle name="Note 2 4 2 10 3" xfId="6522"/>
    <cellStyle name="Note 2 4 2 10 3 2" xfId="25494"/>
    <cellStyle name="Note 2 4 2 10 3 3" xfId="36339"/>
    <cellStyle name="Note 2 4 2 10 4" xfId="9181"/>
    <cellStyle name="Note 2 4 2 10 4 2" xfId="28153"/>
    <cellStyle name="Note 2 4 2 10 4 3" xfId="38998"/>
    <cellStyle name="Note 2 4 2 10 5" xfId="19977"/>
    <cellStyle name="Note 2 4 2 10 6" xfId="30822"/>
    <cellStyle name="Note 2 4 2 11" xfId="1020"/>
    <cellStyle name="Note 2 4 2 11 2" xfId="3873"/>
    <cellStyle name="Note 2 4 2 11 2 2" xfId="22845"/>
    <cellStyle name="Note 2 4 2 11 2 3" xfId="33690"/>
    <cellStyle name="Note 2 4 2 11 3" xfId="6547"/>
    <cellStyle name="Note 2 4 2 11 3 2" xfId="25519"/>
    <cellStyle name="Note 2 4 2 11 3 3" xfId="36364"/>
    <cellStyle name="Note 2 4 2 11 4" xfId="9206"/>
    <cellStyle name="Note 2 4 2 11 4 2" xfId="28178"/>
    <cellStyle name="Note 2 4 2 11 4 3" xfId="39023"/>
    <cellStyle name="Note 2 4 2 11 5" xfId="20002"/>
    <cellStyle name="Note 2 4 2 11 6" xfId="30847"/>
    <cellStyle name="Note 2 4 2 12" xfId="3116"/>
    <cellStyle name="Note 2 4 2 12 2" xfId="5967"/>
    <cellStyle name="Note 2 4 2 12 2 2" xfId="24939"/>
    <cellStyle name="Note 2 4 2 12 2 3" xfId="35784"/>
    <cellStyle name="Note 2 4 2 12 3" xfId="8638"/>
    <cellStyle name="Note 2 4 2 12 3 2" xfId="27610"/>
    <cellStyle name="Note 2 4 2 12 3 3" xfId="38455"/>
    <cellStyle name="Note 2 4 2 12 4" xfId="11297"/>
    <cellStyle name="Note 2 4 2 12 4 2" xfId="30269"/>
    <cellStyle name="Note 2 4 2 12 4 3" xfId="41114"/>
    <cellStyle name="Note 2 4 2 12 5" xfId="22093"/>
    <cellStyle name="Note 2 4 2 12 6" xfId="32938"/>
    <cellStyle name="Note 2 4 2 13" xfId="3173"/>
    <cellStyle name="Note 2 4 2 13 2" xfId="6024"/>
    <cellStyle name="Note 2 4 2 13 2 2" xfId="24996"/>
    <cellStyle name="Note 2 4 2 13 2 3" xfId="35841"/>
    <cellStyle name="Note 2 4 2 13 3" xfId="8695"/>
    <cellStyle name="Note 2 4 2 13 3 2" xfId="27667"/>
    <cellStyle name="Note 2 4 2 13 3 3" xfId="38512"/>
    <cellStyle name="Note 2 4 2 13 4" xfId="11354"/>
    <cellStyle name="Note 2 4 2 13 4 2" xfId="30326"/>
    <cellStyle name="Note 2 4 2 13 4 3" xfId="41171"/>
    <cellStyle name="Note 2 4 2 13 5" xfId="22150"/>
    <cellStyle name="Note 2 4 2 13 6" xfId="32995"/>
    <cellStyle name="Note 2 4 2 14" xfId="3339"/>
    <cellStyle name="Note 2 4 2 14 2" xfId="22313"/>
    <cellStyle name="Note 2 4 2 14 3" xfId="33158"/>
    <cellStyle name="Note 2 4 2 15" xfId="3394"/>
    <cellStyle name="Note 2 4 2 15 2" xfId="22366"/>
    <cellStyle name="Note 2 4 2 15 3" xfId="33211"/>
    <cellStyle name="Note 2 4 2 16" xfId="3366"/>
    <cellStyle name="Note 2 4 2 16 2" xfId="22340"/>
    <cellStyle name="Note 2 4 2 16 3" xfId="33185"/>
    <cellStyle name="Note 2 4 2 17" xfId="19470"/>
    <cellStyle name="Note 2 4 2 18" xfId="19433"/>
    <cellStyle name="Note 2 4 2 2" xfId="681"/>
    <cellStyle name="Note 2 4 2 2 10" xfId="19666"/>
    <cellStyle name="Note 2 4 2 2 11" xfId="30511"/>
    <cellStyle name="Note 2 4 2 2 2" xfId="1268"/>
    <cellStyle name="Note 2 4 2 2 2 2" xfId="4121"/>
    <cellStyle name="Note 2 4 2 2 2 2 2" xfId="23093"/>
    <cellStyle name="Note 2 4 2 2 2 2 3" xfId="33938"/>
    <cellStyle name="Note 2 4 2 2 2 3" xfId="6794"/>
    <cellStyle name="Note 2 4 2 2 2 3 2" xfId="25766"/>
    <cellStyle name="Note 2 4 2 2 2 3 3" xfId="36611"/>
    <cellStyle name="Note 2 4 2 2 2 4" xfId="9453"/>
    <cellStyle name="Note 2 4 2 2 2 4 2" xfId="28425"/>
    <cellStyle name="Note 2 4 2 2 2 4 3" xfId="39270"/>
    <cellStyle name="Note 2 4 2 2 2 5" xfId="20249"/>
    <cellStyle name="Note 2 4 2 2 2 6" xfId="31094"/>
    <cellStyle name="Note 2 4 2 2 3" xfId="1667"/>
    <cellStyle name="Note 2 4 2 2 3 2" xfId="4520"/>
    <cellStyle name="Note 2 4 2 2 3 2 2" xfId="23492"/>
    <cellStyle name="Note 2 4 2 2 3 2 3" xfId="34337"/>
    <cellStyle name="Note 2 4 2 2 3 3" xfId="7192"/>
    <cellStyle name="Note 2 4 2 2 3 3 2" xfId="26164"/>
    <cellStyle name="Note 2 4 2 2 3 3 3" xfId="37009"/>
    <cellStyle name="Note 2 4 2 2 3 4" xfId="9851"/>
    <cellStyle name="Note 2 4 2 2 3 4 2" xfId="28823"/>
    <cellStyle name="Note 2 4 2 2 3 4 3" xfId="39668"/>
    <cellStyle name="Note 2 4 2 2 3 5" xfId="20647"/>
    <cellStyle name="Note 2 4 2 2 3 6" xfId="31492"/>
    <cellStyle name="Note 2 4 2 2 4" xfId="2071"/>
    <cellStyle name="Note 2 4 2 2 4 2" xfId="4924"/>
    <cellStyle name="Note 2 4 2 2 4 2 2" xfId="23896"/>
    <cellStyle name="Note 2 4 2 2 4 2 3" xfId="34741"/>
    <cellStyle name="Note 2 4 2 2 4 3" xfId="7595"/>
    <cellStyle name="Note 2 4 2 2 4 3 2" xfId="26567"/>
    <cellStyle name="Note 2 4 2 2 4 3 3" xfId="37412"/>
    <cellStyle name="Note 2 4 2 2 4 4" xfId="10254"/>
    <cellStyle name="Note 2 4 2 2 4 4 2" xfId="29226"/>
    <cellStyle name="Note 2 4 2 2 4 4 3" xfId="40071"/>
    <cellStyle name="Note 2 4 2 2 4 5" xfId="21050"/>
    <cellStyle name="Note 2 4 2 2 4 6" xfId="31895"/>
    <cellStyle name="Note 2 4 2 2 5" xfId="2461"/>
    <cellStyle name="Note 2 4 2 2 5 2" xfId="5313"/>
    <cellStyle name="Note 2 4 2 2 5 2 2" xfId="24285"/>
    <cellStyle name="Note 2 4 2 2 5 2 3" xfId="35130"/>
    <cellStyle name="Note 2 4 2 2 5 3" xfId="7984"/>
    <cellStyle name="Note 2 4 2 2 5 3 2" xfId="26956"/>
    <cellStyle name="Note 2 4 2 2 5 3 3" xfId="37801"/>
    <cellStyle name="Note 2 4 2 2 5 4" xfId="10643"/>
    <cellStyle name="Note 2 4 2 2 5 4 2" xfId="29615"/>
    <cellStyle name="Note 2 4 2 2 5 4 3" xfId="40460"/>
    <cellStyle name="Note 2 4 2 2 5 5" xfId="21439"/>
    <cellStyle name="Note 2 4 2 2 5 6" xfId="32284"/>
    <cellStyle name="Note 2 4 2 2 6" xfId="2847"/>
    <cellStyle name="Note 2 4 2 2 6 2" xfId="5698"/>
    <cellStyle name="Note 2 4 2 2 6 2 2" xfId="24670"/>
    <cellStyle name="Note 2 4 2 2 6 2 3" xfId="35515"/>
    <cellStyle name="Note 2 4 2 2 6 3" xfId="8369"/>
    <cellStyle name="Note 2 4 2 2 6 3 2" xfId="27341"/>
    <cellStyle name="Note 2 4 2 2 6 3 3" xfId="38186"/>
    <cellStyle name="Note 2 4 2 2 6 4" xfId="11028"/>
    <cellStyle name="Note 2 4 2 2 6 4 2" xfId="30000"/>
    <cellStyle name="Note 2 4 2 2 6 4 3" xfId="40845"/>
    <cellStyle name="Note 2 4 2 2 6 5" xfId="21824"/>
    <cellStyle name="Note 2 4 2 2 6 6" xfId="32669"/>
    <cellStyle name="Note 2 4 2 2 7" xfId="3536"/>
    <cellStyle name="Note 2 4 2 2 7 2" xfId="22508"/>
    <cellStyle name="Note 2 4 2 2 7 3" xfId="33353"/>
    <cellStyle name="Note 2 4 2 2 8" xfId="6211"/>
    <cellStyle name="Note 2 4 2 2 8 2" xfId="25183"/>
    <cellStyle name="Note 2 4 2 2 8 3" xfId="36028"/>
    <cellStyle name="Note 2 4 2 2 9" xfId="8870"/>
    <cellStyle name="Note 2 4 2 2 9 2" xfId="27842"/>
    <cellStyle name="Note 2 4 2 2 9 3" xfId="38687"/>
    <cellStyle name="Note 2 4 2 3" xfId="741"/>
    <cellStyle name="Note 2 4 2 3 10" xfId="19726"/>
    <cellStyle name="Note 2 4 2 3 11" xfId="30571"/>
    <cellStyle name="Note 2 4 2 3 2" xfId="1328"/>
    <cellStyle name="Note 2 4 2 3 2 2" xfId="4181"/>
    <cellStyle name="Note 2 4 2 3 2 2 2" xfId="23153"/>
    <cellStyle name="Note 2 4 2 3 2 2 3" xfId="33998"/>
    <cellStyle name="Note 2 4 2 3 2 3" xfId="6854"/>
    <cellStyle name="Note 2 4 2 3 2 3 2" xfId="25826"/>
    <cellStyle name="Note 2 4 2 3 2 3 3" xfId="36671"/>
    <cellStyle name="Note 2 4 2 3 2 4" xfId="9513"/>
    <cellStyle name="Note 2 4 2 3 2 4 2" xfId="28485"/>
    <cellStyle name="Note 2 4 2 3 2 4 3" xfId="39330"/>
    <cellStyle name="Note 2 4 2 3 2 5" xfId="20309"/>
    <cellStyle name="Note 2 4 2 3 2 6" xfId="31154"/>
    <cellStyle name="Note 2 4 2 3 3" xfId="1727"/>
    <cellStyle name="Note 2 4 2 3 3 2" xfId="4580"/>
    <cellStyle name="Note 2 4 2 3 3 2 2" xfId="23552"/>
    <cellStyle name="Note 2 4 2 3 3 2 3" xfId="34397"/>
    <cellStyle name="Note 2 4 2 3 3 3" xfId="7252"/>
    <cellStyle name="Note 2 4 2 3 3 3 2" xfId="26224"/>
    <cellStyle name="Note 2 4 2 3 3 3 3" xfId="37069"/>
    <cellStyle name="Note 2 4 2 3 3 4" xfId="9911"/>
    <cellStyle name="Note 2 4 2 3 3 4 2" xfId="28883"/>
    <cellStyle name="Note 2 4 2 3 3 4 3" xfId="39728"/>
    <cellStyle name="Note 2 4 2 3 3 5" xfId="20707"/>
    <cellStyle name="Note 2 4 2 3 3 6" xfId="31552"/>
    <cellStyle name="Note 2 4 2 3 4" xfId="2131"/>
    <cellStyle name="Note 2 4 2 3 4 2" xfId="4984"/>
    <cellStyle name="Note 2 4 2 3 4 2 2" xfId="23956"/>
    <cellStyle name="Note 2 4 2 3 4 2 3" xfId="34801"/>
    <cellStyle name="Note 2 4 2 3 4 3" xfId="7655"/>
    <cellStyle name="Note 2 4 2 3 4 3 2" xfId="26627"/>
    <cellStyle name="Note 2 4 2 3 4 3 3" xfId="37472"/>
    <cellStyle name="Note 2 4 2 3 4 4" xfId="10314"/>
    <cellStyle name="Note 2 4 2 3 4 4 2" xfId="29286"/>
    <cellStyle name="Note 2 4 2 3 4 4 3" xfId="40131"/>
    <cellStyle name="Note 2 4 2 3 4 5" xfId="21110"/>
    <cellStyle name="Note 2 4 2 3 4 6" xfId="31955"/>
    <cellStyle name="Note 2 4 2 3 5" xfId="2521"/>
    <cellStyle name="Note 2 4 2 3 5 2" xfId="5373"/>
    <cellStyle name="Note 2 4 2 3 5 2 2" xfId="24345"/>
    <cellStyle name="Note 2 4 2 3 5 2 3" xfId="35190"/>
    <cellStyle name="Note 2 4 2 3 5 3" xfId="8044"/>
    <cellStyle name="Note 2 4 2 3 5 3 2" xfId="27016"/>
    <cellStyle name="Note 2 4 2 3 5 3 3" xfId="37861"/>
    <cellStyle name="Note 2 4 2 3 5 4" xfId="10703"/>
    <cellStyle name="Note 2 4 2 3 5 4 2" xfId="29675"/>
    <cellStyle name="Note 2 4 2 3 5 4 3" xfId="40520"/>
    <cellStyle name="Note 2 4 2 3 5 5" xfId="21499"/>
    <cellStyle name="Note 2 4 2 3 5 6" xfId="32344"/>
    <cellStyle name="Note 2 4 2 3 6" xfId="2907"/>
    <cellStyle name="Note 2 4 2 3 6 2" xfId="5758"/>
    <cellStyle name="Note 2 4 2 3 6 2 2" xfId="24730"/>
    <cellStyle name="Note 2 4 2 3 6 2 3" xfId="35575"/>
    <cellStyle name="Note 2 4 2 3 6 3" xfId="8429"/>
    <cellStyle name="Note 2 4 2 3 6 3 2" xfId="27401"/>
    <cellStyle name="Note 2 4 2 3 6 3 3" xfId="38246"/>
    <cellStyle name="Note 2 4 2 3 6 4" xfId="11088"/>
    <cellStyle name="Note 2 4 2 3 6 4 2" xfId="30060"/>
    <cellStyle name="Note 2 4 2 3 6 4 3" xfId="40905"/>
    <cellStyle name="Note 2 4 2 3 6 5" xfId="21884"/>
    <cellStyle name="Note 2 4 2 3 6 6" xfId="32729"/>
    <cellStyle name="Note 2 4 2 3 7" xfId="3596"/>
    <cellStyle name="Note 2 4 2 3 7 2" xfId="22568"/>
    <cellStyle name="Note 2 4 2 3 7 3" xfId="33413"/>
    <cellStyle name="Note 2 4 2 3 8" xfId="6271"/>
    <cellStyle name="Note 2 4 2 3 8 2" xfId="25243"/>
    <cellStyle name="Note 2 4 2 3 8 3" xfId="36088"/>
    <cellStyle name="Note 2 4 2 3 9" xfId="8930"/>
    <cellStyle name="Note 2 4 2 3 9 2" xfId="27902"/>
    <cellStyle name="Note 2 4 2 3 9 3" xfId="38747"/>
    <cellStyle name="Note 2 4 2 4" xfId="801"/>
    <cellStyle name="Note 2 4 2 4 10" xfId="19786"/>
    <cellStyle name="Note 2 4 2 4 11" xfId="30631"/>
    <cellStyle name="Note 2 4 2 4 2" xfId="1388"/>
    <cellStyle name="Note 2 4 2 4 2 2" xfId="4241"/>
    <cellStyle name="Note 2 4 2 4 2 2 2" xfId="23213"/>
    <cellStyle name="Note 2 4 2 4 2 2 3" xfId="34058"/>
    <cellStyle name="Note 2 4 2 4 2 3" xfId="6914"/>
    <cellStyle name="Note 2 4 2 4 2 3 2" xfId="25886"/>
    <cellStyle name="Note 2 4 2 4 2 3 3" xfId="36731"/>
    <cellStyle name="Note 2 4 2 4 2 4" xfId="9573"/>
    <cellStyle name="Note 2 4 2 4 2 4 2" xfId="28545"/>
    <cellStyle name="Note 2 4 2 4 2 4 3" xfId="39390"/>
    <cellStyle name="Note 2 4 2 4 2 5" xfId="20369"/>
    <cellStyle name="Note 2 4 2 4 2 6" xfId="31214"/>
    <cellStyle name="Note 2 4 2 4 3" xfId="1787"/>
    <cellStyle name="Note 2 4 2 4 3 2" xfId="4640"/>
    <cellStyle name="Note 2 4 2 4 3 2 2" xfId="23612"/>
    <cellStyle name="Note 2 4 2 4 3 2 3" xfId="34457"/>
    <cellStyle name="Note 2 4 2 4 3 3" xfId="7312"/>
    <cellStyle name="Note 2 4 2 4 3 3 2" xfId="26284"/>
    <cellStyle name="Note 2 4 2 4 3 3 3" xfId="37129"/>
    <cellStyle name="Note 2 4 2 4 3 4" xfId="9971"/>
    <cellStyle name="Note 2 4 2 4 3 4 2" xfId="28943"/>
    <cellStyle name="Note 2 4 2 4 3 4 3" xfId="39788"/>
    <cellStyle name="Note 2 4 2 4 3 5" xfId="20767"/>
    <cellStyle name="Note 2 4 2 4 3 6" xfId="31612"/>
    <cellStyle name="Note 2 4 2 4 4" xfId="2191"/>
    <cellStyle name="Note 2 4 2 4 4 2" xfId="5044"/>
    <cellStyle name="Note 2 4 2 4 4 2 2" xfId="24016"/>
    <cellStyle name="Note 2 4 2 4 4 2 3" xfId="34861"/>
    <cellStyle name="Note 2 4 2 4 4 3" xfId="7715"/>
    <cellStyle name="Note 2 4 2 4 4 3 2" xfId="26687"/>
    <cellStyle name="Note 2 4 2 4 4 3 3" xfId="37532"/>
    <cellStyle name="Note 2 4 2 4 4 4" xfId="10374"/>
    <cellStyle name="Note 2 4 2 4 4 4 2" xfId="29346"/>
    <cellStyle name="Note 2 4 2 4 4 4 3" xfId="40191"/>
    <cellStyle name="Note 2 4 2 4 4 5" xfId="21170"/>
    <cellStyle name="Note 2 4 2 4 4 6" xfId="32015"/>
    <cellStyle name="Note 2 4 2 4 5" xfId="2581"/>
    <cellStyle name="Note 2 4 2 4 5 2" xfId="5433"/>
    <cellStyle name="Note 2 4 2 4 5 2 2" xfId="24405"/>
    <cellStyle name="Note 2 4 2 4 5 2 3" xfId="35250"/>
    <cellStyle name="Note 2 4 2 4 5 3" xfId="8104"/>
    <cellStyle name="Note 2 4 2 4 5 3 2" xfId="27076"/>
    <cellStyle name="Note 2 4 2 4 5 3 3" xfId="37921"/>
    <cellStyle name="Note 2 4 2 4 5 4" xfId="10763"/>
    <cellStyle name="Note 2 4 2 4 5 4 2" xfId="29735"/>
    <cellStyle name="Note 2 4 2 4 5 4 3" xfId="40580"/>
    <cellStyle name="Note 2 4 2 4 5 5" xfId="21559"/>
    <cellStyle name="Note 2 4 2 4 5 6" xfId="32404"/>
    <cellStyle name="Note 2 4 2 4 6" xfId="2967"/>
    <cellStyle name="Note 2 4 2 4 6 2" xfId="5818"/>
    <cellStyle name="Note 2 4 2 4 6 2 2" xfId="24790"/>
    <cellStyle name="Note 2 4 2 4 6 2 3" xfId="35635"/>
    <cellStyle name="Note 2 4 2 4 6 3" xfId="8489"/>
    <cellStyle name="Note 2 4 2 4 6 3 2" xfId="27461"/>
    <cellStyle name="Note 2 4 2 4 6 3 3" xfId="38306"/>
    <cellStyle name="Note 2 4 2 4 6 4" xfId="11148"/>
    <cellStyle name="Note 2 4 2 4 6 4 2" xfId="30120"/>
    <cellStyle name="Note 2 4 2 4 6 4 3" xfId="40965"/>
    <cellStyle name="Note 2 4 2 4 6 5" xfId="21944"/>
    <cellStyle name="Note 2 4 2 4 6 6" xfId="32789"/>
    <cellStyle name="Note 2 4 2 4 7" xfId="3656"/>
    <cellStyle name="Note 2 4 2 4 7 2" xfId="22628"/>
    <cellStyle name="Note 2 4 2 4 7 3" xfId="33473"/>
    <cellStyle name="Note 2 4 2 4 8" xfId="6331"/>
    <cellStyle name="Note 2 4 2 4 8 2" xfId="25303"/>
    <cellStyle name="Note 2 4 2 4 8 3" xfId="36148"/>
    <cellStyle name="Note 2 4 2 4 9" xfId="8990"/>
    <cellStyle name="Note 2 4 2 4 9 2" xfId="27962"/>
    <cellStyle name="Note 2 4 2 4 9 3" xfId="38807"/>
    <cellStyle name="Note 2 4 2 5" xfId="860"/>
    <cellStyle name="Note 2 4 2 5 10" xfId="19845"/>
    <cellStyle name="Note 2 4 2 5 11" xfId="30690"/>
    <cellStyle name="Note 2 4 2 5 2" xfId="1447"/>
    <cellStyle name="Note 2 4 2 5 2 2" xfId="4300"/>
    <cellStyle name="Note 2 4 2 5 2 2 2" xfId="23272"/>
    <cellStyle name="Note 2 4 2 5 2 2 3" xfId="34117"/>
    <cellStyle name="Note 2 4 2 5 2 3" xfId="6973"/>
    <cellStyle name="Note 2 4 2 5 2 3 2" xfId="25945"/>
    <cellStyle name="Note 2 4 2 5 2 3 3" xfId="36790"/>
    <cellStyle name="Note 2 4 2 5 2 4" xfId="9632"/>
    <cellStyle name="Note 2 4 2 5 2 4 2" xfId="28604"/>
    <cellStyle name="Note 2 4 2 5 2 4 3" xfId="39449"/>
    <cellStyle name="Note 2 4 2 5 2 5" xfId="20428"/>
    <cellStyle name="Note 2 4 2 5 2 6" xfId="31273"/>
    <cellStyle name="Note 2 4 2 5 3" xfId="1846"/>
    <cellStyle name="Note 2 4 2 5 3 2" xfId="4699"/>
    <cellStyle name="Note 2 4 2 5 3 2 2" xfId="23671"/>
    <cellStyle name="Note 2 4 2 5 3 2 3" xfId="34516"/>
    <cellStyle name="Note 2 4 2 5 3 3" xfId="7371"/>
    <cellStyle name="Note 2 4 2 5 3 3 2" xfId="26343"/>
    <cellStyle name="Note 2 4 2 5 3 3 3" xfId="37188"/>
    <cellStyle name="Note 2 4 2 5 3 4" xfId="10030"/>
    <cellStyle name="Note 2 4 2 5 3 4 2" xfId="29002"/>
    <cellStyle name="Note 2 4 2 5 3 4 3" xfId="39847"/>
    <cellStyle name="Note 2 4 2 5 3 5" xfId="20826"/>
    <cellStyle name="Note 2 4 2 5 3 6" xfId="31671"/>
    <cellStyle name="Note 2 4 2 5 4" xfId="2250"/>
    <cellStyle name="Note 2 4 2 5 4 2" xfId="5103"/>
    <cellStyle name="Note 2 4 2 5 4 2 2" xfId="24075"/>
    <cellStyle name="Note 2 4 2 5 4 2 3" xfId="34920"/>
    <cellStyle name="Note 2 4 2 5 4 3" xfId="7774"/>
    <cellStyle name="Note 2 4 2 5 4 3 2" xfId="26746"/>
    <cellStyle name="Note 2 4 2 5 4 3 3" xfId="37591"/>
    <cellStyle name="Note 2 4 2 5 4 4" xfId="10433"/>
    <cellStyle name="Note 2 4 2 5 4 4 2" xfId="29405"/>
    <cellStyle name="Note 2 4 2 5 4 4 3" xfId="40250"/>
    <cellStyle name="Note 2 4 2 5 4 5" xfId="21229"/>
    <cellStyle name="Note 2 4 2 5 4 6" xfId="32074"/>
    <cellStyle name="Note 2 4 2 5 5" xfId="2640"/>
    <cellStyle name="Note 2 4 2 5 5 2" xfId="5492"/>
    <cellStyle name="Note 2 4 2 5 5 2 2" xfId="24464"/>
    <cellStyle name="Note 2 4 2 5 5 2 3" xfId="35309"/>
    <cellStyle name="Note 2 4 2 5 5 3" xfId="8163"/>
    <cellStyle name="Note 2 4 2 5 5 3 2" xfId="27135"/>
    <cellStyle name="Note 2 4 2 5 5 3 3" xfId="37980"/>
    <cellStyle name="Note 2 4 2 5 5 4" xfId="10822"/>
    <cellStyle name="Note 2 4 2 5 5 4 2" xfId="29794"/>
    <cellStyle name="Note 2 4 2 5 5 4 3" xfId="40639"/>
    <cellStyle name="Note 2 4 2 5 5 5" xfId="21618"/>
    <cellStyle name="Note 2 4 2 5 5 6" xfId="32463"/>
    <cellStyle name="Note 2 4 2 5 6" xfId="3026"/>
    <cellStyle name="Note 2 4 2 5 6 2" xfId="5877"/>
    <cellStyle name="Note 2 4 2 5 6 2 2" xfId="24849"/>
    <cellStyle name="Note 2 4 2 5 6 2 3" xfId="35694"/>
    <cellStyle name="Note 2 4 2 5 6 3" xfId="8548"/>
    <cellStyle name="Note 2 4 2 5 6 3 2" xfId="27520"/>
    <cellStyle name="Note 2 4 2 5 6 3 3" xfId="38365"/>
    <cellStyle name="Note 2 4 2 5 6 4" xfId="11207"/>
    <cellStyle name="Note 2 4 2 5 6 4 2" xfId="30179"/>
    <cellStyle name="Note 2 4 2 5 6 4 3" xfId="41024"/>
    <cellStyle name="Note 2 4 2 5 6 5" xfId="22003"/>
    <cellStyle name="Note 2 4 2 5 6 6" xfId="32848"/>
    <cellStyle name="Note 2 4 2 5 7" xfId="3715"/>
    <cellStyle name="Note 2 4 2 5 7 2" xfId="22687"/>
    <cellStyle name="Note 2 4 2 5 7 3" xfId="33532"/>
    <cellStyle name="Note 2 4 2 5 8" xfId="6390"/>
    <cellStyle name="Note 2 4 2 5 8 2" xfId="25362"/>
    <cellStyle name="Note 2 4 2 5 8 3" xfId="36207"/>
    <cellStyle name="Note 2 4 2 5 9" xfId="9049"/>
    <cellStyle name="Note 2 4 2 5 9 2" xfId="28021"/>
    <cellStyle name="Note 2 4 2 5 9 3" xfId="38866"/>
    <cellStyle name="Note 2 4 2 6" xfId="1082"/>
    <cellStyle name="Note 2 4 2 6 2" xfId="3935"/>
    <cellStyle name="Note 2 4 2 6 2 2" xfId="22907"/>
    <cellStyle name="Note 2 4 2 6 2 3" xfId="33752"/>
    <cellStyle name="Note 2 4 2 6 3" xfId="6609"/>
    <cellStyle name="Note 2 4 2 6 3 2" xfId="25581"/>
    <cellStyle name="Note 2 4 2 6 3 3" xfId="36426"/>
    <cellStyle name="Note 2 4 2 6 4" xfId="9268"/>
    <cellStyle name="Note 2 4 2 6 4 2" xfId="28240"/>
    <cellStyle name="Note 2 4 2 6 4 3" xfId="39085"/>
    <cellStyle name="Note 2 4 2 6 5" xfId="20064"/>
    <cellStyle name="Note 2 4 2 6 6" xfId="30909"/>
    <cellStyle name="Note 2 4 2 7" xfId="1052"/>
    <cellStyle name="Note 2 4 2 7 2" xfId="3905"/>
    <cellStyle name="Note 2 4 2 7 2 2" xfId="22877"/>
    <cellStyle name="Note 2 4 2 7 2 3" xfId="33722"/>
    <cellStyle name="Note 2 4 2 7 3" xfId="6579"/>
    <cellStyle name="Note 2 4 2 7 3 2" xfId="25551"/>
    <cellStyle name="Note 2 4 2 7 3 3" xfId="36396"/>
    <cellStyle name="Note 2 4 2 7 4" xfId="9238"/>
    <cellStyle name="Note 2 4 2 7 4 2" xfId="28210"/>
    <cellStyle name="Note 2 4 2 7 4 3" xfId="39055"/>
    <cellStyle name="Note 2 4 2 7 5" xfId="20034"/>
    <cellStyle name="Note 2 4 2 7 6" xfId="30879"/>
    <cellStyle name="Note 2 4 2 8" xfId="980"/>
    <cellStyle name="Note 2 4 2 8 2" xfId="3833"/>
    <cellStyle name="Note 2 4 2 8 2 2" xfId="22805"/>
    <cellStyle name="Note 2 4 2 8 2 3" xfId="33650"/>
    <cellStyle name="Note 2 4 2 8 3" xfId="6508"/>
    <cellStyle name="Note 2 4 2 8 3 2" xfId="25480"/>
    <cellStyle name="Note 2 4 2 8 3 3" xfId="36325"/>
    <cellStyle name="Note 2 4 2 8 4" xfId="9167"/>
    <cellStyle name="Note 2 4 2 8 4 2" xfId="28139"/>
    <cellStyle name="Note 2 4 2 8 4 3" xfId="38984"/>
    <cellStyle name="Note 2 4 2 8 5" xfId="19963"/>
    <cellStyle name="Note 2 4 2 8 6" xfId="30808"/>
    <cellStyle name="Note 2 4 2 9" xfId="953"/>
    <cellStyle name="Note 2 4 2 9 2" xfId="3806"/>
    <cellStyle name="Note 2 4 2 9 2 2" xfId="22778"/>
    <cellStyle name="Note 2 4 2 9 2 3" xfId="33623"/>
    <cellStyle name="Note 2 4 2 9 3" xfId="6481"/>
    <cellStyle name="Note 2 4 2 9 3 2" xfId="25453"/>
    <cellStyle name="Note 2 4 2 9 3 3" xfId="36298"/>
    <cellStyle name="Note 2 4 2 9 4" xfId="9140"/>
    <cellStyle name="Note 2 4 2 9 4 2" xfId="28112"/>
    <cellStyle name="Note 2 4 2 9 4 3" xfId="38957"/>
    <cellStyle name="Note 2 4 2 9 5" xfId="19936"/>
    <cellStyle name="Note 2 4 2 9 6" xfId="30781"/>
    <cellStyle name="Note 2 4 3" xfId="564"/>
    <cellStyle name="Note 2 4 3 10" xfId="19574"/>
    <cellStyle name="Note 2 4 3 11" xfId="30419"/>
    <cellStyle name="Note 2 4 3 2" xfId="1170"/>
    <cellStyle name="Note 2 4 3 2 2" xfId="4023"/>
    <cellStyle name="Note 2 4 3 2 2 2" xfId="22995"/>
    <cellStyle name="Note 2 4 3 2 2 3" xfId="33840"/>
    <cellStyle name="Note 2 4 3 2 3" xfId="6696"/>
    <cellStyle name="Note 2 4 3 2 3 2" xfId="25668"/>
    <cellStyle name="Note 2 4 3 2 3 3" xfId="36513"/>
    <cellStyle name="Note 2 4 3 2 4" xfId="9355"/>
    <cellStyle name="Note 2 4 3 2 4 2" xfId="28327"/>
    <cellStyle name="Note 2 4 3 2 4 3" xfId="39172"/>
    <cellStyle name="Note 2 4 3 2 5" xfId="20151"/>
    <cellStyle name="Note 2 4 3 2 6" xfId="30996"/>
    <cellStyle name="Note 2 4 3 3" xfId="1567"/>
    <cellStyle name="Note 2 4 3 3 2" xfId="4420"/>
    <cellStyle name="Note 2 4 3 3 2 2" xfId="23392"/>
    <cellStyle name="Note 2 4 3 3 2 3" xfId="34237"/>
    <cellStyle name="Note 2 4 3 3 3" xfId="7092"/>
    <cellStyle name="Note 2 4 3 3 3 2" xfId="26064"/>
    <cellStyle name="Note 2 4 3 3 3 3" xfId="36909"/>
    <cellStyle name="Note 2 4 3 3 4" xfId="9751"/>
    <cellStyle name="Note 2 4 3 3 4 2" xfId="28723"/>
    <cellStyle name="Note 2 4 3 3 4 3" xfId="39568"/>
    <cellStyle name="Note 2 4 3 3 5" xfId="20547"/>
    <cellStyle name="Note 2 4 3 3 6" xfId="31392"/>
    <cellStyle name="Note 2 4 3 4" xfId="1971"/>
    <cellStyle name="Note 2 4 3 4 2" xfId="4824"/>
    <cellStyle name="Note 2 4 3 4 2 2" xfId="23796"/>
    <cellStyle name="Note 2 4 3 4 2 3" xfId="34641"/>
    <cellStyle name="Note 2 4 3 4 3" xfId="7496"/>
    <cellStyle name="Note 2 4 3 4 3 2" xfId="26468"/>
    <cellStyle name="Note 2 4 3 4 3 3" xfId="37313"/>
    <cellStyle name="Note 2 4 3 4 4" xfId="10155"/>
    <cellStyle name="Note 2 4 3 4 4 2" xfId="29127"/>
    <cellStyle name="Note 2 4 3 4 4 3" xfId="39972"/>
    <cellStyle name="Note 2 4 3 4 5" xfId="20951"/>
    <cellStyle name="Note 2 4 3 4 6" xfId="31796"/>
    <cellStyle name="Note 2 4 3 5" xfId="2363"/>
    <cellStyle name="Note 2 4 3 5 2" xfId="5216"/>
    <cellStyle name="Note 2 4 3 5 2 2" xfId="24188"/>
    <cellStyle name="Note 2 4 3 5 2 3" xfId="35033"/>
    <cellStyle name="Note 2 4 3 5 3" xfId="7887"/>
    <cellStyle name="Note 2 4 3 5 3 2" xfId="26859"/>
    <cellStyle name="Note 2 4 3 5 3 3" xfId="37704"/>
    <cellStyle name="Note 2 4 3 5 4" xfId="10546"/>
    <cellStyle name="Note 2 4 3 5 4 2" xfId="29518"/>
    <cellStyle name="Note 2 4 3 5 4 3" xfId="40363"/>
    <cellStyle name="Note 2 4 3 5 5" xfId="21342"/>
    <cellStyle name="Note 2 4 3 5 6" xfId="32187"/>
    <cellStyle name="Note 2 4 3 6" xfId="2752"/>
    <cellStyle name="Note 2 4 3 6 2" xfId="5604"/>
    <cellStyle name="Note 2 4 3 6 2 2" xfId="24576"/>
    <cellStyle name="Note 2 4 3 6 2 3" xfId="35421"/>
    <cellStyle name="Note 2 4 3 6 3" xfId="8275"/>
    <cellStyle name="Note 2 4 3 6 3 2" xfId="27247"/>
    <cellStyle name="Note 2 4 3 6 3 3" xfId="38092"/>
    <cellStyle name="Note 2 4 3 6 4" xfId="10934"/>
    <cellStyle name="Note 2 4 3 6 4 2" xfId="29906"/>
    <cellStyle name="Note 2 4 3 6 4 3" xfId="40751"/>
    <cellStyle name="Note 2 4 3 6 5" xfId="21730"/>
    <cellStyle name="Note 2 4 3 6 6" xfId="32575"/>
    <cellStyle name="Note 2 4 3 7" xfId="3443"/>
    <cellStyle name="Note 2 4 3 7 2" xfId="22415"/>
    <cellStyle name="Note 2 4 3 7 3" xfId="33260"/>
    <cellStyle name="Note 2 4 3 8" xfId="6119"/>
    <cellStyle name="Note 2 4 3 8 2" xfId="25091"/>
    <cellStyle name="Note 2 4 3 8 3" xfId="35936"/>
    <cellStyle name="Note 2 4 3 9" xfId="8778"/>
    <cellStyle name="Note 2 4 3 9 2" xfId="27750"/>
    <cellStyle name="Note 2 4 3 9 3" xfId="38595"/>
    <cellStyle name="Note 2 4 4" xfId="41475"/>
    <cellStyle name="Note 2 5" xfId="130"/>
    <cellStyle name="Note 2 5 2" xfId="382"/>
    <cellStyle name="Note 2 5 2 10" xfId="1036"/>
    <cellStyle name="Note 2 5 2 10 2" xfId="3889"/>
    <cellStyle name="Note 2 5 2 10 2 2" xfId="22861"/>
    <cellStyle name="Note 2 5 2 10 2 3" xfId="33706"/>
    <cellStyle name="Note 2 5 2 10 3" xfId="6563"/>
    <cellStyle name="Note 2 5 2 10 3 2" xfId="25535"/>
    <cellStyle name="Note 2 5 2 10 3 3" xfId="36380"/>
    <cellStyle name="Note 2 5 2 10 4" xfId="9222"/>
    <cellStyle name="Note 2 5 2 10 4 2" xfId="28194"/>
    <cellStyle name="Note 2 5 2 10 4 3" xfId="39039"/>
    <cellStyle name="Note 2 5 2 10 5" xfId="20018"/>
    <cellStyle name="Note 2 5 2 10 6" xfId="30863"/>
    <cellStyle name="Note 2 5 2 11" xfId="968"/>
    <cellStyle name="Note 2 5 2 11 2" xfId="3821"/>
    <cellStyle name="Note 2 5 2 11 2 2" xfId="22793"/>
    <cellStyle name="Note 2 5 2 11 2 3" xfId="33638"/>
    <cellStyle name="Note 2 5 2 11 3" xfId="6496"/>
    <cellStyle name="Note 2 5 2 11 3 2" xfId="25468"/>
    <cellStyle name="Note 2 5 2 11 3 3" xfId="36313"/>
    <cellStyle name="Note 2 5 2 11 4" xfId="9155"/>
    <cellStyle name="Note 2 5 2 11 4 2" xfId="28127"/>
    <cellStyle name="Note 2 5 2 11 4 3" xfId="38972"/>
    <cellStyle name="Note 2 5 2 11 5" xfId="19951"/>
    <cellStyle name="Note 2 5 2 11 6" xfId="30796"/>
    <cellStyle name="Note 2 5 2 12" xfId="3117"/>
    <cellStyle name="Note 2 5 2 12 2" xfId="5968"/>
    <cellStyle name="Note 2 5 2 12 2 2" xfId="24940"/>
    <cellStyle name="Note 2 5 2 12 2 3" xfId="35785"/>
    <cellStyle name="Note 2 5 2 12 3" xfId="8639"/>
    <cellStyle name="Note 2 5 2 12 3 2" xfId="27611"/>
    <cellStyle name="Note 2 5 2 12 3 3" xfId="38456"/>
    <cellStyle name="Note 2 5 2 12 4" xfId="11298"/>
    <cellStyle name="Note 2 5 2 12 4 2" xfId="30270"/>
    <cellStyle name="Note 2 5 2 12 4 3" xfId="41115"/>
    <cellStyle name="Note 2 5 2 12 5" xfId="22094"/>
    <cellStyle name="Note 2 5 2 12 6" xfId="32939"/>
    <cellStyle name="Note 2 5 2 13" xfId="3174"/>
    <cellStyle name="Note 2 5 2 13 2" xfId="6025"/>
    <cellStyle name="Note 2 5 2 13 2 2" xfId="24997"/>
    <cellStyle name="Note 2 5 2 13 2 3" xfId="35842"/>
    <cellStyle name="Note 2 5 2 13 3" xfId="8696"/>
    <cellStyle name="Note 2 5 2 13 3 2" xfId="27668"/>
    <cellStyle name="Note 2 5 2 13 3 3" xfId="38513"/>
    <cellStyle name="Note 2 5 2 13 4" xfId="11355"/>
    <cellStyle name="Note 2 5 2 13 4 2" xfId="30327"/>
    <cellStyle name="Note 2 5 2 13 4 3" xfId="41172"/>
    <cellStyle name="Note 2 5 2 13 5" xfId="22151"/>
    <cellStyle name="Note 2 5 2 13 6" xfId="32996"/>
    <cellStyle name="Note 2 5 2 14" xfId="3340"/>
    <cellStyle name="Note 2 5 2 14 2" xfId="22314"/>
    <cellStyle name="Note 2 5 2 14 3" xfId="33159"/>
    <cellStyle name="Note 2 5 2 15" xfId="3304"/>
    <cellStyle name="Note 2 5 2 15 2" xfId="22278"/>
    <cellStyle name="Note 2 5 2 15 3" xfId="33123"/>
    <cellStyle name="Note 2 5 2 16" xfId="3274"/>
    <cellStyle name="Note 2 5 2 16 2" xfId="22248"/>
    <cellStyle name="Note 2 5 2 16 3" xfId="33093"/>
    <cellStyle name="Note 2 5 2 17" xfId="19471"/>
    <cellStyle name="Note 2 5 2 18" xfId="19432"/>
    <cellStyle name="Note 2 5 2 2" xfId="682"/>
    <cellStyle name="Note 2 5 2 2 10" xfId="19667"/>
    <cellStyle name="Note 2 5 2 2 11" xfId="30512"/>
    <cellStyle name="Note 2 5 2 2 2" xfId="1269"/>
    <cellStyle name="Note 2 5 2 2 2 2" xfId="4122"/>
    <cellStyle name="Note 2 5 2 2 2 2 2" xfId="23094"/>
    <cellStyle name="Note 2 5 2 2 2 2 3" xfId="33939"/>
    <cellStyle name="Note 2 5 2 2 2 3" xfId="6795"/>
    <cellStyle name="Note 2 5 2 2 2 3 2" xfId="25767"/>
    <cellStyle name="Note 2 5 2 2 2 3 3" xfId="36612"/>
    <cellStyle name="Note 2 5 2 2 2 4" xfId="9454"/>
    <cellStyle name="Note 2 5 2 2 2 4 2" xfId="28426"/>
    <cellStyle name="Note 2 5 2 2 2 4 3" xfId="39271"/>
    <cellStyle name="Note 2 5 2 2 2 5" xfId="20250"/>
    <cellStyle name="Note 2 5 2 2 2 6" xfId="31095"/>
    <cellStyle name="Note 2 5 2 2 3" xfId="1668"/>
    <cellStyle name="Note 2 5 2 2 3 2" xfId="4521"/>
    <cellStyle name="Note 2 5 2 2 3 2 2" xfId="23493"/>
    <cellStyle name="Note 2 5 2 2 3 2 3" xfId="34338"/>
    <cellStyle name="Note 2 5 2 2 3 3" xfId="7193"/>
    <cellStyle name="Note 2 5 2 2 3 3 2" xfId="26165"/>
    <cellStyle name="Note 2 5 2 2 3 3 3" xfId="37010"/>
    <cellStyle name="Note 2 5 2 2 3 4" xfId="9852"/>
    <cellStyle name="Note 2 5 2 2 3 4 2" xfId="28824"/>
    <cellStyle name="Note 2 5 2 2 3 4 3" xfId="39669"/>
    <cellStyle name="Note 2 5 2 2 3 5" xfId="20648"/>
    <cellStyle name="Note 2 5 2 2 3 6" xfId="31493"/>
    <cellStyle name="Note 2 5 2 2 4" xfId="2072"/>
    <cellStyle name="Note 2 5 2 2 4 2" xfId="4925"/>
    <cellStyle name="Note 2 5 2 2 4 2 2" xfId="23897"/>
    <cellStyle name="Note 2 5 2 2 4 2 3" xfId="34742"/>
    <cellStyle name="Note 2 5 2 2 4 3" xfId="7596"/>
    <cellStyle name="Note 2 5 2 2 4 3 2" xfId="26568"/>
    <cellStyle name="Note 2 5 2 2 4 3 3" xfId="37413"/>
    <cellStyle name="Note 2 5 2 2 4 4" xfId="10255"/>
    <cellStyle name="Note 2 5 2 2 4 4 2" xfId="29227"/>
    <cellStyle name="Note 2 5 2 2 4 4 3" xfId="40072"/>
    <cellStyle name="Note 2 5 2 2 4 5" xfId="21051"/>
    <cellStyle name="Note 2 5 2 2 4 6" xfId="31896"/>
    <cellStyle name="Note 2 5 2 2 5" xfId="2462"/>
    <cellStyle name="Note 2 5 2 2 5 2" xfId="5314"/>
    <cellStyle name="Note 2 5 2 2 5 2 2" xfId="24286"/>
    <cellStyle name="Note 2 5 2 2 5 2 3" xfId="35131"/>
    <cellStyle name="Note 2 5 2 2 5 3" xfId="7985"/>
    <cellStyle name="Note 2 5 2 2 5 3 2" xfId="26957"/>
    <cellStyle name="Note 2 5 2 2 5 3 3" xfId="37802"/>
    <cellStyle name="Note 2 5 2 2 5 4" xfId="10644"/>
    <cellStyle name="Note 2 5 2 2 5 4 2" xfId="29616"/>
    <cellStyle name="Note 2 5 2 2 5 4 3" xfId="40461"/>
    <cellStyle name="Note 2 5 2 2 5 5" xfId="21440"/>
    <cellStyle name="Note 2 5 2 2 5 6" xfId="32285"/>
    <cellStyle name="Note 2 5 2 2 6" xfId="2848"/>
    <cellStyle name="Note 2 5 2 2 6 2" xfId="5699"/>
    <cellStyle name="Note 2 5 2 2 6 2 2" xfId="24671"/>
    <cellStyle name="Note 2 5 2 2 6 2 3" xfId="35516"/>
    <cellStyle name="Note 2 5 2 2 6 3" xfId="8370"/>
    <cellStyle name="Note 2 5 2 2 6 3 2" xfId="27342"/>
    <cellStyle name="Note 2 5 2 2 6 3 3" xfId="38187"/>
    <cellStyle name="Note 2 5 2 2 6 4" xfId="11029"/>
    <cellStyle name="Note 2 5 2 2 6 4 2" xfId="30001"/>
    <cellStyle name="Note 2 5 2 2 6 4 3" xfId="40846"/>
    <cellStyle name="Note 2 5 2 2 6 5" xfId="21825"/>
    <cellStyle name="Note 2 5 2 2 6 6" xfId="32670"/>
    <cellStyle name="Note 2 5 2 2 7" xfId="3537"/>
    <cellStyle name="Note 2 5 2 2 7 2" xfId="22509"/>
    <cellStyle name="Note 2 5 2 2 7 3" xfId="33354"/>
    <cellStyle name="Note 2 5 2 2 8" xfId="6212"/>
    <cellStyle name="Note 2 5 2 2 8 2" xfId="25184"/>
    <cellStyle name="Note 2 5 2 2 8 3" xfId="36029"/>
    <cellStyle name="Note 2 5 2 2 9" xfId="8871"/>
    <cellStyle name="Note 2 5 2 2 9 2" xfId="27843"/>
    <cellStyle name="Note 2 5 2 2 9 3" xfId="38688"/>
    <cellStyle name="Note 2 5 2 3" xfId="742"/>
    <cellStyle name="Note 2 5 2 3 10" xfId="19727"/>
    <cellStyle name="Note 2 5 2 3 11" xfId="30572"/>
    <cellStyle name="Note 2 5 2 3 2" xfId="1329"/>
    <cellStyle name="Note 2 5 2 3 2 2" xfId="4182"/>
    <cellStyle name="Note 2 5 2 3 2 2 2" xfId="23154"/>
    <cellStyle name="Note 2 5 2 3 2 2 3" xfId="33999"/>
    <cellStyle name="Note 2 5 2 3 2 3" xfId="6855"/>
    <cellStyle name="Note 2 5 2 3 2 3 2" xfId="25827"/>
    <cellStyle name="Note 2 5 2 3 2 3 3" xfId="36672"/>
    <cellStyle name="Note 2 5 2 3 2 4" xfId="9514"/>
    <cellStyle name="Note 2 5 2 3 2 4 2" xfId="28486"/>
    <cellStyle name="Note 2 5 2 3 2 4 3" xfId="39331"/>
    <cellStyle name="Note 2 5 2 3 2 5" xfId="20310"/>
    <cellStyle name="Note 2 5 2 3 2 6" xfId="31155"/>
    <cellStyle name="Note 2 5 2 3 3" xfId="1728"/>
    <cellStyle name="Note 2 5 2 3 3 2" xfId="4581"/>
    <cellStyle name="Note 2 5 2 3 3 2 2" xfId="23553"/>
    <cellStyle name="Note 2 5 2 3 3 2 3" xfId="34398"/>
    <cellStyle name="Note 2 5 2 3 3 3" xfId="7253"/>
    <cellStyle name="Note 2 5 2 3 3 3 2" xfId="26225"/>
    <cellStyle name="Note 2 5 2 3 3 3 3" xfId="37070"/>
    <cellStyle name="Note 2 5 2 3 3 4" xfId="9912"/>
    <cellStyle name="Note 2 5 2 3 3 4 2" xfId="28884"/>
    <cellStyle name="Note 2 5 2 3 3 4 3" xfId="39729"/>
    <cellStyle name="Note 2 5 2 3 3 5" xfId="20708"/>
    <cellStyle name="Note 2 5 2 3 3 6" xfId="31553"/>
    <cellStyle name="Note 2 5 2 3 4" xfId="2132"/>
    <cellStyle name="Note 2 5 2 3 4 2" xfId="4985"/>
    <cellStyle name="Note 2 5 2 3 4 2 2" xfId="23957"/>
    <cellStyle name="Note 2 5 2 3 4 2 3" xfId="34802"/>
    <cellStyle name="Note 2 5 2 3 4 3" xfId="7656"/>
    <cellStyle name="Note 2 5 2 3 4 3 2" xfId="26628"/>
    <cellStyle name="Note 2 5 2 3 4 3 3" xfId="37473"/>
    <cellStyle name="Note 2 5 2 3 4 4" xfId="10315"/>
    <cellStyle name="Note 2 5 2 3 4 4 2" xfId="29287"/>
    <cellStyle name="Note 2 5 2 3 4 4 3" xfId="40132"/>
    <cellStyle name="Note 2 5 2 3 4 5" xfId="21111"/>
    <cellStyle name="Note 2 5 2 3 4 6" xfId="31956"/>
    <cellStyle name="Note 2 5 2 3 5" xfId="2522"/>
    <cellStyle name="Note 2 5 2 3 5 2" xfId="5374"/>
    <cellStyle name="Note 2 5 2 3 5 2 2" xfId="24346"/>
    <cellStyle name="Note 2 5 2 3 5 2 3" xfId="35191"/>
    <cellStyle name="Note 2 5 2 3 5 3" xfId="8045"/>
    <cellStyle name="Note 2 5 2 3 5 3 2" xfId="27017"/>
    <cellStyle name="Note 2 5 2 3 5 3 3" xfId="37862"/>
    <cellStyle name="Note 2 5 2 3 5 4" xfId="10704"/>
    <cellStyle name="Note 2 5 2 3 5 4 2" xfId="29676"/>
    <cellStyle name="Note 2 5 2 3 5 4 3" xfId="40521"/>
    <cellStyle name="Note 2 5 2 3 5 5" xfId="21500"/>
    <cellStyle name="Note 2 5 2 3 5 6" xfId="32345"/>
    <cellStyle name="Note 2 5 2 3 6" xfId="2908"/>
    <cellStyle name="Note 2 5 2 3 6 2" xfId="5759"/>
    <cellStyle name="Note 2 5 2 3 6 2 2" xfId="24731"/>
    <cellStyle name="Note 2 5 2 3 6 2 3" xfId="35576"/>
    <cellStyle name="Note 2 5 2 3 6 3" xfId="8430"/>
    <cellStyle name="Note 2 5 2 3 6 3 2" xfId="27402"/>
    <cellStyle name="Note 2 5 2 3 6 3 3" xfId="38247"/>
    <cellStyle name="Note 2 5 2 3 6 4" xfId="11089"/>
    <cellStyle name="Note 2 5 2 3 6 4 2" xfId="30061"/>
    <cellStyle name="Note 2 5 2 3 6 4 3" xfId="40906"/>
    <cellStyle name="Note 2 5 2 3 6 5" xfId="21885"/>
    <cellStyle name="Note 2 5 2 3 6 6" xfId="32730"/>
    <cellStyle name="Note 2 5 2 3 7" xfId="3597"/>
    <cellStyle name="Note 2 5 2 3 7 2" xfId="22569"/>
    <cellStyle name="Note 2 5 2 3 7 3" xfId="33414"/>
    <cellStyle name="Note 2 5 2 3 8" xfId="6272"/>
    <cellStyle name="Note 2 5 2 3 8 2" xfId="25244"/>
    <cellStyle name="Note 2 5 2 3 8 3" xfId="36089"/>
    <cellStyle name="Note 2 5 2 3 9" xfId="8931"/>
    <cellStyle name="Note 2 5 2 3 9 2" xfId="27903"/>
    <cellStyle name="Note 2 5 2 3 9 3" xfId="38748"/>
    <cellStyle name="Note 2 5 2 4" xfId="802"/>
    <cellStyle name="Note 2 5 2 4 10" xfId="19787"/>
    <cellStyle name="Note 2 5 2 4 11" xfId="30632"/>
    <cellStyle name="Note 2 5 2 4 2" xfId="1389"/>
    <cellStyle name="Note 2 5 2 4 2 2" xfId="4242"/>
    <cellStyle name="Note 2 5 2 4 2 2 2" xfId="23214"/>
    <cellStyle name="Note 2 5 2 4 2 2 3" xfId="34059"/>
    <cellStyle name="Note 2 5 2 4 2 3" xfId="6915"/>
    <cellStyle name="Note 2 5 2 4 2 3 2" xfId="25887"/>
    <cellStyle name="Note 2 5 2 4 2 3 3" xfId="36732"/>
    <cellStyle name="Note 2 5 2 4 2 4" xfId="9574"/>
    <cellStyle name="Note 2 5 2 4 2 4 2" xfId="28546"/>
    <cellStyle name="Note 2 5 2 4 2 4 3" xfId="39391"/>
    <cellStyle name="Note 2 5 2 4 2 5" xfId="20370"/>
    <cellStyle name="Note 2 5 2 4 2 6" xfId="31215"/>
    <cellStyle name="Note 2 5 2 4 3" xfId="1788"/>
    <cellStyle name="Note 2 5 2 4 3 2" xfId="4641"/>
    <cellStyle name="Note 2 5 2 4 3 2 2" xfId="23613"/>
    <cellStyle name="Note 2 5 2 4 3 2 3" xfId="34458"/>
    <cellStyle name="Note 2 5 2 4 3 3" xfId="7313"/>
    <cellStyle name="Note 2 5 2 4 3 3 2" xfId="26285"/>
    <cellStyle name="Note 2 5 2 4 3 3 3" xfId="37130"/>
    <cellStyle name="Note 2 5 2 4 3 4" xfId="9972"/>
    <cellStyle name="Note 2 5 2 4 3 4 2" xfId="28944"/>
    <cellStyle name="Note 2 5 2 4 3 4 3" xfId="39789"/>
    <cellStyle name="Note 2 5 2 4 3 5" xfId="20768"/>
    <cellStyle name="Note 2 5 2 4 3 6" xfId="31613"/>
    <cellStyle name="Note 2 5 2 4 4" xfId="2192"/>
    <cellStyle name="Note 2 5 2 4 4 2" xfId="5045"/>
    <cellStyle name="Note 2 5 2 4 4 2 2" xfId="24017"/>
    <cellStyle name="Note 2 5 2 4 4 2 3" xfId="34862"/>
    <cellStyle name="Note 2 5 2 4 4 3" xfId="7716"/>
    <cellStyle name="Note 2 5 2 4 4 3 2" xfId="26688"/>
    <cellStyle name="Note 2 5 2 4 4 3 3" xfId="37533"/>
    <cellStyle name="Note 2 5 2 4 4 4" xfId="10375"/>
    <cellStyle name="Note 2 5 2 4 4 4 2" xfId="29347"/>
    <cellStyle name="Note 2 5 2 4 4 4 3" xfId="40192"/>
    <cellStyle name="Note 2 5 2 4 4 5" xfId="21171"/>
    <cellStyle name="Note 2 5 2 4 4 6" xfId="32016"/>
    <cellStyle name="Note 2 5 2 4 5" xfId="2582"/>
    <cellStyle name="Note 2 5 2 4 5 2" xfId="5434"/>
    <cellStyle name="Note 2 5 2 4 5 2 2" xfId="24406"/>
    <cellStyle name="Note 2 5 2 4 5 2 3" xfId="35251"/>
    <cellStyle name="Note 2 5 2 4 5 3" xfId="8105"/>
    <cellStyle name="Note 2 5 2 4 5 3 2" xfId="27077"/>
    <cellStyle name="Note 2 5 2 4 5 3 3" xfId="37922"/>
    <cellStyle name="Note 2 5 2 4 5 4" xfId="10764"/>
    <cellStyle name="Note 2 5 2 4 5 4 2" xfId="29736"/>
    <cellStyle name="Note 2 5 2 4 5 4 3" xfId="40581"/>
    <cellStyle name="Note 2 5 2 4 5 5" xfId="21560"/>
    <cellStyle name="Note 2 5 2 4 5 6" xfId="32405"/>
    <cellStyle name="Note 2 5 2 4 6" xfId="2968"/>
    <cellStyle name="Note 2 5 2 4 6 2" xfId="5819"/>
    <cellStyle name="Note 2 5 2 4 6 2 2" xfId="24791"/>
    <cellStyle name="Note 2 5 2 4 6 2 3" xfId="35636"/>
    <cellStyle name="Note 2 5 2 4 6 3" xfId="8490"/>
    <cellStyle name="Note 2 5 2 4 6 3 2" xfId="27462"/>
    <cellStyle name="Note 2 5 2 4 6 3 3" xfId="38307"/>
    <cellStyle name="Note 2 5 2 4 6 4" xfId="11149"/>
    <cellStyle name="Note 2 5 2 4 6 4 2" xfId="30121"/>
    <cellStyle name="Note 2 5 2 4 6 4 3" xfId="40966"/>
    <cellStyle name="Note 2 5 2 4 6 5" xfId="21945"/>
    <cellStyle name="Note 2 5 2 4 6 6" xfId="32790"/>
    <cellStyle name="Note 2 5 2 4 7" xfId="3657"/>
    <cellStyle name="Note 2 5 2 4 7 2" xfId="22629"/>
    <cellStyle name="Note 2 5 2 4 7 3" xfId="33474"/>
    <cellStyle name="Note 2 5 2 4 8" xfId="6332"/>
    <cellStyle name="Note 2 5 2 4 8 2" xfId="25304"/>
    <cellStyle name="Note 2 5 2 4 8 3" xfId="36149"/>
    <cellStyle name="Note 2 5 2 4 9" xfId="8991"/>
    <cellStyle name="Note 2 5 2 4 9 2" xfId="27963"/>
    <cellStyle name="Note 2 5 2 4 9 3" xfId="38808"/>
    <cellStyle name="Note 2 5 2 5" xfId="861"/>
    <cellStyle name="Note 2 5 2 5 10" xfId="19846"/>
    <cellStyle name="Note 2 5 2 5 11" xfId="30691"/>
    <cellStyle name="Note 2 5 2 5 2" xfId="1448"/>
    <cellStyle name="Note 2 5 2 5 2 2" xfId="4301"/>
    <cellStyle name="Note 2 5 2 5 2 2 2" xfId="23273"/>
    <cellStyle name="Note 2 5 2 5 2 2 3" xfId="34118"/>
    <cellStyle name="Note 2 5 2 5 2 3" xfId="6974"/>
    <cellStyle name="Note 2 5 2 5 2 3 2" xfId="25946"/>
    <cellStyle name="Note 2 5 2 5 2 3 3" xfId="36791"/>
    <cellStyle name="Note 2 5 2 5 2 4" xfId="9633"/>
    <cellStyle name="Note 2 5 2 5 2 4 2" xfId="28605"/>
    <cellStyle name="Note 2 5 2 5 2 4 3" xfId="39450"/>
    <cellStyle name="Note 2 5 2 5 2 5" xfId="20429"/>
    <cellStyle name="Note 2 5 2 5 2 6" xfId="31274"/>
    <cellStyle name="Note 2 5 2 5 3" xfId="1847"/>
    <cellStyle name="Note 2 5 2 5 3 2" xfId="4700"/>
    <cellStyle name="Note 2 5 2 5 3 2 2" xfId="23672"/>
    <cellStyle name="Note 2 5 2 5 3 2 3" xfId="34517"/>
    <cellStyle name="Note 2 5 2 5 3 3" xfId="7372"/>
    <cellStyle name="Note 2 5 2 5 3 3 2" xfId="26344"/>
    <cellStyle name="Note 2 5 2 5 3 3 3" xfId="37189"/>
    <cellStyle name="Note 2 5 2 5 3 4" xfId="10031"/>
    <cellStyle name="Note 2 5 2 5 3 4 2" xfId="29003"/>
    <cellStyle name="Note 2 5 2 5 3 4 3" xfId="39848"/>
    <cellStyle name="Note 2 5 2 5 3 5" xfId="20827"/>
    <cellStyle name="Note 2 5 2 5 3 6" xfId="31672"/>
    <cellStyle name="Note 2 5 2 5 4" xfId="2251"/>
    <cellStyle name="Note 2 5 2 5 4 2" xfId="5104"/>
    <cellStyle name="Note 2 5 2 5 4 2 2" xfId="24076"/>
    <cellStyle name="Note 2 5 2 5 4 2 3" xfId="34921"/>
    <cellStyle name="Note 2 5 2 5 4 3" xfId="7775"/>
    <cellStyle name="Note 2 5 2 5 4 3 2" xfId="26747"/>
    <cellStyle name="Note 2 5 2 5 4 3 3" xfId="37592"/>
    <cellStyle name="Note 2 5 2 5 4 4" xfId="10434"/>
    <cellStyle name="Note 2 5 2 5 4 4 2" xfId="29406"/>
    <cellStyle name="Note 2 5 2 5 4 4 3" xfId="40251"/>
    <cellStyle name="Note 2 5 2 5 4 5" xfId="21230"/>
    <cellStyle name="Note 2 5 2 5 4 6" xfId="32075"/>
    <cellStyle name="Note 2 5 2 5 5" xfId="2641"/>
    <cellStyle name="Note 2 5 2 5 5 2" xfId="5493"/>
    <cellStyle name="Note 2 5 2 5 5 2 2" xfId="24465"/>
    <cellStyle name="Note 2 5 2 5 5 2 3" xfId="35310"/>
    <cellStyle name="Note 2 5 2 5 5 3" xfId="8164"/>
    <cellStyle name="Note 2 5 2 5 5 3 2" xfId="27136"/>
    <cellStyle name="Note 2 5 2 5 5 3 3" xfId="37981"/>
    <cellStyle name="Note 2 5 2 5 5 4" xfId="10823"/>
    <cellStyle name="Note 2 5 2 5 5 4 2" xfId="29795"/>
    <cellStyle name="Note 2 5 2 5 5 4 3" xfId="40640"/>
    <cellStyle name="Note 2 5 2 5 5 5" xfId="21619"/>
    <cellStyle name="Note 2 5 2 5 5 6" xfId="32464"/>
    <cellStyle name="Note 2 5 2 5 6" xfId="3027"/>
    <cellStyle name="Note 2 5 2 5 6 2" xfId="5878"/>
    <cellStyle name="Note 2 5 2 5 6 2 2" xfId="24850"/>
    <cellStyle name="Note 2 5 2 5 6 2 3" xfId="35695"/>
    <cellStyle name="Note 2 5 2 5 6 3" xfId="8549"/>
    <cellStyle name="Note 2 5 2 5 6 3 2" xfId="27521"/>
    <cellStyle name="Note 2 5 2 5 6 3 3" xfId="38366"/>
    <cellStyle name="Note 2 5 2 5 6 4" xfId="11208"/>
    <cellStyle name="Note 2 5 2 5 6 4 2" xfId="30180"/>
    <cellStyle name="Note 2 5 2 5 6 4 3" xfId="41025"/>
    <cellStyle name="Note 2 5 2 5 6 5" xfId="22004"/>
    <cellStyle name="Note 2 5 2 5 6 6" xfId="32849"/>
    <cellStyle name="Note 2 5 2 5 7" xfId="3716"/>
    <cellStyle name="Note 2 5 2 5 7 2" xfId="22688"/>
    <cellStyle name="Note 2 5 2 5 7 3" xfId="33533"/>
    <cellStyle name="Note 2 5 2 5 8" xfId="6391"/>
    <cellStyle name="Note 2 5 2 5 8 2" xfId="25363"/>
    <cellStyle name="Note 2 5 2 5 8 3" xfId="36208"/>
    <cellStyle name="Note 2 5 2 5 9" xfId="9050"/>
    <cellStyle name="Note 2 5 2 5 9 2" xfId="28022"/>
    <cellStyle name="Note 2 5 2 5 9 3" xfId="38867"/>
    <cellStyle name="Note 2 5 2 6" xfId="1083"/>
    <cellStyle name="Note 2 5 2 6 2" xfId="3936"/>
    <cellStyle name="Note 2 5 2 6 2 2" xfId="22908"/>
    <cellStyle name="Note 2 5 2 6 2 3" xfId="33753"/>
    <cellStyle name="Note 2 5 2 6 3" xfId="6610"/>
    <cellStyle name="Note 2 5 2 6 3 2" xfId="25582"/>
    <cellStyle name="Note 2 5 2 6 3 3" xfId="36427"/>
    <cellStyle name="Note 2 5 2 6 4" xfId="9269"/>
    <cellStyle name="Note 2 5 2 6 4 2" xfId="28241"/>
    <cellStyle name="Note 2 5 2 6 4 3" xfId="39086"/>
    <cellStyle name="Note 2 5 2 6 5" xfId="20065"/>
    <cellStyle name="Note 2 5 2 6 6" xfId="30910"/>
    <cellStyle name="Note 2 5 2 7" xfId="908"/>
    <cellStyle name="Note 2 5 2 7 2" xfId="3763"/>
    <cellStyle name="Note 2 5 2 7 2 2" xfId="22735"/>
    <cellStyle name="Note 2 5 2 7 2 3" xfId="33580"/>
    <cellStyle name="Note 2 5 2 7 3" xfId="6438"/>
    <cellStyle name="Note 2 5 2 7 3 2" xfId="25410"/>
    <cellStyle name="Note 2 5 2 7 3 3" xfId="36255"/>
    <cellStyle name="Note 2 5 2 7 4" xfId="9097"/>
    <cellStyle name="Note 2 5 2 7 4 2" xfId="28069"/>
    <cellStyle name="Note 2 5 2 7 4 3" xfId="38914"/>
    <cellStyle name="Note 2 5 2 7 5" xfId="19893"/>
    <cellStyle name="Note 2 5 2 7 6" xfId="30738"/>
    <cellStyle name="Note 2 5 2 8" xfId="1890"/>
    <cellStyle name="Note 2 5 2 8 2" xfId="4743"/>
    <cellStyle name="Note 2 5 2 8 2 2" xfId="23715"/>
    <cellStyle name="Note 2 5 2 8 2 3" xfId="34560"/>
    <cellStyle name="Note 2 5 2 8 3" xfId="7415"/>
    <cellStyle name="Note 2 5 2 8 3 2" xfId="26387"/>
    <cellStyle name="Note 2 5 2 8 3 3" xfId="37232"/>
    <cellStyle name="Note 2 5 2 8 4" xfId="10074"/>
    <cellStyle name="Note 2 5 2 8 4 2" xfId="29046"/>
    <cellStyle name="Note 2 5 2 8 4 3" xfId="39891"/>
    <cellStyle name="Note 2 5 2 8 5" xfId="20870"/>
    <cellStyle name="Note 2 5 2 8 6" xfId="31715"/>
    <cellStyle name="Note 2 5 2 9" xfId="1027"/>
    <cellStyle name="Note 2 5 2 9 2" xfId="3880"/>
    <cellStyle name="Note 2 5 2 9 2 2" xfId="22852"/>
    <cellStyle name="Note 2 5 2 9 2 3" xfId="33697"/>
    <cellStyle name="Note 2 5 2 9 3" xfId="6554"/>
    <cellStyle name="Note 2 5 2 9 3 2" xfId="25526"/>
    <cellStyle name="Note 2 5 2 9 3 3" xfId="36371"/>
    <cellStyle name="Note 2 5 2 9 4" xfId="9213"/>
    <cellStyle name="Note 2 5 2 9 4 2" xfId="28185"/>
    <cellStyle name="Note 2 5 2 9 4 3" xfId="39030"/>
    <cellStyle name="Note 2 5 2 9 5" xfId="20009"/>
    <cellStyle name="Note 2 5 2 9 6" xfId="30854"/>
    <cellStyle name="Note 2 5 3" xfId="565"/>
    <cellStyle name="Note 2 5 3 10" xfId="19575"/>
    <cellStyle name="Note 2 5 3 11" xfId="30420"/>
    <cellStyle name="Note 2 5 3 2" xfId="1171"/>
    <cellStyle name="Note 2 5 3 2 2" xfId="4024"/>
    <cellStyle name="Note 2 5 3 2 2 2" xfId="22996"/>
    <cellStyle name="Note 2 5 3 2 2 3" xfId="33841"/>
    <cellStyle name="Note 2 5 3 2 3" xfId="6697"/>
    <cellStyle name="Note 2 5 3 2 3 2" xfId="25669"/>
    <cellStyle name="Note 2 5 3 2 3 3" xfId="36514"/>
    <cellStyle name="Note 2 5 3 2 4" xfId="9356"/>
    <cellStyle name="Note 2 5 3 2 4 2" xfId="28328"/>
    <cellStyle name="Note 2 5 3 2 4 3" xfId="39173"/>
    <cellStyle name="Note 2 5 3 2 5" xfId="20152"/>
    <cellStyle name="Note 2 5 3 2 6" xfId="30997"/>
    <cellStyle name="Note 2 5 3 3" xfId="1568"/>
    <cellStyle name="Note 2 5 3 3 2" xfId="4421"/>
    <cellStyle name="Note 2 5 3 3 2 2" xfId="23393"/>
    <cellStyle name="Note 2 5 3 3 2 3" xfId="34238"/>
    <cellStyle name="Note 2 5 3 3 3" xfId="7093"/>
    <cellStyle name="Note 2 5 3 3 3 2" xfId="26065"/>
    <cellStyle name="Note 2 5 3 3 3 3" xfId="36910"/>
    <cellStyle name="Note 2 5 3 3 4" xfId="9752"/>
    <cellStyle name="Note 2 5 3 3 4 2" xfId="28724"/>
    <cellStyle name="Note 2 5 3 3 4 3" xfId="39569"/>
    <cellStyle name="Note 2 5 3 3 5" xfId="20548"/>
    <cellStyle name="Note 2 5 3 3 6" xfId="31393"/>
    <cellStyle name="Note 2 5 3 4" xfId="1972"/>
    <cellStyle name="Note 2 5 3 4 2" xfId="4825"/>
    <cellStyle name="Note 2 5 3 4 2 2" xfId="23797"/>
    <cellStyle name="Note 2 5 3 4 2 3" xfId="34642"/>
    <cellStyle name="Note 2 5 3 4 3" xfId="7497"/>
    <cellStyle name="Note 2 5 3 4 3 2" xfId="26469"/>
    <cellStyle name="Note 2 5 3 4 3 3" xfId="37314"/>
    <cellStyle name="Note 2 5 3 4 4" xfId="10156"/>
    <cellStyle name="Note 2 5 3 4 4 2" xfId="29128"/>
    <cellStyle name="Note 2 5 3 4 4 3" xfId="39973"/>
    <cellStyle name="Note 2 5 3 4 5" xfId="20952"/>
    <cellStyle name="Note 2 5 3 4 6" xfId="31797"/>
    <cellStyle name="Note 2 5 3 5" xfId="2364"/>
    <cellStyle name="Note 2 5 3 5 2" xfId="5217"/>
    <cellStyle name="Note 2 5 3 5 2 2" xfId="24189"/>
    <cellStyle name="Note 2 5 3 5 2 3" xfId="35034"/>
    <cellStyle name="Note 2 5 3 5 3" xfId="7888"/>
    <cellStyle name="Note 2 5 3 5 3 2" xfId="26860"/>
    <cellStyle name="Note 2 5 3 5 3 3" xfId="37705"/>
    <cellStyle name="Note 2 5 3 5 4" xfId="10547"/>
    <cellStyle name="Note 2 5 3 5 4 2" xfId="29519"/>
    <cellStyle name="Note 2 5 3 5 4 3" xfId="40364"/>
    <cellStyle name="Note 2 5 3 5 5" xfId="21343"/>
    <cellStyle name="Note 2 5 3 5 6" xfId="32188"/>
    <cellStyle name="Note 2 5 3 6" xfId="2753"/>
    <cellStyle name="Note 2 5 3 6 2" xfId="5605"/>
    <cellStyle name="Note 2 5 3 6 2 2" xfId="24577"/>
    <cellStyle name="Note 2 5 3 6 2 3" xfId="35422"/>
    <cellStyle name="Note 2 5 3 6 3" xfId="8276"/>
    <cellStyle name="Note 2 5 3 6 3 2" xfId="27248"/>
    <cellStyle name="Note 2 5 3 6 3 3" xfId="38093"/>
    <cellStyle name="Note 2 5 3 6 4" xfId="10935"/>
    <cellStyle name="Note 2 5 3 6 4 2" xfId="29907"/>
    <cellStyle name="Note 2 5 3 6 4 3" xfId="40752"/>
    <cellStyle name="Note 2 5 3 6 5" xfId="21731"/>
    <cellStyle name="Note 2 5 3 6 6" xfId="32576"/>
    <cellStyle name="Note 2 5 3 7" xfId="3444"/>
    <cellStyle name="Note 2 5 3 7 2" xfId="22416"/>
    <cellStyle name="Note 2 5 3 7 3" xfId="33261"/>
    <cellStyle name="Note 2 5 3 8" xfId="6120"/>
    <cellStyle name="Note 2 5 3 8 2" xfId="25092"/>
    <cellStyle name="Note 2 5 3 8 3" xfId="35937"/>
    <cellStyle name="Note 2 5 3 9" xfId="8779"/>
    <cellStyle name="Note 2 5 3 9 2" xfId="27751"/>
    <cellStyle name="Note 2 5 3 9 3" xfId="38596"/>
    <cellStyle name="Note 2 5 4" xfId="41476"/>
    <cellStyle name="Note 2 6" xfId="131"/>
    <cellStyle name="Note 2 6 2" xfId="383"/>
    <cellStyle name="Note 2 6 2 10" xfId="995"/>
    <cellStyle name="Note 2 6 2 10 2" xfId="3848"/>
    <cellStyle name="Note 2 6 2 10 2 2" xfId="22820"/>
    <cellStyle name="Note 2 6 2 10 2 3" xfId="33665"/>
    <cellStyle name="Note 2 6 2 10 3" xfId="6523"/>
    <cellStyle name="Note 2 6 2 10 3 2" xfId="25495"/>
    <cellStyle name="Note 2 6 2 10 3 3" xfId="36340"/>
    <cellStyle name="Note 2 6 2 10 4" xfId="9182"/>
    <cellStyle name="Note 2 6 2 10 4 2" xfId="28154"/>
    <cellStyle name="Note 2 6 2 10 4 3" xfId="38999"/>
    <cellStyle name="Note 2 6 2 10 5" xfId="19978"/>
    <cellStyle name="Note 2 6 2 10 6" xfId="30823"/>
    <cellStyle name="Note 2 6 2 11" xfId="1009"/>
    <cellStyle name="Note 2 6 2 11 2" xfId="3862"/>
    <cellStyle name="Note 2 6 2 11 2 2" xfId="22834"/>
    <cellStyle name="Note 2 6 2 11 2 3" xfId="33679"/>
    <cellStyle name="Note 2 6 2 11 3" xfId="6536"/>
    <cellStyle name="Note 2 6 2 11 3 2" xfId="25508"/>
    <cellStyle name="Note 2 6 2 11 3 3" xfId="36353"/>
    <cellStyle name="Note 2 6 2 11 4" xfId="9195"/>
    <cellStyle name="Note 2 6 2 11 4 2" xfId="28167"/>
    <cellStyle name="Note 2 6 2 11 4 3" xfId="39012"/>
    <cellStyle name="Note 2 6 2 11 5" xfId="19991"/>
    <cellStyle name="Note 2 6 2 11 6" xfId="30836"/>
    <cellStyle name="Note 2 6 2 12" xfId="3118"/>
    <cellStyle name="Note 2 6 2 12 2" xfId="5969"/>
    <cellStyle name="Note 2 6 2 12 2 2" xfId="24941"/>
    <cellStyle name="Note 2 6 2 12 2 3" xfId="35786"/>
    <cellStyle name="Note 2 6 2 12 3" xfId="8640"/>
    <cellStyle name="Note 2 6 2 12 3 2" xfId="27612"/>
    <cellStyle name="Note 2 6 2 12 3 3" xfId="38457"/>
    <cellStyle name="Note 2 6 2 12 4" xfId="11299"/>
    <cellStyle name="Note 2 6 2 12 4 2" xfId="30271"/>
    <cellStyle name="Note 2 6 2 12 4 3" xfId="41116"/>
    <cellStyle name="Note 2 6 2 12 5" xfId="22095"/>
    <cellStyle name="Note 2 6 2 12 6" xfId="32940"/>
    <cellStyle name="Note 2 6 2 13" xfId="3175"/>
    <cellStyle name="Note 2 6 2 13 2" xfId="6026"/>
    <cellStyle name="Note 2 6 2 13 2 2" xfId="24998"/>
    <cellStyle name="Note 2 6 2 13 2 3" xfId="35843"/>
    <cellStyle name="Note 2 6 2 13 3" xfId="8697"/>
    <cellStyle name="Note 2 6 2 13 3 2" xfId="27669"/>
    <cellStyle name="Note 2 6 2 13 3 3" xfId="38514"/>
    <cellStyle name="Note 2 6 2 13 4" xfId="11356"/>
    <cellStyle name="Note 2 6 2 13 4 2" xfId="30328"/>
    <cellStyle name="Note 2 6 2 13 4 3" xfId="41173"/>
    <cellStyle name="Note 2 6 2 13 5" xfId="22152"/>
    <cellStyle name="Note 2 6 2 13 6" xfId="32997"/>
    <cellStyle name="Note 2 6 2 14" xfId="3341"/>
    <cellStyle name="Note 2 6 2 14 2" xfId="22315"/>
    <cellStyle name="Note 2 6 2 14 3" xfId="33160"/>
    <cellStyle name="Note 2 6 2 15" xfId="3320"/>
    <cellStyle name="Note 2 6 2 15 2" xfId="22294"/>
    <cellStyle name="Note 2 6 2 15 3" xfId="33139"/>
    <cellStyle name="Note 2 6 2 16" xfId="3294"/>
    <cellStyle name="Note 2 6 2 16 2" xfId="22268"/>
    <cellStyle name="Note 2 6 2 16 3" xfId="33113"/>
    <cellStyle name="Note 2 6 2 17" xfId="19472"/>
    <cellStyle name="Note 2 6 2 18" xfId="19416"/>
    <cellStyle name="Note 2 6 2 2" xfId="683"/>
    <cellStyle name="Note 2 6 2 2 10" xfId="19668"/>
    <cellStyle name="Note 2 6 2 2 11" xfId="30513"/>
    <cellStyle name="Note 2 6 2 2 2" xfId="1270"/>
    <cellStyle name="Note 2 6 2 2 2 2" xfId="4123"/>
    <cellStyle name="Note 2 6 2 2 2 2 2" xfId="23095"/>
    <cellStyle name="Note 2 6 2 2 2 2 3" xfId="33940"/>
    <cellStyle name="Note 2 6 2 2 2 3" xfId="6796"/>
    <cellStyle name="Note 2 6 2 2 2 3 2" xfId="25768"/>
    <cellStyle name="Note 2 6 2 2 2 3 3" xfId="36613"/>
    <cellStyle name="Note 2 6 2 2 2 4" xfId="9455"/>
    <cellStyle name="Note 2 6 2 2 2 4 2" xfId="28427"/>
    <cellStyle name="Note 2 6 2 2 2 4 3" xfId="39272"/>
    <cellStyle name="Note 2 6 2 2 2 5" xfId="20251"/>
    <cellStyle name="Note 2 6 2 2 2 6" xfId="31096"/>
    <cellStyle name="Note 2 6 2 2 3" xfId="1669"/>
    <cellStyle name="Note 2 6 2 2 3 2" xfId="4522"/>
    <cellStyle name="Note 2 6 2 2 3 2 2" xfId="23494"/>
    <cellStyle name="Note 2 6 2 2 3 2 3" xfId="34339"/>
    <cellStyle name="Note 2 6 2 2 3 3" xfId="7194"/>
    <cellStyle name="Note 2 6 2 2 3 3 2" xfId="26166"/>
    <cellStyle name="Note 2 6 2 2 3 3 3" xfId="37011"/>
    <cellStyle name="Note 2 6 2 2 3 4" xfId="9853"/>
    <cellStyle name="Note 2 6 2 2 3 4 2" xfId="28825"/>
    <cellStyle name="Note 2 6 2 2 3 4 3" xfId="39670"/>
    <cellStyle name="Note 2 6 2 2 3 5" xfId="20649"/>
    <cellStyle name="Note 2 6 2 2 3 6" xfId="31494"/>
    <cellStyle name="Note 2 6 2 2 4" xfId="2073"/>
    <cellStyle name="Note 2 6 2 2 4 2" xfId="4926"/>
    <cellStyle name="Note 2 6 2 2 4 2 2" xfId="23898"/>
    <cellStyle name="Note 2 6 2 2 4 2 3" xfId="34743"/>
    <cellStyle name="Note 2 6 2 2 4 3" xfId="7597"/>
    <cellStyle name="Note 2 6 2 2 4 3 2" xfId="26569"/>
    <cellStyle name="Note 2 6 2 2 4 3 3" xfId="37414"/>
    <cellStyle name="Note 2 6 2 2 4 4" xfId="10256"/>
    <cellStyle name="Note 2 6 2 2 4 4 2" xfId="29228"/>
    <cellStyle name="Note 2 6 2 2 4 4 3" xfId="40073"/>
    <cellStyle name="Note 2 6 2 2 4 5" xfId="21052"/>
    <cellStyle name="Note 2 6 2 2 4 6" xfId="31897"/>
    <cellStyle name="Note 2 6 2 2 5" xfId="2463"/>
    <cellStyle name="Note 2 6 2 2 5 2" xfId="5315"/>
    <cellStyle name="Note 2 6 2 2 5 2 2" xfId="24287"/>
    <cellStyle name="Note 2 6 2 2 5 2 3" xfId="35132"/>
    <cellStyle name="Note 2 6 2 2 5 3" xfId="7986"/>
    <cellStyle name="Note 2 6 2 2 5 3 2" xfId="26958"/>
    <cellStyle name="Note 2 6 2 2 5 3 3" xfId="37803"/>
    <cellStyle name="Note 2 6 2 2 5 4" xfId="10645"/>
    <cellStyle name="Note 2 6 2 2 5 4 2" xfId="29617"/>
    <cellStyle name="Note 2 6 2 2 5 4 3" xfId="40462"/>
    <cellStyle name="Note 2 6 2 2 5 5" xfId="21441"/>
    <cellStyle name="Note 2 6 2 2 5 6" xfId="32286"/>
    <cellStyle name="Note 2 6 2 2 6" xfId="2849"/>
    <cellStyle name="Note 2 6 2 2 6 2" xfId="5700"/>
    <cellStyle name="Note 2 6 2 2 6 2 2" xfId="24672"/>
    <cellStyle name="Note 2 6 2 2 6 2 3" xfId="35517"/>
    <cellStyle name="Note 2 6 2 2 6 3" xfId="8371"/>
    <cellStyle name="Note 2 6 2 2 6 3 2" xfId="27343"/>
    <cellStyle name="Note 2 6 2 2 6 3 3" xfId="38188"/>
    <cellStyle name="Note 2 6 2 2 6 4" xfId="11030"/>
    <cellStyle name="Note 2 6 2 2 6 4 2" xfId="30002"/>
    <cellStyle name="Note 2 6 2 2 6 4 3" xfId="40847"/>
    <cellStyle name="Note 2 6 2 2 6 5" xfId="21826"/>
    <cellStyle name="Note 2 6 2 2 6 6" xfId="32671"/>
    <cellStyle name="Note 2 6 2 2 7" xfId="3538"/>
    <cellStyle name="Note 2 6 2 2 7 2" xfId="22510"/>
    <cellStyle name="Note 2 6 2 2 7 3" xfId="33355"/>
    <cellStyle name="Note 2 6 2 2 8" xfId="6213"/>
    <cellStyle name="Note 2 6 2 2 8 2" xfId="25185"/>
    <cellStyle name="Note 2 6 2 2 8 3" xfId="36030"/>
    <cellStyle name="Note 2 6 2 2 9" xfId="8872"/>
    <cellStyle name="Note 2 6 2 2 9 2" xfId="27844"/>
    <cellStyle name="Note 2 6 2 2 9 3" xfId="38689"/>
    <cellStyle name="Note 2 6 2 3" xfId="743"/>
    <cellStyle name="Note 2 6 2 3 10" xfId="19728"/>
    <cellStyle name="Note 2 6 2 3 11" xfId="30573"/>
    <cellStyle name="Note 2 6 2 3 2" xfId="1330"/>
    <cellStyle name="Note 2 6 2 3 2 2" xfId="4183"/>
    <cellStyle name="Note 2 6 2 3 2 2 2" xfId="23155"/>
    <cellStyle name="Note 2 6 2 3 2 2 3" xfId="34000"/>
    <cellStyle name="Note 2 6 2 3 2 3" xfId="6856"/>
    <cellStyle name="Note 2 6 2 3 2 3 2" xfId="25828"/>
    <cellStyle name="Note 2 6 2 3 2 3 3" xfId="36673"/>
    <cellStyle name="Note 2 6 2 3 2 4" xfId="9515"/>
    <cellStyle name="Note 2 6 2 3 2 4 2" xfId="28487"/>
    <cellStyle name="Note 2 6 2 3 2 4 3" xfId="39332"/>
    <cellStyle name="Note 2 6 2 3 2 5" xfId="20311"/>
    <cellStyle name="Note 2 6 2 3 2 6" xfId="31156"/>
    <cellStyle name="Note 2 6 2 3 3" xfId="1729"/>
    <cellStyle name="Note 2 6 2 3 3 2" xfId="4582"/>
    <cellStyle name="Note 2 6 2 3 3 2 2" xfId="23554"/>
    <cellStyle name="Note 2 6 2 3 3 2 3" xfId="34399"/>
    <cellStyle name="Note 2 6 2 3 3 3" xfId="7254"/>
    <cellStyle name="Note 2 6 2 3 3 3 2" xfId="26226"/>
    <cellStyle name="Note 2 6 2 3 3 3 3" xfId="37071"/>
    <cellStyle name="Note 2 6 2 3 3 4" xfId="9913"/>
    <cellStyle name="Note 2 6 2 3 3 4 2" xfId="28885"/>
    <cellStyle name="Note 2 6 2 3 3 4 3" xfId="39730"/>
    <cellStyle name="Note 2 6 2 3 3 5" xfId="20709"/>
    <cellStyle name="Note 2 6 2 3 3 6" xfId="31554"/>
    <cellStyle name="Note 2 6 2 3 4" xfId="2133"/>
    <cellStyle name="Note 2 6 2 3 4 2" xfId="4986"/>
    <cellStyle name="Note 2 6 2 3 4 2 2" xfId="23958"/>
    <cellStyle name="Note 2 6 2 3 4 2 3" xfId="34803"/>
    <cellStyle name="Note 2 6 2 3 4 3" xfId="7657"/>
    <cellStyle name="Note 2 6 2 3 4 3 2" xfId="26629"/>
    <cellStyle name="Note 2 6 2 3 4 3 3" xfId="37474"/>
    <cellStyle name="Note 2 6 2 3 4 4" xfId="10316"/>
    <cellStyle name="Note 2 6 2 3 4 4 2" xfId="29288"/>
    <cellStyle name="Note 2 6 2 3 4 4 3" xfId="40133"/>
    <cellStyle name="Note 2 6 2 3 4 5" xfId="21112"/>
    <cellStyle name="Note 2 6 2 3 4 6" xfId="31957"/>
    <cellStyle name="Note 2 6 2 3 5" xfId="2523"/>
    <cellStyle name="Note 2 6 2 3 5 2" xfId="5375"/>
    <cellStyle name="Note 2 6 2 3 5 2 2" xfId="24347"/>
    <cellStyle name="Note 2 6 2 3 5 2 3" xfId="35192"/>
    <cellStyle name="Note 2 6 2 3 5 3" xfId="8046"/>
    <cellStyle name="Note 2 6 2 3 5 3 2" xfId="27018"/>
    <cellStyle name="Note 2 6 2 3 5 3 3" xfId="37863"/>
    <cellStyle name="Note 2 6 2 3 5 4" xfId="10705"/>
    <cellStyle name="Note 2 6 2 3 5 4 2" xfId="29677"/>
    <cellStyle name="Note 2 6 2 3 5 4 3" xfId="40522"/>
    <cellStyle name="Note 2 6 2 3 5 5" xfId="21501"/>
    <cellStyle name="Note 2 6 2 3 5 6" xfId="32346"/>
    <cellStyle name="Note 2 6 2 3 6" xfId="2909"/>
    <cellStyle name="Note 2 6 2 3 6 2" xfId="5760"/>
    <cellStyle name="Note 2 6 2 3 6 2 2" xfId="24732"/>
    <cellStyle name="Note 2 6 2 3 6 2 3" xfId="35577"/>
    <cellStyle name="Note 2 6 2 3 6 3" xfId="8431"/>
    <cellStyle name="Note 2 6 2 3 6 3 2" xfId="27403"/>
    <cellStyle name="Note 2 6 2 3 6 3 3" xfId="38248"/>
    <cellStyle name="Note 2 6 2 3 6 4" xfId="11090"/>
    <cellStyle name="Note 2 6 2 3 6 4 2" xfId="30062"/>
    <cellStyle name="Note 2 6 2 3 6 4 3" xfId="40907"/>
    <cellStyle name="Note 2 6 2 3 6 5" xfId="21886"/>
    <cellStyle name="Note 2 6 2 3 6 6" xfId="32731"/>
    <cellStyle name="Note 2 6 2 3 7" xfId="3598"/>
    <cellStyle name="Note 2 6 2 3 7 2" xfId="22570"/>
    <cellStyle name="Note 2 6 2 3 7 3" xfId="33415"/>
    <cellStyle name="Note 2 6 2 3 8" xfId="6273"/>
    <cellStyle name="Note 2 6 2 3 8 2" xfId="25245"/>
    <cellStyle name="Note 2 6 2 3 8 3" xfId="36090"/>
    <cellStyle name="Note 2 6 2 3 9" xfId="8932"/>
    <cellStyle name="Note 2 6 2 3 9 2" xfId="27904"/>
    <cellStyle name="Note 2 6 2 3 9 3" xfId="38749"/>
    <cellStyle name="Note 2 6 2 4" xfId="803"/>
    <cellStyle name="Note 2 6 2 4 10" xfId="19788"/>
    <cellStyle name="Note 2 6 2 4 11" xfId="30633"/>
    <cellStyle name="Note 2 6 2 4 2" xfId="1390"/>
    <cellStyle name="Note 2 6 2 4 2 2" xfId="4243"/>
    <cellStyle name="Note 2 6 2 4 2 2 2" xfId="23215"/>
    <cellStyle name="Note 2 6 2 4 2 2 3" xfId="34060"/>
    <cellStyle name="Note 2 6 2 4 2 3" xfId="6916"/>
    <cellStyle name="Note 2 6 2 4 2 3 2" xfId="25888"/>
    <cellStyle name="Note 2 6 2 4 2 3 3" xfId="36733"/>
    <cellStyle name="Note 2 6 2 4 2 4" xfId="9575"/>
    <cellStyle name="Note 2 6 2 4 2 4 2" xfId="28547"/>
    <cellStyle name="Note 2 6 2 4 2 4 3" xfId="39392"/>
    <cellStyle name="Note 2 6 2 4 2 5" xfId="20371"/>
    <cellStyle name="Note 2 6 2 4 2 6" xfId="31216"/>
    <cellStyle name="Note 2 6 2 4 3" xfId="1789"/>
    <cellStyle name="Note 2 6 2 4 3 2" xfId="4642"/>
    <cellStyle name="Note 2 6 2 4 3 2 2" xfId="23614"/>
    <cellStyle name="Note 2 6 2 4 3 2 3" xfId="34459"/>
    <cellStyle name="Note 2 6 2 4 3 3" xfId="7314"/>
    <cellStyle name="Note 2 6 2 4 3 3 2" xfId="26286"/>
    <cellStyle name="Note 2 6 2 4 3 3 3" xfId="37131"/>
    <cellStyle name="Note 2 6 2 4 3 4" xfId="9973"/>
    <cellStyle name="Note 2 6 2 4 3 4 2" xfId="28945"/>
    <cellStyle name="Note 2 6 2 4 3 4 3" xfId="39790"/>
    <cellStyle name="Note 2 6 2 4 3 5" xfId="20769"/>
    <cellStyle name="Note 2 6 2 4 3 6" xfId="31614"/>
    <cellStyle name="Note 2 6 2 4 4" xfId="2193"/>
    <cellStyle name="Note 2 6 2 4 4 2" xfId="5046"/>
    <cellStyle name="Note 2 6 2 4 4 2 2" xfId="24018"/>
    <cellStyle name="Note 2 6 2 4 4 2 3" xfId="34863"/>
    <cellStyle name="Note 2 6 2 4 4 3" xfId="7717"/>
    <cellStyle name="Note 2 6 2 4 4 3 2" xfId="26689"/>
    <cellStyle name="Note 2 6 2 4 4 3 3" xfId="37534"/>
    <cellStyle name="Note 2 6 2 4 4 4" xfId="10376"/>
    <cellStyle name="Note 2 6 2 4 4 4 2" xfId="29348"/>
    <cellStyle name="Note 2 6 2 4 4 4 3" xfId="40193"/>
    <cellStyle name="Note 2 6 2 4 4 5" xfId="21172"/>
    <cellStyle name="Note 2 6 2 4 4 6" xfId="32017"/>
    <cellStyle name="Note 2 6 2 4 5" xfId="2583"/>
    <cellStyle name="Note 2 6 2 4 5 2" xfId="5435"/>
    <cellStyle name="Note 2 6 2 4 5 2 2" xfId="24407"/>
    <cellStyle name="Note 2 6 2 4 5 2 3" xfId="35252"/>
    <cellStyle name="Note 2 6 2 4 5 3" xfId="8106"/>
    <cellStyle name="Note 2 6 2 4 5 3 2" xfId="27078"/>
    <cellStyle name="Note 2 6 2 4 5 3 3" xfId="37923"/>
    <cellStyle name="Note 2 6 2 4 5 4" xfId="10765"/>
    <cellStyle name="Note 2 6 2 4 5 4 2" xfId="29737"/>
    <cellStyle name="Note 2 6 2 4 5 4 3" xfId="40582"/>
    <cellStyle name="Note 2 6 2 4 5 5" xfId="21561"/>
    <cellStyle name="Note 2 6 2 4 5 6" xfId="32406"/>
    <cellStyle name="Note 2 6 2 4 6" xfId="2969"/>
    <cellStyle name="Note 2 6 2 4 6 2" xfId="5820"/>
    <cellStyle name="Note 2 6 2 4 6 2 2" xfId="24792"/>
    <cellStyle name="Note 2 6 2 4 6 2 3" xfId="35637"/>
    <cellStyle name="Note 2 6 2 4 6 3" xfId="8491"/>
    <cellStyle name="Note 2 6 2 4 6 3 2" xfId="27463"/>
    <cellStyle name="Note 2 6 2 4 6 3 3" xfId="38308"/>
    <cellStyle name="Note 2 6 2 4 6 4" xfId="11150"/>
    <cellStyle name="Note 2 6 2 4 6 4 2" xfId="30122"/>
    <cellStyle name="Note 2 6 2 4 6 4 3" xfId="40967"/>
    <cellStyle name="Note 2 6 2 4 6 5" xfId="21946"/>
    <cellStyle name="Note 2 6 2 4 6 6" xfId="32791"/>
    <cellStyle name="Note 2 6 2 4 7" xfId="3658"/>
    <cellStyle name="Note 2 6 2 4 7 2" xfId="22630"/>
    <cellStyle name="Note 2 6 2 4 7 3" xfId="33475"/>
    <cellStyle name="Note 2 6 2 4 8" xfId="6333"/>
    <cellStyle name="Note 2 6 2 4 8 2" xfId="25305"/>
    <cellStyle name="Note 2 6 2 4 8 3" xfId="36150"/>
    <cellStyle name="Note 2 6 2 4 9" xfId="8992"/>
    <cellStyle name="Note 2 6 2 4 9 2" xfId="27964"/>
    <cellStyle name="Note 2 6 2 4 9 3" xfId="38809"/>
    <cellStyle name="Note 2 6 2 5" xfId="862"/>
    <cellStyle name="Note 2 6 2 5 10" xfId="19847"/>
    <cellStyle name="Note 2 6 2 5 11" xfId="30692"/>
    <cellStyle name="Note 2 6 2 5 2" xfId="1449"/>
    <cellStyle name="Note 2 6 2 5 2 2" xfId="4302"/>
    <cellStyle name="Note 2 6 2 5 2 2 2" xfId="23274"/>
    <cellStyle name="Note 2 6 2 5 2 2 3" xfId="34119"/>
    <cellStyle name="Note 2 6 2 5 2 3" xfId="6975"/>
    <cellStyle name="Note 2 6 2 5 2 3 2" xfId="25947"/>
    <cellStyle name="Note 2 6 2 5 2 3 3" xfId="36792"/>
    <cellStyle name="Note 2 6 2 5 2 4" xfId="9634"/>
    <cellStyle name="Note 2 6 2 5 2 4 2" xfId="28606"/>
    <cellStyle name="Note 2 6 2 5 2 4 3" xfId="39451"/>
    <cellStyle name="Note 2 6 2 5 2 5" xfId="20430"/>
    <cellStyle name="Note 2 6 2 5 2 6" xfId="31275"/>
    <cellStyle name="Note 2 6 2 5 3" xfId="1848"/>
    <cellStyle name="Note 2 6 2 5 3 2" xfId="4701"/>
    <cellStyle name="Note 2 6 2 5 3 2 2" xfId="23673"/>
    <cellStyle name="Note 2 6 2 5 3 2 3" xfId="34518"/>
    <cellStyle name="Note 2 6 2 5 3 3" xfId="7373"/>
    <cellStyle name="Note 2 6 2 5 3 3 2" xfId="26345"/>
    <cellStyle name="Note 2 6 2 5 3 3 3" xfId="37190"/>
    <cellStyle name="Note 2 6 2 5 3 4" xfId="10032"/>
    <cellStyle name="Note 2 6 2 5 3 4 2" xfId="29004"/>
    <cellStyle name="Note 2 6 2 5 3 4 3" xfId="39849"/>
    <cellStyle name="Note 2 6 2 5 3 5" xfId="20828"/>
    <cellStyle name="Note 2 6 2 5 3 6" xfId="31673"/>
    <cellStyle name="Note 2 6 2 5 4" xfId="2252"/>
    <cellStyle name="Note 2 6 2 5 4 2" xfId="5105"/>
    <cellStyle name="Note 2 6 2 5 4 2 2" xfId="24077"/>
    <cellStyle name="Note 2 6 2 5 4 2 3" xfId="34922"/>
    <cellStyle name="Note 2 6 2 5 4 3" xfId="7776"/>
    <cellStyle name="Note 2 6 2 5 4 3 2" xfId="26748"/>
    <cellStyle name="Note 2 6 2 5 4 3 3" xfId="37593"/>
    <cellStyle name="Note 2 6 2 5 4 4" xfId="10435"/>
    <cellStyle name="Note 2 6 2 5 4 4 2" xfId="29407"/>
    <cellStyle name="Note 2 6 2 5 4 4 3" xfId="40252"/>
    <cellStyle name="Note 2 6 2 5 4 5" xfId="21231"/>
    <cellStyle name="Note 2 6 2 5 4 6" xfId="32076"/>
    <cellStyle name="Note 2 6 2 5 5" xfId="2642"/>
    <cellStyle name="Note 2 6 2 5 5 2" xfId="5494"/>
    <cellStyle name="Note 2 6 2 5 5 2 2" xfId="24466"/>
    <cellStyle name="Note 2 6 2 5 5 2 3" xfId="35311"/>
    <cellStyle name="Note 2 6 2 5 5 3" xfId="8165"/>
    <cellStyle name="Note 2 6 2 5 5 3 2" xfId="27137"/>
    <cellStyle name="Note 2 6 2 5 5 3 3" xfId="37982"/>
    <cellStyle name="Note 2 6 2 5 5 4" xfId="10824"/>
    <cellStyle name="Note 2 6 2 5 5 4 2" xfId="29796"/>
    <cellStyle name="Note 2 6 2 5 5 4 3" xfId="40641"/>
    <cellStyle name="Note 2 6 2 5 5 5" xfId="21620"/>
    <cellStyle name="Note 2 6 2 5 5 6" xfId="32465"/>
    <cellStyle name="Note 2 6 2 5 6" xfId="3028"/>
    <cellStyle name="Note 2 6 2 5 6 2" xfId="5879"/>
    <cellStyle name="Note 2 6 2 5 6 2 2" xfId="24851"/>
    <cellStyle name="Note 2 6 2 5 6 2 3" xfId="35696"/>
    <cellStyle name="Note 2 6 2 5 6 3" xfId="8550"/>
    <cellStyle name="Note 2 6 2 5 6 3 2" xfId="27522"/>
    <cellStyle name="Note 2 6 2 5 6 3 3" xfId="38367"/>
    <cellStyle name="Note 2 6 2 5 6 4" xfId="11209"/>
    <cellStyle name="Note 2 6 2 5 6 4 2" xfId="30181"/>
    <cellStyle name="Note 2 6 2 5 6 4 3" xfId="41026"/>
    <cellStyle name="Note 2 6 2 5 6 5" xfId="22005"/>
    <cellStyle name="Note 2 6 2 5 6 6" xfId="32850"/>
    <cellStyle name="Note 2 6 2 5 7" xfId="3717"/>
    <cellStyle name="Note 2 6 2 5 7 2" xfId="22689"/>
    <cellStyle name="Note 2 6 2 5 7 3" xfId="33534"/>
    <cellStyle name="Note 2 6 2 5 8" xfId="6392"/>
    <cellStyle name="Note 2 6 2 5 8 2" xfId="25364"/>
    <cellStyle name="Note 2 6 2 5 8 3" xfId="36209"/>
    <cellStyle name="Note 2 6 2 5 9" xfId="9051"/>
    <cellStyle name="Note 2 6 2 5 9 2" xfId="28023"/>
    <cellStyle name="Note 2 6 2 5 9 3" xfId="38868"/>
    <cellStyle name="Note 2 6 2 6" xfId="1084"/>
    <cellStyle name="Note 2 6 2 6 2" xfId="3937"/>
    <cellStyle name="Note 2 6 2 6 2 2" xfId="22909"/>
    <cellStyle name="Note 2 6 2 6 2 3" xfId="33754"/>
    <cellStyle name="Note 2 6 2 6 3" xfId="6611"/>
    <cellStyle name="Note 2 6 2 6 3 2" xfId="25583"/>
    <cellStyle name="Note 2 6 2 6 3 3" xfId="36428"/>
    <cellStyle name="Note 2 6 2 6 4" xfId="9270"/>
    <cellStyle name="Note 2 6 2 6 4 2" xfId="28242"/>
    <cellStyle name="Note 2 6 2 6 4 3" xfId="39087"/>
    <cellStyle name="Note 2 6 2 6 5" xfId="20066"/>
    <cellStyle name="Note 2 6 2 6 6" xfId="30911"/>
    <cellStyle name="Note 2 6 2 7" xfId="1051"/>
    <cellStyle name="Note 2 6 2 7 2" xfId="3904"/>
    <cellStyle name="Note 2 6 2 7 2 2" xfId="22876"/>
    <cellStyle name="Note 2 6 2 7 2 3" xfId="33721"/>
    <cellStyle name="Note 2 6 2 7 3" xfId="6578"/>
    <cellStyle name="Note 2 6 2 7 3 2" xfId="25550"/>
    <cellStyle name="Note 2 6 2 7 3 3" xfId="36395"/>
    <cellStyle name="Note 2 6 2 7 4" xfId="9237"/>
    <cellStyle name="Note 2 6 2 7 4 2" xfId="28209"/>
    <cellStyle name="Note 2 6 2 7 4 3" xfId="39054"/>
    <cellStyle name="Note 2 6 2 7 5" xfId="20033"/>
    <cellStyle name="Note 2 6 2 7 6" xfId="30878"/>
    <cellStyle name="Note 2 6 2 8" xfId="1891"/>
    <cellStyle name="Note 2 6 2 8 2" xfId="4744"/>
    <cellStyle name="Note 2 6 2 8 2 2" xfId="23716"/>
    <cellStyle name="Note 2 6 2 8 2 3" xfId="34561"/>
    <cellStyle name="Note 2 6 2 8 3" xfId="7416"/>
    <cellStyle name="Note 2 6 2 8 3 2" xfId="26388"/>
    <cellStyle name="Note 2 6 2 8 3 3" xfId="37233"/>
    <cellStyle name="Note 2 6 2 8 4" xfId="10075"/>
    <cellStyle name="Note 2 6 2 8 4 2" xfId="29047"/>
    <cellStyle name="Note 2 6 2 8 4 3" xfId="39892"/>
    <cellStyle name="Note 2 6 2 8 5" xfId="20871"/>
    <cellStyle name="Note 2 6 2 8 6" xfId="31716"/>
    <cellStyle name="Note 2 6 2 9" xfId="952"/>
    <cellStyle name="Note 2 6 2 9 2" xfId="3805"/>
    <cellStyle name="Note 2 6 2 9 2 2" xfId="22777"/>
    <cellStyle name="Note 2 6 2 9 2 3" xfId="33622"/>
    <cellStyle name="Note 2 6 2 9 3" xfId="6480"/>
    <cellStyle name="Note 2 6 2 9 3 2" xfId="25452"/>
    <cellStyle name="Note 2 6 2 9 3 3" xfId="36297"/>
    <cellStyle name="Note 2 6 2 9 4" xfId="9139"/>
    <cellStyle name="Note 2 6 2 9 4 2" xfId="28111"/>
    <cellStyle name="Note 2 6 2 9 4 3" xfId="38956"/>
    <cellStyle name="Note 2 6 2 9 5" xfId="19935"/>
    <cellStyle name="Note 2 6 2 9 6" xfId="30780"/>
    <cellStyle name="Note 2 6 3" xfId="566"/>
    <cellStyle name="Note 2 6 3 10" xfId="19576"/>
    <cellStyle name="Note 2 6 3 11" xfId="30421"/>
    <cellStyle name="Note 2 6 3 2" xfId="1172"/>
    <cellStyle name="Note 2 6 3 2 2" xfId="4025"/>
    <cellStyle name="Note 2 6 3 2 2 2" xfId="22997"/>
    <cellStyle name="Note 2 6 3 2 2 3" xfId="33842"/>
    <cellStyle name="Note 2 6 3 2 3" xfId="6698"/>
    <cellStyle name="Note 2 6 3 2 3 2" xfId="25670"/>
    <cellStyle name="Note 2 6 3 2 3 3" xfId="36515"/>
    <cellStyle name="Note 2 6 3 2 4" xfId="9357"/>
    <cellStyle name="Note 2 6 3 2 4 2" xfId="28329"/>
    <cellStyle name="Note 2 6 3 2 4 3" xfId="39174"/>
    <cellStyle name="Note 2 6 3 2 5" xfId="20153"/>
    <cellStyle name="Note 2 6 3 2 6" xfId="30998"/>
    <cellStyle name="Note 2 6 3 3" xfId="1569"/>
    <cellStyle name="Note 2 6 3 3 2" xfId="4422"/>
    <cellStyle name="Note 2 6 3 3 2 2" xfId="23394"/>
    <cellStyle name="Note 2 6 3 3 2 3" xfId="34239"/>
    <cellStyle name="Note 2 6 3 3 3" xfId="7094"/>
    <cellStyle name="Note 2 6 3 3 3 2" xfId="26066"/>
    <cellStyle name="Note 2 6 3 3 3 3" xfId="36911"/>
    <cellStyle name="Note 2 6 3 3 4" xfId="9753"/>
    <cellStyle name="Note 2 6 3 3 4 2" xfId="28725"/>
    <cellStyle name="Note 2 6 3 3 4 3" xfId="39570"/>
    <cellStyle name="Note 2 6 3 3 5" xfId="20549"/>
    <cellStyle name="Note 2 6 3 3 6" xfId="31394"/>
    <cellStyle name="Note 2 6 3 4" xfId="1973"/>
    <cellStyle name="Note 2 6 3 4 2" xfId="4826"/>
    <cellStyle name="Note 2 6 3 4 2 2" xfId="23798"/>
    <cellStyle name="Note 2 6 3 4 2 3" xfId="34643"/>
    <cellStyle name="Note 2 6 3 4 3" xfId="7498"/>
    <cellStyle name="Note 2 6 3 4 3 2" xfId="26470"/>
    <cellStyle name="Note 2 6 3 4 3 3" xfId="37315"/>
    <cellStyle name="Note 2 6 3 4 4" xfId="10157"/>
    <cellStyle name="Note 2 6 3 4 4 2" xfId="29129"/>
    <cellStyle name="Note 2 6 3 4 4 3" xfId="39974"/>
    <cellStyle name="Note 2 6 3 4 5" xfId="20953"/>
    <cellStyle name="Note 2 6 3 4 6" xfId="31798"/>
    <cellStyle name="Note 2 6 3 5" xfId="2365"/>
    <cellStyle name="Note 2 6 3 5 2" xfId="5218"/>
    <cellStyle name="Note 2 6 3 5 2 2" xfId="24190"/>
    <cellStyle name="Note 2 6 3 5 2 3" xfId="35035"/>
    <cellStyle name="Note 2 6 3 5 3" xfId="7889"/>
    <cellStyle name="Note 2 6 3 5 3 2" xfId="26861"/>
    <cellStyle name="Note 2 6 3 5 3 3" xfId="37706"/>
    <cellStyle name="Note 2 6 3 5 4" xfId="10548"/>
    <cellStyle name="Note 2 6 3 5 4 2" xfId="29520"/>
    <cellStyle name="Note 2 6 3 5 4 3" xfId="40365"/>
    <cellStyle name="Note 2 6 3 5 5" xfId="21344"/>
    <cellStyle name="Note 2 6 3 5 6" xfId="32189"/>
    <cellStyle name="Note 2 6 3 6" xfId="2754"/>
    <cellStyle name="Note 2 6 3 6 2" xfId="5606"/>
    <cellStyle name="Note 2 6 3 6 2 2" xfId="24578"/>
    <cellStyle name="Note 2 6 3 6 2 3" xfId="35423"/>
    <cellStyle name="Note 2 6 3 6 3" xfId="8277"/>
    <cellStyle name="Note 2 6 3 6 3 2" xfId="27249"/>
    <cellStyle name="Note 2 6 3 6 3 3" xfId="38094"/>
    <cellStyle name="Note 2 6 3 6 4" xfId="10936"/>
    <cellStyle name="Note 2 6 3 6 4 2" xfId="29908"/>
    <cellStyle name="Note 2 6 3 6 4 3" xfId="40753"/>
    <cellStyle name="Note 2 6 3 6 5" xfId="21732"/>
    <cellStyle name="Note 2 6 3 6 6" xfId="32577"/>
    <cellStyle name="Note 2 6 3 7" xfId="3445"/>
    <cellStyle name="Note 2 6 3 7 2" xfId="22417"/>
    <cellStyle name="Note 2 6 3 7 3" xfId="33262"/>
    <cellStyle name="Note 2 6 3 8" xfId="6121"/>
    <cellStyle name="Note 2 6 3 8 2" xfId="25093"/>
    <cellStyle name="Note 2 6 3 8 3" xfId="35938"/>
    <cellStyle name="Note 2 6 3 9" xfId="8780"/>
    <cellStyle name="Note 2 6 3 9 2" xfId="27752"/>
    <cellStyle name="Note 2 6 3 9 3" xfId="38597"/>
    <cellStyle name="Note 2 6 4" xfId="41477"/>
    <cellStyle name="Note 2 7" xfId="132"/>
    <cellStyle name="Note 2 7 2" xfId="384"/>
    <cellStyle name="Note 2 7 2 10" xfId="992"/>
    <cellStyle name="Note 2 7 2 10 2" xfId="3845"/>
    <cellStyle name="Note 2 7 2 10 2 2" xfId="22817"/>
    <cellStyle name="Note 2 7 2 10 2 3" xfId="33662"/>
    <cellStyle name="Note 2 7 2 10 3" xfId="6520"/>
    <cellStyle name="Note 2 7 2 10 3 2" xfId="25492"/>
    <cellStyle name="Note 2 7 2 10 3 3" xfId="36337"/>
    <cellStyle name="Note 2 7 2 10 4" xfId="9179"/>
    <cellStyle name="Note 2 7 2 10 4 2" xfId="28151"/>
    <cellStyle name="Note 2 7 2 10 4 3" xfId="38996"/>
    <cellStyle name="Note 2 7 2 10 5" xfId="19975"/>
    <cellStyle name="Note 2 7 2 10 6" xfId="30820"/>
    <cellStyle name="Note 2 7 2 11" xfId="1920"/>
    <cellStyle name="Note 2 7 2 11 2" xfId="4773"/>
    <cellStyle name="Note 2 7 2 11 2 2" xfId="23745"/>
    <cellStyle name="Note 2 7 2 11 2 3" xfId="34590"/>
    <cellStyle name="Note 2 7 2 11 3" xfId="7445"/>
    <cellStyle name="Note 2 7 2 11 3 2" xfId="26417"/>
    <cellStyle name="Note 2 7 2 11 3 3" xfId="37262"/>
    <cellStyle name="Note 2 7 2 11 4" xfId="10104"/>
    <cellStyle name="Note 2 7 2 11 4 2" xfId="29076"/>
    <cellStyle name="Note 2 7 2 11 4 3" xfId="39921"/>
    <cellStyle name="Note 2 7 2 11 5" xfId="20900"/>
    <cellStyle name="Note 2 7 2 11 6" xfId="31745"/>
    <cellStyle name="Note 2 7 2 12" xfId="3119"/>
    <cellStyle name="Note 2 7 2 12 2" xfId="5970"/>
    <cellStyle name="Note 2 7 2 12 2 2" xfId="24942"/>
    <cellStyle name="Note 2 7 2 12 2 3" xfId="35787"/>
    <cellStyle name="Note 2 7 2 12 3" xfId="8641"/>
    <cellStyle name="Note 2 7 2 12 3 2" xfId="27613"/>
    <cellStyle name="Note 2 7 2 12 3 3" xfId="38458"/>
    <cellStyle name="Note 2 7 2 12 4" xfId="11300"/>
    <cellStyle name="Note 2 7 2 12 4 2" xfId="30272"/>
    <cellStyle name="Note 2 7 2 12 4 3" xfId="41117"/>
    <cellStyle name="Note 2 7 2 12 5" xfId="22096"/>
    <cellStyle name="Note 2 7 2 12 6" xfId="32941"/>
    <cellStyle name="Note 2 7 2 13" xfId="3176"/>
    <cellStyle name="Note 2 7 2 13 2" xfId="6027"/>
    <cellStyle name="Note 2 7 2 13 2 2" xfId="24999"/>
    <cellStyle name="Note 2 7 2 13 2 3" xfId="35844"/>
    <cellStyle name="Note 2 7 2 13 3" xfId="8698"/>
    <cellStyle name="Note 2 7 2 13 3 2" xfId="27670"/>
    <cellStyle name="Note 2 7 2 13 3 3" xfId="38515"/>
    <cellStyle name="Note 2 7 2 13 4" xfId="11357"/>
    <cellStyle name="Note 2 7 2 13 4 2" xfId="30329"/>
    <cellStyle name="Note 2 7 2 13 4 3" xfId="41174"/>
    <cellStyle name="Note 2 7 2 13 5" xfId="22153"/>
    <cellStyle name="Note 2 7 2 13 6" xfId="32998"/>
    <cellStyle name="Note 2 7 2 14" xfId="3342"/>
    <cellStyle name="Note 2 7 2 14 2" xfId="22316"/>
    <cellStyle name="Note 2 7 2 14 3" xfId="33161"/>
    <cellStyle name="Note 2 7 2 15" xfId="3218"/>
    <cellStyle name="Note 2 7 2 15 2" xfId="22195"/>
    <cellStyle name="Note 2 7 2 15 3" xfId="33040"/>
    <cellStyle name="Note 2 7 2 16" xfId="3406"/>
    <cellStyle name="Note 2 7 2 16 2" xfId="22378"/>
    <cellStyle name="Note 2 7 2 16 3" xfId="33223"/>
    <cellStyle name="Note 2 7 2 17" xfId="19473"/>
    <cellStyle name="Note 2 7 2 18" xfId="19397"/>
    <cellStyle name="Note 2 7 2 2" xfId="684"/>
    <cellStyle name="Note 2 7 2 2 10" xfId="19669"/>
    <cellStyle name="Note 2 7 2 2 11" xfId="30514"/>
    <cellStyle name="Note 2 7 2 2 2" xfId="1271"/>
    <cellStyle name="Note 2 7 2 2 2 2" xfId="4124"/>
    <cellStyle name="Note 2 7 2 2 2 2 2" xfId="23096"/>
    <cellStyle name="Note 2 7 2 2 2 2 3" xfId="33941"/>
    <cellStyle name="Note 2 7 2 2 2 3" xfId="6797"/>
    <cellStyle name="Note 2 7 2 2 2 3 2" xfId="25769"/>
    <cellStyle name="Note 2 7 2 2 2 3 3" xfId="36614"/>
    <cellStyle name="Note 2 7 2 2 2 4" xfId="9456"/>
    <cellStyle name="Note 2 7 2 2 2 4 2" xfId="28428"/>
    <cellStyle name="Note 2 7 2 2 2 4 3" xfId="39273"/>
    <cellStyle name="Note 2 7 2 2 2 5" xfId="20252"/>
    <cellStyle name="Note 2 7 2 2 2 6" xfId="31097"/>
    <cellStyle name="Note 2 7 2 2 3" xfId="1670"/>
    <cellStyle name="Note 2 7 2 2 3 2" xfId="4523"/>
    <cellStyle name="Note 2 7 2 2 3 2 2" xfId="23495"/>
    <cellStyle name="Note 2 7 2 2 3 2 3" xfId="34340"/>
    <cellStyle name="Note 2 7 2 2 3 3" xfId="7195"/>
    <cellStyle name="Note 2 7 2 2 3 3 2" xfId="26167"/>
    <cellStyle name="Note 2 7 2 2 3 3 3" xfId="37012"/>
    <cellStyle name="Note 2 7 2 2 3 4" xfId="9854"/>
    <cellStyle name="Note 2 7 2 2 3 4 2" xfId="28826"/>
    <cellStyle name="Note 2 7 2 2 3 4 3" xfId="39671"/>
    <cellStyle name="Note 2 7 2 2 3 5" xfId="20650"/>
    <cellStyle name="Note 2 7 2 2 3 6" xfId="31495"/>
    <cellStyle name="Note 2 7 2 2 4" xfId="2074"/>
    <cellStyle name="Note 2 7 2 2 4 2" xfId="4927"/>
    <cellStyle name="Note 2 7 2 2 4 2 2" xfId="23899"/>
    <cellStyle name="Note 2 7 2 2 4 2 3" xfId="34744"/>
    <cellStyle name="Note 2 7 2 2 4 3" xfId="7598"/>
    <cellStyle name="Note 2 7 2 2 4 3 2" xfId="26570"/>
    <cellStyle name="Note 2 7 2 2 4 3 3" xfId="37415"/>
    <cellStyle name="Note 2 7 2 2 4 4" xfId="10257"/>
    <cellStyle name="Note 2 7 2 2 4 4 2" xfId="29229"/>
    <cellStyle name="Note 2 7 2 2 4 4 3" xfId="40074"/>
    <cellStyle name="Note 2 7 2 2 4 5" xfId="21053"/>
    <cellStyle name="Note 2 7 2 2 4 6" xfId="31898"/>
    <cellStyle name="Note 2 7 2 2 5" xfId="2464"/>
    <cellStyle name="Note 2 7 2 2 5 2" xfId="5316"/>
    <cellStyle name="Note 2 7 2 2 5 2 2" xfId="24288"/>
    <cellStyle name="Note 2 7 2 2 5 2 3" xfId="35133"/>
    <cellStyle name="Note 2 7 2 2 5 3" xfId="7987"/>
    <cellStyle name="Note 2 7 2 2 5 3 2" xfId="26959"/>
    <cellStyle name="Note 2 7 2 2 5 3 3" xfId="37804"/>
    <cellStyle name="Note 2 7 2 2 5 4" xfId="10646"/>
    <cellStyle name="Note 2 7 2 2 5 4 2" xfId="29618"/>
    <cellStyle name="Note 2 7 2 2 5 4 3" xfId="40463"/>
    <cellStyle name="Note 2 7 2 2 5 5" xfId="21442"/>
    <cellStyle name="Note 2 7 2 2 5 6" xfId="32287"/>
    <cellStyle name="Note 2 7 2 2 6" xfId="2850"/>
    <cellStyle name="Note 2 7 2 2 6 2" xfId="5701"/>
    <cellStyle name="Note 2 7 2 2 6 2 2" xfId="24673"/>
    <cellStyle name="Note 2 7 2 2 6 2 3" xfId="35518"/>
    <cellStyle name="Note 2 7 2 2 6 3" xfId="8372"/>
    <cellStyle name="Note 2 7 2 2 6 3 2" xfId="27344"/>
    <cellStyle name="Note 2 7 2 2 6 3 3" xfId="38189"/>
    <cellStyle name="Note 2 7 2 2 6 4" xfId="11031"/>
    <cellStyle name="Note 2 7 2 2 6 4 2" xfId="30003"/>
    <cellStyle name="Note 2 7 2 2 6 4 3" xfId="40848"/>
    <cellStyle name="Note 2 7 2 2 6 5" xfId="21827"/>
    <cellStyle name="Note 2 7 2 2 6 6" xfId="32672"/>
    <cellStyle name="Note 2 7 2 2 7" xfId="3539"/>
    <cellStyle name="Note 2 7 2 2 7 2" xfId="22511"/>
    <cellStyle name="Note 2 7 2 2 7 3" xfId="33356"/>
    <cellStyle name="Note 2 7 2 2 8" xfId="6214"/>
    <cellStyle name="Note 2 7 2 2 8 2" xfId="25186"/>
    <cellStyle name="Note 2 7 2 2 8 3" xfId="36031"/>
    <cellStyle name="Note 2 7 2 2 9" xfId="8873"/>
    <cellStyle name="Note 2 7 2 2 9 2" xfId="27845"/>
    <cellStyle name="Note 2 7 2 2 9 3" xfId="38690"/>
    <cellStyle name="Note 2 7 2 3" xfId="744"/>
    <cellStyle name="Note 2 7 2 3 10" xfId="19729"/>
    <cellStyle name="Note 2 7 2 3 11" xfId="30574"/>
    <cellStyle name="Note 2 7 2 3 2" xfId="1331"/>
    <cellStyle name="Note 2 7 2 3 2 2" xfId="4184"/>
    <cellStyle name="Note 2 7 2 3 2 2 2" xfId="23156"/>
    <cellStyle name="Note 2 7 2 3 2 2 3" xfId="34001"/>
    <cellStyle name="Note 2 7 2 3 2 3" xfId="6857"/>
    <cellStyle name="Note 2 7 2 3 2 3 2" xfId="25829"/>
    <cellStyle name="Note 2 7 2 3 2 3 3" xfId="36674"/>
    <cellStyle name="Note 2 7 2 3 2 4" xfId="9516"/>
    <cellStyle name="Note 2 7 2 3 2 4 2" xfId="28488"/>
    <cellStyle name="Note 2 7 2 3 2 4 3" xfId="39333"/>
    <cellStyle name="Note 2 7 2 3 2 5" xfId="20312"/>
    <cellStyle name="Note 2 7 2 3 2 6" xfId="31157"/>
    <cellStyle name="Note 2 7 2 3 3" xfId="1730"/>
    <cellStyle name="Note 2 7 2 3 3 2" xfId="4583"/>
    <cellStyle name="Note 2 7 2 3 3 2 2" xfId="23555"/>
    <cellStyle name="Note 2 7 2 3 3 2 3" xfId="34400"/>
    <cellStyle name="Note 2 7 2 3 3 3" xfId="7255"/>
    <cellStyle name="Note 2 7 2 3 3 3 2" xfId="26227"/>
    <cellStyle name="Note 2 7 2 3 3 3 3" xfId="37072"/>
    <cellStyle name="Note 2 7 2 3 3 4" xfId="9914"/>
    <cellStyle name="Note 2 7 2 3 3 4 2" xfId="28886"/>
    <cellStyle name="Note 2 7 2 3 3 4 3" xfId="39731"/>
    <cellStyle name="Note 2 7 2 3 3 5" xfId="20710"/>
    <cellStyle name="Note 2 7 2 3 3 6" xfId="31555"/>
    <cellStyle name="Note 2 7 2 3 4" xfId="2134"/>
    <cellStyle name="Note 2 7 2 3 4 2" xfId="4987"/>
    <cellStyle name="Note 2 7 2 3 4 2 2" xfId="23959"/>
    <cellStyle name="Note 2 7 2 3 4 2 3" xfId="34804"/>
    <cellStyle name="Note 2 7 2 3 4 3" xfId="7658"/>
    <cellStyle name="Note 2 7 2 3 4 3 2" xfId="26630"/>
    <cellStyle name="Note 2 7 2 3 4 3 3" xfId="37475"/>
    <cellStyle name="Note 2 7 2 3 4 4" xfId="10317"/>
    <cellStyle name="Note 2 7 2 3 4 4 2" xfId="29289"/>
    <cellStyle name="Note 2 7 2 3 4 4 3" xfId="40134"/>
    <cellStyle name="Note 2 7 2 3 4 5" xfId="21113"/>
    <cellStyle name="Note 2 7 2 3 4 6" xfId="31958"/>
    <cellStyle name="Note 2 7 2 3 5" xfId="2524"/>
    <cellStyle name="Note 2 7 2 3 5 2" xfId="5376"/>
    <cellStyle name="Note 2 7 2 3 5 2 2" xfId="24348"/>
    <cellStyle name="Note 2 7 2 3 5 2 3" xfId="35193"/>
    <cellStyle name="Note 2 7 2 3 5 3" xfId="8047"/>
    <cellStyle name="Note 2 7 2 3 5 3 2" xfId="27019"/>
    <cellStyle name="Note 2 7 2 3 5 3 3" xfId="37864"/>
    <cellStyle name="Note 2 7 2 3 5 4" xfId="10706"/>
    <cellStyle name="Note 2 7 2 3 5 4 2" xfId="29678"/>
    <cellStyle name="Note 2 7 2 3 5 4 3" xfId="40523"/>
    <cellStyle name="Note 2 7 2 3 5 5" xfId="21502"/>
    <cellStyle name="Note 2 7 2 3 5 6" xfId="32347"/>
    <cellStyle name="Note 2 7 2 3 6" xfId="2910"/>
    <cellStyle name="Note 2 7 2 3 6 2" xfId="5761"/>
    <cellStyle name="Note 2 7 2 3 6 2 2" xfId="24733"/>
    <cellStyle name="Note 2 7 2 3 6 2 3" xfId="35578"/>
    <cellStyle name="Note 2 7 2 3 6 3" xfId="8432"/>
    <cellStyle name="Note 2 7 2 3 6 3 2" xfId="27404"/>
    <cellStyle name="Note 2 7 2 3 6 3 3" xfId="38249"/>
    <cellStyle name="Note 2 7 2 3 6 4" xfId="11091"/>
    <cellStyle name="Note 2 7 2 3 6 4 2" xfId="30063"/>
    <cellStyle name="Note 2 7 2 3 6 4 3" xfId="40908"/>
    <cellStyle name="Note 2 7 2 3 6 5" xfId="21887"/>
    <cellStyle name="Note 2 7 2 3 6 6" xfId="32732"/>
    <cellStyle name="Note 2 7 2 3 7" xfId="3599"/>
    <cellStyle name="Note 2 7 2 3 7 2" xfId="22571"/>
    <cellStyle name="Note 2 7 2 3 7 3" xfId="33416"/>
    <cellStyle name="Note 2 7 2 3 8" xfId="6274"/>
    <cellStyle name="Note 2 7 2 3 8 2" xfId="25246"/>
    <cellStyle name="Note 2 7 2 3 8 3" xfId="36091"/>
    <cellStyle name="Note 2 7 2 3 9" xfId="8933"/>
    <cellStyle name="Note 2 7 2 3 9 2" xfId="27905"/>
    <cellStyle name="Note 2 7 2 3 9 3" xfId="38750"/>
    <cellStyle name="Note 2 7 2 4" xfId="804"/>
    <cellStyle name="Note 2 7 2 4 10" xfId="19789"/>
    <cellStyle name="Note 2 7 2 4 11" xfId="30634"/>
    <cellStyle name="Note 2 7 2 4 2" xfId="1391"/>
    <cellStyle name="Note 2 7 2 4 2 2" xfId="4244"/>
    <cellStyle name="Note 2 7 2 4 2 2 2" xfId="23216"/>
    <cellStyle name="Note 2 7 2 4 2 2 3" xfId="34061"/>
    <cellStyle name="Note 2 7 2 4 2 3" xfId="6917"/>
    <cellStyle name="Note 2 7 2 4 2 3 2" xfId="25889"/>
    <cellStyle name="Note 2 7 2 4 2 3 3" xfId="36734"/>
    <cellStyle name="Note 2 7 2 4 2 4" xfId="9576"/>
    <cellStyle name="Note 2 7 2 4 2 4 2" xfId="28548"/>
    <cellStyle name="Note 2 7 2 4 2 4 3" xfId="39393"/>
    <cellStyle name="Note 2 7 2 4 2 5" xfId="20372"/>
    <cellStyle name="Note 2 7 2 4 2 6" xfId="31217"/>
    <cellStyle name="Note 2 7 2 4 3" xfId="1790"/>
    <cellStyle name="Note 2 7 2 4 3 2" xfId="4643"/>
    <cellStyle name="Note 2 7 2 4 3 2 2" xfId="23615"/>
    <cellStyle name="Note 2 7 2 4 3 2 3" xfId="34460"/>
    <cellStyle name="Note 2 7 2 4 3 3" xfId="7315"/>
    <cellStyle name="Note 2 7 2 4 3 3 2" xfId="26287"/>
    <cellStyle name="Note 2 7 2 4 3 3 3" xfId="37132"/>
    <cellStyle name="Note 2 7 2 4 3 4" xfId="9974"/>
    <cellStyle name="Note 2 7 2 4 3 4 2" xfId="28946"/>
    <cellStyle name="Note 2 7 2 4 3 4 3" xfId="39791"/>
    <cellStyle name="Note 2 7 2 4 3 5" xfId="20770"/>
    <cellStyle name="Note 2 7 2 4 3 6" xfId="31615"/>
    <cellStyle name="Note 2 7 2 4 4" xfId="2194"/>
    <cellStyle name="Note 2 7 2 4 4 2" xfId="5047"/>
    <cellStyle name="Note 2 7 2 4 4 2 2" xfId="24019"/>
    <cellStyle name="Note 2 7 2 4 4 2 3" xfId="34864"/>
    <cellStyle name="Note 2 7 2 4 4 3" xfId="7718"/>
    <cellStyle name="Note 2 7 2 4 4 3 2" xfId="26690"/>
    <cellStyle name="Note 2 7 2 4 4 3 3" xfId="37535"/>
    <cellStyle name="Note 2 7 2 4 4 4" xfId="10377"/>
    <cellStyle name="Note 2 7 2 4 4 4 2" xfId="29349"/>
    <cellStyle name="Note 2 7 2 4 4 4 3" xfId="40194"/>
    <cellStyle name="Note 2 7 2 4 4 5" xfId="21173"/>
    <cellStyle name="Note 2 7 2 4 4 6" xfId="32018"/>
    <cellStyle name="Note 2 7 2 4 5" xfId="2584"/>
    <cellStyle name="Note 2 7 2 4 5 2" xfId="5436"/>
    <cellStyle name="Note 2 7 2 4 5 2 2" xfId="24408"/>
    <cellStyle name="Note 2 7 2 4 5 2 3" xfId="35253"/>
    <cellStyle name="Note 2 7 2 4 5 3" xfId="8107"/>
    <cellStyle name="Note 2 7 2 4 5 3 2" xfId="27079"/>
    <cellStyle name="Note 2 7 2 4 5 3 3" xfId="37924"/>
    <cellStyle name="Note 2 7 2 4 5 4" xfId="10766"/>
    <cellStyle name="Note 2 7 2 4 5 4 2" xfId="29738"/>
    <cellStyle name="Note 2 7 2 4 5 4 3" xfId="40583"/>
    <cellStyle name="Note 2 7 2 4 5 5" xfId="21562"/>
    <cellStyle name="Note 2 7 2 4 5 6" xfId="32407"/>
    <cellStyle name="Note 2 7 2 4 6" xfId="2970"/>
    <cellStyle name="Note 2 7 2 4 6 2" xfId="5821"/>
    <cellStyle name="Note 2 7 2 4 6 2 2" xfId="24793"/>
    <cellStyle name="Note 2 7 2 4 6 2 3" xfId="35638"/>
    <cellStyle name="Note 2 7 2 4 6 3" xfId="8492"/>
    <cellStyle name="Note 2 7 2 4 6 3 2" xfId="27464"/>
    <cellStyle name="Note 2 7 2 4 6 3 3" xfId="38309"/>
    <cellStyle name="Note 2 7 2 4 6 4" xfId="11151"/>
    <cellStyle name="Note 2 7 2 4 6 4 2" xfId="30123"/>
    <cellStyle name="Note 2 7 2 4 6 4 3" xfId="40968"/>
    <cellStyle name="Note 2 7 2 4 6 5" xfId="21947"/>
    <cellStyle name="Note 2 7 2 4 6 6" xfId="32792"/>
    <cellStyle name="Note 2 7 2 4 7" xfId="3659"/>
    <cellStyle name="Note 2 7 2 4 7 2" xfId="22631"/>
    <cellStyle name="Note 2 7 2 4 7 3" xfId="33476"/>
    <cellStyle name="Note 2 7 2 4 8" xfId="6334"/>
    <cellStyle name="Note 2 7 2 4 8 2" xfId="25306"/>
    <cellStyle name="Note 2 7 2 4 8 3" xfId="36151"/>
    <cellStyle name="Note 2 7 2 4 9" xfId="8993"/>
    <cellStyle name="Note 2 7 2 4 9 2" xfId="27965"/>
    <cellStyle name="Note 2 7 2 4 9 3" xfId="38810"/>
    <cellStyle name="Note 2 7 2 5" xfId="863"/>
    <cellStyle name="Note 2 7 2 5 10" xfId="19848"/>
    <cellStyle name="Note 2 7 2 5 11" xfId="30693"/>
    <cellStyle name="Note 2 7 2 5 2" xfId="1450"/>
    <cellStyle name="Note 2 7 2 5 2 2" xfId="4303"/>
    <cellStyle name="Note 2 7 2 5 2 2 2" xfId="23275"/>
    <cellStyle name="Note 2 7 2 5 2 2 3" xfId="34120"/>
    <cellStyle name="Note 2 7 2 5 2 3" xfId="6976"/>
    <cellStyle name="Note 2 7 2 5 2 3 2" xfId="25948"/>
    <cellStyle name="Note 2 7 2 5 2 3 3" xfId="36793"/>
    <cellStyle name="Note 2 7 2 5 2 4" xfId="9635"/>
    <cellStyle name="Note 2 7 2 5 2 4 2" xfId="28607"/>
    <cellStyle name="Note 2 7 2 5 2 4 3" xfId="39452"/>
    <cellStyle name="Note 2 7 2 5 2 5" xfId="20431"/>
    <cellStyle name="Note 2 7 2 5 2 6" xfId="31276"/>
    <cellStyle name="Note 2 7 2 5 3" xfId="1849"/>
    <cellStyle name="Note 2 7 2 5 3 2" xfId="4702"/>
    <cellStyle name="Note 2 7 2 5 3 2 2" xfId="23674"/>
    <cellStyle name="Note 2 7 2 5 3 2 3" xfId="34519"/>
    <cellStyle name="Note 2 7 2 5 3 3" xfId="7374"/>
    <cellStyle name="Note 2 7 2 5 3 3 2" xfId="26346"/>
    <cellStyle name="Note 2 7 2 5 3 3 3" xfId="37191"/>
    <cellStyle name="Note 2 7 2 5 3 4" xfId="10033"/>
    <cellStyle name="Note 2 7 2 5 3 4 2" xfId="29005"/>
    <cellStyle name="Note 2 7 2 5 3 4 3" xfId="39850"/>
    <cellStyle name="Note 2 7 2 5 3 5" xfId="20829"/>
    <cellStyle name="Note 2 7 2 5 3 6" xfId="31674"/>
    <cellStyle name="Note 2 7 2 5 4" xfId="2253"/>
    <cellStyle name="Note 2 7 2 5 4 2" xfId="5106"/>
    <cellStyle name="Note 2 7 2 5 4 2 2" xfId="24078"/>
    <cellStyle name="Note 2 7 2 5 4 2 3" xfId="34923"/>
    <cellStyle name="Note 2 7 2 5 4 3" xfId="7777"/>
    <cellStyle name="Note 2 7 2 5 4 3 2" xfId="26749"/>
    <cellStyle name="Note 2 7 2 5 4 3 3" xfId="37594"/>
    <cellStyle name="Note 2 7 2 5 4 4" xfId="10436"/>
    <cellStyle name="Note 2 7 2 5 4 4 2" xfId="29408"/>
    <cellStyle name="Note 2 7 2 5 4 4 3" xfId="40253"/>
    <cellStyle name="Note 2 7 2 5 4 5" xfId="21232"/>
    <cellStyle name="Note 2 7 2 5 4 6" xfId="32077"/>
    <cellStyle name="Note 2 7 2 5 5" xfId="2643"/>
    <cellStyle name="Note 2 7 2 5 5 2" xfId="5495"/>
    <cellStyle name="Note 2 7 2 5 5 2 2" xfId="24467"/>
    <cellStyle name="Note 2 7 2 5 5 2 3" xfId="35312"/>
    <cellStyle name="Note 2 7 2 5 5 3" xfId="8166"/>
    <cellStyle name="Note 2 7 2 5 5 3 2" xfId="27138"/>
    <cellStyle name="Note 2 7 2 5 5 3 3" xfId="37983"/>
    <cellStyle name="Note 2 7 2 5 5 4" xfId="10825"/>
    <cellStyle name="Note 2 7 2 5 5 4 2" xfId="29797"/>
    <cellStyle name="Note 2 7 2 5 5 4 3" xfId="40642"/>
    <cellStyle name="Note 2 7 2 5 5 5" xfId="21621"/>
    <cellStyle name="Note 2 7 2 5 5 6" xfId="32466"/>
    <cellStyle name="Note 2 7 2 5 6" xfId="3029"/>
    <cellStyle name="Note 2 7 2 5 6 2" xfId="5880"/>
    <cellStyle name="Note 2 7 2 5 6 2 2" xfId="24852"/>
    <cellStyle name="Note 2 7 2 5 6 2 3" xfId="35697"/>
    <cellStyle name="Note 2 7 2 5 6 3" xfId="8551"/>
    <cellStyle name="Note 2 7 2 5 6 3 2" xfId="27523"/>
    <cellStyle name="Note 2 7 2 5 6 3 3" xfId="38368"/>
    <cellStyle name="Note 2 7 2 5 6 4" xfId="11210"/>
    <cellStyle name="Note 2 7 2 5 6 4 2" xfId="30182"/>
    <cellStyle name="Note 2 7 2 5 6 4 3" xfId="41027"/>
    <cellStyle name="Note 2 7 2 5 6 5" xfId="22006"/>
    <cellStyle name="Note 2 7 2 5 6 6" xfId="32851"/>
    <cellStyle name="Note 2 7 2 5 7" xfId="3718"/>
    <cellStyle name="Note 2 7 2 5 7 2" xfId="22690"/>
    <cellStyle name="Note 2 7 2 5 7 3" xfId="33535"/>
    <cellStyle name="Note 2 7 2 5 8" xfId="6393"/>
    <cellStyle name="Note 2 7 2 5 8 2" xfId="25365"/>
    <cellStyle name="Note 2 7 2 5 8 3" xfId="36210"/>
    <cellStyle name="Note 2 7 2 5 9" xfId="9052"/>
    <cellStyle name="Note 2 7 2 5 9 2" xfId="28024"/>
    <cellStyle name="Note 2 7 2 5 9 3" xfId="38869"/>
    <cellStyle name="Note 2 7 2 6" xfId="1085"/>
    <cellStyle name="Note 2 7 2 6 2" xfId="3938"/>
    <cellStyle name="Note 2 7 2 6 2 2" xfId="22910"/>
    <cellStyle name="Note 2 7 2 6 2 3" xfId="33755"/>
    <cellStyle name="Note 2 7 2 6 3" xfId="6612"/>
    <cellStyle name="Note 2 7 2 6 3 2" xfId="25584"/>
    <cellStyle name="Note 2 7 2 6 3 3" xfId="36429"/>
    <cellStyle name="Note 2 7 2 6 4" xfId="9271"/>
    <cellStyle name="Note 2 7 2 6 4 2" xfId="28243"/>
    <cellStyle name="Note 2 7 2 6 4 3" xfId="39088"/>
    <cellStyle name="Note 2 7 2 6 5" xfId="20067"/>
    <cellStyle name="Note 2 7 2 6 6" xfId="30912"/>
    <cellStyle name="Note 2 7 2 7" xfId="907"/>
    <cellStyle name="Note 2 7 2 7 2" xfId="3762"/>
    <cellStyle name="Note 2 7 2 7 2 2" xfId="22734"/>
    <cellStyle name="Note 2 7 2 7 2 3" xfId="33579"/>
    <cellStyle name="Note 2 7 2 7 3" xfId="6437"/>
    <cellStyle name="Note 2 7 2 7 3 2" xfId="25409"/>
    <cellStyle name="Note 2 7 2 7 3 3" xfId="36254"/>
    <cellStyle name="Note 2 7 2 7 4" xfId="9096"/>
    <cellStyle name="Note 2 7 2 7 4 2" xfId="28068"/>
    <cellStyle name="Note 2 7 2 7 4 3" xfId="38913"/>
    <cellStyle name="Note 2 7 2 7 5" xfId="19892"/>
    <cellStyle name="Note 2 7 2 7 6" xfId="30737"/>
    <cellStyle name="Note 2 7 2 8" xfId="1892"/>
    <cellStyle name="Note 2 7 2 8 2" xfId="4745"/>
    <cellStyle name="Note 2 7 2 8 2 2" xfId="23717"/>
    <cellStyle name="Note 2 7 2 8 2 3" xfId="34562"/>
    <cellStyle name="Note 2 7 2 8 3" xfId="7417"/>
    <cellStyle name="Note 2 7 2 8 3 2" xfId="26389"/>
    <cellStyle name="Note 2 7 2 8 3 3" xfId="37234"/>
    <cellStyle name="Note 2 7 2 8 4" xfId="10076"/>
    <cellStyle name="Note 2 7 2 8 4 2" xfId="29048"/>
    <cellStyle name="Note 2 7 2 8 4 3" xfId="39893"/>
    <cellStyle name="Note 2 7 2 8 5" xfId="20872"/>
    <cellStyle name="Note 2 7 2 8 6" xfId="31717"/>
    <cellStyle name="Note 2 7 2 9" xfId="970"/>
    <cellStyle name="Note 2 7 2 9 2" xfId="3823"/>
    <cellStyle name="Note 2 7 2 9 2 2" xfId="22795"/>
    <cellStyle name="Note 2 7 2 9 2 3" xfId="33640"/>
    <cellStyle name="Note 2 7 2 9 3" xfId="6498"/>
    <cellStyle name="Note 2 7 2 9 3 2" xfId="25470"/>
    <cellStyle name="Note 2 7 2 9 3 3" xfId="36315"/>
    <cellStyle name="Note 2 7 2 9 4" xfId="9157"/>
    <cellStyle name="Note 2 7 2 9 4 2" xfId="28129"/>
    <cellStyle name="Note 2 7 2 9 4 3" xfId="38974"/>
    <cellStyle name="Note 2 7 2 9 5" xfId="19953"/>
    <cellStyle name="Note 2 7 2 9 6" xfId="30798"/>
    <cellStyle name="Note 2 7 3" xfId="567"/>
    <cellStyle name="Note 2 7 3 10" xfId="19577"/>
    <cellStyle name="Note 2 7 3 11" xfId="30422"/>
    <cellStyle name="Note 2 7 3 2" xfId="1173"/>
    <cellStyle name="Note 2 7 3 2 2" xfId="4026"/>
    <cellStyle name="Note 2 7 3 2 2 2" xfId="22998"/>
    <cellStyle name="Note 2 7 3 2 2 3" xfId="33843"/>
    <cellStyle name="Note 2 7 3 2 3" xfId="6699"/>
    <cellStyle name="Note 2 7 3 2 3 2" xfId="25671"/>
    <cellStyle name="Note 2 7 3 2 3 3" xfId="36516"/>
    <cellStyle name="Note 2 7 3 2 4" xfId="9358"/>
    <cellStyle name="Note 2 7 3 2 4 2" xfId="28330"/>
    <cellStyle name="Note 2 7 3 2 4 3" xfId="39175"/>
    <cellStyle name="Note 2 7 3 2 5" xfId="20154"/>
    <cellStyle name="Note 2 7 3 2 6" xfId="30999"/>
    <cellStyle name="Note 2 7 3 3" xfId="1570"/>
    <cellStyle name="Note 2 7 3 3 2" xfId="4423"/>
    <cellStyle name="Note 2 7 3 3 2 2" xfId="23395"/>
    <cellStyle name="Note 2 7 3 3 2 3" xfId="34240"/>
    <cellStyle name="Note 2 7 3 3 3" xfId="7095"/>
    <cellStyle name="Note 2 7 3 3 3 2" xfId="26067"/>
    <cellStyle name="Note 2 7 3 3 3 3" xfId="36912"/>
    <cellStyle name="Note 2 7 3 3 4" xfId="9754"/>
    <cellStyle name="Note 2 7 3 3 4 2" xfId="28726"/>
    <cellStyle name="Note 2 7 3 3 4 3" xfId="39571"/>
    <cellStyle name="Note 2 7 3 3 5" xfId="20550"/>
    <cellStyle name="Note 2 7 3 3 6" xfId="31395"/>
    <cellStyle name="Note 2 7 3 4" xfId="1974"/>
    <cellStyle name="Note 2 7 3 4 2" xfId="4827"/>
    <cellStyle name="Note 2 7 3 4 2 2" xfId="23799"/>
    <cellStyle name="Note 2 7 3 4 2 3" xfId="34644"/>
    <cellStyle name="Note 2 7 3 4 3" xfId="7499"/>
    <cellStyle name="Note 2 7 3 4 3 2" xfId="26471"/>
    <cellStyle name="Note 2 7 3 4 3 3" xfId="37316"/>
    <cellStyle name="Note 2 7 3 4 4" xfId="10158"/>
    <cellStyle name="Note 2 7 3 4 4 2" xfId="29130"/>
    <cellStyle name="Note 2 7 3 4 4 3" xfId="39975"/>
    <cellStyle name="Note 2 7 3 4 5" xfId="20954"/>
    <cellStyle name="Note 2 7 3 4 6" xfId="31799"/>
    <cellStyle name="Note 2 7 3 5" xfId="2366"/>
    <cellStyle name="Note 2 7 3 5 2" xfId="5219"/>
    <cellStyle name="Note 2 7 3 5 2 2" xfId="24191"/>
    <cellStyle name="Note 2 7 3 5 2 3" xfId="35036"/>
    <cellStyle name="Note 2 7 3 5 3" xfId="7890"/>
    <cellStyle name="Note 2 7 3 5 3 2" xfId="26862"/>
    <cellStyle name="Note 2 7 3 5 3 3" xfId="37707"/>
    <cellStyle name="Note 2 7 3 5 4" xfId="10549"/>
    <cellStyle name="Note 2 7 3 5 4 2" xfId="29521"/>
    <cellStyle name="Note 2 7 3 5 4 3" xfId="40366"/>
    <cellStyle name="Note 2 7 3 5 5" xfId="21345"/>
    <cellStyle name="Note 2 7 3 5 6" xfId="32190"/>
    <cellStyle name="Note 2 7 3 6" xfId="2755"/>
    <cellStyle name="Note 2 7 3 6 2" xfId="5607"/>
    <cellStyle name="Note 2 7 3 6 2 2" xfId="24579"/>
    <cellStyle name="Note 2 7 3 6 2 3" xfId="35424"/>
    <cellStyle name="Note 2 7 3 6 3" xfId="8278"/>
    <cellStyle name="Note 2 7 3 6 3 2" xfId="27250"/>
    <cellStyle name="Note 2 7 3 6 3 3" xfId="38095"/>
    <cellStyle name="Note 2 7 3 6 4" xfId="10937"/>
    <cellStyle name="Note 2 7 3 6 4 2" xfId="29909"/>
    <cellStyle name="Note 2 7 3 6 4 3" xfId="40754"/>
    <cellStyle name="Note 2 7 3 6 5" xfId="21733"/>
    <cellStyle name="Note 2 7 3 6 6" xfId="32578"/>
    <cellStyle name="Note 2 7 3 7" xfId="3446"/>
    <cellStyle name="Note 2 7 3 7 2" xfId="22418"/>
    <cellStyle name="Note 2 7 3 7 3" xfId="33263"/>
    <cellStyle name="Note 2 7 3 8" xfId="6122"/>
    <cellStyle name="Note 2 7 3 8 2" xfId="25094"/>
    <cellStyle name="Note 2 7 3 8 3" xfId="35939"/>
    <cellStyle name="Note 2 7 3 9" xfId="8781"/>
    <cellStyle name="Note 2 7 3 9 2" xfId="27753"/>
    <cellStyle name="Note 2 7 3 9 3" xfId="38598"/>
    <cellStyle name="Note 2 8" xfId="133"/>
    <cellStyle name="Note 2 8 2" xfId="385"/>
    <cellStyle name="Note 2 8 2 10" xfId="1025"/>
    <cellStyle name="Note 2 8 2 10 2" xfId="3878"/>
    <cellStyle name="Note 2 8 2 10 2 2" xfId="22850"/>
    <cellStyle name="Note 2 8 2 10 2 3" xfId="33695"/>
    <cellStyle name="Note 2 8 2 10 3" xfId="6552"/>
    <cellStyle name="Note 2 8 2 10 3 2" xfId="25524"/>
    <cellStyle name="Note 2 8 2 10 3 3" xfId="36369"/>
    <cellStyle name="Note 2 8 2 10 4" xfId="9211"/>
    <cellStyle name="Note 2 8 2 10 4 2" xfId="28183"/>
    <cellStyle name="Note 2 8 2 10 4 3" xfId="39028"/>
    <cellStyle name="Note 2 8 2 10 5" xfId="20007"/>
    <cellStyle name="Note 2 8 2 10 6" xfId="30852"/>
    <cellStyle name="Note 2 8 2 11" xfId="957"/>
    <cellStyle name="Note 2 8 2 11 2" xfId="3810"/>
    <cellStyle name="Note 2 8 2 11 2 2" xfId="22782"/>
    <cellStyle name="Note 2 8 2 11 2 3" xfId="33627"/>
    <cellStyle name="Note 2 8 2 11 3" xfId="6485"/>
    <cellStyle name="Note 2 8 2 11 3 2" xfId="25457"/>
    <cellStyle name="Note 2 8 2 11 3 3" xfId="36302"/>
    <cellStyle name="Note 2 8 2 11 4" xfId="9144"/>
    <cellStyle name="Note 2 8 2 11 4 2" xfId="28116"/>
    <cellStyle name="Note 2 8 2 11 4 3" xfId="38961"/>
    <cellStyle name="Note 2 8 2 11 5" xfId="19940"/>
    <cellStyle name="Note 2 8 2 11 6" xfId="30785"/>
    <cellStyle name="Note 2 8 2 12" xfId="3120"/>
    <cellStyle name="Note 2 8 2 12 2" xfId="5971"/>
    <cellStyle name="Note 2 8 2 12 2 2" xfId="24943"/>
    <cellStyle name="Note 2 8 2 12 2 3" xfId="35788"/>
    <cellStyle name="Note 2 8 2 12 3" xfId="8642"/>
    <cellStyle name="Note 2 8 2 12 3 2" xfId="27614"/>
    <cellStyle name="Note 2 8 2 12 3 3" xfId="38459"/>
    <cellStyle name="Note 2 8 2 12 4" xfId="11301"/>
    <cellStyle name="Note 2 8 2 12 4 2" xfId="30273"/>
    <cellStyle name="Note 2 8 2 12 4 3" xfId="41118"/>
    <cellStyle name="Note 2 8 2 12 5" xfId="22097"/>
    <cellStyle name="Note 2 8 2 12 6" xfId="32942"/>
    <cellStyle name="Note 2 8 2 13" xfId="3177"/>
    <cellStyle name="Note 2 8 2 13 2" xfId="6028"/>
    <cellStyle name="Note 2 8 2 13 2 2" xfId="25000"/>
    <cellStyle name="Note 2 8 2 13 2 3" xfId="35845"/>
    <cellStyle name="Note 2 8 2 13 3" xfId="8699"/>
    <cellStyle name="Note 2 8 2 13 3 2" xfId="27671"/>
    <cellStyle name="Note 2 8 2 13 3 3" xfId="38516"/>
    <cellStyle name="Note 2 8 2 13 4" xfId="11358"/>
    <cellStyle name="Note 2 8 2 13 4 2" xfId="30330"/>
    <cellStyle name="Note 2 8 2 13 4 3" xfId="41175"/>
    <cellStyle name="Note 2 8 2 13 5" xfId="22154"/>
    <cellStyle name="Note 2 8 2 13 6" xfId="32999"/>
    <cellStyle name="Note 2 8 2 14" xfId="3343"/>
    <cellStyle name="Note 2 8 2 14 2" xfId="22317"/>
    <cellStyle name="Note 2 8 2 14 3" xfId="33162"/>
    <cellStyle name="Note 2 8 2 15" xfId="3285"/>
    <cellStyle name="Note 2 8 2 15 2" xfId="22259"/>
    <cellStyle name="Note 2 8 2 15 3" xfId="33104"/>
    <cellStyle name="Note 2 8 2 16" xfId="3268"/>
    <cellStyle name="Note 2 8 2 16 2" xfId="22242"/>
    <cellStyle name="Note 2 8 2 16 3" xfId="33087"/>
    <cellStyle name="Note 2 8 2 17" xfId="19474"/>
    <cellStyle name="Note 2 8 2 18" xfId="19396"/>
    <cellStyle name="Note 2 8 2 2" xfId="685"/>
    <cellStyle name="Note 2 8 2 2 10" xfId="19670"/>
    <cellStyle name="Note 2 8 2 2 11" xfId="30515"/>
    <cellStyle name="Note 2 8 2 2 2" xfId="1272"/>
    <cellStyle name="Note 2 8 2 2 2 2" xfId="4125"/>
    <cellStyle name="Note 2 8 2 2 2 2 2" xfId="23097"/>
    <cellStyle name="Note 2 8 2 2 2 2 3" xfId="33942"/>
    <cellStyle name="Note 2 8 2 2 2 3" xfId="6798"/>
    <cellStyle name="Note 2 8 2 2 2 3 2" xfId="25770"/>
    <cellStyle name="Note 2 8 2 2 2 3 3" xfId="36615"/>
    <cellStyle name="Note 2 8 2 2 2 4" xfId="9457"/>
    <cellStyle name="Note 2 8 2 2 2 4 2" xfId="28429"/>
    <cellStyle name="Note 2 8 2 2 2 4 3" xfId="39274"/>
    <cellStyle name="Note 2 8 2 2 2 5" xfId="20253"/>
    <cellStyle name="Note 2 8 2 2 2 6" xfId="31098"/>
    <cellStyle name="Note 2 8 2 2 3" xfId="1671"/>
    <cellStyle name="Note 2 8 2 2 3 2" xfId="4524"/>
    <cellStyle name="Note 2 8 2 2 3 2 2" xfId="23496"/>
    <cellStyle name="Note 2 8 2 2 3 2 3" xfId="34341"/>
    <cellStyle name="Note 2 8 2 2 3 3" xfId="7196"/>
    <cellStyle name="Note 2 8 2 2 3 3 2" xfId="26168"/>
    <cellStyle name="Note 2 8 2 2 3 3 3" xfId="37013"/>
    <cellStyle name="Note 2 8 2 2 3 4" xfId="9855"/>
    <cellStyle name="Note 2 8 2 2 3 4 2" xfId="28827"/>
    <cellStyle name="Note 2 8 2 2 3 4 3" xfId="39672"/>
    <cellStyle name="Note 2 8 2 2 3 5" xfId="20651"/>
    <cellStyle name="Note 2 8 2 2 3 6" xfId="31496"/>
    <cellStyle name="Note 2 8 2 2 4" xfId="2075"/>
    <cellStyle name="Note 2 8 2 2 4 2" xfId="4928"/>
    <cellStyle name="Note 2 8 2 2 4 2 2" xfId="23900"/>
    <cellStyle name="Note 2 8 2 2 4 2 3" xfId="34745"/>
    <cellStyle name="Note 2 8 2 2 4 3" xfId="7599"/>
    <cellStyle name="Note 2 8 2 2 4 3 2" xfId="26571"/>
    <cellStyle name="Note 2 8 2 2 4 3 3" xfId="37416"/>
    <cellStyle name="Note 2 8 2 2 4 4" xfId="10258"/>
    <cellStyle name="Note 2 8 2 2 4 4 2" xfId="29230"/>
    <cellStyle name="Note 2 8 2 2 4 4 3" xfId="40075"/>
    <cellStyle name="Note 2 8 2 2 4 5" xfId="21054"/>
    <cellStyle name="Note 2 8 2 2 4 6" xfId="31899"/>
    <cellStyle name="Note 2 8 2 2 5" xfId="2465"/>
    <cellStyle name="Note 2 8 2 2 5 2" xfId="5317"/>
    <cellStyle name="Note 2 8 2 2 5 2 2" xfId="24289"/>
    <cellStyle name="Note 2 8 2 2 5 2 3" xfId="35134"/>
    <cellStyle name="Note 2 8 2 2 5 3" xfId="7988"/>
    <cellStyle name="Note 2 8 2 2 5 3 2" xfId="26960"/>
    <cellStyle name="Note 2 8 2 2 5 3 3" xfId="37805"/>
    <cellStyle name="Note 2 8 2 2 5 4" xfId="10647"/>
    <cellStyle name="Note 2 8 2 2 5 4 2" xfId="29619"/>
    <cellStyle name="Note 2 8 2 2 5 4 3" xfId="40464"/>
    <cellStyle name="Note 2 8 2 2 5 5" xfId="21443"/>
    <cellStyle name="Note 2 8 2 2 5 6" xfId="32288"/>
    <cellStyle name="Note 2 8 2 2 6" xfId="2851"/>
    <cellStyle name="Note 2 8 2 2 6 2" xfId="5702"/>
    <cellStyle name="Note 2 8 2 2 6 2 2" xfId="24674"/>
    <cellStyle name="Note 2 8 2 2 6 2 3" xfId="35519"/>
    <cellStyle name="Note 2 8 2 2 6 3" xfId="8373"/>
    <cellStyle name="Note 2 8 2 2 6 3 2" xfId="27345"/>
    <cellStyle name="Note 2 8 2 2 6 3 3" xfId="38190"/>
    <cellStyle name="Note 2 8 2 2 6 4" xfId="11032"/>
    <cellStyle name="Note 2 8 2 2 6 4 2" xfId="30004"/>
    <cellStyle name="Note 2 8 2 2 6 4 3" xfId="40849"/>
    <cellStyle name="Note 2 8 2 2 6 5" xfId="21828"/>
    <cellStyle name="Note 2 8 2 2 6 6" xfId="32673"/>
    <cellStyle name="Note 2 8 2 2 7" xfId="3540"/>
    <cellStyle name="Note 2 8 2 2 7 2" xfId="22512"/>
    <cellStyle name="Note 2 8 2 2 7 3" xfId="33357"/>
    <cellStyle name="Note 2 8 2 2 8" xfId="6215"/>
    <cellStyle name="Note 2 8 2 2 8 2" xfId="25187"/>
    <cellStyle name="Note 2 8 2 2 8 3" xfId="36032"/>
    <cellStyle name="Note 2 8 2 2 9" xfId="8874"/>
    <cellStyle name="Note 2 8 2 2 9 2" xfId="27846"/>
    <cellStyle name="Note 2 8 2 2 9 3" xfId="38691"/>
    <cellStyle name="Note 2 8 2 3" xfId="745"/>
    <cellStyle name="Note 2 8 2 3 10" xfId="19730"/>
    <cellStyle name="Note 2 8 2 3 11" xfId="30575"/>
    <cellStyle name="Note 2 8 2 3 2" xfId="1332"/>
    <cellStyle name="Note 2 8 2 3 2 2" xfId="4185"/>
    <cellStyle name="Note 2 8 2 3 2 2 2" xfId="23157"/>
    <cellStyle name="Note 2 8 2 3 2 2 3" xfId="34002"/>
    <cellStyle name="Note 2 8 2 3 2 3" xfId="6858"/>
    <cellStyle name="Note 2 8 2 3 2 3 2" xfId="25830"/>
    <cellStyle name="Note 2 8 2 3 2 3 3" xfId="36675"/>
    <cellStyle name="Note 2 8 2 3 2 4" xfId="9517"/>
    <cellStyle name="Note 2 8 2 3 2 4 2" xfId="28489"/>
    <cellStyle name="Note 2 8 2 3 2 4 3" xfId="39334"/>
    <cellStyle name="Note 2 8 2 3 2 5" xfId="20313"/>
    <cellStyle name="Note 2 8 2 3 2 6" xfId="31158"/>
    <cellStyle name="Note 2 8 2 3 3" xfId="1731"/>
    <cellStyle name="Note 2 8 2 3 3 2" xfId="4584"/>
    <cellStyle name="Note 2 8 2 3 3 2 2" xfId="23556"/>
    <cellStyle name="Note 2 8 2 3 3 2 3" xfId="34401"/>
    <cellStyle name="Note 2 8 2 3 3 3" xfId="7256"/>
    <cellStyle name="Note 2 8 2 3 3 3 2" xfId="26228"/>
    <cellStyle name="Note 2 8 2 3 3 3 3" xfId="37073"/>
    <cellStyle name="Note 2 8 2 3 3 4" xfId="9915"/>
    <cellStyle name="Note 2 8 2 3 3 4 2" xfId="28887"/>
    <cellStyle name="Note 2 8 2 3 3 4 3" xfId="39732"/>
    <cellStyle name="Note 2 8 2 3 3 5" xfId="20711"/>
    <cellStyle name="Note 2 8 2 3 3 6" xfId="31556"/>
    <cellStyle name="Note 2 8 2 3 4" xfId="2135"/>
    <cellStyle name="Note 2 8 2 3 4 2" xfId="4988"/>
    <cellStyle name="Note 2 8 2 3 4 2 2" xfId="23960"/>
    <cellStyle name="Note 2 8 2 3 4 2 3" xfId="34805"/>
    <cellStyle name="Note 2 8 2 3 4 3" xfId="7659"/>
    <cellStyle name="Note 2 8 2 3 4 3 2" xfId="26631"/>
    <cellStyle name="Note 2 8 2 3 4 3 3" xfId="37476"/>
    <cellStyle name="Note 2 8 2 3 4 4" xfId="10318"/>
    <cellStyle name="Note 2 8 2 3 4 4 2" xfId="29290"/>
    <cellStyle name="Note 2 8 2 3 4 4 3" xfId="40135"/>
    <cellStyle name="Note 2 8 2 3 4 5" xfId="21114"/>
    <cellStyle name="Note 2 8 2 3 4 6" xfId="31959"/>
    <cellStyle name="Note 2 8 2 3 5" xfId="2525"/>
    <cellStyle name="Note 2 8 2 3 5 2" xfId="5377"/>
    <cellStyle name="Note 2 8 2 3 5 2 2" xfId="24349"/>
    <cellStyle name="Note 2 8 2 3 5 2 3" xfId="35194"/>
    <cellStyle name="Note 2 8 2 3 5 3" xfId="8048"/>
    <cellStyle name="Note 2 8 2 3 5 3 2" xfId="27020"/>
    <cellStyle name="Note 2 8 2 3 5 3 3" xfId="37865"/>
    <cellStyle name="Note 2 8 2 3 5 4" xfId="10707"/>
    <cellStyle name="Note 2 8 2 3 5 4 2" xfId="29679"/>
    <cellStyle name="Note 2 8 2 3 5 4 3" xfId="40524"/>
    <cellStyle name="Note 2 8 2 3 5 5" xfId="21503"/>
    <cellStyle name="Note 2 8 2 3 5 6" xfId="32348"/>
    <cellStyle name="Note 2 8 2 3 6" xfId="2911"/>
    <cellStyle name="Note 2 8 2 3 6 2" xfId="5762"/>
    <cellStyle name="Note 2 8 2 3 6 2 2" xfId="24734"/>
    <cellStyle name="Note 2 8 2 3 6 2 3" xfId="35579"/>
    <cellStyle name="Note 2 8 2 3 6 3" xfId="8433"/>
    <cellStyle name="Note 2 8 2 3 6 3 2" xfId="27405"/>
    <cellStyle name="Note 2 8 2 3 6 3 3" xfId="38250"/>
    <cellStyle name="Note 2 8 2 3 6 4" xfId="11092"/>
    <cellStyle name="Note 2 8 2 3 6 4 2" xfId="30064"/>
    <cellStyle name="Note 2 8 2 3 6 4 3" xfId="40909"/>
    <cellStyle name="Note 2 8 2 3 6 5" xfId="21888"/>
    <cellStyle name="Note 2 8 2 3 6 6" xfId="32733"/>
    <cellStyle name="Note 2 8 2 3 7" xfId="3600"/>
    <cellStyle name="Note 2 8 2 3 7 2" xfId="22572"/>
    <cellStyle name="Note 2 8 2 3 7 3" xfId="33417"/>
    <cellStyle name="Note 2 8 2 3 8" xfId="6275"/>
    <cellStyle name="Note 2 8 2 3 8 2" xfId="25247"/>
    <cellStyle name="Note 2 8 2 3 8 3" xfId="36092"/>
    <cellStyle name="Note 2 8 2 3 9" xfId="8934"/>
    <cellStyle name="Note 2 8 2 3 9 2" xfId="27906"/>
    <cellStyle name="Note 2 8 2 3 9 3" xfId="38751"/>
    <cellStyle name="Note 2 8 2 4" xfId="805"/>
    <cellStyle name="Note 2 8 2 4 10" xfId="19790"/>
    <cellStyle name="Note 2 8 2 4 11" xfId="30635"/>
    <cellStyle name="Note 2 8 2 4 2" xfId="1392"/>
    <cellStyle name="Note 2 8 2 4 2 2" xfId="4245"/>
    <cellStyle name="Note 2 8 2 4 2 2 2" xfId="23217"/>
    <cellStyle name="Note 2 8 2 4 2 2 3" xfId="34062"/>
    <cellStyle name="Note 2 8 2 4 2 3" xfId="6918"/>
    <cellStyle name="Note 2 8 2 4 2 3 2" xfId="25890"/>
    <cellStyle name="Note 2 8 2 4 2 3 3" xfId="36735"/>
    <cellStyle name="Note 2 8 2 4 2 4" xfId="9577"/>
    <cellStyle name="Note 2 8 2 4 2 4 2" xfId="28549"/>
    <cellStyle name="Note 2 8 2 4 2 4 3" xfId="39394"/>
    <cellStyle name="Note 2 8 2 4 2 5" xfId="20373"/>
    <cellStyle name="Note 2 8 2 4 2 6" xfId="31218"/>
    <cellStyle name="Note 2 8 2 4 3" xfId="1791"/>
    <cellStyle name="Note 2 8 2 4 3 2" xfId="4644"/>
    <cellStyle name="Note 2 8 2 4 3 2 2" xfId="23616"/>
    <cellStyle name="Note 2 8 2 4 3 2 3" xfId="34461"/>
    <cellStyle name="Note 2 8 2 4 3 3" xfId="7316"/>
    <cellStyle name="Note 2 8 2 4 3 3 2" xfId="26288"/>
    <cellStyle name="Note 2 8 2 4 3 3 3" xfId="37133"/>
    <cellStyle name="Note 2 8 2 4 3 4" xfId="9975"/>
    <cellStyle name="Note 2 8 2 4 3 4 2" xfId="28947"/>
    <cellStyle name="Note 2 8 2 4 3 4 3" xfId="39792"/>
    <cellStyle name="Note 2 8 2 4 3 5" xfId="20771"/>
    <cellStyle name="Note 2 8 2 4 3 6" xfId="31616"/>
    <cellStyle name="Note 2 8 2 4 4" xfId="2195"/>
    <cellStyle name="Note 2 8 2 4 4 2" xfId="5048"/>
    <cellStyle name="Note 2 8 2 4 4 2 2" xfId="24020"/>
    <cellStyle name="Note 2 8 2 4 4 2 3" xfId="34865"/>
    <cellStyle name="Note 2 8 2 4 4 3" xfId="7719"/>
    <cellStyle name="Note 2 8 2 4 4 3 2" xfId="26691"/>
    <cellStyle name="Note 2 8 2 4 4 3 3" xfId="37536"/>
    <cellStyle name="Note 2 8 2 4 4 4" xfId="10378"/>
    <cellStyle name="Note 2 8 2 4 4 4 2" xfId="29350"/>
    <cellStyle name="Note 2 8 2 4 4 4 3" xfId="40195"/>
    <cellStyle name="Note 2 8 2 4 4 5" xfId="21174"/>
    <cellStyle name="Note 2 8 2 4 4 6" xfId="32019"/>
    <cellStyle name="Note 2 8 2 4 5" xfId="2585"/>
    <cellStyle name="Note 2 8 2 4 5 2" xfId="5437"/>
    <cellStyle name="Note 2 8 2 4 5 2 2" xfId="24409"/>
    <cellStyle name="Note 2 8 2 4 5 2 3" xfId="35254"/>
    <cellStyle name="Note 2 8 2 4 5 3" xfId="8108"/>
    <cellStyle name="Note 2 8 2 4 5 3 2" xfId="27080"/>
    <cellStyle name="Note 2 8 2 4 5 3 3" xfId="37925"/>
    <cellStyle name="Note 2 8 2 4 5 4" xfId="10767"/>
    <cellStyle name="Note 2 8 2 4 5 4 2" xfId="29739"/>
    <cellStyle name="Note 2 8 2 4 5 4 3" xfId="40584"/>
    <cellStyle name="Note 2 8 2 4 5 5" xfId="21563"/>
    <cellStyle name="Note 2 8 2 4 5 6" xfId="32408"/>
    <cellStyle name="Note 2 8 2 4 6" xfId="2971"/>
    <cellStyle name="Note 2 8 2 4 6 2" xfId="5822"/>
    <cellStyle name="Note 2 8 2 4 6 2 2" xfId="24794"/>
    <cellStyle name="Note 2 8 2 4 6 2 3" xfId="35639"/>
    <cellStyle name="Note 2 8 2 4 6 3" xfId="8493"/>
    <cellStyle name="Note 2 8 2 4 6 3 2" xfId="27465"/>
    <cellStyle name="Note 2 8 2 4 6 3 3" xfId="38310"/>
    <cellStyle name="Note 2 8 2 4 6 4" xfId="11152"/>
    <cellStyle name="Note 2 8 2 4 6 4 2" xfId="30124"/>
    <cellStyle name="Note 2 8 2 4 6 4 3" xfId="40969"/>
    <cellStyle name="Note 2 8 2 4 6 5" xfId="21948"/>
    <cellStyle name="Note 2 8 2 4 6 6" xfId="32793"/>
    <cellStyle name="Note 2 8 2 4 7" xfId="3660"/>
    <cellStyle name="Note 2 8 2 4 7 2" xfId="22632"/>
    <cellStyle name="Note 2 8 2 4 7 3" xfId="33477"/>
    <cellStyle name="Note 2 8 2 4 8" xfId="6335"/>
    <cellStyle name="Note 2 8 2 4 8 2" xfId="25307"/>
    <cellStyle name="Note 2 8 2 4 8 3" xfId="36152"/>
    <cellStyle name="Note 2 8 2 4 9" xfId="8994"/>
    <cellStyle name="Note 2 8 2 4 9 2" xfId="27966"/>
    <cellStyle name="Note 2 8 2 4 9 3" xfId="38811"/>
    <cellStyle name="Note 2 8 2 5" xfId="864"/>
    <cellStyle name="Note 2 8 2 5 10" xfId="19849"/>
    <cellStyle name="Note 2 8 2 5 11" xfId="30694"/>
    <cellStyle name="Note 2 8 2 5 2" xfId="1451"/>
    <cellStyle name="Note 2 8 2 5 2 2" xfId="4304"/>
    <cellStyle name="Note 2 8 2 5 2 2 2" xfId="23276"/>
    <cellStyle name="Note 2 8 2 5 2 2 3" xfId="34121"/>
    <cellStyle name="Note 2 8 2 5 2 3" xfId="6977"/>
    <cellStyle name="Note 2 8 2 5 2 3 2" xfId="25949"/>
    <cellStyle name="Note 2 8 2 5 2 3 3" xfId="36794"/>
    <cellStyle name="Note 2 8 2 5 2 4" xfId="9636"/>
    <cellStyle name="Note 2 8 2 5 2 4 2" xfId="28608"/>
    <cellStyle name="Note 2 8 2 5 2 4 3" xfId="39453"/>
    <cellStyle name="Note 2 8 2 5 2 5" xfId="20432"/>
    <cellStyle name="Note 2 8 2 5 2 6" xfId="31277"/>
    <cellStyle name="Note 2 8 2 5 3" xfId="1850"/>
    <cellStyle name="Note 2 8 2 5 3 2" xfId="4703"/>
    <cellStyle name="Note 2 8 2 5 3 2 2" xfId="23675"/>
    <cellStyle name="Note 2 8 2 5 3 2 3" xfId="34520"/>
    <cellStyle name="Note 2 8 2 5 3 3" xfId="7375"/>
    <cellStyle name="Note 2 8 2 5 3 3 2" xfId="26347"/>
    <cellStyle name="Note 2 8 2 5 3 3 3" xfId="37192"/>
    <cellStyle name="Note 2 8 2 5 3 4" xfId="10034"/>
    <cellStyle name="Note 2 8 2 5 3 4 2" xfId="29006"/>
    <cellStyle name="Note 2 8 2 5 3 4 3" xfId="39851"/>
    <cellStyle name="Note 2 8 2 5 3 5" xfId="20830"/>
    <cellStyle name="Note 2 8 2 5 3 6" xfId="31675"/>
    <cellStyle name="Note 2 8 2 5 4" xfId="2254"/>
    <cellStyle name="Note 2 8 2 5 4 2" xfId="5107"/>
    <cellStyle name="Note 2 8 2 5 4 2 2" xfId="24079"/>
    <cellStyle name="Note 2 8 2 5 4 2 3" xfId="34924"/>
    <cellStyle name="Note 2 8 2 5 4 3" xfId="7778"/>
    <cellStyle name="Note 2 8 2 5 4 3 2" xfId="26750"/>
    <cellStyle name="Note 2 8 2 5 4 3 3" xfId="37595"/>
    <cellStyle name="Note 2 8 2 5 4 4" xfId="10437"/>
    <cellStyle name="Note 2 8 2 5 4 4 2" xfId="29409"/>
    <cellStyle name="Note 2 8 2 5 4 4 3" xfId="40254"/>
    <cellStyle name="Note 2 8 2 5 4 5" xfId="21233"/>
    <cellStyle name="Note 2 8 2 5 4 6" xfId="32078"/>
    <cellStyle name="Note 2 8 2 5 5" xfId="2644"/>
    <cellStyle name="Note 2 8 2 5 5 2" xfId="5496"/>
    <cellStyle name="Note 2 8 2 5 5 2 2" xfId="24468"/>
    <cellStyle name="Note 2 8 2 5 5 2 3" xfId="35313"/>
    <cellStyle name="Note 2 8 2 5 5 3" xfId="8167"/>
    <cellStyle name="Note 2 8 2 5 5 3 2" xfId="27139"/>
    <cellStyle name="Note 2 8 2 5 5 3 3" xfId="37984"/>
    <cellStyle name="Note 2 8 2 5 5 4" xfId="10826"/>
    <cellStyle name="Note 2 8 2 5 5 4 2" xfId="29798"/>
    <cellStyle name="Note 2 8 2 5 5 4 3" xfId="40643"/>
    <cellStyle name="Note 2 8 2 5 5 5" xfId="21622"/>
    <cellStyle name="Note 2 8 2 5 5 6" xfId="32467"/>
    <cellStyle name="Note 2 8 2 5 6" xfId="3030"/>
    <cellStyle name="Note 2 8 2 5 6 2" xfId="5881"/>
    <cellStyle name="Note 2 8 2 5 6 2 2" xfId="24853"/>
    <cellStyle name="Note 2 8 2 5 6 2 3" xfId="35698"/>
    <cellStyle name="Note 2 8 2 5 6 3" xfId="8552"/>
    <cellStyle name="Note 2 8 2 5 6 3 2" xfId="27524"/>
    <cellStyle name="Note 2 8 2 5 6 3 3" xfId="38369"/>
    <cellStyle name="Note 2 8 2 5 6 4" xfId="11211"/>
    <cellStyle name="Note 2 8 2 5 6 4 2" xfId="30183"/>
    <cellStyle name="Note 2 8 2 5 6 4 3" xfId="41028"/>
    <cellStyle name="Note 2 8 2 5 6 5" xfId="22007"/>
    <cellStyle name="Note 2 8 2 5 6 6" xfId="32852"/>
    <cellStyle name="Note 2 8 2 5 7" xfId="3719"/>
    <cellStyle name="Note 2 8 2 5 7 2" xfId="22691"/>
    <cellStyle name="Note 2 8 2 5 7 3" xfId="33536"/>
    <cellStyle name="Note 2 8 2 5 8" xfId="6394"/>
    <cellStyle name="Note 2 8 2 5 8 2" xfId="25366"/>
    <cellStyle name="Note 2 8 2 5 8 3" xfId="36211"/>
    <cellStyle name="Note 2 8 2 5 9" xfId="9053"/>
    <cellStyle name="Note 2 8 2 5 9 2" xfId="28025"/>
    <cellStyle name="Note 2 8 2 5 9 3" xfId="38870"/>
    <cellStyle name="Note 2 8 2 6" xfId="1086"/>
    <cellStyle name="Note 2 8 2 6 2" xfId="3939"/>
    <cellStyle name="Note 2 8 2 6 2 2" xfId="22911"/>
    <cellStyle name="Note 2 8 2 6 2 3" xfId="33756"/>
    <cellStyle name="Note 2 8 2 6 3" xfId="6613"/>
    <cellStyle name="Note 2 8 2 6 3 2" xfId="25585"/>
    <cellStyle name="Note 2 8 2 6 3 3" xfId="36430"/>
    <cellStyle name="Note 2 8 2 6 4" xfId="9272"/>
    <cellStyle name="Note 2 8 2 6 4 2" xfId="28244"/>
    <cellStyle name="Note 2 8 2 6 4 3" xfId="39089"/>
    <cellStyle name="Note 2 8 2 6 5" xfId="20068"/>
    <cellStyle name="Note 2 8 2 6 6" xfId="30913"/>
    <cellStyle name="Note 2 8 2 7" xfId="1050"/>
    <cellStyle name="Note 2 8 2 7 2" xfId="3903"/>
    <cellStyle name="Note 2 8 2 7 2 2" xfId="22875"/>
    <cellStyle name="Note 2 8 2 7 2 3" xfId="33720"/>
    <cellStyle name="Note 2 8 2 7 3" xfId="6577"/>
    <cellStyle name="Note 2 8 2 7 3 2" xfId="25549"/>
    <cellStyle name="Note 2 8 2 7 3 3" xfId="36394"/>
    <cellStyle name="Note 2 8 2 7 4" xfId="9236"/>
    <cellStyle name="Note 2 8 2 7 4 2" xfId="28208"/>
    <cellStyle name="Note 2 8 2 7 4 3" xfId="39053"/>
    <cellStyle name="Note 2 8 2 7 5" xfId="20032"/>
    <cellStyle name="Note 2 8 2 7 6" xfId="30877"/>
    <cellStyle name="Note 2 8 2 8" xfId="1893"/>
    <cellStyle name="Note 2 8 2 8 2" xfId="4746"/>
    <cellStyle name="Note 2 8 2 8 2 2" xfId="23718"/>
    <cellStyle name="Note 2 8 2 8 2 3" xfId="34563"/>
    <cellStyle name="Note 2 8 2 8 3" xfId="7418"/>
    <cellStyle name="Note 2 8 2 8 3 2" xfId="26390"/>
    <cellStyle name="Note 2 8 2 8 3 3" xfId="37235"/>
    <cellStyle name="Note 2 8 2 8 4" xfId="10077"/>
    <cellStyle name="Note 2 8 2 8 4 2" xfId="29049"/>
    <cellStyle name="Note 2 8 2 8 4 3" xfId="39894"/>
    <cellStyle name="Note 2 8 2 8 5" xfId="20873"/>
    <cellStyle name="Note 2 8 2 8 6" xfId="31718"/>
    <cellStyle name="Note 2 8 2 9" xfId="1033"/>
    <cellStyle name="Note 2 8 2 9 2" xfId="3886"/>
    <cellStyle name="Note 2 8 2 9 2 2" xfId="22858"/>
    <cellStyle name="Note 2 8 2 9 2 3" xfId="33703"/>
    <cellStyle name="Note 2 8 2 9 3" xfId="6560"/>
    <cellStyle name="Note 2 8 2 9 3 2" xfId="25532"/>
    <cellStyle name="Note 2 8 2 9 3 3" xfId="36377"/>
    <cellStyle name="Note 2 8 2 9 4" xfId="9219"/>
    <cellStyle name="Note 2 8 2 9 4 2" xfId="28191"/>
    <cellStyle name="Note 2 8 2 9 4 3" xfId="39036"/>
    <cellStyle name="Note 2 8 2 9 5" xfId="20015"/>
    <cellStyle name="Note 2 8 2 9 6" xfId="30860"/>
    <cellStyle name="Note 2 8 3" xfId="568"/>
    <cellStyle name="Note 2 8 3 10" xfId="19578"/>
    <cellStyle name="Note 2 8 3 11" xfId="30423"/>
    <cellStyle name="Note 2 8 3 2" xfId="1174"/>
    <cellStyle name="Note 2 8 3 2 2" xfId="4027"/>
    <cellStyle name="Note 2 8 3 2 2 2" xfId="22999"/>
    <cellStyle name="Note 2 8 3 2 2 3" xfId="33844"/>
    <cellStyle name="Note 2 8 3 2 3" xfId="6700"/>
    <cellStyle name="Note 2 8 3 2 3 2" xfId="25672"/>
    <cellStyle name="Note 2 8 3 2 3 3" xfId="36517"/>
    <cellStyle name="Note 2 8 3 2 4" xfId="9359"/>
    <cellStyle name="Note 2 8 3 2 4 2" xfId="28331"/>
    <cellStyle name="Note 2 8 3 2 4 3" xfId="39176"/>
    <cellStyle name="Note 2 8 3 2 5" xfId="20155"/>
    <cellStyle name="Note 2 8 3 2 6" xfId="31000"/>
    <cellStyle name="Note 2 8 3 3" xfId="1571"/>
    <cellStyle name="Note 2 8 3 3 2" xfId="4424"/>
    <cellStyle name="Note 2 8 3 3 2 2" xfId="23396"/>
    <cellStyle name="Note 2 8 3 3 2 3" xfId="34241"/>
    <cellStyle name="Note 2 8 3 3 3" xfId="7096"/>
    <cellStyle name="Note 2 8 3 3 3 2" xfId="26068"/>
    <cellStyle name="Note 2 8 3 3 3 3" xfId="36913"/>
    <cellStyle name="Note 2 8 3 3 4" xfId="9755"/>
    <cellStyle name="Note 2 8 3 3 4 2" xfId="28727"/>
    <cellStyle name="Note 2 8 3 3 4 3" xfId="39572"/>
    <cellStyle name="Note 2 8 3 3 5" xfId="20551"/>
    <cellStyle name="Note 2 8 3 3 6" xfId="31396"/>
    <cellStyle name="Note 2 8 3 4" xfId="1975"/>
    <cellStyle name="Note 2 8 3 4 2" xfId="4828"/>
    <cellStyle name="Note 2 8 3 4 2 2" xfId="23800"/>
    <cellStyle name="Note 2 8 3 4 2 3" xfId="34645"/>
    <cellStyle name="Note 2 8 3 4 3" xfId="7500"/>
    <cellStyle name="Note 2 8 3 4 3 2" xfId="26472"/>
    <cellStyle name="Note 2 8 3 4 3 3" xfId="37317"/>
    <cellStyle name="Note 2 8 3 4 4" xfId="10159"/>
    <cellStyle name="Note 2 8 3 4 4 2" xfId="29131"/>
    <cellStyle name="Note 2 8 3 4 4 3" xfId="39976"/>
    <cellStyle name="Note 2 8 3 4 5" xfId="20955"/>
    <cellStyle name="Note 2 8 3 4 6" xfId="31800"/>
    <cellStyle name="Note 2 8 3 5" xfId="2367"/>
    <cellStyle name="Note 2 8 3 5 2" xfId="5220"/>
    <cellStyle name="Note 2 8 3 5 2 2" xfId="24192"/>
    <cellStyle name="Note 2 8 3 5 2 3" xfId="35037"/>
    <cellStyle name="Note 2 8 3 5 3" xfId="7891"/>
    <cellStyle name="Note 2 8 3 5 3 2" xfId="26863"/>
    <cellStyle name="Note 2 8 3 5 3 3" xfId="37708"/>
    <cellStyle name="Note 2 8 3 5 4" xfId="10550"/>
    <cellStyle name="Note 2 8 3 5 4 2" xfId="29522"/>
    <cellStyle name="Note 2 8 3 5 4 3" xfId="40367"/>
    <cellStyle name="Note 2 8 3 5 5" xfId="21346"/>
    <cellStyle name="Note 2 8 3 5 6" xfId="32191"/>
    <cellStyle name="Note 2 8 3 6" xfId="2756"/>
    <cellStyle name="Note 2 8 3 6 2" xfId="5608"/>
    <cellStyle name="Note 2 8 3 6 2 2" xfId="24580"/>
    <cellStyle name="Note 2 8 3 6 2 3" xfId="35425"/>
    <cellStyle name="Note 2 8 3 6 3" xfId="8279"/>
    <cellStyle name="Note 2 8 3 6 3 2" xfId="27251"/>
    <cellStyle name="Note 2 8 3 6 3 3" xfId="38096"/>
    <cellStyle name="Note 2 8 3 6 4" xfId="10938"/>
    <cellStyle name="Note 2 8 3 6 4 2" xfId="29910"/>
    <cellStyle name="Note 2 8 3 6 4 3" xfId="40755"/>
    <cellStyle name="Note 2 8 3 6 5" xfId="21734"/>
    <cellStyle name="Note 2 8 3 6 6" xfId="32579"/>
    <cellStyle name="Note 2 8 3 7" xfId="3447"/>
    <cellStyle name="Note 2 8 3 7 2" xfId="22419"/>
    <cellStyle name="Note 2 8 3 7 3" xfId="33264"/>
    <cellStyle name="Note 2 8 3 8" xfId="6123"/>
    <cellStyle name="Note 2 8 3 8 2" xfId="25095"/>
    <cellStyle name="Note 2 8 3 8 3" xfId="35940"/>
    <cellStyle name="Note 2 8 3 9" xfId="8782"/>
    <cellStyle name="Note 2 8 3 9 2" xfId="27754"/>
    <cellStyle name="Note 2 8 3 9 3" xfId="38599"/>
    <cellStyle name="Note 2 9" xfId="190"/>
    <cellStyle name="Note 2 9 2" xfId="414"/>
    <cellStyle name="Note 2 9 2 10" xfId="2701"/>
    <cellStyle name="Note 2 9 2 10 2" xfId="5553"/>
    <cellStyle name="Note 2 9 2 10 2 2" xfId="24525"/>
    <cellStyle name="Note 2 9 2 10 2 3" xfId="35370"/>
    <cellStyle name="Note 2 9 2 10 3" xfId="8224"/>
    <cellStyle name="Note 2 9 2 10 3 2" xfId="27196"/>
    <cellStyle name="Note 2 9 2 10 3 3" xfId="38041"/>
    <cellStyle name="Note 2 9 2 10 4" xfId="10883"/>
    <cellStyle name="Note 2 9 2 10 4 2" xfId="29855"/>
    <cellStyle name="Note 2 9 2 10 4 3" xfId="40700"/>
    <cellStyle name="Note 2 9 2 10 5" xfId="21679"/>
    <cellStyle name="Note 2 9 2 10 6" xfId="32524"/>
    <cellStyle name="Note 2 9 2 11" xfId="3086"/>
    <cellStyle name="Note 2 9 2 11 2" xfId="5937"/>
    <cellStyle name="Note 2 9 2 11 2 2" xfId="24909"/>
    <cellStyle name="Note 2 9 2 11 2 3" xfId="35754"/>
    <cellStyle name="Note 2 9 2 11 3" xfId="8608"/>
    <cellStyle name="Note 2 9 2 11 3 2" xfId="27580"/>
    <cellStyle name="Note 2 9 2 11 3 3" xfId="38425"/>
    <cellStyle name="Note 2 9 2 11 4" xfId="11267"/>
    <cellStyle name="Note 2 9 2 11 4 2" xfId="30239"/>
    <cellStyle name="Note 2 9 2 11 4 3" xfId="41084"/>
    <cellStyle name="Note 2 9 2 11 5" xfId="22063"/>
    <cellStyle name="Note 2 9 2 11 6" xfId="32908"/>
    <cellStyle name="Note 2 9 2 12" xfId="3143"/>
    <cellStyle name="Note 2 9 2 12 2" xfId="5994"/>
    <cellStyle name="Note 2 9 2 12 2 2" xfId="24966"/>
    <cellStyle name="Note 2 9 2 12 2 3" xfId="35811"/>
    <cellStyle name="Note 2 9 2 12 3" xfId="8665"/>
    <cellStyle name="Note 2 9 2 12 3 2" xfId="27637"/>
    <cellStyle name="Note 2 9 2 12 3 3" xfId="38482"/>
    <cellStyle name="Note 2 9 2 12 4" xfId="11324"/>
    <cellStyle name="Note 2 9 2 12 4 2" xfId="30296"/>
    <cellStyle name="Note 2 9 2 12 4 3" xfId="41141"/>
    <cellStyle name="Note 2 9 2 12 5" xfId="22120"/>
    <cellStyle name="Note 2 9 2 12 6" xfId="32965"/>
    <cellStyle name="Note 2 9 2 13" xfId="3200"/>
    <cellStyle name="Note 2 9 2 13 2" xfId="6051"/>
    <cellStyle name="Note 2 9 2 13 2 2" xfId="25023"/>
    <cellStyle name="Note 2 9 2 13 2 3" xfId="35868"/>
    <cellStyle name="Note 2 9 2 13 3" xfId="8722"/>
    <cellStyle name="Note 2 9 2 13 3 2" xfId="27694"/>
    <cellStyle name="Note 2 9 2 13 3 3" xfId="38539"/>
    <cellStyle name="Note 2 9 2 13 4" xfId="11381"/>
    <cellStyle name="Note 2 9 2 13 4 2" xfId="30353"/>
    <cellStyle name="Note 2 9 2 13 4 3" xfId="41198"/>
    <cellStyle name="Note 2 9 2 13 5" xfId="22177"/>
    <cellStyle name="Note 2 9 2 13 6" xfId="33022"/>
    <cellStyle name="Note 2 9 2 14" xfId="3368"/>
    <cellStyle name="Note 2 9 2 14 2" xfId="22342"/>
    <cellStyle name="Note 2 9 2 14 3" xfId="33187"/>
    <cellStyle name="Note 2 9 2 15" xfId="3266"/>
    <cellStyle name="Note 2 9 2 15 2" xfId="22240"/>
    <cellStyle name="Note 2 9 2 15 3" xfId="33085"/>
    <cellStyle name="Note 2 9 2 16" xfId="3855"/>
    <cellStyle name="Note 2 9 2 16 2" xfId="22827"/>
    <cellStyle name="Note 2 9 2 16 3" xfId="33672"/>
    <cellStyle name="Note 2 9 2 17" xfId="19497"/>
    <cellStyle name="Note 2 9 2 18" xfId="19425"/>
    <cellStyle name="Note 2 9 2 2" xfId="709"/>
    <cellStyle name="Note 2 9 2 2 10" xfId="19694"/>
    <cellStyle name="Note 2 9 2 2 11" xfId="30539"/>
    <cellStyle name="Note 2 9 2 2 2" xfId="1296"/>
    <cellStyle name="Note 2 9 2 2 2 2" xfId="4149"/>
    <cellStyle name="Note 2 9 2 2 2 2 2" xfId="23121"/>
    <cellStyle name="Note 2 9 2 2 2 2 3" xfId="33966"/>
    <cellStyle name="Note 2 9 2 2 2 3" xfId="6822"/>
    <cellStyle name="Note 2 9 2 2 2 3 2" xfId="25794"/>
    <cellStyle name="Note 2 9 2 2 2 3 3" xfId="36639"/>
    <cellStyle name="Note 2 9 2 2 2 4" xfId="9481"/>
    <cellStyle name="Note 2 9 2 2 2 4 2" xfId="28453"/>
    <cellStyle name="Note 2 9 2 2 2 4 3" xfId="39298"/>
    <cellStyle name="Note 2 9 2 2 2 5" xfId="20277"/>
    <cellStyle name="Note 2 9 2 2 2 6" xfId="31122"/>
    <cellStyle name="Note 2 9 2 2 3" xfId="1695"/>
    <cellStyle name="Note 2 9 2 2 3 2" xfId="4548"/>
    <cellStyle name="Note 2 9 2 2 3 2 2" xfId="23520"/>
    <cellStyle name="Note 2 9 2 2 3 2 3" xfId="34365"/>
    <cellStyle name="Note 2 9 2 2 3 3" xfId="7220"/>
    <cellStyle name="Note 2 9 2 2 3 3 2" xfId="26192"/>
    <cellStyle name="Note 2 9 2 2 3 3 3" xfId="37037"/>
    <cellStyle name="Note 2 9 2 2 3 4" xfId="9879"/>
    <cellStyle name="Note 2 9 2 2 3 4 2" xfId="28851"/>
    <cellStyle name="Note 2 9 2 2 3 4 3" xfId="39696"/>
    <cellStyle name="Note 2 9 2 2 3 5" xfId="20675"/>
    <cellStyle name="Note 2 9 2 2 3 6" xfId="31520"/>
    <cellStyle name="Note 2 9 2 2 4" xfId="2099"/>
    <cellStyle name="Note 2 9 2 2 4 2" xfId="4952"/>
    <cellStyle name="Note 2 9 2 2 4 2 2" xfId="23924"/>
    <cellStyle name="Note 2 9 2 2 4 2 3" xfId="34769"/>
    <cellStyle name="Note 2 9 2 2 4 3" xfId="7623"/>
    <cellStyle name="Note 2 9 2 2 4 3 2" xfId="26595"/>
    <cellStyle name="Note 2 9 2 2 4 3 3" xfId="37440"/>
    <cellStyle name="Note 2 9 2 2 4 4" xfId="10282"/>
    <cellStyle name="Note 2 9 2 2 4 4 2" xfId="29254"/>
    <cellStyle name="Note 2 9 2 2 4 4 3" xfId="40099"/>
    <cellStyle name="Note 2 9 2 2 4 5" xfId="21078"/>
    <cellStyle name="Note 2 9 2 2 4 6" xfId="31923"/>
    <cellStyle name="Note 2 9 2 2 5" xfId="2489"/>
    <cellStyle name="Note 2 9 2 2 5 2" xfId="5341"/>
    <cellStyle name="Note 2 9 2 2 5 2 2" xfId="24313"/>
    <cellStyle name="Note 2 9 2 2 5 2 3" xfId="35158"/>
    <cellStyle name="Note 2 9 2 2 5 3" xfId="8012"/>
    <cellStyle name="Note 2 9 2 2 5 3 2" xfId="26984"/>
    <cellStyle name="Note 2 9 2 2 5 3 3" xfId="37829"/>
    <cellStyle name="Note 2 9 2 2 5 4" xfId="10671"/>
    <cellStyle name="Note 2 9 2 2 5 4 2" xfId="29643"/>
    <cellStyle name="Note 2 9 2 2 5 4 3" xfId="40488"/>
    <cellStyle name="Note 2 9 2 2 5 5" xfId="21467"/>
    <cellStyle name="Note 2 9 2 2 5 6" xfId="32312"/>
    <cellStyle name="Note 2 9 2 2 6" xfId="2875"/>
    <cellStyle name="Note 2 9 2 2 6 2" xfId="5726"/>
    <cellStyle name="Note 2 9 2 2 6 2 2" xfId="24698"/>
    <cellStyle name="Note 2 9 2 2 6 2 3" xfId="35543"/>
    <cellStyle name="Note 2 9 2 2 6 3" xfId="8397"/>
    <cellStyle name="Note 2 9 2 2 6 3 2" xfId="27369"/>
    <cellStyle name="Note 2 9 2 2 6 3 3" xfId="38214"/>
    <cellStyle name="Note 2 9 2 2 6 4" xfId="11056"/>
    <cellStyle name="Note 2 9 2 2 6 4 2" xfId="30028"/>
    <cellStyle name="Note 2 9 2 2 6 4 3" xfId="40873"/>
    <cellStyle name="Note 2 9 2 2 6 5" xfId="21852"/>
    <cellStyle name="Note 2 9 2 2 6 6" xfId="32697"/>
    <cellStyle name="Note 2 9 2 2 7" xfId="3564"/>
    <cellStyle name="Note 2 9 2 2 7 2" xfId="22536"/>
    <cellStyle name="Note 2 9 2 2 7 3" xfId="33381"/>
    <cellStyle name="Note 2 9 2 2 8" xfId="6239"/>
    <cellStyle name="Note 2 9 2 2 8 2" xfId="25211"/>
    <cellStyle name="Note 2 9 2 2 8 3" xfId="36056"/>
    <cellStyle name="Note 2 9 2 2 9" xfId="8898"/>
    <cellStyle name="Note 2 9 2 2 9 2" xfId="27870"/>
    <cellStyle name="Note 2 9 2 2 9 3" xfId="38715"/>
    <cellStyle name="Note 2 9 2 3" xfId="768"/>
    <cellStyle name="Note 2 9 2 3 10" xfId="19753"/>
    <cellStyle name="Note 2 9 2 3 11" xfId="30598"/>
    <cellStyle name="Note 2 9 2 3 2" xfId="1355"/>
    <cellStyle name="Note 2 9 2 3 2 2" xfId="4208"/>
    <cellStyle name="Note 2 9 2 3 2 2 2" xfId="23180"/>
    <cellStyle name="Note 2 9 2 3 2 2 3" xfId="34025"/>
    <cellStyle name="Note 2 9 2 3 2 3" xfId="6881"/>
    <cellStyle name="Note 2 9 2 3 2 3 2" xfId="25853"/>
    <cellStyle name="Note 2 9 2 3 2 3 3" xfId="36698"/>
    <cellStyle name="Note 2 9 2 3 2 4" xfId="9540"/>
    <cellStyle name="Note 2 9 2 3 2 4 2" xfId="28512"/>
    <cellStyle name="Note 2 9 2 3 2 4 3" xfId="39357"/>
    <cellStyle name="Note 2 9 2 3 2 5" xfId="20336"/>
    <cellStyle name="Note 2 9 2 3 2 6" xfId="31181"/>
    <cellStyle name="Note 2 9 2 3 3" xfId="1754"/>
    <cellStyle name="Note 2 9 2 3 3 2" xfId="4607"/>
    <cellStyle name="Note 2 9 2 3 3 2 2" xfId="23579"/>
    <cellStyle name="Note 2 9 2 3 3 2 3" xfId="34424"/>
    <cellStyle name="Note 2 9 2 3 3 3" xfId="7279"/>
    <cellStyle name="Note 2 9 2 3 3 3 2" xfId="26251"/>
    <cellStyle name="Note 2 9 2 3 3 3 3" xfId="37096"/>
    <cellStyle name="Note 2 9 2 3 3 4" xfId="9938"/>
    <cellStyle name="Note 2 9 2 3 3 4 2" xfId="28910"/>
    <cellStyle name="Note 2 9 2 3 3 4 3" xfId="39755"/>
    <cellStyle name="Note 2 9 2 3 3 5" xfId="20734"/>
    <cellStyle name="Note 2 9 2 3 3 6" xfId="31579"/>
    <cellStyle name="Note 2 9 2 3 4" xfId="2158"/>
    <cellStyle name="Note 2 9 2 3 4 2" xfId="5011"/>
    <cellStyle name="Note 2 9 2 3 4 2 2" xfId="23983"/>
    <cellStyle name="Note 2 9 2 3 4 2 3" xfId="34828"/>
    <cellStyle name="Note 2 9 2 3 4 3" xfId="7682"/>
    <cellStyle name="Note 2 9 2 3 4 3 2" xfId="26654"/>
    <cellStyle name="Note 2 9 2 3 4 3 3" xfId="37499"/>
    <cellStyle name="Note 2 9 2 3 4 4" xfId="10341"/>
    <cellStyle name="Note 2 9 2 3 4 4 2" xfId="29313"/>
    <cellStyle name="Note 2 9 2 3 4 4 3" xfId="40158"/>
    <cellStyle name="Note 2 9 2 3 4 5" xfId="21137"/>
    <cellStyle name="Note 2 9 2 3 4 6" xfId="31982"/>
    <cellStyle name="Note 2 9 2 3 5" xfId="2548"/>
    <cellStyle name="Note 2 9 2 3 5 2" xfId="5400"/>
    <cellStyle name="Note 2 9 2 3 5 2 2" xfId="24372"/>
    <cellStyle name="Note 2 9 2 3 5 2 3" xfId="35217"/>
    <cellStyle name="Note 2 9 2 3 5 3" xfId="8071"/>
    <cellStyle name="Note 2 9 2 3 5 3 2" xfId="27043"/>
    <cellStyle name="Note 2 9 2 3 5 3 3" xfId="37888"/>
    <cellStyle name="Note 2 9 2 3 5 4" xfId="10730"/>
    <cellStyle name="Note 2 9 2 3 5 4 2" xfId="29702"/>
    <cellStyle name="Note 2 9 2 3 5 4 3" xfId="40547"/>
    <cellStyle name="Note 2 9 2 3 5 5" xfId="21526"/>
    <cellStyle name="Note 2 9 2 3 5 6" xfId="32371"/>
    <cellStyle name="Note 2 9 2 3 6" xfId="2934"/>
    <cellStyle name="Note 2 9 2 3 6 2" xfId="5785"/>
    <cellStyle name="Note 2 9 2 3 6 2 2" xfId="24757"/>
    <cellStyle name="Note 2 9 2 3 6 2 3" xfId="35602"/>
    <cellStyle name="Note 2 9 2 3 6 3" xfId="8456"/>
    <cellStyle name="Note 2 9 2 3 6 3 2" xfId="27428"/>
    <cellStyle name="Note 2 9 2 3 6 3 3" xfId="38273"/>
    <cellStyle name="Note 2 9 2 3 6 4" xfId="11115"/>
    <cellStyle name="Note 2 9 2 3 6 4 2" xfId="30087"/>
    <cellStyle name="Note 2 9 2 3 6 4 3" xfId="40932"/>
    <cellStyle name="Note 2 9 2 3 6 5" xfId="21911"/>
    <cellStyle name="Note 2 9 2 3 6 6" xfId="32756"/>
    <cellStyle name="Note 2 9 2 3 7" xfId="3623"/>
    <cellStyle name="Note 2 9 2 3 7 2" xfId="22595"/>
    <cellStyle name="Note 2 9 2 3 7 3" xfId="33440"/>
    <cellStyle name="Note 2 9 2 3 8" xfId="6298"/>
    <cellStyle name="Note 2 9 2 3 8 2" xfId="25270"/>
    <cellStyle name="Note 2 9 2 3 8 3" xfId="36115"/>
    <cellStyle name="Note 2 9 2 3 9" xfId="8957"/>
    <cellStyle name="Note 2 9 2 3 9 2" xfId="27929"/>
    <cellStyle name="Note 2 9 2 3 9 3" xfId="38774"/>
    <cellStyle name="Note 2 9 2 4" xfId="828"/>
    <cellStyle name="Note 2 9 2 4 10" xfId="19813"/>
    <cellStyle name="Note 2 9 2 4 11" xfId="30658"/>
    <cellStyle name="Note 2 9 2 4 2" xfId="1415"/>
    <cellStyle name="Note 2 9 2 4 2 2" xfId="4268"/>
    <cellStyle name="Note 2 9 2 4 2 2 2" xfId="23240"/>
    <cellStyle name="Note 2 9 2 4 2 2 3" xfId="34085"/>
    <cellStyle name="Note 2 9 2 4 2 3" xfId="6941"/>
    <cellStyle name="Note 2 9 2 4 2 3 2" xfId="25913"/>
    <cellStyle name="Note 2 9 2 4 2 3 3" xfId="36758"/>
    <cellStyle name="Note 2 9 2 4 2 4" xfId="9600"/>
    <cellStyle name="Note 2 9 2 4 2 4 2" xfId="28572"/>
    <cellStyle name="Note 2 9 2 4 2 4 3" xfId="39417"/>
    <cellStyle name="Note 2 9 2 4 2 5" xfId="20396"/>
    <cellStyle name="Note 2 9 2 4 2 6" xfId="31241"/>
    <cellStyle name="Note 2 9 2 4 3" xfId="1814"/>
    <cellStyle name="Note 2 9 2 4 3 2" xfId="4667"/>
    <cellStyle name="Note 2 9 2 4 3 2 2" xfId="23639"/>
    <cellStyle name="Note 2 9 2 4 3 2 3" xfId="34484"/>
    <cellStyle name="Note 2 9 2 4 3 3" xfId="7339"/>
    <cellStyle name="Note 2 9 2 4 3 3 2" xfId="26311"/>
    <cellStyle name="Note 2 9 2 4 3 3 3" xfId="37156"/>
    <cellStyle name="Note 2 9 2 4 3 4" xfId="9998"/>
    <cellStyle name="Note 2 9 2 4 3 4 2" xfId="28970"/>
    <cellStyle name="Note 2 9 2 4 3 4 3" xfId="39815"/>
    <cellStyle name="Note 2 9 2 4 3 5" xfId="20794"/>
    <cellStyle name="Note 2 9 2 4 3 6" xfId="31639"/>
    <cellStyle name="Note 2 9 2 4 4" xfId="2218"/>
    <cellStyle name="Note 2 9 2 4 4 2" xfId="5071"/>
    <cellStyle name="Note 2 9 2 4 4 2 2" xfId="24043"/>
    <cellStyle name="Note 2 9 2 4 4 2 3" xfId="34888"/>
    <cellStyle name="Note 2 9 2 4 4 3" xfId="7742"/>
    <cellStyle name="Note 2 9 2 4 4 3 2" xfId="26714"/>
    <cellStyle name="Note 2 9 2 4 4 3 3" xfId="37559"/>
    <cellStyle name="Note 2 9 2 4 4 4" xfId="10401"/>
    <cellStyle name="Note 2 9 2 4 4 4 2" xfId="29373"/>
    <cellStyle name="Note 2 9 2 4 4 4 3" xfId="40218"/>
    <cellStyle name="Note 2 9 2 4 4 5" xfId="21197"/>
    <cellStyle name="Note 2 9 2 4 4 6" xfId="32042"/>
    <cellStyle name="Note 2 9 2 4 5" xfId="2608"/>
    <cellStyle name="Note 2 9 2 4 5 2" xfId="5460"/>
    <cellStyle name="Note 2 9 2 4 5 2 2" xfId="24432"/>
    <cellStyle name="Note 2 9 2 4 5 2 3" xfId="35277"/>
    <cellStyle name="Note 2 9 2 4 5 3" xfId="8131"/>
    <cellStyle name="Note 2 9 2 4 5 3 2" xfId="27103"/>
    <cellStyle name="Note 2 9 2 4 5 3 3" xfId="37948"/>
    <cellStyle name="Note 2 9 2 4 5 4" xfId="10790"/>
    <cellStyle name="Note 2 9 2 4 5 4 2" xfId="29762"/>
    <cellStyle name="Note 2 9 2 4 5 4 3" xfId="40607"/>
    <cellStyle name="Note 2 9 2 4 5 5" xfId="21586"/>
    <cellStyle name="Note 2 9 2 4 5 6" xfId="32431"/>
    <cellStyle name="Note 2 9 2 4 6" xfId="2994"/>
    <cellStyle name="Note 2 9 2 4 6 2" xfId="5845"/>
    <cellStyle name="Note 2 9 2 4 6 2 2" xfId="24817"/>
    <cellStyle name="Note 2 9 2 4 6 2 3" xfId="35662"/>
    <cellStyle name="Note 2 9 2 4 6 3" xfId="8516"/>
    <cellStyle name="Note 2 9 2 4 6 3 2" xfId="27488"/>
    <cellStyle name="Note 2 9 2 4 6 3 3" xfId="38333"/>
    <cellStyle name="Note 2 9 2 4 6 4" xfId="11175"/>
    <cellStyle name="Note 2 9 2 4 6 4 2" xfId="30147"/>
    <cellStyle name="Note 2 9 2 4 6 4 3" xfId="40992"/>
    <cellStyle name="Note 2 9 2 4 6 5" xfId="21971"/>
    <cellStyle name="Note 2 9 2 4 6 6" xfId="32816"/>
    <cellStyle name="Note 2 9 2 4 7" xfId="3683"/>
    <cellStyle name="Note 2 9 2 4 7 2" xfId="22655"/>
    <cellStyle name="Note 2 9 2 4 7 3" xfId="33500"/>
    <cellStyle name="Note 2 9 2 4 8" xfId="6358"/>
    <cellStyle name="Note 2 9 2 4 8 2" xfId="25330"/>
    <cellStyle name="Note 2 9 2 4 8 3" xfId="36175"/>
    <cellStyle name="Note 2 9 2 4 9" xfId="9017"/>
    <cellStyle name="Note 2 9 2 4 9 2" xfId="27989"/>
    <cellStyle name="Note 2 9 2 4 9 3" xfId="38834"/>
    <cellStyle name="Note 2 9 2 5" xfId="887"/>
    <cellStyle name="Note 2 9 2 5 10" xfId="19872"/>
    <cellStyle name="Note 2 9 2 5 11" xfId="30717"/>
    <cellStyle name="Note 2 9 2 5 2" xfId="1474"/>
    <cellStyle name="Note 2 9 2 5 2 2" xfId="4327"/>
    <cellStyle name="Note 2 9 2 5 2 2 2" xfId="23299"/>
    <cellStyle name="Note 2 9 2 5 2 2 3" xfId="34144"/>
    <cellStyle name="Note 2 9 2 5 2 3" xfId="7000"/>
    <cellStyle name="Note 2 9 2 5 2 3 2" xfId="25972"/>
    <cellStyle name="Note 2 9 2 5 2 3 3" xfId="36817"/>
    <cellStyle name="Note 2 9 2 5 2 4" xfId="9659"/>
    <cellStyle name="Note 2 9 2 5 2 4 2" xfId="28631"/>
    <cellStyle name="Note 2 9 2 5 2 4 3" xfId="39476"/>
    <cellStyle name="Note 2 9 2 5 2 5" xfId="20455"/>
    <cellStyle name="Note 2 9 2 5 2 6" xfId="31300"/>
    <cellStyle name="Note 2 9 2 5 3" xfId="1873"/>
    <cellStyle name="Note 2 9 2 5 3 2" xfId="4726"/>
    <cellStyle name="Note 2 9 2 5 3 2 2" xfId="23698"/>
    <cellStyle name="Note 2 9 2 5 3 2 3" xfId="34543"/>
    <cellStyle name="Note 2 9 2 5 3 3" xfId="7398"/>
    <cellStyle name="Note 2 9 2 5 3 3 2" xfId="26370"/>
    <cellStyle name="Note 2 9 2 5 3 3 3" xfId="37215"/>
    <cellStyle name="Note 2 9 2 5 3 4" xfId="10057"/>
    <cellStyle name="Note 2 9 2 5 3 4 2" xfId="29029"/>
    <cellStyle name="Note 2 9 2 5 3 4 3" xfId="39874"/>
    <cellStyle name="Note 2 9 2 5 3 5" xfId="20853"/>
    <cellStyle name="Note 2 9 2 5 3 6" xfId="31698"/>
    <cellStyle name="Note 2 9 2 5 4" xfId="2277"/>
    <cellStyle name="Note 2 9 2 5 4 2" xfId="5130"/>
    <cellStyle name="Note 2 9 2 5 4 2 2" xfId="24102"/>
    <cellStyle name="Note 2 9 2 5 4 2 3" xfId="34947"/>
    <cellStyle name="Note 2 9 2 5 4 3" xfId="7801"/>
    <cellStyle name="Note 2 9 2 5 4 3 2" xfId="26773"/>
    <cellStyle name="Note 2 9 2 5 4 3 3" xfId="37618"/>
    <cellStyle name="Note 2 9 2 5 4 4" xfId="10460"/>
    <cellStyle name="Note 2 9 2 5 4 4 2" xfId="29432"/>
    <cellStyle name="Note 2 9 2 5 4 4 3" xfId="40277"/>
    <cellStyle name="Note 2 9 2 5 4 5" xfId="21256"/>
    <cellStyle name="Note 2 9 2 5 4 6" xfId="32101"/>
    <cellStyle name="Note 2 9 2 5 5" xfId="2667"/>
    <cellStyle name="Note 2 9 2 5 5 2" xfId="5519"/>
    <cellStyle name="Note 2 9 2 5 5 2 2" xfId="24491"/>
    <cellStyle name="Note 2 9 2 5 5 2 3" xfId="35336"/>
    <cellStyle name="Note 2 9 2 5 5 3" xfId="8190"/>
    <cellStyle name="Note 2 9 2 5 5 3 2" xfId="27162"/>
    <cellStyle name="Note 2 9 2 5 5 3 3" xfId="38007"/>
    <cellStyle name="Note 2 9 2 5 5 4" xfId="10849"/>
    <cellStyle name="Note 2 9 2 5 5 4 2" xfId="29821"/>
    <cellStyle name="Note 2 9 2 5 5 4 3" xfId="40666"/>
    <cellStyle name="Note 2 9 2 5 5 5" xfId="21645"/>
    <cellStyle name="Note 2 9 2 5 5 6" xfId="32490"/>
    <cellStyle name="Note 2 9 2 5 6" xfId="3053"/>
    <cellStyle name="Note 2 9 2 5 6 2" xfId="5904"/>
    <cellStyle name="Note 2 9 2 5 6 2 2" xfId="24876"/>
    <cellStyle name="Note 2 9 2 5 6 2 3" xfId="35721"/>
    <cellStyle name="Note 2 9 2 5 6 3" xfId="8575"/>
    <cellStyle name="Note 2 9 2 5 6 3 2" xfId="27547"/>
    <cellStyle name="Note 2 9 2 5 6 3 3" xfId="38392"/>
    <cellStyle name="Note 2 9 2 5 6 4" xfId="11234"/>
    <cellStyle name="Note 2 9 2 5 6 4 2" xfId="30206"/>
    <cellStyle name="Note 2 9 2 5 6 4 3" xfId="41051"/>
    <cellStyle name="Note 2 9 2 5 6 5" xfId="22030"/>
    <cellStyle name="Note 2 9 2 5 6 6" xfId="32875"/>
    <cellStyle name="Note 2 9 2 5 7" xfId="3742"/>
    <cellStyle name="Note 2 9 2 5 7 2" xfId="22714"/>
    <cellStyle name="Note 2 9 2 5 7 3" xfId="33559"/>
    <cellStyle name="Note 2 9 2 5 8" xfId="6417"/>
    <cellStyle name="Note 2 9 2 5 8 2" xfId="25389"/>
    <cellStyle name="Note 2 9 2 5 8 3" xfId="36234"/>
    <cellStyle name="Note 2 9 2 5 9" xfId="9076"/>
    <cellStyle name="Note 2 9 2 5 9 2" xfId="28048"/>
    <cellStyle name="Note 2 9 2 5 9 3" xfId="38893"/>
    <cellStyle name="Note 2 9 2 6" xfId="1113"/>
    <cellStyle name="Note 2 9 2 6 2" xfId="3966"/>
    <cellStyle name="Note 2 9 2 6 2 2" xfId="22938"/>
    <cellStyle name="Note 2 9 2 6 2 3" xfId="33783"/>
    <cellStyle name="Note 2 9 2 6 3" xfId="6640"/>
    <cellStyle name="Note 2 9 2 6 3 2" xfId="25612"/>
    <cellStyle name="Note 2 9 2 6 3 3" xfId="36457"/>
    <cellStyle name="Note 2 9 2 6 4" xfId="9299"/>
    <cellStyle name="Note 2 9 2 6 4 2" xfId="28271"/>
    <cellStyle name="Note 2 9 2 6 4 3" xfId="39116"/>
    <cellStyle name="Note 2 9 2 6 5" xfId="20095"/>
    <cellStyle name="Note 2 9 2 6 6" xfId="30940"/>
    <cellStyle name="Note 2 9 2 7" xfId="1511"/>
    <cellStyle name="Note 2 9 2 7 2" xfId="4364"/>
    <cellStyle name="Note 2 9 2 7 2 2" xfId="23336"/>
    <cellStyle name="Note 2 9 2 7 2 3" xfId="34181"/>
    <cellStyle name="Note 2 9 2 7 3" xfId="7037"/>
    <cellStyle name="Note 2 9 2 7 3 2" xfId="26009"/>
    <cellStyle name="Note 2 9 2 7 3 3" xfId="36854"/>
    <cellStyle name="Note 2 9 2 7 4" xfId="9696"/>
    <cellStyle name="Note 2 9 2 7 4 2" xfId="28668"/>
    <cellStyle name="Note 2 9 2 7 4 3" xfId="39513"/>
    <cellStyle name="Note 2 9 2 7 5" xfId="20492"/>
    <cellStyle name="Note 2 9 2 7 6" xfId="31337"/>
    <cellStyle name="Note 2 9 2 8" xfId="1918"/>
    <cellStyle name="Note 2 9 2 8 2" xfId="4771"/>
    <cellStyle name="Note 2 9 2 8 2 2" xfId="23743"/>
    <cellStyle name="Note 2 9 2 8 2 3" xfId="34588"/>
    <cellStyle name="Note 2 9 2 8 3" xfId="7443"/>
    <cellStyle name="Note 2 9 2 8 3 2" xfId="26415"/>
    <cellStyle name="Note 2 9 2 8 3 3" xfId="37260"/>
    <cellStyle name="Note 2 9 2 8 4" xfId="10102"/>
    <cellStyle name="Note 2 9 2 8 4 2" xfId="29074"/>
    <cellStyle name="Note 2 9 2 8 4 3" xfId="39919"/>
    <cellStyle name="Note 2 9 2 8 5" xfId="20898"/>
    <cellStyle name="Note 2 9 2 8 6" xfId="31743"/>
    <cellStyle name="Note 2 9 2 9" xfId="2312"/>
    <cellStyle name="Note 2 9 2 9 2" xfId="5165"/>
    <cellStyle name="Note 2 9 2 9 2 2" xfId="24137"/>
    <cellStyle name="Note 2 9 2 9 2 3" xfId="34982"/>
    <cellStyle name="Note 2 9 2 9 3" xfId="7836"/>
    <cellStyle name="Note 2 9 2 9 3 2" xfId="26808"/>
    <cellStyle name="Note 2 9 2 9 3 3" xfId="37653"/>
    <cellStyle name="Note 2 9 2 9 4" xfId="10495"/>
    <cellStyle name="Note 2 9 2 9 4 2" xfId="29467"/>
    <cellStyle name="Note 2 9 2 9 4 3" xfId="40312"/>
    <cellStyle name="Note 2 9 2 9 5" xfId="21291"/>
    <cellStyle name="Note 2 9 2 9 6" xfId="32136"/>
    <cellStyle name="Note 2 9 3" xfId="594"/>
    <cellStyle name="Note 2 9 3 10" xfId="19604"/>
    <cellStyle name="Note 2 9 3 11" xfId="30449"/>
    <cellStyle name="Note 2 9 3 2" xfId="1200"/>
    <cellStyle name="Note 2 9 3 2 2" xfId="4053"/>
    <cellStyle name="Note 2 9 3 2 2 2" xfId="23025"/>
    <cellStyle name="Note 2 9 3 2 2 3" xfId="33870"/>
    <cellStyle name="Note 2 9 3 2 3" xfId="6726"/>
    <cellStyle name="Note 2 9 3 2 3 2" xfId="25698"/>
    <cellStyle name="Note 2 9 3 2 3 3" xfId="36543"/>
    <cellStyle name="Note 2 9 3 2 4" xfId="9385"/>
    <cellStyle name="Note 2 9 3 2 4 2" xfId="28357"/>
    <cellStyle name="Note 2 9 3 2 4 3" xfId="39202"/>
    <cellStyle name="Note 2 9 3 2 5" xfId="20181"/>
    <cellStyle name="Note 2 9 3 2 6" xfId="31026"/>
    <cellStyle name="Note 2 9 3 3" xfId="1597"/>
    <cellStyle name="Note 2 9 3 3 2" xfId="4450"/>
    <cellStyle name="Note 2 9 3 3 2 2" xfId="23422"/>
    <cellStyle name="Note 2 9 3 3 2 3" xfId="34267"/>
    <cellStyle name="Note 2 9 3 3 3" xfId="7122"/>
    <cellStyle name="Note 2 9 3 3 3 2" xfId="26094"/>
    <cellStyle name="Note 2 9 3 3 3 3" xfId="36939"/>
    <cellStyle name="Note 2 9 3 3 4" xfId="9781"/>
    <cellStyle name="Note 2 9 3 3 4 2" xfId="28753"/>
    <cellStyle name="Note 2 9 3 3 4 3" xfId="39598"/>
    <cellStyle name="Note 2 9 3 3 5" xfId="20577"/>
    <cellStyle name="Note 2 9 3 3 6" xfId="31422"/>
    <cellStyle name="Note 2 9 3 4" xfId="2001"/>
    <cellStyle name="Note 2 9 3 4 2" xfId="4854"/>
    <cellStyle name="Note 2 9 3 4 2 2" xfId="23826"/>
    <cellStyle name="Note 2 9 3 4 2 3" xfId="34671"/>
    <cellStyle name="Note 2 9 3 4 3" xfId="7526"/>
    <cellStyle name="Note 2 9 3 4 3 2" xfId="26498"/>
    <cellStyle name="Note 2 9 3 4 3 3" xfId="37343"/>
    <cellStyle name="Note 2 9 3 4 4" xfId="10185"/>
    <cellStyle name="Note 2 9 3 4 4 2" xfId="29157"/>
    <cellStyle name="Note 2 9 3 4 4 3" xfId="40002"/>
    <cellStyle name="Note 2 9 3 4 5" xfId="20981"/>
    <cellStyle name="Note 2 9 3 4 6" xfId="31826"/>
    <cellStyle name="Note 2 9 3 5" xfId="2393"/>
    <cellStyle name="Note 2 9 3 5 2" xfId="5246"/>
    <cellStyle name="Note 2 9 3 5 2 2" xfId="24218"/>
    <cellStyle name="Note 2 9 3 5 2 3" xfId="35063"/>
    <cellStyle name="Note 2 9 3 5 3" xfId="7917"/>
    <cellStyle name="Note 2 9 3 5 3 2" xfId="26889"/>
    <cellStyle name="Note 2 9 3 5 3 3" xfId="37734"/>
    <cellStyle name="Note 2 9 3 5 4" xfId="10576"/>
    <cellStyle name="Note 2 9 3 5 4 2" xfId="29548"/>
    <cellStyle name="Note 2 9 3 5 4 3" xfId="40393"/>
    <cellStyle name="Note 2 9 3 5 5" xfId="21372"/>
    <cellStyle name="Note 2 9 3 5 6" xfId="32217"/>
    <cellStyle name="Note 2 9 3 6" xfId="2782"/>
    <cellStyle name="Note 2 9 3 6 2" xfId="5634"/>
    <cellStyle name="Note 2 9 3 6 2 2" xfId="24606"/>
    <cellStyle name="Note 2 9 3 6 2 3" xfId="35451"/>
    <cellStyle name="Note 2 9 3 6 3" xfId="8305"/>
    <cellStyle name="Note 2 9 3 6 3 2" xfId="27277"/>
    <cellStyle name="Note 2 9 3 6 3 3" xfId="38122"/>
    <cellStyle name="Note 2 9 3 6 4" xfId="10964"/>
    <cellStyle name="Note 2 9 3 6 4 2" xfId="29936"/>
    <cellStyle name="Note 2 9 3 6 4 3" xfId="40781"/>
    <cellStyle name="Note 2 9 3 6 5" xfId="21760"/>
    <cellStyle name="Note 2 9 3 6 6" xfId="32605"/>
    <cellStyle name="Note 2 9 3 7" xfId="3473"/>
    <cellStyle name="Note 2 9 3 7 2" xfId="22445"/>
    <cellStyle name="Note 2 9 3 7 3" xfId="33290"/>
    <cellStyle name="Note 2 9 3 8" xfId="6149"/>
    <cellStyle name="Note 2 9 3 8 2" xfId="25121"/>
    <cellStyle name="Note 2 9 3 8 3" xfId="35966"/>
    <cellStyle name="Note 2 9 3 9" xfId="8808"/>
    <cellStyle name="Note 2 9 3 9 2" xfId="27780"/>
    <cellStyle name="Note 2 9 3 9 3" xfId="38625"/>
    <cellStyle name="Note 2_2012 AR ELEC BCR Eval Eval - 012913" xfId="134"/>
    <cellStyle name="Note 3" xfId="135"/>
    <cellStyle name="Note 3 2" xfId="386"/>
    <cellStyle name="Note 3 2 10" xfId="960"/>
    <cellStyle name="Note 3 2 10 2" xfId="3813"/>
    <cellStyle name="Note 3 2 10 2 2" xfId="22785"/>
    <cellStyle name="Note 3 2 10 2 3" xfId="33630"/>
    <cellStyle name="Note 3 2 10 3" xfId="6488"/>
    <cellStyle name="Note 3 2 10 3 2" xfId="25460"/>
    <cellStyle name="Note 3 2 10 3 3" xfId="36305"/>
    <cellStyle name="Note 3 2 10 4" xfId="9147"/>
    <cellStyle name="Note 3 2 10 4 2" xfId="28119"/>
    <cellStyle name="Note 3 2 10 4 3" xfId="38964"/>
    <cellStyle name="Note 3 2 10 5" xfId="19943"/>
    <cellStyle name="Note 3 2 10 6" xfId="30788"/>
    <cellStyle name="Note 3 2 11" xfId="1037"/>
    <cellStyle name="Note 3 2 11 2" xfId="3890"/>
    <cellStyle name="Note 3 2 11 2 2" xfId="22862"/>
    <cellStyle name="Note 3 2 11 2 3" xfId="33707"/>
    <cellStyle name="Note 3 2 11 3" xfId="6564"/>
    <cellStyle name="Note 3 2 11 3 2" xfId="25536"/>
    <cellStyle name="Note 3 2 11 3 3" xfId="36381"/>
    <cellStyle name="Note 3 2 11 4" xfId="9223"/>
    <cellStyle name="Note 3 2 11 4 2" xfId="28195"/>
    <cellStyle name="Note 3 2 11 4 3" xfId="39040"/>
    <cellStyle name="Note 3 2 11 5" xfId="20019"/>
    <cellStyle name="Note 3 2 11 6" xfId="30864"/>
    <cellStyle name="Note 3 2 12" xfId="3121"/>
    <cellStyle name="Note 3 2 12 2" xfId="5972"/>
    <cellStyle name="Note 3 2 12 2 2" xfId="24944"/>
    <cellStyle name="Note 3 2 12 2 3" xfId="35789"/>
    <cellStyle name="Note 3 2 12 3" xfId="8643"/>
    <cellStyle name="Note 3 2 12 3 2" xfId="27615"/>
    <cellStyle name="Note 3 2 12 3 3" xfId="38460"/>
    <cellStyle name="Note 3 2 12 4" xfId="11302"/>
    <cellStyle name="Note 3 2 12 4 2" xfId="30274"/>
    <cellStyle name="Note 3 2 12 4 3" xfId="41119"/>
    <cellStyle name="Note 3 2 12 5" xfId="22098"/>
    <cellStyle name="Note 3 2 12 6" xfId="32943"/>
    <cellStyle name="Note 3 2 13" xfId="3178"/>
    <cellStyle name="Note 3 2 13 2" xfId="6029"/>
    <cellStyle name="Note 3 2 13 2 2" xfId="25001"/>
    <cellStyle name="Note 3 2 13 2 3" xfId="35846"/>
    <cellStyle name="Note 3 2 13 3" xfId="8700"/>
    <cellStyle name="Note 3 2 13 3 2" xfId="27672"/>
    <cellStyle name="Note 3 2 13 3 3" xfId="38517"/>
    <cellStyle name="Note 3 2 13 4" xfId="11359"/>
    <cellStyle name="Note 3 2 13 4 2" xfId="30331"/>
    <cellStyle name="Note 3 2 13 4 3" xfId="41176"/>
    <cellStyle name="Note 3 2 13 5" xfId="22155"/>
    <cellStyle name="Note 3 2 13 6" xfId="33000"/>
    <cellStyle name="Note 3 2 14" xfId="3344"/>
    <cellStyle name="Note 3 2 14 2" xfId="22318"/>
    <cellStyle name="Note 3 2 14 3" xfId="33163"/>
    <cellStyle name="Note 3 2 15" xfId="3231"/>
    <cellStyle name="Note 3 2 15 2" xfId="22208"/>
    <cellStyle name="Note 3 2 15 3" xfId="33053"/>
    <cellStyle name="Note 3 2 16" xfId="6075"/>
    <cellStyle name="Note 3 2 16 2" xfId="25047"/>
    <cellStyle name="Note 3 2 16 3" xfId="35892"/>
    <cellStyle name="Note 3 2 17" xfId="19475"/>
    <cellStyle name="Note 3 2 18" xfId="19520"/>
    <cellStyle name="Note 3 2 2" xfId="686"/>
    <cellStyle name="Note 3 2 2 10" xfId="19671"/>
    <cellStyle name="Note 3 2 2 11" xfId="30516"/>
    <cellStyle name="Note 3 2 2 2" xfId="1273"/>
    <cellStyle name="Note 3 2 2 2 2" xfId="4126"/>
    <cellStyle name="Note 3 2 2 2 2 2" xfId="23098"/>
    <cellStyle name="Note 3 2 2 2 2 3" xfId="33943"/>
    <cellStyle name="Note 3 2 2 2 3" xfId="6799"/>
    <cellStyle name="Note 3 2 2 2 3 2" xfId="25771"/>
    <cellStyle name="Note 3 2 2 2 3 3" xfId="36616"/>
    <cellStyle name="Note 3 2 2 2 4" xfId="9458"/>
    <cellStyle name="Note 3 2 2 2 4 2" xfId="28430"/>
    <cellStyle name="Note 3 2 2 2 4 3" xfId="39275"/>
    <cellStyle name="Note 3 2 2 2 5" xfId="20254"/>
    <cellStyle name="Note 3 2 2 2 6" xfId="31099"/>
    <cellStyle name="Note 3 2 2 3" xfId="1672"/>
    <cellStyle name="Note 3 2 2 3 2" xfId="4525"/>
    <cellStyle name="Note 3 2 2 3 2 2" xfId="23497"/>
    <cellStyle name="Note 3 2 2 3 2 3" xfId="34342"/>
    <cellStyle name="Note 3 2 2 3 3" xfId="7197"/>
    <cellStyle name="Note 3 2 2 3 3 2" xfId="26169"/>
    <cellStyle name="Note 3 2 2 3 3 3" xfId="37014"/>
    <cellStyle name="Note 3 2 2 3 4" xfId="9856"/>
    <cellStyle name="Note 3 2 2 3 4 2" xfId="28828"/>
    <cellStyle name="Note 3 2 2 3 4 3" xfId="39673"/>
    <cellStyle name="Note 3 2 2 3 5" xfId="20652"/>
    <cellStyle name="Note 3 2 2 3 6" xfId="31497"/>
    <cellStyle name="Note 3 2 2 4" xfId="2076"/>
    <cellStyle name="Note 3 2 2 4 2" xfId="4929"/>
    <cellStyle name="Note 3 2 2 4 2 2" xfId="23901"/>
    <cellStyle name="Note 3 2 2 4 2 3" xfId="34746"/>
    <cellStyle name="Note 3 2 2 4 3" xfId="7600"/>
    <cellStyle name="Note 3 2 2 4 3 2" xfId="26572"/>
    <cellStyle name="Note 3 2 2 4 3 3" xfId="37417"/>
    <cellStyle name="Note 3 2 2 4 4" xfId="10259"/>
    <cellStyle name="Note 3 2 2 4 4 2" xfId="29231"/>
    <cellStyle name="Note 3 2 2 4 4 3" xfId="40076"/>
    <cellStyle name="Note 3 2 2 4 5" xfId="21055"/>
    <cellStyle name="Note 3 2 2 4 6" xfId="31900"/>
    <cellStyle name="Note 3 2 2 5" xfId="2466"/>
    <cellStyle name="Note 3 2 2 5 2" xfId="5318"/>
    <cellStyle name="Note 3 2 2 5 2 2" xfId="24290"/>
    <cellStyle name="Note 3 2 2 5 2 3" xfId="35135"/>
    <cellStyle name="Note 3 2 2 5 3" xfId="7989"/>
    <cellStyle name="Note 3 2 2 5 3 2" xfId="26961"/>
    <cellStyle name="Note 3 2 2 5 3 3" xfId="37806"/>
    <cellStyle name="Note 3 2 2 5 4" xfId="10648"/>
    <cellStyle name="Note 3 2 2 5 4 2" xfId="29620"/>
    <cellStyle name="Note 3 2 2 5 4 3" xfId="40465"/>
    <cellStyle name="Note 3 2 2 5 5" xfId="21444"/>
    <cellStyle name="Note 3 2 2 5 6" xfId="32289"/>
    <cellStyle name="Note 3 2 2 6" xfId="2852"/>
    <cellStyle name="Note 3 2 2 6 2" xfId="5703"/>
    <cellStyle name="Note 3 2 2 6 2 2" xfId="24675"/>
    <cellStyle name="Note 3 2 2 6 2 3" xfId="35520"/>
    <cellStyle name="Note 3 2 2 6 3" xfId="8374"/>
    <cellStyle name="Note 3 2 2 6 3 2" xfId="27346"/>
    <cellStyle name="Note 3 2 2 6 3 3" xfId="38191"/>
    <cellStyle name="Note 3 2 2 6 4" xfId="11033"/>
    <cellStyle name="Note 3 2 2 6 4 2" xfId="30005"/>
    <cellStyle name="Note 3 2 2 6 4 3" xfId="40850"/>
    <cellStyle name="Note 3 2 2 6 5" xfId="21829"/>
    <cellStyle name="Note 3 2 2 6 6" xfId="32674"/>
    <cellStyle name="Note 3 2 2 7" xfId="3541"/>
    <cellStyle name="Note 3 2 2 7 2" xfId="22513"/>
    <cellStyle name="Note 3 2 2 7 3" xfId="33358"/>
    <cellStyle name="Note 3 2 2 8" xfId="6216"/>
    <cellStyle name="Note 3 2 2 8 2" xfId="25188"/>
    <cellStyle name="Note 3 2 2 8 3" xfId="36033"/>
    <cellStyle name="Note 3 2 2 9" xfId="8875"/>
    <cellStyle name="Note 3 2 2 9 2" xfId="27847"/>
    <cellStyle name="Note 3 2 2 9 3" xfId="38692"/>
    <cellStyle name="Note 3 2 3" xfId="746"/>
    <cellStyle name="Note 3 2 3 10" xfId="19731"/>
    <cellStyle name="Note 3 2 3 11" xfId="30576"/>
    <cellStyle name="Note 3 2 3 2" xfId="1333"/>
    <cellStyle name="Note 3 2 3 2 2" xfId="4186"/>
    <cellStyle name="Note 3 2 3 2 2 2" xfId="23158"/>
    <cellStyle name="Note 3 2 3 2 2 3" xfId="34003"/>
    <cellStyle name="Note 3 2 3 2 3" xfId="6859"/>
    <cellStyle name="Note 3 2 3 2 3 2" xfId="25831"/>
    <cellStyle name="Note 3 2 3 2 3 3" xfId="36676"/>
    <cellStyle name="Note 3 2 3 2 4" xfId="9518"/>
    <cellStyle name="Note 3 2 3 2 4 2" xfId="28490"/>
    <cellStyle name="Note 3 2 3 2 4 3" xfId="39335"/>
    <cellStyle name="Note 3 2 3 2 5" xfId="20314"/>
    <cellStyle name="Note 3 2 3 2 6" xfId="31159"/>
    <cellStyle name="Note 3 2 3 3" xfId="1732"/>
    <cellStyle name="Note 3 2 3 3 2" xfId="4585"/>
    <cellStyle name="Note 3 2 3 3 2 2" xfId="23557"/>
    <cellStyle name="Note 3 2 3 3 2 3" xfId="34402"/>
    <cellStyle name="Note 3 2 3 3 3" xfId="7257"/>
    <cellStyle name="Note 3 2 3 3 3 2" xfId="26229"/>
    <cellStyle name="Note 3 2 3 3 3 3" xfId="37074"/>
    <cellStyle name="Note 3 2 3 3 4" xfId="9916"/>
    <cellStyle name="Note 3 2 3 3 4 2" xfId="28888"/>
    <cellStyle name="Note 3 2 3 3 4 3" xfId="39733"/>
    <cellStyle name="Note 3 2 3 3 5" xfId="20712"/>
    <cellStyle name="Note 3 2 3 3 6" xfId="31557"/>
    <cellStyle name="Note 3 2 3 4" xfId="2136"/>
    <cellStyle name="Note 3 2 3 4 2" xfId="4989"/>
    <cellStyle name="Note 3 2 3 4 2 2" xfId="23961"/>
    <cellStyle name="Note 3 2 3 4 2 3" xfId="34806"/>
    <cellStyle name="Note 3 2 3 4 3" xfId="7660"/>
    <cellStyle name="Note 3 2 3 4 3 2" xfId="26632"/>
    <cellStyle name="Note 3 2 3 4 3 3" xfId="37477"/>
    <cellStyle name="Note 3 2 3 4 4" xfId="10319"/>
    <cellStyle name="Note 3 2 3 4 4 2" xfId="29291"/>
    <cellStyle name="Note 3 2 3 4 4 3" xfId="40136"/>
    <cellStyle name="Note 3 2 3 4 5" xfId="21115"/>
    <cellStyle name="Note 3 2 3 4 6" xfId="31960"/>
    <cellStyle name="Note 3 2 3 5" xfId="2526"/>
    <cellStyle name="Note 3 2 3 5 2" xfId="5378"/>
    <cellStyle name="Note 3 2 3 5 2 2" xfId="24350"/>
    <cellStyle name="Note 3 2 3 5 2 3" xfId="35195"/>
    <cellStyle name="Note 3 2 3 5 3" xfId="8049"/>
    <cellStyle name="Note 3 2 3 5 3 2" xfId="27021"/>
    <cellStyle name="Note 3 2 3 5 3 3" xfId="37866"/>
    <cellStyle name="Note 3 2 3 5 4" xfId="10708"/>
    <cellStyle name="Note 3 2 3 5 4 2" xfId="29680"/>
    <cellStyle name="Note 3 2 3 5 4 3" xfId="40525"/>
    <cellStyle name="Note 3 2 3 5 5" xfId="21504"/>
    <cellStyle name="Note 3 2 3 5 6" xfId="32349"/>
    <cellStyle name="Note 3 2 3 6" xfId="2912"/>
    <cellStyle name="Note 3 2 3 6 2" xfId="5763"/>
    <cellStyle name="Note 3 2 3 6 2 2" xfId="24735"/>
    <cellStyle name="Note 3 2 3 6 2 3" xfId="35580"/>
    <cellStyle name="Note 3 2 3 6 3" xfId="8434"/>
    <cellStyle name="Note 3 2 3 6 3 2" xfId="27406"/>
    <cellStyle name="Note 3 2 3 6 3 3" xfId="38251"/>
    <cellStyle name="Note 3 2 3 6 4" xfId="11093"/>
    <cellStyle name="Note 3 2 3 6 4 2" xfId="30065"/>
    <cellStyle name="Note 3 2 3 6 4 3" xfId="40910"/>
    <cellStyle name="Note 3 2 3 6 5" xfId="21889"/>
    <cellStyle name="Note 3 2 3 6 6" xfId="32734"/>
    <cellStyle name="Note 3 2 3 7" xfId="3601"/>
    <cellStyle name="Note 3 2 3 7 2" xfId="22573"/>
    <cellStyle name="Note 3 2 3 7 3" xfId="33418"/>
    <cellStyle name="Note 3 2 3 8" xfId="6276"/>
    <cellStyle name="Note 3 2 3 8 2" xfId="25248"/>
    <cellStyle name="Note 3 2 3 8 3" xfId="36093"/>
    <cellStyle name="Note 3 2 3 9" xfId="8935"/>
    <cellStyle name="Note 3 2 3 9 2" xfId="27907"/>
    <cellStyle name="Note 3 2 3 9 3" xfId="38752"/>
    <cellStyle name="Note 3 2 4" xfId="806"/>
    <cellStyle name="Note 3 2 4 10" xfId="19791"/>
    <cellStyle name="Note 3 2 4 11" xfId="30636"/>
    <cellStyle name="Note 3 2 4 2" xfId="1393"/>
    <cellStyle name="Note 3 2 4 2 2" xfId="4246"/>
    <cellStyle name="Note 3 2 4 2 2 2" xfId="23218"/>
    <cellStyle name="Note 3 2 4 2 2 3" xfId="34063"/>
    <cellStyle name="Note 3 2 4 2 3" xfId="6919"/>
    <cellStyle name="Note 3 2 4 2 3 2" xfId="25891"/>
    <cellStyle name="Note 3 2 4 2 3 3" xfId="36736"/>
    <cellStyle name="Note 3 2 4 2 4" xfId="9578"/>
    <cellStyle name="Note 3 2 4 2 4 2" xfId="28550"/>
    <cellStyle name="Note 3 2 4 2 4 3" xfId="39395"/>
    <cellStyle name="Note 3 2 4 2 5" xfId="20374"/>
    <cellStyle name="Note 3 2 4 2 6" xfId="31219"/>
    <cellStyle name="Note 3 2 4 3" xfId="1792"/>
    <cellStyle name="Note 3 2 4 3 2" xfId="4645"/>
    <cellStyle name="Note 3 2 4 3 2 2" xfId="23617"/>
    <cellStyle name="Note 3 2 4 3 2 3" xfId="34462"/>
    <cellStyle name="Note 3 2 4 3 3" xfId="7317"/>
    <cellStyle name="Note 3 2 4 3 3 2" xfId="26289"/>
    <cellStyle name="Note 3 2 4 3 3 3" xfId="37134"/>
    <cellStyle name="Note 3 2 4 3 4" xfId="9976"/>
    <cellStyle name="Note 3 2 4 3 4 2" xfId="28948"/>
    <cellStyle name="Note 3 2 4 3 4 3" xfId="39793"/>
    <cellStyle name="Note 3 2 4 3 5" xfId="20772"/>
    <cellStyle name="Note 3 2 4 3 6" xfId="31617"/>
    <cellStyle name="Note 3 2 4 4" xfId="2196"/>
    <cellStyle name="Note 3 2 4 4 2" xfId="5049"/>
    <cellStyle name="Note 3 2 4 4 2 2" xfId="24021"/>
    <cellStyle name="Note 3 2 4 4 2 3" xfId="34866"/>
    <cellStyle name="Note 3 2 4 4 3" xfId="7720"/>
    <cellStyle name="Note 3 2 4 4 3 2" xfId="26692"/>
    <cellStyle name="Note 3 2 4 4 3 3" xfId="37537"/>
    <cellStyle name="Note 3 2 4 4 4" xfId="10379"/>
    <cellStyle name="Note 3 2 4 4 4 2" xfId="29351"/>
    <cellStyle name="Note 3 2 4 4 4 3" xfId="40196"/>
    <cellStyle name="Note 3 2 4 4 5" xfId="21175"/>
    <cellStyle name="Note 3 2 4 4 6" xfId="32020"/>
    <cellStyle name="Note 3 2 4 5" xfId="2586"/>
    <cellStyle name="Note 3 2 4 5 2" xfId="5438"/>
    <cellStyle name="Note 3 2 4 5 2 2" xfId="24410"/>
    <cellStyle name="Note 3 2 4 5 2 3" xfId="35255"/>
    <cellStyle name="Note 3 2 4 5 3" xfId="8109"/>
    <cellStyle name="Note 3 2 4 5 3 2" xfId="27081"/>
    <cellStyle name="Note 3 2 4 5 3 3" xfId="37926"/>
    <cellStyle name="Note 3 2 4 5 4" xfId="10768"/>
    <cellStyle name="Note 3 2 4 5 4 2" xfId="29740"/>
    <cellStyle name="Note 3 2 4 5 4 3" xfId="40585"/>
    <cellStyle name="Note 3 2 4 5 5" xfId="21564"/>
    <cellStyle name="Note 3 2 4 5 6" xfId="32409"/>
    <cellStyle name="Note 3 2 4 6" xfId="2972"/>
    <cellStyle name="Note 3 2 4 6 2" xfId="5823"/>
    <cellStyle name="Note 3 2 4 6 2 2" xfId="24795"/>
    <cellStyle name="Note 3 2 4 6 2 3" xfId="35640"/>
    <cellStyle name="Note 3 2 4 6 3" xfId="8494"/>
    <cellStyle name="Note 3 2 4 6 3 2" xfId="27466"/>
    <cellStyle name="Note 3 2 4 6 3 3" xfId="38311"/>
    <cellStyle name="Note 3 2 4 6 4" xfId="11153"/>
    <cellStyle name="Note 3 2 4 6 4 2" xfId="30125"/>
    <cellStyle name="Note 3 2 4 6 4 3" xfId="40970"/>
    <cellStyle name="Note 3 2 4 6 5" xfId="21949"/>
    <cellStyle name="Note 3 2 4 6 6" xfId="32794"/>
    <cellStyle name="Note 3 2 4 7" xfId="3661"/>
    <cellStyle name="Note 3 2 4 7 2" xfId="22633"/>
    <cellStyle name="Note 3 2 4 7 3" xfId="33478"/>
    <cellStyle name="Note 3 2 4 8" xfId="6336"/>
    <cellStyle name="Note 3 2 4 8 2" xfId="25308"/>
    <cellStyle name="Note 3 2 4 8 3" xfId="36153"/>
    <cellStyle name="Note 3 2 4 9" xfId="8995"/>
    <cellStyle name="Note 3 2 4 9 2" xfId="27967"/>
    <cellStyle name="Note 3 2 4 9 3" xfId="38812"/>
    <cellStyle name="Note 3 2 5" xfId="865"/>
    <cellStyle name="Note 3 2 5 10" xfId="19850"/>
    <cellStyle name="Note 3 2 5 11" xfId="30695"/>
    <cellStyle name="Note 3 2 5 2" xfId="1452"/>
    <cellStyle name="Note 3 2 5 2 2" xfId="4305"/>
    <cellStyle name="Note 3 2 5 2 2 2" xfId="23277"/>
    <cellStyle name="Note 3 2 5 2 2 3" xfId="34122"/>
    <cellStyle name="Note 3 2 5 2 3" xfId="6978"/>
    <cellStyle name="Note 3 2 5 2 3 2" xfId="25950"/>
    <cellStyle name="Note 3 2 5 2 3 3" xfId="36795"/>
    <cellStyle name="Note 3 2 5 2 4" xfId="9637"/>
    <cellStyle name="Note 3 2 5 2 4 2" xfId="28609"/>
    <cellStyle name="Note 3 2 5 2 4 3" xfId="39454"/>
    <cellStyle name="Note 3 2 5 2 5" xfId="20433"/>
    <cellStyle name="Note 3 2 5 2 6" xfId="31278"/>
    <cellStyle name="Note 3 2 5 3" xfId="1851"/>
    <cellStyle name="Note 3 2 5 3 2" xfId="4704"/>
    <cellStyle name="Note 3 2 5 3 2 2" xfId="23676"/>
    <cellStyle name="Note 3 2 5 3 2 3" xfId="34521"/>
    <cellStyle name="Note 3 2 5 3 3" xfId="7376"/>
    <cellStyle name="Note 3 2 5 3 3 2" xfId="26348"/>
    <cellStyle name="Note 3 2 5 3 3 3" xfId="37193"/>
    <cellStyle name="Note 3 2 5 3 4" xfId="10035"/>
    <cellStyle name="Note 3 2 5 3 4 2" xfId="29007"/>
    <cellStyle name="Note 3 2 5 3 4 3" xfId="39852"/>
    <cellStyle name="Note 3 2 5 3 5" xfId="20831"/>
    <cellStyle name="Note 3 2 5 3 6" xfId="31676"/>
    <cellStyle name="Note 3 2 5 4" xfId="2255"/>
    <cellStyle name="Note 3 2 5 4 2" xfId="5108"/>
    <cellStyle name="Note 3 2 5 4 2 2" xfId="24080"/>
    <cellStyle name="Note 3 2 5 4 2 3" xfId="34925"/>
    <cellStyle name="Note 3 2 5 4 3" xfId="7779"/>
    <cellStyle name="Note 3 2 5 4 3 2" xfId="26751"/>
    <cellStyle name="Note 3 2 5 4 3 3" xfId="37596"/>
    <cellStyle name="Note 3 2 5 4 4" xfId="10438"/>
    <cellStyle name="Note 3 2 5 4 4 2" xfId="29410"/>
    <cellStyle name="Note 3 2 5 4 4 3" xfId="40255"/>
    <cellStyle name="Note 3 2 5 4 5" xfId="21234"/>
    <cellStyle name="Note 3 2 5 4 6" xfId="32079"/>
    <cellStyle name="Note 3 2 5 5" xfId="2645"/>
    <cellStyle name="Note 3 2 5 5 2" xfId="5497"/>
    <cellStyle name="Note 3 2 5 5 2 2" xfId="24469"/>
    <cellStyle name="Note 3 2 5 5 2 3" xfId="35314"/>
    <cellStyle name="Note 3 2 5 5 3" xfId="8168"/>
    <cellStyle name="Note 3 2 5 5 3 2" xfId="27140"/>
    <cellStyle name="Note 3 2 5 5 3 3" xfId="37985"/>
    <cellStyle name="Note 3 2 5 5 4" xfId="10827"/>
    <cellStyle name="Note 3 2 5 5 4 2" xfId="29799"/>
    <cellStyle name="Note 3 2 5 5 4 3" xfId="40644"/>
    <cellStyle name="Note 3 2 5 5 5" xfId="21623"/>
    <cellStyle name="Note 3 2 5 5 6" xfId="32468"/>
    <cellStyle name="Note 3 2 5 6" xfId="3031"/>
    <cellStyle name="Note 3 2 5 6 2" xfId="5882"/>
    <cellStyle name="Note 3 2 5 6 2 2" xfId="24854"/>
    <cellStyle name="Note 3 2 5 6 2 3" xfId="35699"/>
    <cellStyle name="Note 3 2 5 6 3" xfId="8553"/>
    <cellStyle name="Note 3 2 5 6 3 2" xfId="27525"/>
    <cellStyle name="Note 3 2 5 6 3 3" xfId="38370"/>
    <cellStyle name="Note 3 2 5 6 4" xfId="11212"/>
    <cellStyle name="Note 3 2 5 6 4 2" xfId="30184"/>
    <cellStyle name="Note 3 2 5 6 4 3" xfId="41029"/>
    <cellStyle name="Note 3 2 5 6 5" xfId="22008"/>
    <cellStyle name="Note 3 2 5 6 6" xfId="32853"/>
    <cellStyle name="Note 3 2 5 7" xfId="3720"/>
    <cellStyle name="Note 3 2 5 7 2" xfId="22692"/>
    <cellStyle name="Note 3 2 5 7 3" xfId="33537"/>
    <cellStyle name="Note 3 2 5 8" xfId="6395"/>
    <cellStyle name="Note 3 2 5 8 2" xfId="25367"/>
    <cellStyle name="Note 3 2 5 8 3" xfId="36212"/>
    <cellStyle name="Note 3 2 5 9" xfId="9054"/>
    <cellStyle name="Note 3 2 5 9 2" xfId="28026"/>
    <cellStyle name="Note 3 2 5 9 3" xfId="38871"/>
    <cellStyle name="Note 3 2 6" xfId="1087"/>
    <cellStyle name="Note 3 2 6 2" xfId="3940"/>
    <cellStyle name="Note 3 2 6 2 2" xfId="22912"/>
    <cellStyle name="Note 3 2 6 2 3" xfId="33757"/>
    <cellStyle name="Note 3 2 6 3" xfId="6614"/>
    <cellStyle name="Note 3 2 6 3 2" xfId="25586"/>
    <cellStyle name="Note 3 2 6 3 3" xfId="36431"/>
    <cellStyle name="Note 3 2 6 4" xfId="9273"/>
    <cellStyle name="Note 3 2 6 4 2" xfId="28245"/>
    <cellStyle name="Note 3 2 6 4 3" xfId="39090"/>
    <cellStyle name="Note 3 2 6 5" xfId="20069"/>
    <cellStyle name="Note 3 2 6 6" xfId="30914"/>
    <cellStyle name="Note 3 2 7" xfId="906"/>
    <cellStyle name="Note 3 2 7 2" xfId="3761"/>
    <cellStyle name="Note 3 2 7 2 2" xfId="22733"/>
    <cellStyle name="Note 3 2 7 2 3" xfId="33578"/>
    <cellStyle name="Note 3 2 7 3" xfId="6436"/>
    <cellStyle name="Note 3 2 7 3 2" xfId="25408"/>
    <cellStyle name="Note 3 2 7 3 3" xfId="36253"/>
    <cellStyle name="Note 3 2 7 4" xfId="9095"/>
    <cellStyle name="Note 3 2 7 4 2" xfId="28067"/>
    <cellStyle name="Note 3 2 7 4 3" xfId="38912"/>
    <cellStyle name="Note 3 2 7 5" xfId="19891"/>
    <cellStyle name="Note 3 2 7 6" xfId="30736"/>
    <cellStyle name="Note 3 2 8" xfId="1894"/>
    <cellStyle name="Note 3 2 8 2" xfId="4747"/>
    <cellStyle name="Note 3 2 8 2 2" xfId="23719"/>
    <cellStyle name="Note 3 2 8 2 3" xfId="34564"/>
    <cellStyle name="Note 3 2 8 3" xfId="7419"/>
    <cellStyle name="Note 3 2 8 3 2" xfId="26391"/>
    <cellStyle name="Note 3 2 8 3 3" xfId="37236"/>
    <cellStyle name="Note 3 2 8 4" xfId="10078"/>
    <cellStyle name="Note 3 2 8 4 2" xfId="29050"/>
    <cellStyle name="Note 3 2 8 4 3" xfId="39895"/>
    <cellStyle name="Note 3 2 8 5" xfId="20874"/>
    <cellStyle name="Note 3 2 8 6" xfId="31719"/>
    <cellStyle name="Note 3 2 9" xfId="969"/>
    <cellStyle name="Note 3 2 9 2" xfId="3822"/>
    <cellStyle name="Note 3 2 9 2 2" xfId="22794"/>
    <cellStyle name="Note 3 2 9 2 3" xfId="33639"/>
    <cellStyle name="Note 3 2 9 3" xfId="6497"/>
    <cellStyle name="Note 3 2 9 3 2" xfId="25469"/>
    <cellStyle name="Note 3 2 9 3 3" xfId="36314"/>
    <cellStyle name="Note 3 2 9 4" xfId="9156"/>
    <cellStyle name="Note 3 2 9 4 2" xfId="28128"/>
    <cellStyle name="Note 3 2 9 4 3" xfId="38973"/>
    <cellStyle name="Note 3 2 9 5" xfId="19952"/>
    <cellStyle name="Note 3 2 9 6" xfId="30797"/>
    <cellStyle name="Note 3 3" xfId="569"/>
    <cellStyle name="Note 3 3 10" xfId="19579"/>
    <cellStyle name="Note 3 3 11" xfId="30424"/>
    <cellStyle name="Note 3 3 2" xfId="1175"/>
    <cellStyle name="Note 3 3 2 2" xfId="4028"/>
    <cellStyle name="Note 3 3 2 2 2" xfId="23000"/>
    <cellStyle name="Note 3 3 2 2 3" xfId="33845"/>
    <cellStyle name="Note 3 3 2 3" xfId="6701"/>
    <cellStyle name="Note 3 3 2 3 2" xfId="25673"/>
    <cellStyle name="Note 3 3 2 3 3" xfId="36518"/>
    <cellStyle name="Note 3 3 2 4" xfId="9360"/>
    <cellStyle name="Note 3 3 2 4 2" xfId="28332"/>
    <cellStyle name="Note 3 3 2 4 3" xfId="39177"/>
    <cellStyle name="Note 3 3 2 5" xfId="20156"/>
    <cellStyle name="Note 3 3 2 6" xfId="31001"/>
    <cellStyle name="Note 3 3 3" xfId="1572"/>
    <cellStyle name="Note 3 3 3 2" xfId="4425"/>
    <cellStyle name="Note 3 3 3 2 2" xfId="23397"/>
    <cellStyle name="Note 3 3 3 2 3" xfId="34242"/>
    <cellStyle name="Note 3 3 3 3" xfId="7097"/>
    <cellStyle name="Note 3 3 3 3 2" xfId="26069"/>
    <cellStyle name="Note 3 3 3 3 3" xfId="36914"/>
    <cellStyle name="Note 3 3 3 4" xfId="9756"/>
    <cellStyle name="Note 3 3 3 4 2" xfId="28728"/>
    <cellStyle name="Note 3 3 3 4 3" xfId="39573"/>
    <cellStyle name="Note 3 3 3 5" xfId="20552"/>
    <cellStyle name="Note 3 3 3 6" xfId="31397"/>
    <cellStyle name="Note 3 3 4" xfId="1976"/>
    <cellStyle name="Note 3 3 4 2" xfId="4829"/>
    <cellStyle name="Note 3 3 4 2 2" xfId="23801"/>
    <cellStyle name="Note 3 3 4 2 3" xfId="34646"/>
    <cellStyle name="Note 3 3 4 3" xfId="7501"/>
    <cellStyle name="Note 3 3 4 3 2" xfId="26473"/>
    <cellStyle name="Note 3 3 4 3 3" xfId="37318"/>
    <cellStyle name="Note 3 3 4 4" xfId="10160"/>
    <cellStyle name="Note 3 3 4 4 2" xfId="29132"/>
    <cellStyle name="Note 3 3 4 4 3" xfId="39977"/>
    <cellStyle name="Note 3 3 4 5" xfId="20956"/>
    <cellStyle name="Note 3 3 4 6" xfId="31801"/>
    <cellStyle name="Note 3 3 5" xfId="2368"/>
    <cellStyle name="Note 3 3 5 2" xfId="5221"/>
    <cellStyle name="Note 3 3 5 2 2" xfId="24193"/>
    <cellStyle name="Note 3 3 5 2 3" xfId="35038"/>
    <cellStyle name="Note 3 3 5 3" xfId="7892"/>
    <cellStyle name="Note 3 3 5 3 2" xfId="26864"/>
    <cellStyle name="Note 3 3 5 3 3" xfId="37709"/>
    <cellStyle name="Note 3 3 5 4" xfId="10551"/>
    <cellStyle name="Note 3 3 5 4 2" xfId="29523"/>
    <cellStyle name="Note 3 3 5 4 3" xfId="40368"/>
    <cellStyle name="Note 3 3 5 5" xfId="21347"/>
    <cellStyle name="Note 3 3 5 6" xfId="32192"/>
    <cellStyle name="Note 3 3 6" xfId="2757"/>
    <cellStyle name="Note 3 3 6 2" xfId="5609"/>
    <cellStyle name="Note 3 3 6 2 2" xfId="24581"/>
    <cellStyle name="Note 3 3 6 2 3" xfId="35426"/>
    <cellStyle name="Note 3 3 6 3" xfId="8280"/>
    <cellStyle name="Note 3 3 6 3 2" xfId="27252"/>
    <cellStyle name="Note 3 3 6 3 3" xfId="38097"/>
    <cellStyle name="Note 3 3 6 4" xfId="10939"/>
    <cellStyle name="Note 3 3 6 4 2" xfId="29911"/>
    <cellStyle name="Note 3 3 6 4 3" xfId="40756"/>
    <cellStyle name="Note 3 3 6 5" xfId="21735"/>
    <cellStyle name="Note 3 3 6 6" xfId="32580"/>
    <cellStyle name="Note 3 3 7" xfId="3448"/>
    <cellStyle name="Note 3 3 7 2" xfId="22420"/>
    <cellStyle name="Note 3 3 7 3" xfId="33265"/>
    <cellStyle name="Note 3 3 8" xfId="6124"/>
    <cellStyle name="Note 3 3 8 2" xfId="25096"/>
    <cellStyle name="Note 3 3 8 3" xfId="35941"/>
    <cellStyle name="Note 3 3 9" xfId="8783"/>
    <cellStyle name="Note 3 3 9 2" xfId="27755"/>
    <cellStyle name="Note 3 3 9 3" xfId="38600"/>
    <cellStyle name="Note 4" xfId="313"/>
    <cellStyle name="Note 4 2" xfId="425"/>
    <cellStyle name="Note 4 2 10" xfId="2707"/>
    <cellStyle name="Note 4 2 10 2" xfId="5559"/>
    <cellStyle name="Note 4 2 10 2 2" xfId="24531"/>
    <cellStyle name="Note 4 2 10 2 3" xfId="35376"/>
    <cellStyle name="Note 4 2 10 3" xfId="8230"/>
    <cellStyle name="Note 4 2 10 3 2" xfId="27202"/>
    <cellStyle name="Note 4 2 10 3 3" xfId="38047"/>
    <cellStyle name="Note 4 2 10 4" xfId="10889"/>
    <cellStyle name="Note 4 2 10 4 2" xfId="29861"/>
    <cellStyle name="Note 4 2 10 4 3" xfId="40706"/>
    <cellStyle name="Note 4 2 10 5" xfId="21685"/>
    <cellStyle name="Note 4 2 10 6" xfId="32530"/>
    <cellStyle name="Note 4 2 11" xfId="3092"/>
    <cellStyle name="Note 4 2 11 2" xfId="5943"/>
    <cellStyle name="Note 4 2 11 2 2" xfId="24915"/>
    <cellStyle name="Note 4 2 11 2 3" xfId="35760"/>
    <cellStyle name="Note 4 2 11 3" xfId="8614"/>
    <cellStyle name="Note 4 2 11 3 2" xfId="27586"/>
    <cellStyle name="Note 4 2 11 3 3" xfId="38431"/>
    <cellStyle name="Note 4 2 11 4" xfId="11273"/>
    <cellStyle name="Note 4 2 11 4 2" xfId="30245"/>
    <cellStyle name="Note 4 2 11 4 3" xfId="41090"/>
    <cellStyle name="Note 4 2 11 5" xfId="22069"/>
    <cellStyle name="Note 4 2 11 6" xfId="32914"/>
    <cellStyle name="Note 4 2 12" xfId="3149"/>
    <cellStyle name="Note 4 2 12 2" xfId="6000"/>
    <cellStyle name="Note 4 2 12 2 2" xfId="24972"/>
    <cellStyle name="Note 4 2 12 2 3" xfId="35817"/>
    <cellStyle name="Note 4 2 12 3" xfId="8671"/>
    <cellStyle name="Note 4 2 12 3 2" xfId="27643"/>
    <cellStyle name="Note 4 2 12 3 3" xfId="38488"/>
    <cellStyle name="Note 4 2 12 4" xfId="11330"/>
    <cellStyle name="Note 4 2 12 4 2" xfId="30302"/>
    <cellStyle name="Note 4 2 12 4 3" xfId="41147"/>
    <cellStyle name="Note 4 2 12 5" xfId="22126"/>
    <cellStyle name="Note 4 2 12 6" xfId="32971"/>
    <cellStyle name="Note 4 2 13" xfId="3206"/>
    <cellStyle name="Note 4 2 13 2" xfId="6057"/>
    <cellStyle name="Note 4 2 13 2 2" xfId="25029"/>
    <cellStyle name="Note 4 2 13 2 3" xfId="35874"/>
    <cellStyle name="Note 4 2 13 3" xfId="8728"/>
    <cellStyle name="Note 4 2 13 3 2" xfId="27700"/>
    <cellStyle name="Note 4 2 13 3 3" xfId="38545"/>
    <cellStyle name="Note 4 2 13 4" xfId="11387"/>
    <cellStyle name="Note 4 2 13 4 2" xfId="30359"/>
    <cellStyle name="Note 4 2 13 4 3" xfId="41204"/>
    <cellStyle name="Note 4 2 13 5" xfId="22183"/>
    <cellStyle name="Note 4 2 13 6" xfId="33028"/>
    <cellStyle name="Note 4 2 14" xfId="3375"/>
    <cellStyle name="Note 4 2 14 2" xfId="22349"/>
    <cellStyle name="Note 4 2 14 3" xfId="33194"/>
    <cellStyle name="Note 4 2 15" xfId="3264"/>
    <cellStyle name="Note 4 2 15 2" xfId="22238"/>
    <cellStyle name="Note 4 2 15 3" xfId="33083"/>
    <cellStyle name="Note 4 2 16" xfId="3230"/>
    <cellStyle name="Note 4 2 16 2" xfId="22207"/>
    <cellStyle name="Note 4 2 16 3" xfId="33052"/>
    <cellStyle name="Note 4 2 17" xfId="19503"/>
    <cellStyle name="Note 4 2 18" xfId="19424"/>
    <cellStyle name="Note 4 2 2" xfId="716"/>
    <cellStyle name="Note 4 2 2 10" xfId="19701"/>
    <cellStyle name="Note 4 2 2 11" xfId="30546"/>
    <cellStyle name="Note 4 2 2 2" xfId="1303"/>
    <cellStyle name="Note 4 2 2 2 2" xfId="4156"/>
    <cellStyle name="Note 4 2 2 2 2 2" xfId="23128"/>
    <cellStyle name="Note 4 2 2 2 2 3" xfId="33973"/>
    <cellStyle name="Note 4 2 2 2 3" xfId="6829"/>
    <cellStyle name="Note 4 2 2 2 3 2" xfId="25801"/>
    <cellStyle name="Note 4 2 2 2 3 3" xfId="36646"/>
    <cellStyle name="Note 4 2 2 2 4" xfId="9488"/>
    <cellStyle name="Note 4 2 2 2 4 2" xfId="28460"/>
    <cellStyle name="Note 4 2 2 2 4 3" xfId="39305"/>
    <cellStyle name="Note 4 2 2 2 5" xfId="20284"/>
    <cellStyle name="Note 4 2 2 2 6" xfId="31129"/>
    <cellStyle name="Note 4 2 2 3" xfId="1702"/>
    <cellStyle name="Note 4 2 2 3 2" xfId="4555"/>
    <cellStyle name="Note 4 2 2 3 2 2" xfId="23527"/>
    <cellStyle name="Note 4 2 2 3 2 3" xfId="34372"/>
    <cellStyle name="Note 4 2 2 3 3" xfId="7227"/>
    <cellStyle name="Note 4 2 2 3 3 2" xfId="26199"/>
    <cellStyle name="Note 4 2 2 3 3 3" xfId="37044"/>
    <cellStyle name="Note 4 2 2 3 4" xfId="9886"/>
    <cellStyle name="Note 4 2 2 3 4 2" xfId="28858"/>
    <cellStyle name="Note 4 2 2 3 4 3" xfId="39703"/>
    <cellStyle name="Note 4 2 2 3 5" xfId="20682"/>
    <cellStyle name="Note 4 2 2 3 6" xfId="31527"/>
    <cellStyle name="Note 4 2 2 4" xfId="2106"/>
    <cellStyle name="Note 4 2 2 4 2" xfId="4959"/>
    <cellStyle name="Note 4 2 2 4 2 2" xfId="23931"/>
    <cellStyle name="Note 4 2 2 4 2 3" xfId="34776"/>
    <cellStyle name="Note 4 2 2 4 3" xfId="7630"/>
    <cellStyle name="Note 4 2 2 4 3 2" xfId="26602"/>
    <cellStyle name="Note 4 2 2 4 3 3" xfId="37447"/>
    <cellStyle name="Note 4 2 2 4 4" xfId="10289"/>
    <cellStyle name="Note 4 2 2 4 4 2" xfId="29261"/>
    <cellStyle name="Note 4 2 2 4 4 3" xfId="40106"/>
    <cellStyle name="Note 4 2 2 4 5" xfId="21085"/>
    <cellStyle name="Note 4 2 2 4 6" xfId="31930"/>
    <cellStyle name="Note 4 2 2 5" xfId="2496"/>
    <cellStyle name="Note 4 2 2 5 2" xfId="5348"/>
    <cellStyle name="Note 4 2 2 5 2 2" xfId="24320"/>
    <cellStyle name="Note 4 2 2 5 2 3" xfId="35165"/>
    <cellStyle name="Note 4 2 2 5 3" xfId="8019"/>
    <cellStyle name="Note 4 2 2 5 3 2" xfId="26991"/>
    <cellStyle name="Note 4 2 2 5 3 3" xfId="37836"/>
    <cellStyle name="Note 4 2 2 5 4" xfId="10678"/>
    <cellStyle name="Note 4 2 2 5 4 2" xfId="29650"/>
    <cellStyle name="Note 4 2 2 5 4 3" xfId="40495"/>
    <cellStyle name="Note 4 2 2 5 5" xfId="21474"/>
    <cellStyle name="Note 4 2 2 5 6" xfId="32319"/>
    <cellStyle name="Note 4 2 2 6" xfId="2882"/>
    <cellStyle name="Note 4 2 2 6 2" xfId="5733"/>
    <cellStyle name="Note 4 2 2 6 2 2" xfId="24705"/>
    <cellStyle name="Note 4 2 2 6 2 3" xfId="35550"/>
    <cellStyle name="Note 4 2 2 6 3" xfId="8404"/>
    <cellStyle name="Note 4 2 2 6 3 2" xfId="27376"/>
    <cellStyle name="Note 4 2 2 6 3 3" xfId="38221"/>
    <cellStyle name="Note 4 2 2 6 4" xfId="11063"/>
    <cellStyle name="Note 4 2 2 6 4 2" xfId="30035"/>
    <cellStyle name="Note 4 2 2 6 4 3" xfId="40880"/>
    <cellStyle name="Note 4 2 2 6 5" xfId="21859"/>
    <cellStyle name="Note 4 2 2 6 6" xfId="32704"/>
    <cellStyle name="Note 4 2 2 7" xfId="3571"/>
    <cellStyle name="Note 4 2 2 7 2" xfId="22543"/>
    <cellStyle name="Note 4 2 2 7 3" xfId="33388"/>
    <cellStyle name="Note 4 2 2 8" xfId="6246"/>
    <cellStyle name="Note 4 2 2 8 2" xfId="25218"/>
    <cellStyle name="Note 4 2 2 8 3" xfId="36063"/>
    <cellStyle name="Note 4 2 2 9" xfId="8905"/>
    <cellStyle name="Note 4 2 2 9 2" xfId="27877"/>
    <cellStyle name="Note 4 2 2 9 3" xfId="38722"/>
    <cellStyle name="Note 4 2 3" xfId="775"/>
    <cellStyle name="Note 4 2 3 10" xfId="19760"/>
    <cellStyle name="Note 4 2 3 11" xfId="30605"/>
    <cellStyle name="Note 4 2 3 2" xfId="1362"/>
    <cellStyle name="Note 4 2 3 2 2" xfId="4215"/>
    <cellStyle name="Note 4 2 3 2 2 2" xfId="23187"/>
    <cellStyle name="Note 4 2 3 2 2 3" xfId="34032"/>
    <cellStyle name="Note 4 2 3 2 3" xfId="6888"/>
    <cellStyle name="Note 4 2 3 2 3 2" xfId="25860"/>
    <cellStyle name="Note 4 2 3 2 3 3" xfId="36705"/>
    <cellStyle name="Note 4 2 3 2 4" xfId="9547"/>
    <cellStyle name="Note 4 2 3 2 4 2" xfId="28519"/>
    <cellStyle name="Note 4 2 3 2 4 3" xfId="39364"/>
    <cellStyle name="Note 4 2 3 2 5" xfId="20343"/>
    <cellStyle name="Note 4 2 3 2 6" xfId="31188"/>
    <cellStyle name="Note 4 2 3 3" xfId="1761"/>
    <cellStyle name="Note 4 2 3 3 2" xfId="4614"/>
    <cellStyle name="Note 4 2 3 3 2 2" xfId="23586"/>
    <cellStyle name="Note 4 2 3 3 2 3" xfId="34431"/>
    <cellStyle name="Note 4 2 3 3 3" xfId="7286"/>
    <cellStyle name="Note 4 2 3 3 3 2" xfId="26258"/>
    <cellStyle name="Note 4 2 3 3 3 3" xfId="37103"/>
    <cellStyle name="Note 4 2 3 3 4" xfId="9945"/>
    <cellStyle name="Note 4 2 3 3 4 2" xfId="28917"/>
    <cellStyle name="Note 4 2 3 3 4 3" xfId="39762"/>
    <cellStyle name="Note 4 2 3 3 5" xfId="20741"/>
    <cellStyle name="Note 4 2 3 3 6" xfId="31586"/>
    <cellStyle name="Note 4 2 3 4" xfId="2165"/>
    <cellStyle name="Note 4 2 3 4 2" xfId="5018"/>
    <cellStyle name="Note 4 2 3 4 2 2" xfId="23990"/>
    <cellStyle name="Note 4 2 3 4 2 3" xfId="34835"/>
    <cellStyle name="Note 4 2 3 4 3" xfId="7689"/>
    <cellStyle name="Note 4 2 3 4 3 2" xfId="26661"/>
    <cellStyle name="Note 4 2 3 4 3 3" xfId="37506"/>
    <cellStyle name="Note 4 2 3 4 4" xfId="10348"/>
    <cellStyle name="Note 4 2 3 4 4 2" xfId="29320"/>
    <cellStyle name="Note 4 2 3 4 4 3" xfId="40165"/>
    <cellStyle name="Note 4 2 3 4 5" xfId="21144"/>
    <cellStyle name="Note 4 2 3 4 6" xfId="31989"/>
    <cellStyle name="Note 4 2 3 5" xfId="2555"/>
    <cellStyle name="Note 4 2 3 5 2" xfId="5407"/>
    <cellStyle name="Note 4 2 3 5 2 2" xfId="24379"/>
    <cellStyle name="Note 4 2 3 5 2 3" xfId="35224"/>
    <cellStyle name="Note 4 2 3 5 3" xfId="8078"/>
    <cellStyle name="Note 4 2 3 5 3 2" xfId="27050"/>
    <cellStyle name="Note 4 2 3 5 3 3" xfId="37895"/>
    <cellStyle name="Note 4 2 3 5 4" xfId="10737"/>
    <cellStyle name="Note 4 2 3 5 4 2" xfId="29709"/>
    <cellStyle name="Note 4 2 3 5 4 3" xfId="40554"/>
    <cellStyle name="Note 4 2 3 5 5" xfId="21533"/>
    <cellStyle name="Note 4 2 3 5 6" xfId="32378"/>
    <cellStyle name="Note 4 2 3 6" xfId="2941"/>
    <cellStyle name="Note 4 2 3 6 2" xfId="5792"/>
    <cellStyle name="Note 4 2 3 6 2 2" xfId="24764"/>
    <cellStyle name="Note 4 2 3 6 2 3" xfId="35609"/>
    <cellStyle name="Note 4 2 3 6 3" xfId="8463"/>
    <cellStyle name="Note 4 2 3 6 3 2" xfId="27435"/>
    <cellStyle name="Note 4 2 3 6 3 3" xfId="38280"/>
    <cellStyle name="Note 4 2 3 6 4" xfId="11122"/>
    <cellStyle name="Note 4 2 3 6 4 2" xfId="30094"/>
    <cellStyle name="Note 4 2 3 6 4 3" xfId="40939"/>
    <cellStyle name="Note 4 2 3 6 5" xfId="21918"/>
    <cellStyle name="Note 4 2 3 6 6" xfId="32763"/>
    <cellStyle name="Note 4 2 3 7" xfId="3630"/>
    <cellStyle name="Note 4 2 3 7 2" xfId="22602"/>
    <cellStyle name="Note 4 2 3 7 3" xfId="33447"/>
    <cellStyle name="Note 4 2 3 8" xfId="6305"/>
    <cellStyle name="Note 4 2 3 8 2" xfId="25277"/>
    <cellStyle name="Note 4 2 3 8 3" xfId="36122"/>
    <cellStyle name="Note 4 2 3 9" xfId="8964"/>
    <cellStyle name="Note 4 2 3 9 2" xfId="27936"/>
    <cellStyle name="Note 4 2 3 9 3" xfId="38781"/>
    <cellStyle name="Note 4 2 4" xfId="834"/>
    <cellStyle name="Note 4 2 4 10" xfId="19819"/>
    <cellStyle name="Note 4 2 4 11" xfId="30664"/>
    <cellStyle name="Note 4 2 4 2" xfId="1421"/>
    <cellStyle name="Note 4 2 4 2 2" xfId="4274"/>
    <cellStyle name="Note 4 2 4 2 2 2" xfId="23246"/>
    <cellStyle name="Note 4 2 4 2 2 3" xfId="34091"/>
    <cellStyle name="Note 4 2 4 2 3" xfId="6947"/>
    <cellStyle name="Note 4 2 4 2 3 2" xfId="25919"/>
    <cellStyle name="Note 4 2 4 2 3 3" xfId="36764"/>
    <cellStyle name="Note 4 2 4 2 4" xfId="9606"/>
    <cellStyle name="Note 4 2 4 2 4 2" xfId="28578"/>
    <cellStyle name="Note 4 2 4 2 4 3" xfId="39423"/>
    <cellStyle name="Note 4 2 4 2 5" xfId="20402"/>
    <cellStyle name="Note 4 2 4 2 6" xfId="31247"/>
    <cellStyle name="Note 4 2 4 3" xfId="1820"/>
    <cellStyle name="Note 4 2 4 3 2" xfId="4673"/>
    <cellStyle name="Note 4 2 4 3 2 2" xfId="23645"/>
    <cellStyle name="Note 4 2 4 3 2 3" xfId="34490"/>
    <cellStyle name="Note 4 2 4 3 3" xfId="7345"/>
    <cellStyle name="Note 4 2 4 3 3 2" xfId="26317"/>
    <cellStyle name="Note 4 2 4 3 3 3" xfId="37162"/>
    <cellStyle name="Note 4 2 4 3 4" xfId="10004"/>
    <cellStyle name="Note 4 2 4 3 4 2" xfId="28976"/>
    <cellStyle name="Note 4 2 4 3 4 3" xfId="39821"/>
    <cellStyle name="Note 4 2 4 3 5" xfId="20800"/>
    <cellStyle name="Note 4 2 4 3 6" xfId="31645"/>
    <cellStyle name="Note 4 2 4 4" xfId="2224"/>
    <cellStyle name="Note 4 2 4 4 2" xfId="5077"/>
    <cellStyle name="Note 4 2 4 4 2 2" xfId="24049"/>
    <cellStyle name="Note 4 2 4 4 2 3" xfId="34894"/>
    <cellStyle name="Note 4 2 4 4 3" xfId="7748"/>
    <cellStyle name="Note 4 2 4 4 3 2" xfId="26720"/>
    <cellStyle name="Note 4 2 4 4 3 3" xfId="37565"/>
    <cellStyle name="Note 4 2 4 4 4" xfId="10407"/>
    <cellStyle name="Note 4 2 4 4 4 2" xfId="29379"/>
    <cellStyle name="Note 4 2 4 4 4 3" xfId="40224"/>
    <cellStyle name="Note 4 2 4 4 5" xfId="21203"/>
    <cellStyle name="Note 4 2 4 4 6" xfId="32048"/>
    <cellStyle name="Note 4 2 4 5" xfId="2614"/>
    <cellStyle name="Note 4 2 4 5 2" xfId="5466"/>
    <cellStyle name="Note 4 2 4 5 2 2" xfId="24438"/>
    <cellStyle name="Note 4 2 4 5 2 3" xfId="35283"/>
    <cellStyle name="Note 4 2 4 5 3" xfId="8137"/>
    <cellStyle name="Note 4 2 4 5 3 2" xfId="27109"/>
    <cellStyle name="Note 4 2 4 5 3 3" xfId="37954"/>
    <cellStyle name="Note 4 2 4 5 4" xfId="10796"/>
    <cellStyle name="Note 4 2 4 5 4 2" xfId="29768"/>
    <cellStyle name="Note 4 2 4 5 4 3" xfId="40613"/>
    <cellStyle name="Note 4 2 4 5 5" xfId="21592"/>
    <cellStyle name="Note 4 2 4 5 6" xfId="32437"/>
    <cellStyle name="Note 4 2 4 6" xfId="3000"/>
    <cellStyle name="Note 4 2 4 6 2" xfId="5851"/>
    <cellStyle name="Note 4 2 4 6 2 2" xfId="24823"/>
    <cellStyle name="Note 4 2 4 6 2 3" xfId="35668"/>
    <cellStyle name="Note 4 2 4 6 3" xfId="8522"/>
    <cellStyle name="Note 4 2 4 6 3 2" xfId="27494"/>
    <cellStyle name="Note 4 2 4 6 3 3" xfId="38339"/>
    <cellStyle name="Note 4 2 4 6 4" xfId="11181"/>
    <cellStyle name="Note 4 2 4 6 4 2" xfId="30153"/>
    <cellStyle name="Note 4 2 4 6 4 3" xfId="40998"/>
    <cellStyle name="Note 4 2 4 6 5" xfId="21977"/>
    <cellStyle name="Note 4 2 4 6 6" xfId="32822"/>
    <cellStyle name="Note 4 2 4 7" xfId="3689"/>
    <cellStyle name="Note 4 2 4 7 2" xfId="22661"/>
    <cellStyle name="Note 4 2 4 7 3" xfId="33506"/>
    <cellStyle name="Note 4 2 4 8" xfId="6364"/>
    <cellStyle name="Note 4 2 4 8 2" xfId="25336"/>
    <cellStyle name="Note 4 2 4 8 3" xfId="36181"/>
    <cellStyle name="Note 4 2 4 9" xfId="9023"/>
    <cellStyle name="Note 4 2 4 9 2" xfId="27995"/>
    <cellStyle name="Note 4 2 4 9 3" xfId="38840"/>
    <cellStyle name="Note 4 2 5" xfId="893"/>
    <cellStyle name="Note 4 2 5 10" xfId="19878"/>
    <cellStyle name="Note 4 2 5 11" xfId="30723"/>
    <cellStyle name="Note 4 2 5 2" xfId="1480"/>
    <cellStyle name="Note 4 2 5 2 2" xfId="4333"/>
    <cellStyle name="Note 4 2 5 2 2 2" xfId="23305"/>
    <cellStyle name="Note 4 2 5 2 2 3" xfId="34150"/>
    <cellStyle name="Note 4 2 5 2 3" xfId="7006"/>
    <cellStyle name="Note 4 2 5 2 3 2" xfId="25978"/>
    <cellStyle name="Note 4 2 5 2 3 3" xfId="36823"/>
    <cellStyle name="Note 4 2 5 2 4" xfId="9665"/>
    <cellStyle name="Note 4 2 5 2 4 2" xfId="28637"/>
    <cellStyle name="Note 4 2 5 2 4 3" xfId="39482"/>
    <cellStyle name="Note 4 2 5 2 5" xfId="20461"/>
    <cellStyle name="Note 4 2 5 2 6" xfId="31306"/>
    <cellStyle name="Note 4 2 5 3" xfId="1879"/>
    <cellStyle name="Note 4 2 5 3 2" xfId="4732"/>
    <cellStyle name="Note 4 2 5 3 2 2" xfId="23704"/>
    <cellStyle name="Note 4 2 5 3 2 3" xfId="34549"/>
    <cellStyle name="Note 4 2 5 3 3" xfId="7404"/>
    <cellStyle name="Note 4 2 5 3 3 2" xfId="26376"/>
    <cellStyle name="Note 4 2 5 3 3 3" xfId="37221"/>
    <cellStyle name="Note 4 2 5 3 4" xfId="10063"/>
    <cellStyle name="Note 4 2 5 3 4 2" xfId="29035"/>
    <cellStyle name="Note 4 2 5 3 4 3" xfId="39880"/>
    <cellStyle name="Note 4 2 5 3 5" xfId="20859"/>
    <cellStyle name="Note 4 2 5 3 6" xfId="31704"/>
    <cellStyle name="Note 4 2 5 4" xfId="2283"/>
    <cellStyle name="Note 4 2 5 4 2" xfId="5136"/>
    <cellStyle name="Note 4 2 5 4 2 2" xfId="24108"/>
    <cellStyle name="Note 4 2 5 4 2 3" xfId="34953"/>
    <cellStyle name="Note 4 2 5 4 3" xfId="7807"/>
    <cellStyle name="Note 4 2 5 4 3 2" xfId="26779"/>
    <cellStyle name="Note 4 2 5 4 3 3" xfId="37624"/>
    <cellStyle name="Note 4 2 5 4 4" xfId="10466"/>
    <cellStyle name="Note 4 2 5 4 4 2" xfId="29438"/>
    <cellStyle name="Note 4 2 5 4 4 3" xfId="40283"/>
    <cellStyle name="Note 4 2 5 4 5" xfId="21262"/>
    <cellStyle name="Note 4 2 5 4 6" xfId="32107"/>
    <cellStyle name="Note 4 2 5 5" xfId="2673"/>
    <cellStyle name="Note 4 2 5 5 2" xfId="5525"/>
    <cellStyle name="Note 4 2 5 5 2 2" xfId="24497"/>
    <cellStyle name="Note 4 2 5 5 2 3" xfId="35342"/>
    <cellStyle name="Note 4 2 5 5 3" xfId="8196"/>
    <cellStyle name="Note 4 2 5 5 3 2" xfId="27168"/>
    <cellStyle name="Note 4 2 5 5 3 3" xfId="38013"/>
    <cellStyle name="Note 4 2 5 5 4" xfId="10855"/>
    <cellStyle name="Note 4 2 5 5 4 2" xfId="29827"/>
    <cellStyle name="Note 4 2 5 5 4 3" xfId="40672"/>
    <cellStyle name="Note 4 2 5 5 5" xfId="21651"/>
    <cellStyle name="Note 4 2 5 5 6" xfId="32496"/>
    <cellStyle name="Note 4 2 5 6" xfId="3059"/>
    <cellStyle name="Note 4 2 5 6 2" xfId="5910"/>
    <cellStyle name="Note 4 2 5 6 2 2" xfId="24882"/>
    <cellStyle name="Note 4 2 5 6 2 3" xfId="35727"/>
    <cellStyle name="Note 4 2 5 6 3" xfId="8581"/>
    <cellStyle name="Note 4 2 5 6 3 2" xfId="27553"/>
    <cellStyle name="Note 4 2 5 6 3 3" xfId="38398"/>
    <cellStyle name="Note 4 2 5 6 4" xfId="11240"/>
    <cellStyle name="Note 4 2 5 6 4 2" xfId="30212"/>
    <cellStyle name="Note 4 2 5 6 4 3" xfId="41057"/>
    <cellStyle name="Note 4 2 5 6 5" xfId="22036"/>
    <cellStyle name="Note 4 2 5 6 6" xfId="32881"/>
    <cellStyle name="Note 4 2 5 7" xfId="3748"/>
    <cellStyle name="Note 4 2 5 7 2" xfId="22720"/>
    <cellStyle name="Note 4 2 5 7 3" xfId="33565"/>
    <cellStyle name="Note 4 2 5 8" xfId="6423"/>
    <cellStyle name="Note 4 2 5 8 2" xfId="25395"/>
    <cellStyle name="Note 4 2 5 8 3" xfId="36240"/>
    <cellStyle name="Note 4 2 5 9" xfId="9082"/>
    <cellStyle name="Note 4 2 5 9 2" xfId="28054"/>
    <cellStyle name="Note 4 2 5 9 3" xfId="38899"/>
    <cellStyle name="Note 4 2 6" xfId="1123"/>
    <cellStyle name="Note 4 2 6 2" xfId="3976"/>
    <cellStyle name="Note 4 2 6 2 2" xfId="22948"/>
    <cellStyle name="Note 4 2 6 2 3" xfId="33793"/>
    <cellStyle name="Note 4 2 6 3" xfId="6649"/>
    <cellStyle name="Note 4 2 6 3 2" xfId="25621"/>
    <cellStyle name="Note 4 2 6 3 3" xfId="36466"/>
    <cellStyle name="Note 4 2 6 4" xfId="9308"/>
    <cellStyle name="Note 4 2 6 4 2" xfId="28280"/>
    <cellStyle name="Note 4 2 6 4 3" xfId="39125"/>
    <cellStyle name="Note 4 2 6 5" xfId="20104"/>
    <cellStyle name="Note 4 2 6 6" xfId="30949"/>
    <cellStyle name="Note 4 2 7" xfId="1519"/>
    <cellStyle name="Note 4 2 7 2" xfId="4372"/>
    <cellStyle name="Note 4 2 7 2 2" xfId="23344"/>
    <cellStyle name="Note 4 2 7 2 3" xfId="34189"/>
    <cellStyle name="Note 4 2 7 3" xfId="7045"/>
    <cellStyle name="Note 4 2 7 3 2" xfId="26017"/>
    <cellStyle name="Note 4 2 7 3 3" xfId="36862"/>
    <cellStyle name="Note 4 2 7 4" xfId="9704"/>
    <cellStyle name="Note 4 2 7 4 2" xfId="28676"/>
    <cellStyle name="Note 4 2 7 4 3" xfId="39521"/>
    <cellStyle name="Note 4 2 7 5" xfId="20500"/>
    <cellStyle name="Note 4 2 7 6" xfId="31345"/>
    <cellStyle name="Note 4 2 8" xfId="1925"/>
    <cellStyle name="Note 4 2 8 2" xfId="4778"/>
    <cellStyle name="Note 4 2 8 2 2" xfId="23750"/>
    <cellStyle name="Note 4 2 8 2 3" xfId="34595"/>
    <cellStyle name="Note 4 2 8 3" xfId="7450"/>
    <cellStyle name="Note 4 2 8 3 2" xfId="26422"/>
    <cellStyle name="Note 4 2 8 3 3" xfId="37267"/>
    <cellStyle name="Note 4 2 8 4" xfId="10109"/>
    <cellStyle name="Note 4 2 8 4 2" xfId="29081"/>
    <cellStyle name="Note 4 2 8 4 3" xfId="39926"/>
    <cellStyle name="Note 4 2 8 5" xfId="20905"/>
    <cellStyle name="Note 4 2 8 6" xfId="31750"/>
    <cellStyle name="Note 4 2 9" xfId="2318"/>
    <cellStyle name="Note 4 2 9 2" xfId="5171"/>
    <cellStyle name="Note 4 2 9 2 2" xfId="24143"/>
    <cellStyle name="Note 4 2 9 2 3" xfId="34988"/>
    <cellStyle name="Note 4 2 9 3" xfId="7842"/>
    <cellStyle name="Note 4 2 9 3 2" xfId="26814"/>
    <cellStyle name="Note 4 2 9 3 3" xfId="37659"/>
    <cellStyle name="Note 4 2 9 4" xfId="10501"/>
    <cellStyle name="Note 4 2 9 4 2" xfId="29473"/>
    <cellStyle name="Note 4 2 9 4 3" xfId="40318"/>
    <cellStyle name="Note 4 2 9 5" xfId="21297"/>
    <cellStyle name="Note 4 2 9 6" xfId="32142"/>
    <cellStyle name="Note 4 3" xfId="613"/>
    <cellStyle name="Note 4 3 10" xfId="19620"/>
    <cellStyle name="Note 4 3 11" xfId="30465"/>
    <cellStyle name="Note 4 3 2" xfId="1217"/>
    <cellStyle name="Note 4 3 2 2" xfId="4070"/>
    <cellStyle name="Note 4 3 2 2 2" xfId="23042"/>
    <cellStyle name="Note 4 3 2 2 3" xfId="33887"/>
    <cellStyle name="Note 4 3 2 3" xfId="6743"/>
    <cellStyle name="Note 4 3 2 3 2" xfId="25715"/>
    <cellStyle name="Note 4 3 2 3 3" xfId="36560"/>
    <cellStyle name="Note 4 3 2 4" xfId="9402"/>
    <cellStyle name="Note 4 3 2 4 2" xfId="28374"/>
    <cellStyle name="Note 4 3 2 4 3" xfId="39219"/>
    <cellStyle name="Note 4 3 2 5" xfId="20198"/>
    <cellStyle name="Note 4 3 2 6" xfId="31043"/>
    <cellStyle name="Note 4 3 3" xfId="1615"/>
    <cellStyle name="Note 4 3 3 2" xfId="4468"/>
    <cellStyle name="Note 4 3 3 2 2" xfId="23440"/>
    <cellStyle name="Note 4 3 3 2 3" xfId="34285"/>
    <cellStyle name="Note 4 3 3 3" xfId="7140"/>
    <cellStyle name="Note 4 3 3 3 2" xfId="26112"/>
    <cellStyle name="Note 4 3 3 3 3" xfId="36957"/>
    <cellStyle name="Note 4 3 3 4" xfId="9799"/>
    <cellStyle name="Note 4 3 3 4 2" xfId="28771"/>
    <cellStyle name="Note 4 3 3 4 3" xfId="39616"/>
    <cellStyle name="Note 4 3 3 5" xfId="20595"/>
    <cellStyle name="Note 4 3 3 6" xfId="31440"/>
    <cellStyle name="Note 4 3 4" xfId="2017"/>
    <cellStyle name="Note 4 3 4 2" xfId="4870"/>
    <cellStyle name="Note 4 3 4 2 2" xfId="23842"/>
    <cellStyle name="Note 4 3 4 2 3" xfId="34687"/>
    <cellStyle name="Note 4 3 4 3" xfId="7542"/>
    <cellStyle name="Note 4 3 4 3 2" xfId="26514"/>
    <cellStyle name="Note 4 3 4 3 3" xfId="37359"/>
    <cellStyle name="Note 4 3 4 4" xfId="10201"/>
    <cellStyle name="Note 4 3 4 4 2" xfId="29173"/>
    <cellStyle name="Note 4 3 4 4 3" xfId="40018"/>
    <cellStyle name="Note 4 3 4 5" xfId="20997"/>
    <cellStyle name="Note 4 3 4 6" xfId="31842"/>
    <cellStyle name="Note 4 3 5" xfId="2409"/>
    <cellStyle name="Note 4 3 5 2" xfId="5262"/>
    <cellStyle name="Note 4 3 5 2 2" xfId="24234"/>
    <cellStyle name="Note 4 3 5 2 3" xfId="35079"/>
    <cellStyle name="Note 4 3 5 3" xfId="7933"/>
    <cellStyle name="Note 4 3 5 3 2" xfId="26905"/>
    <cellStyle name="Note 4 3 5 3 3" xfId="37750"/>
    <cellStyle name="Note 4 3 5 4" xfId="10592"/>
    <cellStyle name="Note 4 3 5 4 2" xfId="29564"/>
    <cellStyle name="Note 4 3 5 4 3" xfId="40409"/>
    <cellStyle name="Note 4 3 5 5" xfId="21388"/>
    <cellStyle name="Note 4 3 5 6" xfId="32233"/>
    <cellStyle name="Note 4 3 6" xfId="2798"/>
    <cellStyle name="Note 4 3 6 2" xfId="5650"/>
    <cellStyle name="Note 4 3 6 2 2" xfId="24622"/>
    <cellStyle name="Note 4 3 6 2 3" xfId="35467"/>
    <cellStyle name="Note 4 3 6 3" xfId="8321"/>
    <cellStyle name="Note 4 3 6 3 2" xfId="27293"/>
    <cellStyle name="Note 4 3 6 3 3" xfId="38138"/>
    <cellStyle name="Note 4 3 6 4" xfId="10980"/>
    <cellStyle name="Note 4 3 6 4 2" xfId="29952"/>
    <cellStyle name="Note 4 3 6 4 3" xfId="40797"/>
    <cellStyle name="Note 4 3 6 5" xfId="21776"/>
    <cellStyle name="Note 4 3 6 6" xfId="32621"/>
    <cellStyle name="Note 4 3 7" xfId="3489"/>
    <cellStyle name="Note 4 3 7 2" xfId="22461"/>
    <cellStyle name="Note 4 3 7 3" xfId="33306"/>
    <cellStyle name="Note 4 3 8" xfId="6165"/>
    <cellStyle name="Note 4 3 8 2" xfId="25137"/>
    <cellStyle name="Note 4 3 8 3" xfId="35982"/>
    <cellStyle name="Note 4 3 9" xfId="8824"/>
    <cellStyle name="Note 4 3 9 2" xfId="27796"/>
    <cellStyle name="Note 4 3 9 3" xfId="38641"/>
    <cellStyle name="Note 5" xfId="314"/>
    <cellStyle name="Note 5 2" xfId="426"/>
    <cellStyle name="Note 5 2 10" xfId="2708"/>
    <cellStyle name="Note 5 2 10 2" xfId="5560"/>
    <cellStyle name="Note 5 2 10 2 2" xfId="24532"/>
    <cellStyle name="Note 5 2 10 2 3" xfId="35377"/>
    <cellStyle name="Note 5 2 10 3" xfId="8231"/>
    <cellStyle name="Note 5 2 10 3 2" xfId="27203"/>
    <cellStyle name="Note 5 2 10 3 3" xfId="38048"/>
    <cellStyle name="Note 5 2 10 4" xfId="10890"/>
    <cellStyle name="Note 5 2 10 4 2" xfId="29862"/>
    <cellStyle name="Note 5 2 10 4 3" xfId="40707"/>
    <cellStyle name="Note 5 2 10 5" xfId="21686"/>
    <cellStyle name="Note 5 2 10 6" xfId="32531"/>
    <cellStyle name="Note 5 2 11" xfId="3093"/>
    <cellStyle name="Note 5 2 11 2" xfId="5944"/>
    <cellStyle name="Note 5 2 11 2 2" xfId="24916"/>
    <cellStyle name="Note 5 2 11 2 3" xfId="35761"/>
    <cellStyle name="Note 5 2 11 3" xfId="8615"/>
    <cellStyle name="Note 5 2 11 3 2" xfId="27587"/>
    <cellStyle name="Note 5 2 11 3 3" xfId="38432"/>
    <cellStyle name="Note 5 2 11 4" xfId="11274"/>
    <cellStyle name="Note 5 2 11 4 2" xfId="30246"/>
    <cellStyle name="Note 5 2 11 4 3" xfId="41091"/>
    <cellStyle name="Note 5 2 11 5" xfId="22070"/>
    <cellStyle name="Note 5 2 11 6" xfId="32915"/>
    <cellStyle name="Note 5 2 12" xfId="3150"/>
    <cellStyle name="Note 5 2 12 2" xfId="6001"/>
    <cellStyle name="Note 5 2 12 2 2" xfId="24973"/>
    <cellStyle name="Note 5 2 12 2 3" xfId="35818"/>
    <cellStyle name="Note 5 2 12 3" xfId="8672"/>
    <cellStyle name="Note 5 2 12 3 2" xfId="27644"/>
    <cellStyle name="Note 5 2 12 3 3" xfId="38489"/>
    <cellStyle name="Note 5 2 12 4" xfId="11331"/>
    <cellStyle name="Note 5 2 12 4 2" xfId="30303"/>
    <cellStyle name="Note 5 2 12 4 3" xfId="41148"/>
    <cellStyle name="Note 5 2 12 5" xfId="22127"/>
    <cellStyle name="Note 5 2 12 6" xfId="32972"/>
    <cellStyle name="Note 5 2 13" xfId="3207"/>
    <cellStyle name="Note 5 2 13 2" xfId="6058"/>
    <cellStyle name="Note 5 2 13 2 2" xfId="25030"/>
    <cellStyle name="Note 5 2 13 2 3" xfId="35875"/>
    <cellStyle name="Note 5 2 13 3" xfId="8729"/>
    <cellStyle name="Note 5 2 13 3 2" xfId="27701"/>
    <cellStyle name="Note 5 2 13 3 3" xfId="38546"/>
    <cellStyle name="Note 5 2 13 4" xfId="11388"/>
    <cellStyle name="Note 5 2 13 4 2" xfId="30360"/>
    <cellStyle name="Note 5 2 13 4 3" xfId="41205"/>
    <cellStyle name="Note 5 2 13 5" xfId="22184"/>
    <cellStyle name="Note 5 2 13 6" xfId="33029"/>
    <cellStyle name="Note 5 2 14" xfId="3376"/>
    <cellStyle name="Note 5 2 14 2" xfId="22350"/>
    <cellStyle name="Note 5 2 14 3" xfId="33195"/>
    <cellStyle name="Note 5 2 15" xfId="3279"/>
    <cellStyle name="Note 5 2 15 2" xfId="22253"/>
    <cellStyle name="Note 5 2 15 3" xfId="33098"/>
    <cellStyle name="Note 5 2 16" xfId="3293"/>
    <cellStyle name="Note 5 2 16 2" xfId="22267"/>
    <cellStyle name="Note 5 2 16 3" xfId="33112"/>
    <cellStyle name="Note 5 2 17" xfId="19504"/>
    <cellStyle name="Note 5 2 18" xfId="19384"/>
    <cellStyle name="Note 5 2 2" xfId="717"/>
    <cellStyle name="Note 5 2 2 10" xfId="19702"/>
    <cellStyle name="Note 5 2 2 11" xfId="30547"/>
    <cellStyle name="Note 5 2 2 2" xfId="1304"/>
    <cellStyle name="Note 5 2 2 2 2" xfId="4157"/>
    <cellStyle name="Note 5 2 2 2 2 2" xfId="23129"/>
    <cellStyle name="Note 5 2 2 2 2 3" xfId="33974"/>
    <cellStyle name="Note 5 2 2 2 3" xfId="6830"/>
    <cellStyle name="Note 5 2 2 2 3 2" xfId="25802"/>
    <cellStyle name="Note 5 2 2 2 3 3" xfId="36647"/>
    <cellStyle name="Note 5 2 2 2 4" xfId="9489"/>
    <cellStyle name="Note 5 2 2 2 4 2" xfId="28461"/>
    <cellStyle name="Note 5 2 2 2 4 3" xfId="39306"/>
    <cellStyle name="Note 5 2 2 2 5" xfId="20285"/>
    <cellStyle name="Note 5 2 2 2 6" xfId="31130"/>
    <cellStyle name="Note 5 2 2 3" xfId="1703"/>
    <cellStyle name="Note 5 2 2 3 2" xfId="4556"/>
    <cellStyle name="Note 5 2 2 3 2 2" xfId="23528"/>
    <cellStyle name="Note 5 2 2 3 2 3" xfId="34373"/>
    <cellStyle name="Note 5 2 2 3 3" xfId="7228"/>
    <cellStyle name="Note 5 2 2 3 3 2" xfId="26200"/>
    <cellStyle name="Note 5 2 2 3 3 3" xfId="37045"/>
    <cellStyle name="Note 5 2 2 3 4" xfId="9887"/>
    <cellStyle name="Note 5 2 2 3 4 2" xfId="28859"/>
    <cellStyle name="Note 5 2 2 3 4 3" xfId="39704"/>
    <cellStyle name="Note 5 2 2 3 5" xfId="20683"/>
    <cellStyle name="Note 5 2 2 3 6" xfId="31528"/>
    <cellStyle name="Note 5 2 2 4" xfId="2107"/>
    <cellStyle name="Note 5 2 2 4 2" xfId="4960"/>
    <cellStyle name="Note 5 2 2 4 2 2" xfId="23932"/>
    <cellStyle name="Note 5 2 2 4 2 3" xfId="34777"/>
    <cellStyle name="Note 5 2 2 4 3" xfId="7631"/>
    <cellStyle name="Note 5 2 2 4 3 2" xfId="26603"/>
    <cellStyle name="Note 5 2 2 4 3 3" xfId="37448"/>
    <cellStyle name="Note 5 2 2 4 4" xfId="10290"/>
    <cellStyle name="Note 5 2 2 4 4 2" xfId="29262"/>
    <cellStyle name="Note 5 2 2 4 4 3" xfId="40107"/>
    <cellStyle name="Note 5 2 2 4 5" xfId="21086"/>
    <cellStyle name="Note 5 2 2 4 6" xfId="31931"/>
    <cellStyle name="Note 5 2 2 5" xfId="2497"/>
    <cellStyle name="Note 5 2 2 5 2" xfId="5349"/>
    <cellStyle name="Note 5 2 2 5 2 2" xfId="24321"/>
    <cellStyle name="Note 5 2 2 5 2 3" xfId="35166"/>
    <cellStyle name="Note 5 2 2 5 3" xfId="8020"/>
    <cellStyle name="Note 5 2 2 5 3 2" xfId="26992"/>
    <cellStyle name="Note 5 2 2 5 3 3" xfId="37837"/>
    <cellStyle name="Note 5 2 2 5 4" xfId="10679"/>
    <cellStyle name="Note 5 2 2 5 4 2" xfId="29651"/>
    <cellStyle name="Note 5 2 2 5 4 3" xfId="40496"/>
    <cellStyle name="Note 5 2 2 5 5" xfId="21475"/>
    <cellStyle name="Note 5 2 2 5 6" xfId="32320"/>
    <cellStyle name="Note 5 2 2 6" xfId="2883"/>
    <cellStyle name="Note 5 2 2 6 2" xfId="5734"/>
    <cellStyle name="Note 5 2 2 6 2 2" xfId="24706"/>
    <cellStyle name="Note 5 2 2 6 2 3" xfId="35551"/>
    <cellStyle name="Note 5 2 2 6 3" xfId="8405"/>
    <cellStyle name="Note 5 2 2 6 3 2" xfId="27377"/>
    <cellStyle name="Note 5 2 2 6 3 3" xfId="38222"/>
    <cellStyle name="Note 5 2 2 6 4" xfId="11064"/>
    <cellStyle name="Note 5 2 2 6 4 2" xfId="30036"/>
    <cellStyle name="Note 5 2 2 6 4 3" xfId="40881"/>
    <cellStyle name="Note 5 2 2 6 5" xfId="21860"/>
    <cellStyle name="Note 5 2 2 6 6" xfId="32705"/>
    <cellStyle name="Note 5 2 2 7" xfId="3572"/>
    <cellStyle name="Note 5 2 2 7 2" xfId="22544"/>
    <cellStyle name="Note 5 2 2 7 3" xfId="33389"/>
    <cellStyle name="Note 5 2 2 8" xfId="6247"/>
    <cellStyle name="Note 5 2 2 8 2" xfId="25219"/>
    <cellStyle name="Note 5 2 2 8 3" xfId="36064"/>
    <cellStyle name="Note 5 2 2 9" xfId="8906"/>
    <cellStyle name="Note 5 2 2 9 2" xfId="27878"/>
    <cellStyle name="Note 5 2 2 9 3" xfId="38723"/>
    <cellStyle name="Note 5 2 3" xfId="776"/>
    <cellStyle name="Note 5 2 3 10" xfId="19761"/>
    <cellStyle name="Note 5 2 3 11" xfId="30606"/>
    <cellStyle name="Note 5 2 3 2" xfId="1363"/>
    <cellStyle name="Note 5 2 3 2 2" xfId="4216"/>
    <cellStyle name="Note 5 2 3 2 2 2" xfId="23188"/>
    <cellStyle name="Note 5 2 3 2 2 3" xfId="34033"/>
    <cellStyle name="Note 5 2 3 2 3" xfId="6889"/>
    <cellStyle name="Note 5 2 3 2 3 2" xfId="25861"/>
    <cellStyle name="Note 5 2 3 2 3 3" xfId="36706"/>
    <cellStyle name="Note 5 2 3 2 4" xfId="9548"/>
    <cellStyle name="Note 5 2 3 2 4 2" xfId="28520"/>
    <cellStyle name="Note 5 2 3 2 4 3" xfId="39365"/>
    <cellStyle name="Note 5 2 3 2 5" xfId="20344"/>
    <cellStyle name="Note 5 2 3 2 6" xfId="31189"/>
    <cellStyle name="Note 5 2 3 3" xfId="1762"/>
    <cellStyle name="Note 5 2 3 3 2" xfId="4615"/>
    <cellStyle name="Note 5 2 3 3 2 2" xfId="23587"/>
    <cellStyle name="Note 5 2 3 3 2 3" xfId="34432"/>
    <cellStyle name="Note 5 2 3 3 3" xfId="7287"/>
    <cellStyle name="Note 5 2 3 3 3 2" xfId="26259"/>
    <cellStyle name="Note 5 2 3 3 3 3" xfId="37104"/>
    <cellStyle name="Note 5 2 3 3 4" xfId="9946"/>
    <cellStyle name="Note 5 2 3 3 4 2" xfId="28918"/>
    <cellStyle name="Note 5 2 3 3 4 3" xfId="39763"/>
    <cellStyle name="Note 5 2 3 3 5" xfId="20742"/>
    <cellStyle name="Note 5 2 3 3 6" xfId="31587"/>
    <cellStyle name="Note 5 2 3 4" xfId="2166"/>
    <cellStyle name="Note 5 2 3 4 2" xfId="5019"/>
    <cellStyle name="Note 5 2 3 4 2 2" xfId="23991"/>
    <cellStyle name="Note 5 2 3 4 2 3" xfId="34836"/>
    <cellStyle name="Note 5 2 3 4 3" xfId="7690"/>
    <cellStyle name="Note 5 2 3 4 3 2" xfId="26662"/>
    <cellStyle name="Note 5 2 3 4 3 3" xfId="37507"/>
    <cellStyle name="Note 5 2 3 4 4" xfId="10349"/>
    <cellStyle name="Note 5 2 3 4 4 2" xfId="29321"/>
    <cellStyle name="Note 5 2 3 4 4 3" xfId="40166"/>
    <cellStyle name="Note 5 2 3 4 5" xfId="21145"/>
    <cellStyle name="Note 5 2 3 4 6" xfId="31990"/>
    <cellStyle name="Note 5 2 3 5" xfId="2556"/>
    <cellStyle name="Note 5 2 3 5 2" xfId="5408"/>
    <cellStyle name="Note 5 2 3 5 2 2" xfId="24380"/>
    <cellStyle name="Note 5 2 3 5 2 3" xfId="35225"/>
    <cellStyle name="Note 5 2 3 5 3" xfId="8079"/>
    <cellStyle name="Note 5 2 3 5 3 2" xfId="27051"/>
    <cellStyle name="Note 5 2 3 5 3 3" xfId="37896"/>
    <cellStyle name="Note 5 2 3 5 4" xfId="10738"/>
    <cellStyle name="Note 5 2 3 5 4 2" xfId="29710"/>
    <cellStyle name="Note 5 2 3 5 4 3" xfId="40555"/>
    <cellStyle name="Note 5 2 3 5 5" xfId="21534"/>
    <cellStyle name="Note 5 2 3 5 6" xfId="32379"/>
    <cellStyle name="Note 5 2 3 6" xfId="2942"/>
    <cellStyle name="Note 5 2 3 6 2" xfId="5793"/>
    <cellStyle name="Note 5 2 3 6 2 2" xfId="24765"/>
    <cellStyle name="Note 5 2 3 6 2 3" xfId="35610"/>
    <cellStyle name="Note 5 2 3 6 3" xfId="8464"/>
    <cellStyle name="Note 5 2 3 6 3 2" xfId="27436"/>
    <cellStyle name="Note 5 2 3 6 3 3" xfId="38281"/>
    <cellStyle name="Note 5 2 3 6 4" xfId="11123"/>
    <cellStyle name="Note 5 2 3 6 4 2" xfId="30095"/>
    <cellStyle name="Note 5 2 3 6 4 3" xfId="40940"/>
    <cellStyle name="Note 5 2 3 6 5" xfId="21919"/>
    <cellStyle name="Note 5 2 3 6 6" xfId="32764"/>
    <cellStyle name="Note 5 2 3 7" xfId="3631"/>
    <cellStyle name="Note 5 2 3 7 2" xfId="22603"/>
    <cellStyle name="Note 5 2 3 7 3" xfId="33448"/>
    <cellStyle name="Note 5 2 3 8" xfId="6306"/>
    <cellStyle name="Note 5 2 3 8 2" xfId="25278"/>
    <cellStyle name="Note 5 2 3 8 3" xfId="36123"/>
    <cellStyle name="Note 5 2 3 9" xfId="8965"/>
    <cellStyle name="Note 5 2 3 9 2" xfId="27937"/>
    <cellStyle name="Note 5 2 3 9 3" xfId="38782"/>
    <cellStyle name="Note 5 2 4" xfId="835"/>
    <cellStyle name="Note 5 2 4 10" xfId="19820"/>
    <cellStyle name="Note 5 2 4 11" xfId="30665"/>
    <cellStyle name="Note 5 2 4 2" xfId="1422"/>
    <cellStyle name="Note 5 2 4 2 2" xfId="4275"/>
    <cellStyle name="Note 5 2 4 2 2 2" xfId="23247"/>
    <cellStyle name="Note 5 2 4 2 2 3" xfId="34092"/>
    <cellStyle name="Note 5 2 4 2 3" xfId="6948"/>
    <cellStyle name="Note 5 2 4 2 3 2" xfId="25920"/>
    <cellStyle name="Note 5 2 4 2 3 3" xfId="36765"/>
    <cellStyle name="Note 5 2 4 2 4" xfId="9607"/>
    <cellStyle name="Note 5 2 4 2 4 2" xfId="28579"/>
    <cellStyle name="Note 5 2 4 2 4 3" xfId="39424"/>
    <cellStyle name="Note 5 2 4 2 5" xfId="20403"/>
    <cellStyle name="Note 5 2 4 2 6" xfId="31248"/>
    <cellStyle name="Note 5 2 4 3" xfId="1821"/>
    <cellStyle name="Note 5 2 4 3 2" xfId="4674"/>
    <cellStyle name="Note 5 2 4 3 2 2" xfId="23646"/>
    <cellStyle name="Note 5 2 4 3 2 3" xfId="34491"/>
    <cellStyle name="Note 5 2 4 3 3" xfId="7346"/>
    <cellStyle name="Note 5 2 4 3 3 2" xfId="26318"/>
    <cellStyle name="Note 5 2 4 3 3 3" xfId="37163"/>
    <cellStyle name="Note 5 2 4 3 4" xfId="10005"/>
    <cellStyle name="Note 5 2 4 3 4 2" xfId="28977"/>
    <cellStyle name="Note 5 2 4 3 4 3" xfId="39822"/>
    <cellStyle name="Note 5 2 4 3 5" xfId="20801"/>
    <cellStyle name="Note 5 2 4 3 6" xfId="31646"/>
    <cellStyle name="Note 5 2 4 4" xfId="2225"/>
    <cellStyle name="Note 5 2 4 4 2" xfId="5078"/>
    <cellStyle name="Note 5 2 4 4 2 2" xfId="24050"/>
    <cellStyle name="Note 5 2 4 4 2 3" xfId="34895"/>
    <cellStyle name="Note 5 2 4 4 3" xfId="7749"/>
    <cellStyle name="Note 5 2 4 4 3 2" xfId="26721"/>
    <cellStyle name="Note 5 2 4 4 3 3" xfId="37566"/>
    <cellStyle name="Note 5 2 4 4 4" xfId="10408"/>
    <cellStyle name="Note 5 2 4 4 4 2" xfId="29380"/>
    <cellStyle name="Note 5 2 4 4 4 3" xfId="40225"/>
    <cellStyle name="Note 5 2 4 4 5" xfId="21204"/>
    <cellStyle name="Note 5 2 4 4 6" xfId="32049"/>
    <cellStyle name="Note 5 2 4 5" xfId="2615"/>
    <cellStyle name="Note 5 2 4 5 2" xfId="5467"/>
    <cellStyle name="Note 5 2 4 5 2 2" xfId="24439"/>
    <cellStyle name="Note 5 2 4 5 2 3" xfId="35284"/>
    <cellStyle name="Note 5 2 4 5 3" xfId="8138"/>
    <cellStyle name="Note 5 2 4 5 3 2" xfId="27110"/>
    <cellStyle name="Note 5 2 4 5 3 3" xfId="37955"/>
    <cellStyle name="Note 5 2 4 5 4" xfId="10797"/>
    <cellStyle name="Note 5 2 4 5 4 2" xfId="29769"/>
    <cellStyle name="Note 5 2 4 5 4 3" xfId="40614"/>
    <cellStyle name="Note 5 2 4 5 5" xfId="21593"/>
    <cellStyle name="Note 5 2 4 5 6" xfId="32438"/>
    <cellStyle name="Note 5 2 4 6" xfId="3001"/>
    <cellStyle name="Note 5 2 4 6 2" xfId="5852"/>
    <cellStyle name="Note 5 2 4 6 2 2" xfId="24824"/>
    <cellStyle name="Note 5 2 4 6 2 3" xfId="35669"/>
    <cellStyle name="Note 5 2 4 6 3" xfId="8523"/>
    <cellStyle name="Note 5 2 4 6 3 2" xfId="27495"/>
    <cellStyle name="Note 5 2 4 6 3 3" xfId="38340"/>
    <cellStyle name="Note 5 2 4 6 4" xfId="11182"/>
    <cellStyle name="Note 5 2 4 6 4 2" xfId="30154"/>
    <cellStyle name="Note 5 2 4 6 4 3" xfId="40999"/>
    <cellStyle name="Note 5 2 4 6 5" xfId="21978"/>
    <cellStyle name="Note 5 2 4 6 6" xfId="32823"/>
    <cellStyle name="Note 5 2 4 7" xfId="3690"/>
    <cellStyle name="Note 5 2 4 7 2" xfId="22662"/>
    <cellStyle name="Note 5 2 4 7 3" xfId="33507"/>
    <cellStyle name="Note 5 2 4 8" xfId="6365"/>
    <cellStyle name="Note 5 2 4 8 2" xfId="25337"/>
    <cellStyle name="Note 5 2 4 8 3" xfId="36182"/>
    <cellStyle name="Note 5 2 4 9" xfId="9024"/>
    <cellStyle name="Note 5 2 4 9 2" xfId="27996"/>
    <cellStyle name="Note 5 2 4 9 3" xfId="38841"/>
    <cellStyle name="Note 5 2 5" xfId="894"/>
    <cellStyle name="Note 5 2 5 10" xfId="19879"/>
    <cellStyle name="Note 5 2 5 11" xfId="30724"/>
    <cellStyle name="Note 5 2 5 2" xfId="1481"/>
    <cellStyle name="Note 5 2 5 2 2" xfId="4334"/>
    <cellStyle name="Note 5 2 5 2 2 2" xfId="23306"/>
    <cellStyle name="Note 5 2 5 2 2 3" xfId="34151"/>
    <cellStyle name="Note 5 2 5 2 3" xfId="7007"/>
    <cellStyle name="Note 5 2 5 2 3 2" xfId="25979"/>
    <cellStyle name="Note 5 2 5 2 3 3" xfId="36824"/>
    <cellStyle name="Note 5 2 5 2 4" xfId="9666"/>
    <cellStyle name="Note 5 2 5 2 4 2" xfId="28638"/>
    <cellStyle name="Note 5 2 5 2 4 3" xfId="39483"/>
    <cellStyle name="Note 5 2 5 2 5" xfId="20462"/>
    <cellStyle name="Note 5 2 5 2 6" xfId="31307"/>
    <cellStyle name="Note 5 2 5 3" xfId="1880"/>
    <cellStyle name="Note 5 2 5 3 2" xfId="4733"/>
    <cellStyle name="Note 5 2 5 3 2 2" xfId="23705"/>
    <cellStyle name="Note 5 2 5 3 2 3" xfId="34550"/>
    <cellStyle name="Note 5 2 5 3 3" xfId="7405"/>
    <cellStyle name="Note 5 2 5 3 3 2" xfId="26377"/>
    <cellStyle name="Note 5 2 5 3 3 3" xfId="37222"/>
    <cellStyle name="Note 5 2 5 3 4" xfId="10064"/>
    <cellStyle name="Note 5 2 5 3 4 2" xfId="29036"/>
    <cellStyle name="Note 5 2 5 3 4 3" xfId="39881"/>
    <cellStyle name="Note 5 2 5 3 5" xfId="20860"/>
    <cellStyle name="Note 5 2 5 3 6" xfId="31705"/>
    <cellStyle name="Note 5 2 5 4" xfId="2284"/>
    <cellStyle name="Note 5 2 5 4 2" xfId="5137"/>
    <cellStyle name="Note 5 2 5 4 2 2" xfId="24109"/>
    <cellStyle name="Note 5 2 5 4 2 3" xfId="34954"/>
    <cellStyle name="Note 5 2 5 4 3" xfId="7808"/>
    <cellStyle name="Note 5 2 5 4 3 2" xfId="26780"/>
    <cellStyle name="Note 5 2 5 4 3 3" xfId="37625"/>
    <cellStyle name="Note 5 2 5 4 4" xfId="10467"/>
    <cellStyle name="Note 5 2 5 4 4 2" xfId="29439"/>
    <cellStyle name="Note 5 2 5 4 4 3" xfId="40284"/>
    <cellStyle name="Note 5 2 5 4 5" xfId="21263"/>
    <cellStyle name="Note 5 2 5 4 6" xfId="32108"/>
    <cellStyle name="Note 5 2 5 5" xfId="2674"/>
    <cellStyle name="Note 5 2 5 5 2" xfId="5526"/>
    <cellStyle name="Note 5 2 5 5 2 2" xfId="24498"/>
    <cellStyle name="Note 5 2 5 5 2 3" xfId="35343"/>
    <cellStyle name="Note 5 2 5 5 3" xfId="8197"/>
    <cellStyle name="Note 5 2 5 5 3 2" xfId="27169"/>
    <cellStyle name="Note 5 2 5 5 3 3" xfId="38014"/>
    <cellStyle name="Note 5 2 5 5 4" xfId="10856"/>
    <cellStyle name="Note 5 2 5 5 4 2" xfId="29828"/>
    <cellStyle name="Note 5 2 5 5 4 3" xfId="40673"/>
    <cellStyle name="Note 5 2 5 5 5" xfId="21652"/>
    <cellStyle name="Note 5 2 5 5 6" xfId="32497"/>
    <cellStyle name="Note 5 2 5 6" xfId="3060"/>
    <cellStyle name="Note 5 2 5 6 2" xfId="5911"/>
    <cellStyle name="Note 5 2 5 6 2 2" xfId="24883"/>
    <cellStyle name="Note 5 2 5 6 2 3" xfId="35728"/>
    <cellStyle name="Note 5 2 5 6 3" xfId="8582"/>
    <cellStyle name="Note 5 2 5 6 3 2" xfId="27554"/>
    <cellStyle name="Note 5 2 5 6 3 3" xfId="38399"/>
    <cellStyle name="Note 5 2 5 6 4" xfId="11241"/>
    <cellStyle name="Note 5 2 5 6 4 2" xfId="30213"/>
    <cellStyle name="Note 5 2 5 6 4 3" xfId="41058"/>
    <cellStyle name="Note 5 2 5 6 5" xfId="22037"/>
    <cellStyle name="Note 5 2 5 6 6" xfId="32882"/>
    <cellStyle name="Note 5 2 5 7" xfId="3749"/>
    <cellStyle name="Note 5 2 5 7 2" xfId="22721"/>
    <cellStyle name="Note 5 2 5 7 3" xfId="33566"/>
    <cellStyle name="Note 5 2 5 8" xfId="6424"/>
    <cellStyle name="Note 5 2 5 8 2" xfId="25396"/>
    <cellStyle name="Note 5 2 5 8 3" xfId="36241"/>
    <cellStyle name="Note 5 2 5 9" xfId="9083"/>
    <cellStyle name="Note 5 2 5 9 2" xfId="28055"/>
    <cellStyle name="Note 5 2 5 9 3" xfId="38900"/>
    <cellStyle name="Note 5 2 6" xfId="1124"/>
    <cellStyle name="Note 5 2 6 2" xfId="3977"/>
    <cellStyle name="Note 5 2 6 2 2" xfId="22949"/>
    <cellStyle name="Note 5 2 6 2 3" xfId="33794"/>
    <cellStyle name="Note 5 2 6 3" xfId="6650"/>
    <cellStyle name="Note 5 2 6 3 2" xfId="25622"/>
    <cellStyle name="Note 5 2 6 3 3" xfId="36467"/>
    <cellStyle name="Note 5 2 6 4" xfId="9309"/>
    <cellStyle name="Note 5 2 6 4 2" xfId="28281"/>
    <cellStyle name="Note 5 2 6 4 3" xfId="39126"/>
    <cellStyle name="Note 5 2 6 5" xfId="20105"/>
    <cellStyle name="Note 5 2 6 6" xfId="30950"/>
    <cellStyle name="Note 5 2 7" xfId="1520"/>
    <cellStyle name="Note 5 2 7 2" xfId="4373"/>
    <cellStyle name="Note 5 2 7 2 2" xfId="23345"/>
    <cellStyle name="Note 5 2 7 2 3" xfId="34190"/>
    <cellStyle name="Note 5 2 7 3" xfId="7046"/>
    <cellStyle name="Note 5 2 7 3 2" xfId="26018"/>
    <cellStyle name="Note 5 2 7 3 3" xfId="36863"/>
    <cellStyle name="Note 5 2 7 4" xfId="9705"/>
    <cellStyle name="Note 5 2 7 4 2" xfId="28677"/>
    <cellStyle name="Note 5 2 7 4 3" xfId="39522"/>
    <cellStyle name="Note 5 2 7 5" xfId="20501"/>
    <cellStyle name="Note 5 2 7 6" xfId="31346"/>
    <cellStyle name="Note 5 2 8" xfId="1926"/>
    <cellStyle name="Note 5 2 8 2" xfId="4779"/>
    <cellStyle name="Note 5 2 8 2 2" xfId="23751"/>
    <cellStyle name="Note 5 2 8 2 3" xfId="34596"/>
    <cellStyle name="Note 5 2 8 3" xfId="7451"/>
    <cellStyle name="Note 5 2 8 3 2" xfId="26423"/>
    <cellStyle name="Note 5 2 8 3 3" xfId="37268"/>
    <cellStyle name="Note 5 2 8 4" xfId="10110"/>
    <cellStyle name="Note 5 2 8 4 2" xfId="29082"/>
    <cellStyle name="Note 5 2 8 4 3" xfId="39927"/>
    <cellStyle name="Note 5 2 8 5" xfId="20906"/>
    <cellStyle name="Note 5 2 8 6" xfId="31751"/>
    <cellStyle name="Note 5 2 9" xfId="2319"/>
    <cellStyle name="Note 5 2 9 2" xfId="5172"/>
    <cellStyle name="Note 5 2 9 2 2" xfId="24144"/>
    <cellStyle name="Note 5 2 9 2 3" xfId="34989"/>
    <cellStyle name="Note 5 2 9 3" xfId="7843"/>
    <cellStyle name="Note 5 2 9 3 2" xfId="26815"/>
    <cellStyle name="Note 5 2 9 3 3" xfId="37660"/>
    <cellStyle name="Note 5 2 9 4" xfId="10502"/>
    <cellStyle name="Note 5 2 9 4 2" xfId="29474"/>
    <cellStyle name="Note 5 2 9 4 3" xfId="40319"/>
    <cellStyle name="Note 5 2 9 5" xfId="21298"/>
    <cellStyle name="Note 5 2 9 6" xfId="32143"/>
    <cellStyle name="Note 5 3" xfId="614"/>
    <cellStyle name="Note 5 3 10" xfId="19621"/>
    <cellStyle name="Note 5 3 11" xfId="30466"/>
    <cellStyle name="Note 5 3 2" xfId="1218"/>
    <cellStyle name="Note 5 3 2 2" xfId="4071"/>
    <cellStyle name="Note 5 3 2 2 2" xfId="23043"/>
    <cellStyle name="Note 5 3 2 2 3" xfId="33888"/>
    <cellStyle name="Note 5 3 2 3" xfId="6744"/>
    <cellStyle name="Note 5 3 2 3 2" xfId="25716"/>
    <cellStyle name="Note 5 3 2 3 3" xfId="36561"/>
    <cellStyle name="Note 5 3 2 4" xfId="9403"/>
    <cellStyle name="Note 5 3 2 4 2" xfId="28375"/>
    <cellStyle name="Note 5 3 2 4 3" xfId="39220"/>
    <cellStyle name="Note 5 3 2 5" xfId="20199"/>
    <cellStyle name="Note 5 3 2 6" xfId="31044"/>
    <cellStyle name="Note 5 3 3" xfId="1616"/>
    <cellStyle name="Note 5 3 3 2" xfId="4469"/>
    <cellStyle name="Note 5 3 3 2 2" xfId="23441"/>
    <cellStyle name="Note 5 3 3 2 3" xfId="34286"/>
    <cellStyle name="Note 5 3 3 3" xfId="7141"/>
    <cellStyle name="Note 5 3 3 3 2" xfId="26113"/>
    <cellStyle name="Note 5 3 3 3 3" xfId="36958"/>
    <cellStyle name="Note 5 3 3 4" xfId="9800"/>
    <cellStyle name="Note 5 3 3 4 2" xfId="28772"/>
    <cellStyle name="Note 5 3 3 4 3" xfId="39617"/>
    <cellStyle name="Note 5 3 3 5" xfId="20596"/>
    <cellStyle name="Note 5 3 3 6" xfId="31441"/>
    <cellStyle name="Note 5 3 4" xfId="2018"/>
    <cellStyle name="Note 5 3 4 2" xfId="4871"/>
    <cellStyle name="Note 5 3 4 2 2" xfId="23843"/>
    <cellStyle name="Note 5 3 4 2 3" xfId="34688"/>
    <cellStyle name="Note 5 3 4 3" xfId="7543"/>
    <cellStyle name="Note 5 3 4 3 2" xfId="26515"/>
    <cellStyle name="Note 5 3 4 3 3" xfId="37360"/>
    <cellStyle name="Note 5 3 4 4" xfId="10202"/>
    <cellStyle name="Note 5 3 4 4 2" xfId="29174"/>
    <cellStyle name="Note 5 3 4 4 3" xfId="40019"/>
    <cellStyle name="Note 5 3 4 5" xfId="20998"/>
    <cellStyle name="Note 5 3 4 6" xfId="31843"/>
    <cellStyle name="Note 5 3 5" xfId="2410"/>
    <cellStyle name="Note 5 3 5 2" xfId="5263"/>
    <cellStyle name="Note 5 3 5 2 2" xfId="24235"/>
    <cellStyle name="Note 5 3 5 2 3" xfId="35080"/>
    <cellStyle name="Note 5 3 5 3" xfId="7934"/>
    <cellStyle name="Note 5 3 5 3 2" xfId="26906"/>
    <cellStyle name="Note 5 3 5 3 3" xfId="37751"/>
    <cellStyle name="Note 5 3 5 4" xfId="10593"/>
    <cellStyle name="Note 5 3 5 4 2" xfId="29565"/>
    <cellStyle name="Note 5 3 5 4 3" xfId="40410"/>
    <cellStyle name="Note 5 3 5 5" xfId="21389"/>
    <cellStyle name="Note 5 3 5 6" xfId="32234"/>
    <cellStyle name="Note 5 3 6" xfId="2799"/>
    <cellStyle name="Note 5 3 6 2" xfId="5651"/>
    <cellStyle name="Note 5 3 6 2 2" xfId="24623"/>
    <cellStyle name="Note 5 3 6 2 3" xfId="35468"/>
    <cellStyle name="Note 5 3 6 3" xfId="8322"/>
    <cellStyle name="Note 5 3 6 3 2" xfId="27294"/>
    <cellStyle name="Note 5 3 6 3 3" xfId="38139"/>
    <cellStyle name="Note 5 3 6 4" xfId="10981"/>
    <cellStyle name="Note 5 3 6 4 2" xfId="29953"/>
    <cellStyle name="Note 5 3 6 4 3" xfId="40798"/>
    <cellStyle name="Note 5 3 6 5" xfId="21777"/>
    <cellStyle name="Note 5 3 6 6" xfId="32622"/>
    <cellStyle name="Note 5 3 7" xfId="3490"/>
    <cellStyle name="Note 5 3 7 2" xfId="22462"/>
    <cellStyle name="Note 5 3 7 3" xfId="33307"/>
    <cellStyle name="Note 5 3 8" xfId="6166"/>
    <cellStyle name="Note 5 3 8 2" xfId="25138"/>
    <cellStyle name="Note 5 3 8 3" xfId="35983"/>
    <cellStyle name="Note 5 3 9" xfId="8825"/>
    <cellStyle name="Note 5 3 9 2" xfId="27797"/>
    <cellStyle name="Note 5 3 9 3" xfId="38642"/>
    <cellStyle name="Note 6" xfId="315"/>
    <cellStyle name="Note 6 2" xfId="427"/>
    <cellStyle name="Note 6 2 10" xfId="2709"/>
    <cellStyle name="Note 6 2 10 2" xfId="5561"/>
    <cellStyle name="Note 6 2 10 2 2" xfId="24533"/>
    <cellStyle name="Note 6 2 10 2 3" xfId="35378"/>
    <cellStyle name="Note 6 2 10 3" xfId="8232"/>
    <cellStyle name="Note 6 2 10 3 2" xfId="27204"/>
    <cellStyle name="Note 6 2 10 3 3" xfId="38049"/>
    <cellStyle name="Note 6 2 10 4" xfId="10891"/>
    <cellStyle name="Note 6 2 10 4 2" xfId="29863"/>
    <cellStyle name="Note 6 2 10 4 3" xfId="40708"/>
    <cellStyle name="Note 6 2 10 5" xfId="21687"/>
    <cellStyle name="Note 6 2 10 6" xfId="32532"/>
    <cellStyle name="Note 6 2 11" xfId="3094"/>
    <cellStyle name="Note 6 2 11 2" xfId="5945"/>
    <cellStyle name="Note 6 2 11 2 2" xfId="24917"/>
    <cellStyle name="Note 6 2 11 2 3" xfId="35762"/>
    <cellStyle name="Note 6 2 11 3" xfId="8616"/>
    <cellStyle name="Note 6 2 11 3 2" xfId="27588"/>
    <cellStyle name="Note 6 2 11 3 3" xfId="38433"/>
    <cellStyle name="Note 6 2 11 4" xfId="11275"/>
    <cellStyle name="Note 6 2 11 4 2" xfId="30247"/>
    <cellStyle name="Note 6 2 11 4 3" xfId="41092"/>
    <cellStyle name="Note 6 2 11 5" xfId="22071"/>
    <cellStyle name="Note 6 2 11 6" xfId="32916"/>
    <cellStyle name="Note 6 2 12" xfId="3151"/>
    <cellStyle name="Note 6 2 12 2" xfId="6002"/>
    <cellStyle name="Note 6 2 12 2 2" xfId="24974"/>
    <cellStyle name="Note 6 2 12 2 3" xfId="35819"/>
    <cellStyle name="Note 6 2 12 3" xfId="8673"/>
    <cellStyle name="Note 6 2 12 3 2" xfId="27645"/>
    <cellStyle name="Note 6 2 12 3 3" xfId="38490"/>
    <cellStyle name="Note 6 2 12 4" xfId="11332"/>
    <cellStyle name="Note 6 2 12 4 2" xfId="30304"/>
    <cellStyle name="Note 6 2 12 4 3" xfId="41149"/>
    <cellStyle name="Note 6 2 12 5" xfId="22128"/>
    <cellStyle name="Note 6 2 12 6" xfId="32973"/>
    <cellStyle name="Note 6 2 13" xfId="3208"/>
    <cellStyle name="Note 6 2 13 2" xfId="6059"/>
    <cellStyle name="Note 6 2 13 2 2" xfId="25031"/>
    <cellStyle name="Note 6 2 13 2 3" xfId="35876"/>
    <cellStyle name="Note 6 2 13 3" xfId="8730"/>
    <cellStyle name="Note 6 2 13 3 2" xfId="27702"/>
    <cellStyle name="Note 6 2 13 3 3" xfId="38547"/>
    <cellStyle name="Note 6 2 13 4" xfId="11389"/>
    <cellStyle name="Note 6 2 13 4 2" xfId="30361"/>
    <cellStyle name="Note 6 2 13 4 3" xfId="41206"/>
    <cellStyle name="Note 6 2 13 5" xfId="22185"/>
    <cellStyle name="Note 6 2 13 6" xfId="33030"/>
    <cellStyle name="Note 6 2 14" xfId="3377"/>
    <cellStyle name="Note 6 2 14 2" xfId="22351"/>
    <cellStyle name="Note 6 2 14 3" xfId="33196"/>
    <cellStyle name="Note 6 2 15" xfId="3314"/>
    <cellStyle name="Note 6 2 15 2" xfId="22288"/>
    <cellStyle name="Note 6 2 15 3" xfId="33133"/>
    <cellStyle name="Note 6 2 16" xfId="3407"/>
    <cellStyle name="Note 6 2 16 2" xfId="22379"/>
    <cellStyle name="Note 6 2 16 3" xfId="33224"/>
    <cellStyle name="Note 6 2 17" xfId="19505"/>
    <cellStyle name="Note 6 2 18" xfId="19383"/>
    <cellStyle name="Note 6 2 2" xfId="718"/>
    <cellStyle name="Note 6 2 2 10" xfId="19703"/>
    <cellStyle name="Note 6 2 2 11" xfId="30548"/>
    <cellStyle name="Note 6 2 2 2" xfId="1305"/>
    <cellStyle name="Note 6 2 2 2 2" xfId="4158"/>
    <cellStyle name="Note 6 2 2 2 2 2" xfId="23130"/>
    <cellStyle name="Note 6 2 2 2 2 3" xfId="33975"/>
    <cellStyle name="Note 6 2 2 2 3" xfId="6831"/>
    <cellStyle name="Note 6 2 2 2 3 2" xfId="25803"/>
    <cellStyle name="Note 6 2 2 2 3 3" xfId="36648"/>
    <cellStyle name="Note 6 2 2 2 4" xfId="9490"/>
    <cellStyle name="Note 6 2 2 2 4 2" xfId="28462"/>
    <cellStyle name="Note 6 2 2 2 4 3" xfId="39307"/>
    <cellStyle name="Note 6 2 2 2 5" xfId="20286"/>
    <cellStyle name="Note 6 2 2 2 6" xfId="31131"/>
    <cellStyle name="Note 6 2 2 3" xfId="1704"/>
    <cellStyle name="Note 6 2 2 3 2" xfId="4557"/>
    <cellStyle name="Note 6 2 2 3 2 2" xfId="23529"/>
    <cellStyle name="Note 6 2 2 3 2 3" xfId="34374"/>
    <cellStyle name="Note 6 2 2 3 3" xfId="7229"/>
    <cellStyle name="Note 6 2 2 3 3 2" xfId="26201"/>
    <cellStyle name="Note 6 2 2 3 3 3" xfId="37046"/>
    <cellStyle name="Note 6 2 2 3 4" xfId="9888"/>
    <cellStyle name="Note 6 2 2 3 4 2" xfId="28860"/>
    <cellStyle name="Note 6 2 2 3 4 3" xfId="39705"/>
    <cellStyle name="Note 6 2 2 3 5" xfId="20684"/>
    <cellStyle name="Note 6 2 2 3 6" xfId="31529"/>
    <cellStyle name="Note 6 2 2 4" xfId="2108"/>
    <cellStyle name="Note 6 2 2 4 2" xfId="4961"/>
    <cellStyle name="Note 6 2 2 4 2 2" xfId="23933"/>
    <cellStyle name="Note 6 2 2 4 2 3" xfId="34778"/>
    <cellStyle name="Note 6 2 2 4 3" xfId="7632"/>
    <cellStyle name="Note 6 2 2 4 3 2" xfId="26604"/>
    <cellStyle name="Note 6 2 2 4 3 3" xfId="37449"/>
    <cellStyle name="Note 6 2 2 4 4" xfId="10291"/>
    <cellStyle name="Note 6 2 2 4 4 2" xfId="29263"/>
    <cellStyle name="Note 6 2 2 4 4 3" xfId="40108"/>
    <cellStyle name="Note 6 2 2 4 5" xfId="21087"/>
    <cellStyle name="Note 6 2 2 4 6" xfId="31932"/>
    <cellStyle name="Note 6 2 2 5" xfId="2498"/>
    <cellStyle name="Note 6 2 2 5 2" xfId="5350"/>
    <cellStyle name="Note 6 2 2 5 2 2" xfId="24322"/>
    <cellStyle name="Note 6 2 2 5 2 3" xfId="35167"/>
    <cellStyle name="Note 6 2 2 5 3" xfId="8021"/>
    <cellStyle name="Note 6 2 2 5 3 2" xfId="26993"/>
    <cellStyle name="Note 6 2 2 5 3 3" xfId="37838"/>
    <cellStyle name="Note 6 2 2 5 4" xfId="10680"/>
    <cellStyle name="Note 6 2 2 5 4 2" xfId="29652"/>
    <cellStyle name="Note 6 2 2 5 4 3" xfId="40497"/>
    <cellStyle name="Note 6 2 2 5 5" xfId="21476"/>
    <cellStyle name="Note 6 2 2 5 6" xfId="32321"/>
    <cellStyle name="Note 6 2 2 6" xfId="2884"/>
    <cellStyle name="Note 6 2 2 6 2" xfId="5735"/>
    <cellStyle name="Note 6 2 2 6 2 2" xfId="24707"/>
    <cellStyle name="Note 6 2 2 6 2 3" xfId="35552"/>
    <cellStyle name="Note 6 2 2 6 3" xfId="8406"/>
    <cellStyle name="Note 6 2 2 6 3 2" xfId="27378"/>
    <cellStyle name="Note 6 2 2 6 3 3" xfId="38223"/>
    <cellStyle name="Note 6 2 2 6 4" xfId="11065"/>
    <cellStyle name="Note 6 2 2 6 4 2" xfId="30037"/>
    <cellStyle name="Note 6 2 2 6 4 3" xfId="40882"/>
    <cellStyle name="Note 6 2 2 6 5" xfId="21861"/>
    <cellStyle name="Note 6 2 2 6 6" xfId="32706"/>
    <cellStyle name="Note 6 2 2 7" xfId="3573"/>
    <cellStyle name="Note 6 2 2 7 2" xfId="22545"/>
    <cellStyle name="Note 6 2 2 7 3" xfId="33390"/>
    <cellStyle name="Note 6 2 2 8" xfId="6248"/>
    <cellStyle name="Note 6 2 2 8 2" xfId="25220"/>
    <cellStyle name="Note 6 2 2 8 3" xfId="36065"/>
    <cellStyle name="Note 6 2 2 9" xfId="8907"/>
    <cellStyle name="Note 6 2 2 9 2" xfId="27879"/>
    <cellStyle name="Note 6 2 2 9 3" xfId="38724"/>
    <cellStyle name="Note 6 2 3" xfId="777"/>
    <cellStyle name="Note 6 2 3 10" xfId="19762"/>
    <cellStyle name="Note 6 2 3 11" xfId="30607"/>
    <cellStyle name="Note 6 2 3 2" xfId="1364"/>
    <cellStyle name="Note 6 2 3 2 2" xfId="4217"/>
    <cellStyle name="Note 6 2 3 2 2 2" xfId="23189"/>
    <cellStyle name="Note 6 2 3 2 2 3" xfId="34034"/>
    <cellStyle name="Note 6 2 3 2 3" xfId="6890"/>
    <cellStyle name="Note 6 2 3 2 3 2" xfId="25862"/>
    <cellStyle name="Note 6 2 3 2 3 3" xfId="36707"/>
    <cellStyle name="Note 6 2 3 2 4" xfId="9549"/>
    <cellStyle name="Note 6 2 3 2 4 2" xfId="28521"/>
    <cellStyle name="Note 6 2 3 2 4 3" xfId="39366"/>
    <cellStyle name="Note 6 2 3 2 5" xfId="20345"/>
    <cellStyle name="Note 6 2 3 2 6" xfId="31190"/>
    <cellStyle name="Note 6 2 3 3" xfId="1763"/>
    <cellStyle name="Note 6 2 3 3 2" xfId="4616"/>
    <cellStyle name="Note 6 2 3 3 2 2" xfId="23588"/>
    <cellStyle name="Note 6 2 3 3 2 3" xfId="34433"/>
    <cellStyle name="Note 6 2 3 3 3" xfId="7288"/>
    <cellStyle name="Note 6 2 3 3 3 2" xfId="26260"/>
    <cellStyle name="Note 6 2 3 3 3 3" xfId="37105"/>
    <cellStyle name="Note 6 2 3 3 4" xfId="9947"/>
    <cellStyle name="Note 6 2 3 3 4 2" xfId="28919"/>
    <cellStyle name="Note 6 2 3 3 4 3" xfId="39764"/>
    <cellStyle name="Note 6 2 3 3 5" xfId="20743"/>
    <cellStyle name="Note 6 2 3 3 6" xfId="31588"/>
    <cellStyle name="Note 6 2 3 4" xfId="2167"/>
    <cellStyle name="Note 6 2 3 4 2" xfId="5020"/>
    <cellStyle name="Note 6 2 3 4 2 2" xfId="23992"/>
    <cellStyle name="Note 6 2 3 4 2 3" xfId="34837"/>
    <cellStyle name="Note 6 2 3 4 3" xfId="7691"/>
    <cellStyle name="Note 6 2 3 4 3 2" xfId="26663"/>
    <cellStyle name="Note 6 2 3 4 3 3" xfId="37508"/>
    <cellStyle name="Note 6 2 3 4 4" xfId="10350"/>
    <cellStyle name="Note 6 2 3 4 4 2" xfId="29322"/>
    <cellStyle name="Note 6 2 3 4 4 3" xfId="40167"/>
    <cellStyle name="Note 6 2 3 4 5" xfId="21146"/>
    <cellStyle name="Note 6 2 3 4 6" xfId="31991"/>
    <cellStyle name="Note 6 2 3 5" xfId="2557"/>
    <cellStyle name="Note 6 2 3 5 2" xfId="5409"/>
    <cellStyle name="Note 6 2 3 5 2 2" xfId="24381"/>
    <cellStyle name="Note 6 2 3 5 2 3" xfId="35226"/>
    <cellStyle name="Note 6 2 3 5 3" xfId="8080"/>
    <cellStyle name="Note 6 2 3 5 3 2" xfId="27052"/>
    <cellStyle name="Note 6 2 3 5 3 3" xfId="37897"/>
    <cellStyle name="Note 6 2 3 5 4" xfId="10739"/>
    <cellStyle name="Note 6 2 3 5 4 2" xfId="29711"/>
    <cellStyle name="Note 6 2 3 5 4 3" xfId="40556"/>
    <cellStyle name="Note 6 2 3 5 5" xfId="21535"/>
    <cellStyle name="Note 6 2 3 5 6" xfId="32380"/>
    <cellStyle name="Note 6 2 3 6" xfId="2943"/>
    <cellStyle name="Note 6 2 3 6 2" xfId="5794"/>
    <cellStyle name="Note 6 2 3 6 2 2" xfId="24766"/>
    <cellStyle name="Note 6 2 3 6 2 3" xfId="35611"/>
    <cellStyle name="Note 6 2 3 6 3" xfId="8465"/>
    <cellStyle name="Note 6 2 3 6 3 2" xfId="27437"/>
    <cellStyle name="Note 6 2 3 6 3 3" xfId="38282"/>
    <cellStyle name="Note 6 2 3 6 4" xfId="11124"/>
    <cellStyle name="Note 6 2 3 6 4 2" xfId="30096"/>
    <cellStyle name="Note 6 2 3 6 4 3" xfId="40941"/>
    <cellStyle name="Note 6 2 3 6 5" xfId="21920"/>
    <cellStyle name="Note 6 2 3 6 6" xfId="32765"/>
    <cellStyle name="Note 6 2 3 7" xfId="3632"/>
    <cellStyle name="Note 6 2 3 7 2" xfId="22604"/>
    <cellStyle name="Note 6 2 3 7 3" xfId="33449"/>
    <cellStyle name="Note 6 2 3 8" xfId="6307"/>
    <cellStyle name="Note 6 2 3 8 2" xfId="25279"/>
    <cellStyle name="Note 6 2 3 8 3" xfId="36124"/>
    <cellStyle name="Note 6 2 3 9" xfId="8966"/>
    <cellStyle name="Note 6 2 3 9 2" xfId="27938"/>
    <cellStyle name="Note 6 2 3 9 3" xfId="38783"/>
    <cellStyle name="Note 6 2 4" xfId="836"/>
    <cellStyle name="Note 6 2 4 10" xfId="19821"/>
    <cellStyle name="Note 6 2 4 11" xfId="30666"/>
    <cellStyle name="Note 6 2 4 2" xfId="1423"/>
    <cellStyle name="Note 6 2 4 2 2" xfId="4276"/>
    <cellStyle name="Note 6 2 4 2 2 2" xfId="23248"/>
    <cellStyle name="Note 6 2 4 2 2 3" xfId="34093"/>
    <cellStyle name="Note 6 2 4 2 3" xfId="6949"/>
    <cellStyle name="Note 6 2 4 2 3 2" xfId="25921"/>
    <cellStyle name="Note 6 2 4 2 3 3" xfId="36766"/>
    <cellStyle name="Note 6 2 4 2 4" xfId="9608"/>
    <cellStyle name="Note 6 2 4 2 4 2" xfId="28580"/>
    <cellStyle name="Note 6 2 4 2 4 3" xfId="39425"/>
    <cellStyle name="Note 6 2 4 2 5" xfId="20404"/>
    <cellStyle name="Note 6 2 4 2 6" xfId="31249"/>
    <cellStyle name="Note 6 2 4 3" xfId="1822"/>
    <cellStyle name="Note 6 2 4 3 2" xfId="4675"/>
    <cellStyle name="Note 6 2 4 3 2 2" xfId="23647"/>
    <cellStyle name="Note 6 2 4 3 2 3" xfId="34492"/>
    <cellStyle name="Note 6 2 4 3 3" xfId="7347"/>
    <cellStyle name="Note 6 2 4 3 3 2" xfId="26319"/>
    <cellStyle name="Note 6 2 4 3 3 3" xfId="37164"/>
    <cellStyle name="Note 6 2 4 3 4" xfId="10006"/>
    <cellStyle name="Note 6 2 4 3 4 2" xfId="28978"/>
    <cellStyle name="Note 6 2 4 3 4 3" xfId="39823"/>
    <cellStyle name="Note 6 2 4 3 5" xfId="20802"/>
    <cellStyle name="Note 6 2 4 3 6" xfId="31647"/>
    <cellStyle name="Note 6 2 4 4" xfId="2226"/>
    <cellStyle name="Note 6 2 4 4 2" xfId="5079"/>
    <cellStyle name="Note 6 2 4 4 2 2" xfId="24051"/>
    <cellStyle name="Note 6 2 4 4 2 3" xfId="34896"/>
    <cellStyle name="Note 6 2 4 4 3" xfId="7750"/>
    <cellStyle name="Note 6 2 4 4 3 2" xfId="26722"/>
    <cellStyle name="Note 6 2 4 4 3 3" xfId="37567"/>
    <cellStyle name="Note 6 2 4 4 4" xfId="10409"/>
    <cellStyle name="Note 6 2 4 4 4 2" xfId="29381"/>
    <cellStyle name="Note 6 2 4 4 4 3" xfId="40226"/>
    <cellStyle name="Note 6 2 4 4 5" xfId="21205"/>
    <cellStyle name="Note 6 2 4 4 6" xfId="32050"/>
    <cellStyle name="Note 6 2 4 5" xfId="2616"/>
    <cellStyle name="Note 6 2 4 5 2" xfId="5468"/>
    <cellStyle name="Note 6 2 4 5 2 2" xfId="24440"/>
    <cellStyle name="Note 6 2 4 5 2 3" xfId="35285"/>
    <cellStyle name="Note 6 2 4 5 3" xfId="8139"/>
    <cellStyle name="Note 6 2 4 5 3 2" xfId="27111"/>
    <cellStyle name="Note 6 2 4 5 3 3" xfId="37956"/>
    <cellStyle name="Note 6 2 4 5 4" xfId="10798"/>
    <cellStyle name="Note 6 2 4 5 4 2" xfId="29770"/>
    <cellStyle name="Note 6 2 4 5 4 3" xfId="40615"/>
    <cellStyle name="Note 6 2 4 5 5" xfId="21594"/>
    <cellStyle name="Note 6 2 4 5 6" xfId="32439"/>
    <cellStyle name="Note 6 2 4 6" xfId="3002"/>
    <cellStyle name="Note 6 2 4 6 2" xfId="5853"/>
    <cellStyle name="Note 6 2 4 6 2 2" xfId="24825"/>
    <cellStyle name="Note 6 2 4 6 2 3" xfId="35670"/>
    <cellStyle name="Note 6 2 4 6 3" xfId="8524"/>
    <cellStyle name="Note 6 2 4 6 3 2" xfId="27496"/>
    <cellStyle name="Note 6 2 4 6 3 3" xfId="38341"/>
    <cellStyle name="Note 6 2 4 6 4" xfId="11183"/>
    <cellStyle name="Note 6 2 4 6 4 2" xfId="30155"/>
    <cellStyle name="Note 6 2 4 6 4 3" xfId="41000"/>
    <cellStyle name="Note 6 2 4 6 5" xfId="21979"/>
    <cellStyle name="Note 6 2 4 6 6" xfId="32824"/>
    <cellStyle name="Note 6 2 4 7" xfId="3691"/>
    <cellStyle name="Note 6 2 4 7 2" xfId="22663"/>
    <cellStyle name="Note 6 2 4 7 3" xfId="33508"/>
    <cellStyle name="Note 6 2 4 8" xfId="6366"/>
    <cellStyle name="Note 6 2 4 8 2" xfId="25338"/>
    <cellStyle name="Note 6 2 4 8 3" xfId="36183"/>
    <cellStyle name="Note 6 2 4 9" xfId="9025"/>
    <cellStyle name="Note 6 2 4 9 2" xfId="27997"/>
    <cellStyle name="Note 6 2 4 9 3" xfId="38842"/>
    <cellStyle name="Note 6 2 5" xfId="895"/>
    <cellStyle name="Note 6 2 5 10" xfId="19880"/>
    <cellStyle name="Note 6 2 5 11" xfId="30725"/>
    <cellStyle name="Note 6 2 5 2" xfId="1482"/>
    <cellStyle name="Note 6 2 5 2 2" xfId="4335"/>
    <cellStyle name="Note 6 2 5 2 2 2" xfId="23307"/>
    <cellStyle name="Note 6 2 5 2 2 3" xfId="34152"/>
    <cellStyle name="Note 6 2 5 2 3" xfId="7008"/>
    <cellStyle name="Note 6 2 5 2 3 2" xfId="25980"/>
    <cellStyle name="Note 6 2 5 2 3 3" xfId="36825"/>
    <cellStyle name="Note 6 2 5 2 4" xfId="9667"/>
    <cellStyle name="Note 6 2 5 2 4 2" xfId="28639"/>
    <cellStyle name="Note 6 2 5 2 4 3" xfId="39484"/>
    <cellStyle name="Note 6 2 5 2 5" xfId="20463"/>
    <cellStyle name="Note 6 2 5 2 6" xfId="31308"/>
    <cellStyle name="Note 6 2 5 3" xfId="1881"/>
    <cellStyle name="Note 6 2 5 3 2" xfId="4734"/>
    <cellStyle name="Note 6 2 5 3 2 2" xfId="23706"/>
    <cellStyle name="Note 6 2 5 3 2 3" xfId="34551"/>
    <cellStyle name="Note 6 2 5 3 3" xfId="7406"/>
    <cellStyle name="Note 6 2 5 3 3 2" xfId="26378"/>
    <cellStyle name="Note 6 2 5 3 3 3" xfId="37223"/>
    <cellStyle name="Note 6 2 5 3 4" xfId="10065"/>
    <cellStyle name="Note 6 2 5 3 4 2" xfId="29037"/>
    <cellStyle name="Note 6 2 5 3 4 3" xfId="39882"/>
    <cellStyle name="Note 6 2 5 3 5" xfId="20861"/>
    <cellStyle name="Note 6 2 5 3 6" xfId="31706"/>
    <cellStyle name="Note 6 2 5 4" xfId="2285"/>
    <cellStyle name="Note 6 2 5 4 2" xfId="5138"/>
    <cellStyle name="Note 6 2 5 4 2 2" xfId="24110"/>
    <cellStyle name="Note 6 2 5 4 2 3" xfId="34955"/>
    <cellStyle name="Note 6 2 5 4 3" xfId="7809"/>
    <cellStyle name="Note 6 2 5 4 3 2" xfId="26781"/>
    <cellStyle name="Note 6 2 5 4 3 3" xfId="37626"/>
    <cellStyle name="Note 6 2 5 4 4" xfId="10468"/>
    <cellStyle name="Note 6 2 5 4 4 2" xfId="29440"/>
    <cellStyle name="Note 6 2 5 4 4 3" xfId="40285"/>
    <cellStyle name="Note 6 2 5 4 5" xfId="21264"/>
    <cellStyle name="Note 6 2 5 4 6" xfId="32109"/>
    <cellStyle name="Note 6 2 5 5" xfId="2675"/>
    <cellStyle name="Note 6 2 5 5 2" xfId="5527"/>
    <cellStyle name="Note 6 2 5 5 2 2" xfId="24499"/>
    <cellStyle name="Note 6 2 5 5 2 3" xfId="35344"/>
    <cellStyle name="Note 6 2 5 5 3" xfId="8198"/>
    <cellStyle name="Note 6 2 5 5 3 2" xfId="27170"/>
    <cellStyle name="Note 6 2 5 5 3 3" xfId="38015"/>
    <cellStyle name="Note 6 2 5 5 4" xfId="10857"/>
    <cellStyle name="Note 6 2 5 5 4 2" xfId="29829"/>
    <cellStyle name="Note 6 2 5 5 4 3" xfId="40674"/>
    <cellStyle name="Note 6 2 5 5 5" xfId="21653"/>
    <cellStyle name="Note 6 2 5 5 6" xfId="32498"/>
    <cellStyle name="Note 6 2 5 6" xfId="3061"/>
    <cellStyle name="Note 6 2 5 6 2" xfId="5912"/>
    <cellStyle name="Note 6 2 5 6 2 2" xfId="24884"/>
    <cellStyle name="Note 6 2 5 6 2 3" xfId="35729"/>
    <cellStyle name="Note 6 2 5 6 3" xfId="8583"/>
    <cellStyle name="Note 6 2 5 6 3 2" xfId="27555"/>
    <cellStyle name="Note 6 2 5 6 3 3" xfId="38400"/>
    <cellStyle name="Note 6 2 5 6 4" xfId="11242"/>
    <cellStyle name="Note 6 2 5 6 4 2" xfId="30214"/>
    <cellStyle name="Note 6 2 5 6 4 3" xfId="41059"/>
    <cellStyle name="Note 6 2 5 6 5" xfId="22038"/>
    <cellStyle name="Note 6 2 5 6 6" xfId="32883"/>
    <cellStyle name="Note 6 2 5 7" xfId="3750"/>
    <cellStyle name="Note 6 2 5 7 2" xfId="22722"/>
    <cellStyle name="Note 6 2 5 7 3" xfId="33567"/>
    <cellStyle name="Note 6 2 5 8" xfId="6425"/>
    <cellStyle name="Note 6 2 5 8 2" xfId="25397"/>
    <cellStyle name="Note 6 2 5 8 3" xfId="36242"/>
    <cellStyle name="Note 6 2 5 9" xfId="9084"/>
    <cellStyle name="Note 6 2 5 9 2" xfId="28056"/>
    <cellStyle name="Note 6 2 5 9 3" xfId="38901"/>
    <cellStyle name="Note 6 2 6" xfId="1125"/>
    <cellStyle name="Note 6 2 6 2" xfId="3978"/>
    <cellStyle name="Note 6 2 6 2 2" xfId="22950"/>
    <cellStyle name="Note 6 2 6 2 3" xfId="33795"/>
    <cellStyle name="Note 6 2 6 3" xfId="6651"/>
    <cellStyle name="Note 6 2 6 3 2" xfId="25623"/>
    <cellStyle name="Note 6 2 6 3 3" xfId="36468"/>
    <cellStyle name="Note 6 2 6 4" xfId="9310"/>
    <cellStyle name="Note 6 2 6 4 2" xfId="28282"/>
    <cellStyle name="Note 6 2 6 4 3" xfId="39127"/>
    <cellStyle name="Note 6 2 6 5" xfId="20106"/>
    <cellStyle name="Note 6 2 6 6" xfId="30951"/>
    <cellStyle name="Note 6 2 7" xfId="1521"/>
    <cellStyle name="Note 6 2 7 2" xfId="4374"/>
    <cellStyle name="Note 6 2 7 2 2" xfId="23346"/>
    <cellStyle name="Note 6 2 7 2 3" xfId="34191"/>
    <cellStyle name="Note 6 2 7 3" xfId="7047"/>
    <cellStyle name="Note 6 2 7 3 2" xfId="26019"/>
    <cellStyle name="Note 6 2 7 3 3" xfId="36864"/>
    <cellStyle name="Note 6 2 7 4" xfId="9706"/>
    <cellStyle name="Note 6 2 7 4 2" xfId="28678"/>
    <cellStyle name="Note 6 2 7 4 3" xfId="39523"/>
    <cellStyle name="Note 6 2 7 5" xfId="20502"/>
    <cellStyle name="Note 6 2 7 6" xfId="31347"/>
    <cellStyle name="Note 6 2 8" xfId="1927"/>
    <cellStyle name="Note 6 2 8 2" xfId="4780"/>
    <cellStyle name="Note 6 2 8 2 2" xfId="23752"/>
    <cellStyle name="Note 6 2 8 2 3" xfId="34597"/>
    <cellStyle name="Note 6 2 8 3" xfId="7452"/>
    <cellStyle name="Note 6 2 8 3 2" xfId="26424"/>
    <cellStyle name="Note 6 2 8 3 3" xfId="37269"/>
    <cellStyle name="Note 6 2 8 4" xfId="10111"/>
    <cellStyle name="Note 6 2 8 4 2" xfId="29083"/>
    <cellStyle name="Note 6 2 8 4 3" xfId="39928"/>
    <cellStyle name="Note 6 2 8 5" xfId="20907"/>
    <cellStyle name="Note 6 2 8 6" xfId="31752"/>
    <cellStyle name="Note 6 2 9" xfId="2320"/>
    <cellStyle name="Note 6 2 9 2" xfId="5173"/>
    <cellStyle name="Note 6 2 9 2 2" xfId="24145"/>
    <cellStyle name="Note 6 2 9 2 3" xfId="34990"/>
    <cellStyle name="Note 6 2 9 3" xfId="7844"/>
    <cellStyle name="Note 6 2 9 3 2" xfId="26816"/>
    <cellStyle name="Note 6 2 9 3 3" xfId="37661"/>
    <cellStyle name="Note 6 2 9 4" xfId="10503"/>
    <cellStyle name="Note 6 2 9 4 2" xfId="29475"/>
    <cellStyle name="Note 6 2 9 4 3" xfId="40320"/>
    <cellStyle name="Note 6 2 9 5" xfId="21299"/>
    <cellStyle name="Note 6 2 9 6" xfId="32144"/>
    <cellStyle name="Note 6 3" xfId="615"/>
    <cellStyle name="Note 6 3 10" xfId="19622"/>
    <cellStyle name="Note 6 3 11" xfId="30467"/>
    <cellStyle name="Note 6 3 2" xfId="1219"/>
    <cellStyle name="Note 6 3 2 2" xfId="4072"/>
    <cellStyle name="Note 6 3 2 2 2" xfId="23044"/>
    <cellStyle name="Note 6 3 2 2 3" xfId="33889"/>
    <cellStyle name="Note 6 3 2 3" xfId="6745"/>
    <cellStyle name="Note 6 3 2 3 2" xfId="25717"/>
    <cellStyle name="Note 6 3 2 3 3" xfId="36562"/>
    <cellStyle name="Note 6 3 2 4" xfId="9404"/>
    <cellStyle name="Note 6 3 2 4 2" xfId="28376"/>
    <cellStyle name="Note 6 3 2 4 3" xfId="39221"/>
    <cellStyle name="Note 6 3 2 5" xfId="20200"/>
    <cellStyle name="Note 6 3 2 6" xfId="31045"/>
    <cellStyle name="Note 6 3 3" xfId="1617"/>
    <cellStyle name="Note 6 3 3 2" xfId="4470"/>
    <cellStyle name="Note 6 3 3 2 2" xfId="23442"/>
    <cellStyle name="Note 6 3 3 2 3" xfId="34287"/>
    <cellStyle name="Note 6 3 3 3" xfId="7142"/>
    <cellStyle name="Note 6 3 3 3 2" xfId="26114"/>
    <cellStyle name="Note 6 3 3 3 3" xfId="36959"/>
    <cellStyle name="Note 6 3 3 4" xfId="9801"/>
    <cellStyle name="Note 6 3 3 4 2" xfId="28773"/>
    <cellStyle name="Note 6 3 3 4 3" xfId="39618"/>
    <cellStyle name="Note 6 3 3 5" xfId="20597"/>
    <cellStyle name="Note 6 3 3 6" xfId="31442"/>
    <cellStyle name="Note 6 3 4" xfId="2019"/>
    <cellStyle name="Note 6 3 4 2" xfId="4872"/>
    <cellStyle name="Note 6 3 4 2 2" xfId="23844"/>
    <cellStyle name="Note 6 3 4 2 3" xfId="34689"/>
    <cellStyle name="Note 6 3 4 3" xfId="7544"/>
    <cellStyle name="Note 6 3 4 3 2" xfId="26516"/>
    <cellStyle name="Note 6 3 4 3 3" xfId="37361"/>
    <cellStyle name="Note 6 3 4 4" xfId="10203"/>
    <cellStyle name="Note 6 3 4 4 2" xfId="29175"/>
    <cellStyle name="Note 6 3 4 4 3" xfId="40020"/>
    <cellStyle name="Note 6 3 4 5" xfId="20999"/>
    <cellStyle name="Note 6 3 4 6" xfId="31844"/>
    <cellStyle name="Note 6 3 5" xfId="2411"/>
    <cellStyle name="Note 6 3 5 2" xfId="5264"/>
    <cellStyle name="Note 6 3 5 2 2" xfId="24236"/>
    <cellStyle name="Note 6 3 5 2 3" xfId="35081"/>
    <cellStyle name="Note 6 3 5 3" xfId="7935"/>
    <cellStyle name="Note 6 3 5 3 2" xfId="26907"/>
    <cellStyle name="Note 6 3 5 3 3" xfId="37752"/>
    <cellStyle name="Note 6 3 5 4" xfId="10594"/>
    <cellStyle name="Note 6 3 5 4 2" xfId="29566"/>
    <cellStyle name="Note 6 3 5 4 3" xfId="40411"/>
    <cellStyle name="Note 6 3 5 5" xfId="21390"/>
    <cellStyle name="Note 6 3 5 6" xfId="32235"/>
    <cellStyle name="Note 6 3 6" xfId="2800"/>
    <cellStyle name="Note 6 3 6 2" xfId="5652"/>
    <cellStyle name="Note 6 3 6 2 2" xfId="24624"/>
    <cellStyle name="Note 6 3 6 2 3" xfId="35469"/>
    <cellStyle name="Note 6 3 6 3" xfId="8323"/>
    <cellStyle name="Note 6 3 6 3 2" xfId="27295"/>
    <cellStyle name="Note 6 3 6 3 3" xfId="38140"/>
    <cellStyle name="Note 6 3 6 4" xfId="10982"/>
    <cellStyle name="Note 6 3 6 4 2" xfId="29954"/>
    <cellStyle name="Note 6 3 6 4 3" xfId="40799"/>
    <cellStyle name="Note 6 3 6 5" xfId="21778"/>
    <cellStyle name="Note 6 3 6 6" xfId="32623"/>
    <cellStyle name="Note 6 3 7" xfId="3491"/>
    <cellStyle name="Note 6 3 7 2" xfId="22463"/>
    <cellStyle name="Note 6 3 7 3" xfId="33308"/>
    <cellStyle name="Note 6 3 8" xfId="6167"/>
    <cellStyle name="Note 6 3 8 2" xfId="25139"/>
    <cellStyle name="Note 6 3 8 3" xfId="35984"/>
    <cellStyle name="Note 6 3 9" xfId="8826"/>
    <cellStyle name="Note 6 3 9 2" xfId="27798"/>
    <cellStyle name="Note 6 3 9 3" xfId="38643"/>
    <cellStyle name="Note 7" xfId="316"/>
    <cellStyle name="Note 7 2" xfId="428"/>
    <cellStyle name="Note 7 2 10" xfId="2710"/>
    <cellStyle name="Note 7 2 10 2" xfId="5562"/>
    <cellStyle name="Note 7 2 10 2 2" xfId="24534"/>
    <cellStyle name="Note 7 2 10 2 3" xfId="35379"/>
    <cellStyle name="Note 7 2 10 3" xfId="8233"/>
    <cellStyle name="Note 7 2 10 3 2" xfId="27205"/>
    <cellStyle name="Note 7 2 10 3 3" xfId="38050"/>
    <cellStyle name="Note 7 2 10 4" xfId="10892"/>
    <cellStyle name="Note 7 2 10 4 2" xfId="29864"/>
    <cellStyle name="Note 7 2 10 4 3" xfId="40709"/>
    <cellStyle name="Note 7 2 10 5" xfId="21688"/>
    <cellStyle name="Note 7 2 10 6" xfId="32533"/>
    <cellStyle name="Note 7 2 11" xfId="3095"/>
    <cellStyle name="Note 7 2 11 2" xfId="5946"/>
    <cellStyle name="Note 7 2 11 2 2" xfId="24918"/>
    <cellStyle name="Note 7 2 11 2 3" xfId="35763"/>
    <cellStyle name="Note 7 2 11 3" xfId="8617"/>
    <cellStyle name="Note 7 2 11 3 2" xfId="27589"/>
    <cellStyle name="Note 7 2 11 3 3" xfId="38434"/>
    <cellStyle name="Note 7 2 11 4" xfId="11276"/>
    <cellStyle name="Note 7 2 11 4 2" xfId="30248"/>
    <cellStyle name="Note 7 2 11 4 3" xfId="41093"/>
    <cellStyle name="Note 7 2 11 5" xfId="22072"/>
    <cellStyle name="Note 7 2 11 6" xfId="32917"/>
    <cellStyle name="Note 7 2 12" xfId="3152"/>
    <cellStyle name="Note 7 2 12 2" xfId="6003"/>
    <cellStyle name="Note 7 2 12 2 2" xfId="24975"/>
    <cellStyle name="Note 7 2 12 2 3" xfId="35820"/>
    <cellStyle name="Note 7 2 12 3" xfId="8674"/>
    <cellStyle name="Note 7 2 12 3 2" xfId="27646"/>
    <cellStyle name="Note 7 2 12 3 3" xfId="38491"/>
    <cellStyle name="Note 7 2 12 4" xfId="11333"/>
    <cellStyle name="Note 7 2 12 4 2" xfId="30305"/>
    <cellStyle name="Note 7 2 12 4 3" xfId="41150"/>
    <cellStyle name="Note 7 2 12 5" xfId="22129"/>
    <cellStyle name="Note 7 2 12 6" xfId="32974"/>
    <cellStyle name="Note 7 2 13" xfId="3209"/>
    <cellStyle name="Note 7 2 13 2" xfId="6060"/>
    <cellStyle name="Note 7 2 13 2 2" xfId="25032"/>
    <cellStyle name="Note 7 2 13 2 3" xfId="35877"/>
    <cellStyle name="Note 7 2 13 3" xfId="8731"/>
    <cellStyle name="Note 7 2 13 3 2" xfId="27703"/>
    <cellStyle name="Note 7 2 13 3 3" xfId="38548"/>
    <cellStyle name="Note 7 2 13 4" xfId="11390"/>
    <cellStyle name="Note 7 2 13 4 2" xfId="30362"/>
    <cellStyle name="Note 7 2 13 4 3" xfId="41207"/>
    <cellStyle name="Note 7 2 13 5" xfId="22186"/>
    <cellStyle name="Note 7 2 13 6" xfId="33031"/>
    <cellStyle name="Note 7 2 14" xfId="3378"/>
    <cellStyle name="Note 7 2 14 2" xfId="22352"/>
    <cellStyle name="Note 7 2 14 3" xfId="33197"/>
    <cellStyle name="Note 7 2 15" xfId="3245"/>
    <cellStyle name="Note 7 2 15 2" xfId="22221"/>
    <cellStyle name="Note 7 2 15 3" xfId="33066"/>
    <cellStyle name="Note 7 2 16" xfId="6069"/>
    <cellStyle name="Note 7 2 16 2" xfId="25041"/>
    <cellStyle name="Note 7 2 16 3" xfId="35886"/>
    <cellStyle name="Note 7 2 17" xfId="19506"/>
    <cellStyle name="Note 7 2 18" xfId="19515"/>
    <cellStyle name="Note 7 2 2" xfId="719"/>
    <cellStyle name="Note 7 2 2 10" xfId="19704"/>
    <cellStyle name="Note 7 2 2 11" xfId="30549"/>
    <cellStyle name="Note 7 2 2 2" xfId="1306"/>
    <cellStyle name="Note 7 2 2 2 2" xfId="4159"/>
    <cellStyle name="Note 7 2 2 2 2 2" xfId="23131"/>
    <cellStyle name="Note 7 2 2 2 2 3" xfId="33976"/>
    <cellStyle name="Note 7 2 2 2 3" xfId="6832"/>
    <cellStyle name="Note 7 2 2 2 3 2" xfId="25804"/>
    <cellStyle name="Note 7 2 2 2 3 3" xfId="36649"/>
    <cellStyle name="Note 7 2 2 2 4" xfId="9491"/>
    <cellStyle name="Note 7 2 2 2 4 2" xfId="28463"/>
    <cellStyle name="Note 7 2 2 2 4 3" xfId="39308"/>
    <cellStyle name="Note 7 2 2 2 5" xfId="20287"/>
    <cellStyle name="Note 7 2 2 2 6" xfId="31132"/>
    <cellStyle name="Note 7 2 2 3" xfId="1705"/>
    <cellStyle name="Note 7 2 2 3 2" xfId="4558"/>
    <cellStyle name="Note 7 2 2 3 2 2" xfId="23530"/>
    <cellStyle name="Note 7 2 2 3 2 3" xfId="34375"/>
    <cellStyle name="Note 7 2 2 3 3" xfId="7230"/>
    <cellStyle name="Note 7 2 2 3 3 2" xfId="26202"/>
    <cellStyle name="Note 7 2 2 3 3 3" xfId="37047"/>
    <cellStyle name="Note 7 2 2 3 4" xfId="9889"/>
    <cellStyle name="Note 7 2 2 3 4 2" xfId="28861"/>
    <cellStyle name="Note 7 2 2 3 4 3" xfId="39706"/>
    <cellStyle name="Note 7 2 2 3 5" xfId="20685"/>
    <cellStyle name="Note 7 2 2 3 6" xfId="31530"/>
    <cellStyle name="Note 7 2 2 4" xfId="2109"/>
    <cellStyle name="Note 7 2 2 4 2" xfId="4962"/>
    <cellStyle name="Note 7 2 2 4 2 2" xfId="23934"/>
    <cellStyle name="Note 7 2 2 4 2 3" xfId="34779"/>
    <cellStyle name="Note 7 2 2 4 3" xfId="7633"/>
    <cellStyle name="Note 7 2 2 4 3 2" xfId="26605"/>
    <cellStyle name="Note 7 2 2 4 3 3" xfId="37450"/>
    <cellStyle name="Note 7 2 2 4 4" xfId="10292"/>
    <cellStyle name="Note 7 2 2 4 4 2" xfId="29264"/>
    <cellStyle name="Note 7 2 2 4 4 3" xfId="40109"/>
    <cellStyle name="Note 7 2 2 4 5" xfId="21088"/>
    <cellStyle name="Note 7 2 2 4 6" xfId="31933"/>
    <cellStyle name="Note 7 2 2 5" xfId="2499"/>
    <cellStyle name="Note 7 2 2 5 2" xfId="5351"/>
    <cellStyle name="Note 7 2 2 5 2 2" xfId="24323"/>
    <cellStyle name="Note 7 2 2 5 2 3" xfId="35168"/>
    <cellStyle name="Note 7 2 2 5 3" xfId="8022"/>
    <cellStyle name="Note 7 2 2 5 3 2" xfId="26994"/>
    <cellStyle name="Note 7 2 2 5 3 3" xfId="37839"/>
    <cellStyle name="Note 7 2 2 5 4" xfId="10681"/>
    <cellStyle name="Note 7 2 2 5 4 2" xfId="29653"/>
    <cellStyle name="Note 7 2 2 5 4 3" xfId="40498"/>
    <cellStyle name="Note 7 2 2 5 5" xfId="21477"/>
    <cellStyle name="Note 7 2 2 5 6" xfId="32322"/>
    <cellStyle name="Note 7 2 2 6" xfId="2885"/>
    <cellStyle name="Note 7 2 2 6 2" xfId="5736"/>
    <cellStyle name="Note 7 2 2 6 2 2" xfId="24708"/>
    <cellStyle name="Note 7 2 2 6 2 3" xfId="35553"/>
    <cellStyle name="Note 7 2 2 6 3" xfId="8407"/>
    <cellStyle name="Note 7 2 2 6 3 2" xfId="27379"/>
    <cellStyle name="Note 7 2 2 6 3 3" xfId="38224"/>
    <cellStyle name="Note 7 2 2 6 4" xfId="11066"/>
    <cellStyle name="Note 7 2 2 6 4 2" xfId="30038"/>
    <cellStyle name="Note 7 2 2 6 4 3" xfId="40883"/>
    <cellStyle name="Note 7 2 2 6 5" xfId="21862"/>
    <cellStyle name="Note 7 2 2 6 6" xfId="32707"/>
    <cellStyle name="Note 7 2 2 7" xfId="3574"/>
    <cellStyle name="Note 7 2 2 7 2" xfId="22546"/>
    <cellStyle name="Note 7 2 2 7 3" xfId="33391"/>
    <cellStyle name="Note 7 2 2 8" xfId="6249"/>
    <cellStyle name="Note 7 2 2 8 2" xfId="25221"/>
    <cellStyle name="Note 7 2 2 8 3" xfId="36066"/>
    <cellStyle name="Note 7 2 2 9" xfId="8908"/>
    <cellStyle name="Note 7 2 2 9 2" xfId="27880"/>
    <cellStyle name="Note 7 2 2 9 3" xfId="38725"/>
    <cellStyle name="Note 7 2 3" xfId="778"/>
    <cellStyle name="Note 7 2 3 10" xfId="19763"/>
    <cellStyle name="Note 7 2 3 11" xfId="30608"/>
    <cellStyle name="Note 7 2 3 2" xfId="1365"/>
    <cellStyle name="Note 7 2 3 2 2" xfId="4218"/>
    <cellStyle name="Note 7 2 3 2 2 2" xfId="23190"/>
    <cellStyle name="Note 7 2 3 2 2 3" xfId="34035"/>
    <cellStyle name="Note 7 2 3 2 3" xfId="6891"/>
    <cellStyle name="Note 7 2 3 2 3 2" xfId="25863"/>
    <cellStyle name="Note 7 2 3 2 3 3" xfId="36708"/>
    <cellStyle name="Note 7 2 3 2 4" xfId="9550"/>
    <cellStyle name="Note 7 2 3 2 4 2" xfId="28522"/>
    <cellStyle name="Note 7 2 3 2 4 3" xfId="39367"/>
    <cellStyle name="Note 7 2 3 2 5" xfId="20346"/>
    <cellStyle name="Note 7 2 3 2 6" xfId="31191"/>
    <cellStyle name="Note 7 2 3 3" xfId="1764"/>
    <cellStyle name="Note 7 2 3 3 2" xfId="4617"/>
    <cellStyle name="Note 7 2 3 3 2 2" xfId="23589"/>
    <cellStyle name="Note 7 2 3 3 2 3" xfId="34434"/>
    <cellStyle name="Note 7 2 3 3 3" xfId="7289"/>
    <cellStyle name="Note 7 2 3 3 3 2" xfId="26261"/>
    <cellStyle name="Note 7 2 3 3 3 3" xfId="37106"/>
    <cellStyle name="Note 7 2 3 3 4" xfId="9948"/>
    <cellStyle name="Note 7 2 3 3 4 2" xfId="28920"/>
    <cellStyle name="Note 7 2 3 3 4 3" xfId="39765"/>
    <cellStyle name="Note 7 2 3 3 5" xfId="20744"/>
    <cellStyle name="Note 7 2 3 3 6" xfId="31589"/>
    <cellStyle name="Note 7 2 3 4" xfId="2168"/>
    <cellStyle name="Note 7 2 3 4 2" xfId="5021"/>
    <cellStyle name="Note 7 2 3 4 2 2" xfId="23993"/>
    <cellStyle name="Note 7 2 3 4 2 3" xfId="34838"/>
    <cellStyle name="Note 7 2 3 4 3" xfId="7692"/>
    <cellStyle name="Note 7 2 3 4 3 2" xfId="26664"/>
    <cellStyle name="Note 7 2 3 4 3 3" xfId="37509"/>
    <cellStyle name="Note 7 2 3 4 4" xfId="10351"/>
    <cellStyle name="Note 7 2 3 4 4 2" xfId="29323"/>
    <cellStyle name="Note 7 2 3 4 4 3" xfId="40168"/>
    <cellStyle name="Note 7 2 3 4 5" xfId="21147"/>
    <cellStyle name="Note 7 2 3 4 6" xfId="31992"/>
    <cellStyle name="Note 7 2 3 5" xfId="2558"/>
    <cellStyle name="Note 7 2 3 5 2" xfId="5410"/>
    <cellStyle name="Note 7 2 3 5 2 2" xfId="24382"/>
    <cellStyle name="Note 7 2 3 5 2 3" xfId="35227"/>
    <cellStyle name="Note 7 2 3 5 3" xfId="8081"/>
    <cellStyle name="Note 7 2 3 5 3 2" xfId="27053"/>
    <cellStyle name="Note 7 2 3 5 3 3" xfId="37898"/>
    <cellStyle name="Note 7 2 3 5 4" xfId="10740"/>
    <cellStyle name="Note 7 2 3 5 4 2" xfId="29712"/>
    <cellStyle name="Note 7 2 3 5 4 3" xfId="40557"/>
    <cellStyle name="Note 7 2 3 5 5" xfId="21536"/>
    <cellStyle name="Note 7 2 3 5 6" xfId="32381"/>
    <cellStyle name="Note 7 2 3 6" xfId="2944"/>
    <cellStyle name="Note 7 2 3 6 2" xfId="5795"/>
    <cellStyle name="Note 7 2 3 6 2 2" xfId="24767"/>
    <cellStyle name="Note 7 2 3 6 2 3" xfId="35612"/>
    <cellStyle name="Note 7 2 3 6 3" xfId="8466"/>
    <cellStyle name="Note 7 2 3 6 3 2" xfId="27438"/>
    <cellStyle name="Note 7 2 3 6 3 3" xfId="38283"/>
    <cellStyle name="Note 7 2 3 6 4" xfId="11125"/>
    <cellStyle name="Note 7 2 3 6 4 2" xfId="30097"/>
    <cellStyle name="Note 7 2 3 6 4 3" xfId="40942"/>
    <cellStyle name="Note 7 2 3 6 5" xfId="21921"/>
    <cellStyle name="Note 7 2 3 6 6" xfId="32766"/>
    <cellStyle name="Note 7 2 3 7" xfId="3633"/>
    <cellStyle name="Note 7 2 3 7 2" xfId="22605"/>
    <cellStyle name="Note 7 2 3 7 3" xfId="33450"/>
    <cellStyle name="Note 7 2 3 8" xfId="6308"/>
    <cellStyle name="Note 7 2 3 8 2" xfId="25280"/>
    <cellStyle name="Note 7 2 3 8 3" xfId="36125"/>
    <cellStyle name="Note 7 2 3 9" xfId="8967"/>
    <cellStyle name="Note 7 2 3 9 2" xfId="27939"/>
    <cellStyle name="Note 7 2 3 9 3" xfId="38784"/>
    <cellStyle name="Note 7 2 4" xfId="837"/>
    <cellStyle name="Note 7 2 4 10" xfId="19822"/>
    <cellStyle name="Note 7 2 4 11" xfId="30667"/>
    <cellStyle name="Note 7 2 4 2" xfId="1424"/>
    <cellStyle name="Note 7 2 4 2 2" xfId="4277"/>
    <cellStyle name="Note 7 2 4 2 2 2" xfId="23249"/>
    <cellStyle name="Note 7 2 4 2 2 3" xfId="34094"/>
    <cellStyle name="Note 7 2 4 2 3" xfId="6950"/>
    <cellStyle name="Note 7 2 4 2 3 2" xfId="25922"/>
    <cellStyle name="Note 7 2 4 2 3 3" xfId="36767"/>
    <cellStyle name="Note 7 2 4 2 4" xfId="9609"/>
    <cellStyle name="Note 7 2 4 2 4 2" xfId="28581"/>
    <cellStyle name="Note 7 2 4 2 4 3" xfId="39426"/>
    <cellStyle name="Note 7 2 4 2 5" xfId="20405"/>
    <cellStyle name="Note 7 2 4 2 6" xfId="31250"/>
    <cellStyle name="Note 7 2 4 3" xfId="1823"/>
    <cellStyle name="Note 7 2 4 3 2" xfId="4676"/>
    <cellStyle name="Note 7 2 4 3 2 2" xfId="23648"/>
    <cellStyle name="Note 7 2 4 3 2 3" xfId="34493"/>
    <cellStyle name="Note 7 2 4 3 3" xfId="7348"/>
    <cellStyle name="Note 7 2 4 3 3 2" xfId="26320"/>
    <cellStyle name="Note 7 2 4 3 3 3" xfId="37165"/>
    <cellStyle name="Note 7 2 4 3 4" xfId="10007"/>
    <cellStyle name="Note 7 2 4 3 4 2" xfId="28979"/>
    <cellStyle name="Note 7 2 4 3 4 3" xfId="39824"/>
    <cellStyle name="Note 7 2 4 3 5" xfId="20803"/>
    <cellStyle name="Note 7 2 4 3 6" xfId="31648"/>
    <cellStyle name="Note 7 2 4 4" xfId="2227"/>
    <cellStyle name="Note 7 2 4 4 2" xfId="5080"/>
    <cellStyle name="Note 7 2 4 4 2 2" xfId="24052"/>
    <cellStyle name="Note 7 2 4 4 2 3" xfId="34897"/>
    <cellStyle name="Note 7 2 4 4 3" xfId="7751"/>
    <cellStyle name="Note 7 2 4 4 3 2" xfId="26723"/>
    <cellStyle name="Note 7 2 4 4 3 3" xfId="37568"/>
    <cellStyle name="Note 7 2 4 4 4" xfId="10410"/>
    <cellStyle name="Note 7 2 4 4 4 2" xfId="29382"/>
    <cellStyle name="Note 7 2 4 4 4 3" xfId="40227"/>
    <cellStyle name="Note 7 2 4 4 5" xfId="21206"/>
    <cellStyle name="Note 7 2 4 4 6" xfId="32051"/>
    <cellStyle name="Note 7 2 4 5" xfId="2617"/>
    <cellStyle name="Note 7 2 4 5 2" xfId="5469"/>
    <cellStyle name="Note 7 2 4 5 2 2" xfId="24441"/>
    <cellStyle name="Note 7 2 4 5 2 3" xfId="35286"/>
    <cellStyle name="Note 7 2 4 5 3" xfId="8140"/>
    <cellStyle name="Note 7 2 4 5 3 2" xfId="27112"/>
    <cellStyle name="Note 7 2 4 5 3 3" xfId="37957"/>
    <cellStyle name="Note 7 2 4 5 4" xfId="10799"/>
    <cellStyle name="Note 7 2 4 5 4 2" xfId="29771"/>
    <cellStyle name="Note 7 2 4 5 4 3" xfId="40616"/>
    <cellStyle name="Note 7 2 4 5 5" xfId="21595"/>
    <cellStyle name="Note 7 2 4 5 6" xfId="32440"/>
    <cellStyle name="Note 7 2 4 6" xfId="3003"/>
    <cellStyle name="Note 7 2 4 6 2" xfId="5854"/>
    <cellStyle name="Note 7 2 4 6 2 2" xfId="24826"/>
    <cellStyle name="Note 7 2 4 6 2 3" xfId="35671"/>
    <cellStyle name="Note 7 2 4 6 3" xfId="8525"/>
    <cellStyle name="Note 7 2 4 6 3 2" xfId="27497"/>
    <cellStyle name="Note 7 2 4 6 3 3" xfId="38342"/>
    <cellStyle name="Note 7 2 4 6 4" xfId="11184"/>
    <cellStyle name="Note 7 2 4 6 4 2" xfId="30156"/>
    <cellStyle name="Note 7 2 4 6 4 3" xfId="41001"/>
    <cellStyle name="Note 7 2 4 6 5" xfId="21980"/>
    <cellStyle name="Note 7 2 4 6 6" xfId="32825"/>
    <cellStyle name="Note 7 2 4 7" xfId="3692"/>
    <cellStyle name="Note 7 2 4 7 2" xfId="22664"/>
    <cellStyle name="Note 7 2 4 7 3" xfId="33509"/>
    <cellStyle name="Note 7 2 4 8" xfId="6367"/>
    <cellStyle name="Note 7 2 4 8 2" xfId="25339"/>
    <cellStyle name="Note 7 2 4 8 3" xfId="36184"/>
    <cellStyle name="Note 7 2 4 9" xfId="9026"/>
    <cellStyle name="Note 7 2 4 9 2" xfId="27998"/>
    <cellStyle name="Note 7 2 4 9 3" xfId="38843"/>
    <cellStyle name="Note 7 2 5" xfId="896"/>
    <cellStyle name="Note 7 2 5 10" xfId="19881"/>
    <cellStyle name="Note 7 2 5 11" xfId="30726"/>
    <cellStyle name="Note 7 2 5 2" xfId="1483"/>
    <cellStyle name="Note 7 2 5 2 2" xfId="4336"/>
    <cellStyle name="Note 7 2 5 2 2 2" xfId="23308"/>
    <cellStyle name="Note 7 2 5 2 2 3" xfId="34153"/>
    <cellStyle name="Note 7 2 5 2 3" xfId="7009"/>
    <cellStyle name="Note 7 2 5 2 3 2" xfId="25981"/>
    <cellStyle name="Note 7 2 5 2 3 3" xfId="36826"/>
    <cellStyle name="Note 7 2 5 2 4" xfId="9668"/>
    <cellStyle name="Note 7 2 5 2 4 2" xfId="28640"/>
    <cellStyle name="Note 7 2 5 2 4 3" xfId="39485"/>
    <cellStyle name="Note 7 2 5 2 5" xfId="20464"/>
    <cellStyle name="Note 7 2 5 2 6" xfId="31309"/>
    <cellStyle name="Note 7 2 5 3" xfId="1882"/>
    <cellStyle name="Note 7 2 5 3 2" xfId="4735"/>
    <cellStyle name="Note 7 2 5 3 2 2" xfId="23707"/>
    <cellStyle name="Note 7 2 5 3 2 3" xfId="34552"/>
    <cellStyle name="Note 7 2 5 3 3" xfId="7407"/>
    <cellStyle name="Note 7 2 5 3 3 2" xfId="26379"/>
    <cellStyle name="Note 7 2 5 3 3 3" xfId="37224"/>
    <cellStyle name="Note 7 2 5 3 4" xfId="10066"/>
    <cellStyle name="Note 7 2 5 3 4 2" xfId="29038"/>
    <cellStyle name="Note 7 2 5 3 4 3" xfId="39883"/>
    <cellStyle name="Note 7 2 5 3 5" xfId="20862"/>
    <cellStyle name="Note 7 2 5 3 6" xfId="31707"/>
    <cellStyle name="Note 7 2 5 4" xfId="2286"/>
    <cellStyle name="Note 7 2 5 4 2" xfId="5139"/>
    <cellStyle name="Note 7 2 5 4 2 2" xfId="24111"/>
    <cellStyle name="Note 7 2 5 4 2 3" xfId="34956"/>
    <cellStyle name="Note 7 2 5 4 3" xfId="7810"/>
    <cellStyle name="Note 7 2 5 4 3 2" xfId="26782"/>
    <cellStyle name="Note 7 2 5 4 3 3" xfId="37627"/>
    <cellStyle name="Note 7 2 5 4 4" xfId="10469"/>
    <cellStyle name="Note 7 2 5 4 4 2" xfId="29441"/>
    <cellStyle name="Note 7 2 5 4 4 3" xfId="40286"/>
    <cellStyle name="Note 7 2 5 4 5" xfId="21265"/>
    <cellStyle name="Note 7 2 5 4 6" xfId="32110"/>
    <cellStyle name="Note 7 2 5 5" xfId="2676"/>
    <cellStyle name="Note 7 2 5 5 2" xfId="5528"/>
    <cellStyle name="Note 7 2 5 5 2 2" xfId="24500"/>
    <cellStyle name="Note 7 2 5 5 2 3" xfId="35345"/>
    <cellStyle name="Note 7 2 5 5 3" xfId="8199"/>
    <cellStyle name="Note 7 2 5 5 3 2" xfId="27171"/>
    <cellStyle name="Note 7 2 5 5 3 3" xfId="38016"/>
    <cellStyle name="Note 7 2 5 5 4" xfId="10858"/>
    <cellStyle name="Note 7 2 5 5 4 2" xfId="29830"/>
    <cellStyle name="Note 7 2 5 5 4 3" xfId="40675"/>
    <cellStyle name="Note 7 2 5 5 5" xfId="21654"/>
    <cellStyle name="Note 7 2 5 5 6" xfId="32499"/>
    <cellStyle name="Note 7 2 5 6" xfId="3062"/>
    <cellStyle name="Note 7 2 5 6 2" xfId="5913"/>
    <cellStyle name="Note 7 2 5 6 2 2" xfId="24885"/>
    <cellStyle name="Note 7 2 5 6 2 3" xfId="35730"/>
    <cellStyle name="Note 7 2 5 6 3" xfId="8584"/>
    <cellStyle name="Note 7 2 5 6 3 2" xfId="27556"/>
    <cellStyle name="Note 7 2 5 6 3 3" xfId="38401"/>
    <cellStyle name="Note 7 2 5 6 4" xfId="11243"/>
    <cellStyle name="Note 7 2 5 6 4 2" xfId="30215"/>
    <cellStyle name="Note 7 2 5 6 4 3" xfId="41060"/>
    <cellStyle name="Note 7 2 5 6 5" xfId="22039"/>
    <cellStyle name="Note 7 2 5 6 6" xfId="32884"/>
    <cellStyle name="Note 7 2 5 7" xfId="3751"/>
    <cellStyle name="Note 7 2 5 7 2" xfId="22723"/>
    <cellStyle name="Note 7 2 5 7 3" xfId="33568"/>
    <cellStyle name="Note 7 2 5 8" xfId="6426"/>
    <cellStyle name="Note 7 2 5 8 2" xfId="25398"/>
    <cellStyle name="Note 7 2 5 8 3" xfId="36243"/>
    <cellStyle name="Note 7 2 5 9" xfId="9085"/>
    <cellStyle name="Note 7 2 5 9 2" xfId="28057"/>
    <cellStyle name="Note 7 2 5 9 3" xfId="38902"/>
    <cellStyle name="Note 7 2 6" xfId="1126"/>
    <cellStyle name="Note 7 2 6 2" xfId="3979"/>
    <cellStyle name="Note 7 2 6 2 2" xfId="22951"/>
    <cellStyle name="Note 7 2 6 2 3" xfId="33796"/>
    <cellStyle name="Note 7 2 6 3" xfId="6652"/>
    <cellStyle name="Note 7 2 6 3 2" xfId="25624"/>
    <cellStyle name="Note 7 2 6 3 3" xfId="36469"/>
    <cellStyle name="Note 7 2 6 4" xfId="9311"/>
    <cellStyle name="Note 7 2 6 4 2" xfId="28283"/>
    <cellStyle name="Note 7 2 6 4 3" xfId="39128"/>
    <cellStyle name="Note 7 2 6 5" xfId="20107"/>
    <cellStyle name="Note 7 2 6 6" xfId="30952"/>
    <cellStyle name="Note 7 2 7" xfId="1522"/>
    <cellStyle name="Note 7 2 7 2" xfId="4375"/>
    <cellStyle name="Note 7 2 7 2 2" xfId="23347"/>
    <cellStyle name="Note 7 2 7 2 3" xfId="34192"/>
    <cellStyle name="Note 7 2 7 3" xfId="7048"/>
    <cellStyle name="Note 7 2 7 3 2" xfId="26020"/>
    <cellStyle name="Note 7 2 7 3 3" xfId="36865"/>
    <cellStyle name="Note 7 2 7 4" xfId="9707"/>
    <cellStyle name="Note 7 2 7 4 2" xfId="28679"/>
    <cellStyle name="Note 7 2 7 4 3" xfId="39524"/>
    <cellStyle name="Note 7 2 7 5" xfId="20503"/>
    <cellStyle name="Note 7 2 7 6" xfId="31348"/>
    <cellStyle name="Note 7 2 8" xfId="1928"/>
    <cellStyle name="Note 7 2 8 2" xfId="4781"/>
    <cellStyle name="Note 7 2 8 2 2" xfId="23753"/>
    <cellStyle name="Note 7 2 8 2 3" xfId="34598"/>
    <cellStyle name="Note 7 2 8 3" xfId="7453"/>
    <cellStyle name="Note 7 2 8 3 2" xfId="26425"/>
    <cellStyle name="Note 7 2 8 3 3" xfId="37270"/>
    <cellStyle name="Note 7 2 8 4" xfId="10112"/>
    <cellStyle name="Note 7 2 8 4 2" xfId="29084"/>
    <cellStyle name="Note 7 2 8 4 3" xfId="39929"/>
    <cellStyle name="Note 7 2 8 5" xfId="20908"/>
    <cellStyle name="Note 7 2 8 6" xfId="31753"/>
    <cellStyle name="Note 7 2 9" xfId="2321"/>
    <cellStyle name="Note 7 2 9 2" xfId="5174"/>
    <cellStyle name="Note 7 2 9 2 2" xfId="24146"/>
    <cellStyle name="Note 7 2 9 2 3" xfId="34991"/>
    <cellStyle name="Note 7 2 9 3" xfId="7845"/>
    <cellStyle name="Note 7 2 9 3 2" xfId="26817"/>
    <cellStyle name="Note 7 2 9 3 3" xfId="37662"/>
    <cellStyle name="Note 7 2 9 4" xfId="10504"/>
    <cellStyle name="Note 7 2 9 4 2" xfId="29476"/>
    <cellStyle name="Note 7 2 9 4 3" xfId="40321"/>
    <cellStyle name="Note 7 2 9 5" xfId="21300"/>
    <cellStyle name="Note 7 2 9 6" xfId="32145"/>
    <cellStyle name="Note 7 3" xfId="616"/>
    <cellStyle name="Note 7 3 10" xfId="19623"/>
    <cellStyle name="Note 7 3 11" xfId="30468"/>
    <cellStyle name="Note 7 3 2" xfId="1220"/>
    <cellStyle name="Note 7 3 2 2" xfId="4073"/>
    <cellStyle name="Note 7 3 2 2 2" xfId="23045"/>
    <cellStyle name="Note 7 3 2 2 3" xfId="33890"/>
    <cellStyle name="Note 7 3 2 3" xfId="6746"/>
    <cellStyle name="Note 7 3 2 3 2" xfId="25718"/>
    <cellStyle name="Note 7 3 2 3 3" xfId="36563"/>
    <cellStyle name="Note 7 3 2 4" xfId="9405"/>
    <cellStyle name="Note 7 3 2 4 2" xfId="28377"/>
    <cellStyle name="Note 7 3 2 4 3" xfId="39222"/>
    <cellStyle name="Note 7 3 2 5" xfId="20201"/>
    <cellStyle name="Note 7 3 2 6" xfId="31046"/>
    <cellStyle name="Note 7 3 3" xfId="1618"/>
    <cellStyle name="Note 7 3 3 2" xfId="4471"/>
    <cellStyle name="Note 7 3 3 2 2" xfId="23443"/>
    <cellStyle name="Note 7 3 3 2 3" xfId="34288"/>
    <cellStyle name="Note 7 3 3 3" xfId="7143"/>
    <cellStyle name="Note 7 3 3 3 2" xfId="26115"/>
    <cellStyle name="Note 7 3 3 3 3" xfId="36960"/>
    <cellStyle name="Note 7 3 3 4" xfId="9802"/>
    <cellStyle name="Note 7 3 3 4 2" xfId="28774"/>
    <cellStyle name="Note 7 3 3 4 3" xfId="39619"/>
    <cellStyle name="Note 7 3 3 5" xfId="20598"/>
    <cellStyle name="Note 7 3 3 6" xfId="31443"/>
    <cellStyle name="Note 7 3 4" xfId="2020"/>
    <cellStyle name="Note 7 3 4 2" xfId="4873"/>
    <cellStyle name="Note 7 3 4 2 2" xfId="23845"/>
    <cellStyle name="Note 7 3 4 2 3" xfId="34690"/>
    <cellStyle name="Note 7 3 4 3" xfId="7545"/>
    <cellStyle name="Note 7 3 4 3 2" xfId="26517"/>
    <cellStyle name="Note 7 3 4 3 3" xfId="37362"/>
    <cellStyle name="Note 7 3 4 4" xfId="10204"/>
    <cellStyle name="Note 7 3 4 4 2" xfId="29176"/>
    <cellStyle name="Note 7 3 4 4 3" xfId="40021"/>
    <cellStyle name="Note 7 3 4 5" xfId="21000"/>
    <cellStyle name="Note 7 3 4 6" xfId="31845"/>
    <cellStyle name="Note 7 3 5" xfId="2412"/>
    <cellStyle name="Note 7 3 5 2" xfId="5265"/>
    <cellStyle name="Note 7 3 5 2 2" xfId="24237"/>
    <cellStyle name="Note 7 3 5 2 3" xfId="35082"/>
    <cellStyle name="Note 7 3 5 3" xfId="7936"/>
    <cellStyle name="Note 7 3 5 3 2" xfId="26908"/>
    <cellStyle name="Note 7 3 5 3 3" xfId="37753"/>
    <cellStyle name="Note 7 3 5 4" xfId="10595"/>
    <cellStyle name="Note 7 3 5 4 2" xfId="29567"/>
    <cellStyle name="Note 7 3 5 4 3" xfId="40412"/>
    <cellStyle name="Note 7 3 5 5" xfId="21391"/>
    <cellStyle name="Note 7 3 5 6" xfId="32236"/>
    <cellStyle name="Note 7 3 6" xfId="2801"/>
    <cellStyle name="Note 7 3 6 2" xfId="5653"/>
    <cellStyle name="Note 7 3 6 2 2" xfId="24625"/>
    <cellStyle name="Note 7 3 6 2 3" xfId="35470"/>
    <cellStyle name="Note 7 3 6 3" xfId="8324"/>
    <cellStyle name="Note 7 3 6 3 2" xfId="27296"/>
    <cellStyle name="Note 7 3 6 3 3" xfId="38141"/>
    <cellStyle name="Note 7 3 6 4" xfId="10983"/>
    <cellStyle name="Note 7 3 6 4 2" xfId="29955"/>
    <cellStyle name="Note 7 3 6 4 3" xfId="40800"/>
    <cellStyle name="Note 7 3 6 5" xfId="21779"/>
    <cellStyle name="Note 7 3 6 6" xfId="32624"/>
    <cellStyle name="Note 7 3 7" xfId="3492"/>
    <cellStyle name="Note 7 3 7 2" xfId="22464"/>
    <cellStyle name="Note 7 3 7 3" xfId="33309"/>
    <cellStyle name="Note 7 3 8" xfId="6168"/>
    <cellStyle name="Note 7 3 8 2" xfId="25140"/>
    <cellStyle name="Note 7 3 8 3" xfId="35985"/>
    <cellStyle name="Note 7 3 9" xfId="8827"/>
    <cellStyle name="Note 7 3 9 2" xfId="27799"/>
    <cellStyle name="Note 7 3 9 3" xfId="38644"/>
    <cellStyle name="Note 8" xfId="317"/>
    <cellStyle name="Note 8 2" xfId="429"/>
    <cellStyle name="Note 8 2 10" xfId="2711"/>
    <cellStyle name="Note 8 2 10 2" xfId="5563"/>
    <cellStyle name="Note 8 2 10 2 2" xfId="24535"/>
    <cellStyle name="Note 8 2 10 2 3" xfId="35380"/>
    <cellStyle name="Note 8 2 10 3" xfId="8234"/>
    <cellStyle name="Note 8 2 10 3 2" xfId="27206"/>
    <cellStyle name="Note 8 2 10 3 3" xfId="38051"/>
    <cellStyle name="Note 8 2 10 4" xfId="10893"/>
    <cellStyle name="Note 8 2 10 4 2" xfId="29865"/>
    <cellStyle name="Note 8 2 10 4 3" xfId="40710"/>
    <cellStyle name="Note 8 2 10 5" xfId="21689"/>
    <cellStyle name="Note 8 2 10 6" xfId="32534"/>
    <cellStyle name="Note 8 2 11" xfId="3096"/>
    <cellStyle name="Note 8 2 11 2" xfId="5947"/>
    <cellStyle name="Note 8 2 11 2 2" xfId="24919"/>
    <cellStyle name="Note 8 2 11 2 3" xfId="35764"/>
    <cellStyle name="Note 8 2 11 3" xfId="8618"/>
    <cellStyle name="Note 8 2 11 3 2" xfId="27590"/>
    <cellStyle name="Note 8 2 11 3 3" xfId="38435"/>
    <cellStyle name="Note 8 2 11 4" xfId="11277"/>
    <cellStyle name="Note 8 2 11 4 2" xfId="30249"/>
    <cellStyle name="Note 8 2 11 4 3" xfId="41094"/>
    <cellStyle name="Note 8 2 11 5" xfId="22073"/>
    <cellStyle name="Note 8 2 11 6" xfId="32918"/>
    <cellStyle name="Note 8 2 12" xfId="3153"/>
    <cellStyle name="Note 8 2 12 2" xfId="6004"/>
    <cellStyle name="Note 8 2 12 2 2" xfId="24976"/>
    <cellStyle name="Note 8 2 12 2 3" xfId="35821"/>
    <cellStyle name="Note 8 2 12 3" xfId="8675"/>
    <cellStyle name="Note 8 2 12 3 2" xfId="27647"/>
    <cellStyle name="Note 8 2 12 3 3" xfId="38492"/>
    <cellStyle name="Note 8 2 12 4" xfId="11334"/>
    <cellStyle name="Note 8 2 12 4 2" xfId="30306"/>
    <cellStyle name="Note 8 2 12 4 3" xfId="41151"/>
    <cellStyle name="Note 8 2 12 5" xfId="22130"/>
    <cellStyle name="Note 8 2 12 6" xfId="32975"/>
    <cellStyle name="Note 8 2 13" xfId="3210"/>
    <cellStyle name="Note 8 2 13 2" xfId="6061"/>
    <cellStyle name="Note 8 2 13 2 2" xfId="25033"/>
    <cellStyle name="Note 8 2 13 2 3" xfId="35878"/>
    <cellStyle name="Note 8 2 13 3" xfId="8732"/>
    <cellStyle name="Note 8 2 13 3 2" xfId="27704"/>
    <cellStyle name="Note 8 2 13 3 3" xfId="38549"/>
    <cellStyle name="Note 8 2 13 4" xfId="11391"/>
    <cellStyle name="Note 8 2 13 4 2" xfId="30363"/>
    <cellStyle name="Note 8 2 13 4 3" xfId="41208"/>
    <cellStyle name="Note 8 2 13 5" xfId="22187"/>
    <cellStyle name="Note 8 2 13 6" xfId="33032"/>
    <cellStyle name="Note 8 2 14" xfId="3379"/>
    <cellStyle name="Note 8 2 14 2" xfId="22353"/>
    <cellStyle name="Note 8 2 14 3" xfId="33198"/>
    <cellStyle name="Note 8 2 15" xfId="3229"/>
    <cellStyle name="Note 8 2 15 2" xfId="22206"/>
    <cellStyle name="Note 8 2 15 3" xfId="33051"/>
    <cellStyle name="Note 8 2 16" xfId="3370"/>
    <cellStyle name="Note 8 2 16 2" xfId="22344"/>
    <cellStyle name="Note 8 2 16 3" xfId="33189"/>
    <cellStyle name="Note 8 2 17" xfId="19507"/>
    <cellStyle name="Note 8 2 18" xfId="19423"/>
    <cellStyle name="Note 8 2 2" xfId="720"/>
    <cellStyle name="Note 8 2 2 10" xfId="19705"/>
    <cellStyle name="Note 8 2 2 11" xfId="30550"/>
    <cellStyle name="Note 8 2 2 2" xfId="1307"/>
    <cellStyle name="Note 8 2 2 2 2" xfId="4160"/>
    <cellStyle name="Note 8 2 2 2 2 2" xfId="23132"/>
    <cellStyle name="Note 8 2 2 2 2 3" xfId="33977"/>
    <cellStyle name="Note 8 2 2 2 3" xfId="6833"/>
    <cellStyle name="Note 8 2 2 2 3 2" xfId="25805"/>
    <cellStyle name="Note 8 2 2 2 3 3" xfId="36650"/>
    <cellStyle name="Note 8 2 2 2 4" xfId="9492"/>
    <cellStyle name="Note 8 2 2 2 4 2" xfId="28464"/>
    <cellStyle name="Note 8 2 2 2 4 3" xfId="39309"/>
    <cellStyle name="Note 8 2 2 2 5" xfId="20288"/>
    <cellStyle name="Note 8 2 2 2 6" xfId="31133"/>
    <cellStyle name="Note 8 2 2 3" xfId="1706"/>
    <cellStyle name="Note 8 2 2 3 2" xfId="4559"/>
    <cellStyle name="Note 8 2 2 3 2 2" xfId="23531"/>
    <cellStyle name="Note 8 2 2 3 2 3" xfId="34376"/>
    <cellStyle name="Note 8 2 2 3 3" xfId="7231"/>
    <cellStyle name="Note 8 2 2 3 3 2" xfId="26203"/>
    <cellStyle name="Note 8 2 2 3 3 3" xfId="37048"/>
    <cellStyle name="Note 8 2 2 3 4" xfId="9890"/>
    <cellStyle name="Note 8 2 2 3 4 2" xfId="28862"/>
    <cellStyle name="Note 8 2 2 3 4 3" xfId="39707"/>
    <cellStyle name="Note 8 2 2 3 5" xfId="20686"/>
    <cellStyle name="Note 8 2 2 3 6" xfId="31531"/>
    <cellStyle name="Note 8 2 2 4" xfId="2110"/>
    <cellStyle name="Note 8 2 2 4 2" xfId="4963"/>
    <cellStyle name="Note 8 2 2 4 2 2" xfId="23935"/>
    <cellStyle name="Note 8 2 2 4 2 3" xfId="34780"/>
    <cellStyle name="Note 8 2 2 4 3" xfId="7634"/>
    <cellStyle name="Note 8 2 2 4 3 2" xfId="26606"/>
    <cellStyle name="Note 8 2 2 4 3 3" xfId="37451"/>
    <cellStyle name="Note 8 2 2 4 4" xfId="10293"/>
    <cellStyle name="Note 8 2 2 4 4 2" xfId="29265"/>
    <cellStyle name="Note 8 2 2 4 4 3" xfId="40110"/>
    <cellStyle name="Note 8 2 2 4 5" xfId="21089"/>
    <cellStyle name="Note 8 2 2 4 6" xfId="31934"/>
    <cellStyle name="Note 8 2 2 5" xfId="2500"/>
    <cellStyle name="Note 8 2 2 5 2" xfId="5352"/>
    <cellStyle name="Note 8 2 2 5 2 2" xfId="24324"/>
    <cellStyle name="Note 8 2 2 5 2 3" xfId="35169"/>
    <cellStyle name="Note 8 2 2 5 3" xfId="8023"/>
    <cellStyle name="Note 8 2 2 5 3 2" xfId="26995"/>
    <cellStyle name="Note 8 2 2 5 3 3" xfId="37840"/>
    <cellStyle name="Note 8 2 2 5 4" xfId="10682"/>
    <cellStyle name="Note 8 2 2 5 4 2" xfId="29654"/>
    <cellStyle name="Note 8 2 2 5 4 3" xfId="40499"/>
    <cellStyle name="Note 8 2 2 5 5" xfId="21478"/>
    <cellStyle name="Note 8 2 2 5 6" xfId="32323"/>
    <cellStyle name="Note 8 2 2 6" xfId="2886"/>
    <cellStyle name="Note 8 2 2 6 2" xfId="5737"/>
    <cellStyle name="Note 8 2 2 6 2 2" xfId="24709"/>
    <cellStyle name="Note 8 2 2 6 2 3" xfId="35554"/>
    <cellStyle name="Note 8 2 2 6 3" xfId="8408"/>
    <cellStyle name="Note 8 2 2 6 3 2" xfId="27380"/>
    <cellStyle name="Note 8 2 2 6 3 3" xfId="38225"/>
    <cellStyle name="Note 8 2 2 6 4" xfId="11067"/>
    <cellStyle name="Note 8 2 2 6 4 2" xfId="30039"/>
    <cellStyle name="Note 8 2 2 6 4 3" xfId="40884"/>
    <cellStyle name="Note 8 2 2 6 5" xfId="21863"/>
    <cellStyle name="Note 8 2 2 6 6" xfId="32708"/>
    <cellStyle name="Note 8 2 2 7" xfId="3575"/>
    <cellStyle name="Note 8 2 2 7 2" xfId="22547"/>
    <cellStyle name="Note 8 2 2 7 3" xfId="33392"/>
    <cellStyle name="Note 8 2 2 8" xfId="6250"/>
    <cellStyle name="Note 8 2 2 8 2" xfId="25222"/>
    <cellStyle name="Note 8 2 2 8 3" xfId="36067"/>
    <cellStyle name="Note 8 2 2 9" xfId="8909"/>
    <cellStyle name="Note 8 2 2 9 2" xfId="27881"/>
    <cellStyle name="Note 8 2 2 9 3" xfId="38726"/>
    <cellStyle name="Note 8 2 3" xfId="779"/>
    <cellStyle name="Note 8 2 3 10" xfId="19764"/>
    <cellStyle name="Note 8 2 3 11" xfId="30609"/>
    <cellStyle name="Note 8 2 3 2" xfId="1366"/>
    <cellStyle name="Note 8 2 3 2 2" xfId="4219"/>
    <cellStyle name="Note 8 2 3 2 2 2" xfId="23191"/>
    <cellStyle name="Note 8 2 3 2 2 3" xfId="34036"/>
    <cellStyle name="Note 8 2 3 2 3" xfId="6892"/>
    <cellStyle name="Note 8 2 3 2 3 2" xfId="25864"/>
    <cellStyle name="Note 8 2 3 2 3 3" xfId="36709"/>
    <cellStyle name="Note 8 2 3 2 4" xfId="9551"/>
    <cellStyle name="Note 8 2 3 2 4 2" xfId="28523"/>
    <cellStyle name="Note 8 2 3 2 4 3" xfId="39368"/>
    <cellStyle name="Note 8 2 3 2 5" xfId="20347"/>
    <cellStyle name="Note 8 2 3 2 6" xfId="31192"/>
    <cellStyle name="Note 8 2 3 3" xfId="1765"/>
    <cellStyle name="Note 8 2 3 3 2" xfId="4618"/>
    <cellStyle name="Note 8 2 3 3 2 2" xfId="23590"/>
    <cellStyle name="Note 8 2 3 3 2 3" xfId="34435"/>
    <cellStyle name="Note 8 2 3 3 3" xfId="7290"/>
    <cellStyle name="Note 8 2 3 3 3 2" xfId="26262"/>
    <cellStyle name="Note 8 2 3 3 3 3" xfId="37107"/>
    <cellStyle name="Note 8 2 3 3 4" xfId="9949"/>
    <cellStyle name="Note 8 2 3 3 4 2" xfId="28921"/>
    <cellStyle name="Note 8 2 3 3 4 3" xfId="39766"/>
    <cellStyle name="Note 8 2 3 3 5" xfId="20745"/>
    <cellStyle name="Note 8 2 3 3 6" xfId="31590"/>
    <cellStyle name="Note 8 2 3 4" xfId="2169"/>
    <cellStyle name="Note 8 2 3 4 2" xfId="5022"/>
    <cellStyle name="Note 8 2 3 4 2 2" xfId="23994"/>
    <cellStyle name="Note 8 2 3 4 2 3" xfId="34839"/>
    <cellStyle name="Note 8 2 3 4 3" xfId="7693"/>
    <cellStyle name="Note 8 2 3 4 3 2" xfId="26665"/>
    <cellStyle name="Note 8 2 3 4 3 3" xfId="37510"/>
    <cellStyle name="Note 8 2 3 4 4" xfId="10352"/>
    <cellStyle name="Note 8 2 3 4 4 2" xfId="29324"/>
    <cellStyle name="Note 8 2 3 4 4 3" xfId="40169"/>
    <cellStyle name="Note 8 2 3 4 5" xfId="21148"/>
    <cellStyle name="Note 8 2 3 4 6" xfId="31993"/>
    <cellStyle name="Note 8 2 3 5" xfId="2559"/>
    <cellStyle name="Note 8 2 3 5 2" xfId="5411"/>
    <cellStyle name="Note 8 2 3 5 2 2" xfId="24383"/>
    <cellStyle name="Note 8 2 3 5 2 3" xfId="35228"/>
    <cellStyle name="Note 8 2 3 5 3" xfId="8082"/>
    <cellStyle name="Note 8 2 3 5 3 2" xfId="27054"/>
    <cellStyle name="Note 8 2 3 5 3 3" xfId="37899"/>
    <cellStyle name="Note 8 2 3 5 4" xfId="10741"/>
    <cellStyle name="Note 8 2 3 5 4 2" xfId="29713"/>
    <cellStyle name="Note 8 2 3 5 4 3" xfId="40558"/>
    <cellStyle name="Note 8 2 3 5 5" xfId="21537"/>
    <cellStyle name="Note 8 2 3 5 6" xfId="32382"/>
    <cellStyle name="Note 8 2 3 6" xfId="2945"/>
    <cellStyle name="Note 8 2 3 6 2" xfId="5796"/>
    <cellStyle name="Note 8 2 3 6 2 2" xfId="24768"/>
    <cellStyle name="Note 8 2 3 6 2 3" xfId="35613"/>
    <cellStyle name="Note 8 2 3 6 3" xfId="8467"/>
    <cellStyle name="Note 8 2 3 6 3 2" xfId="27439"/>
    <cellStyle name="Note 8 2 3 6 3 3" xfId="38284"/>
    <cellStyle name="Note 8 2 3 6 4" xfId="11126"/>
    <cellStyle name="Note 8 2 3 6 4 2" xfId="30098"/>
    <cellStyle name="Note 8 2 3 6 4 3" xfId="40943"/>
    <cellStyle name="Note 8 2 3 6 5" xfId="21922"/>
    <cellStyle name="Note 8 2 3 6 6" xfId="32767"/>
    <cellStyle name="Note 8 2 3 7" xfId="3634"/>
    <cellStyle name="Note 8 2 3 7 2" xfId="22606"/>
    <cellStyle name="Note 8 2 3 7 3" xfId="33451"/>
    <cellStyle name="Note 8 2 3 8" xfId="6309"/>
    <cellStyle name="Note 8 2 3 8 2" xfId="25281"/>
    <cellStyle name="Note 8 2 3 8 3" xfId="36126"/>
    <cellStyle name="Note 8 2 3 9" xfId="8968"/>
    <cellStyle name="Note 8 2 3 9 2" xfId="27940"/>
    <cellStyle name="Note 8 2 3 9 3" xfId="38785"/>
    <cellStyle name="Note 8 2 4" xfId="838"/>
    <cellStyle name="Note 8 2 4 10" xfId="19823"/>
    <cellStyle name="Note 8 2 4 11" xfId="30668"/>
    <cellStyle name="Note 8 2 4 2" xfId="1425"/>
    <cellStyle name="Note 8 2 4 2 2" xfId="4278"/>
    <cellStyle name="Note 8 2 4 2 2 2" xfId="23250"/>
    <cellStyle name="Note 8 2 4 2 2 3" xfId="34095"/>
    <cellStyle name="Note 8 2 4 2 3" xfId="6951"/>
    <cellStyle name="Note 8 2 4 2 3 2" xfId="25923"/>
    <cellStyle name="Note 8 2 4 2 3 3" xfId="36768"/>
    <cellStyle name="Note 8 2 4 2 4" xfId="9610"/>
    <cellStyle name="Note 8 2 4 2 4 2" xfId="28582"/>
    <cellStyle name="Note 8 2 4 2 4 3" xfId="39427"/>
    <cellStyle name="Note 8 2 4 2 5" xfId="20406"/>
    <cellStyle name="Note 8 2 4 2 6" xfId="31251"/>
    <cellStyle name="Note 8 2 4 3" xfId="1824"/>
    <cellStyle name="Note 8 2 4 3 2" xfId="4677"/>
    <cellStyle name="Note 8 2 4 3 2 2" xfId="23649"/>
    <cellStyle name="Note 8 2 4 3 2 3" xfId="34494"/>
    <cellStyle name="Note 8 2 4 3 3" xfId="7349"/>
    <cellStyle name="Note 8 2 4 3 3 2" xfId="26321"/>
    <cellStyle name="Note 8 2 4 3 3 3" xfId="37166"/>
    <cellStyle name="Note 8 2 4 3 4" xfId="10008"/>
    <cellStyle name="Note 8 2 4 3 4 2" xfId="28980"/>
    <cellStyle name="Note 8 2 4 3 4 3" xfId="39825"/>
    <cellStyle name="Note 8 2 4 3 5" xfId="20804"/>
    <cellStyle name="Note 8 2 4 3 6" xfId="31649"/>
    <cellStyle name="Note 8 2 4 4" xfId="2228"/>
    <cellStyle name="Note 8 2 4 4 2" xfId="5081"/>
    <cellStyle name="Note 8 2 4 4 2 2" xfId="24053"/>
    <cellStyle name="Note 8 2 4 4 2 3" xfId="34898"/>
    <cellStyle name="Note 8 2 4 4 3" xfId="7752"/>
    <cellStyle name="Note 8 2 4 4 3 2" xfId="26724"/>
    <cellStyle name="Note 8 2 4 4 3 3" xfId="37569"/>
    <cellStyle name="Note 8 2 4 4 4" xfId="10411"/>
    <cellStyle name="Note 8 2 4 4 4 2" xfId="29383"/>
    <cellStyle name="Note 8 2 4 4 4 3" xfId="40228"/>
    <cellStyle name="Note 8 2 4 4 5" xfId="21207"/>
    <cellStyle name="Note 8 2 4 4 6" xfId="32052"/>
    <cellStyle name="Note 8 2 4 5" xfId="2618"/>
    <cellStyle name="Note 8 2 4 5 2" xfId="5470"/>
    <cellStyle name="Note 8 2 4 5 2 2" xfId="24442"/>
    <cellStyle name="Note 8 2 4 5 2 3" xfId="35287"/>
    <cellStyle name="Note 8 2 4 5 3" xfId="8141"/>
    <cellStyle name="Note 8 2 4 5 3 2" xfId="27113"/>
    <cellStyle name="Note 8 2 4 5 3 3" xfId="37958"/>
    <cellStyle name="Note 8 2 4 5 4" xfId="10800"/>
    <cellStyle name="Note 8 2 4 5 4 2" xfId="29772"/>
    <cellStyle name="Note 8 2 4 5 4 3" xfId="40617"/>
    <cellStyle name="Note 8 2 4 5 5" xfId="21596"/>
    <cellStyle name="Note 8 2 4 5 6" xfId="32441"/>
    <cellStyle name="Note 8 2 4 6" xfId="3004"/>
    <cellStyle name="Note 8 2 4 6 2" xfId="5855"/>
    <cellStyle name="Note 8 2 4 6 2 2" xfId="24827"/>
    <cellStyle name="Note 8 2 4 6 2 3" xfId="35672"/>
    <cellStyle name="Note 8 2 4 6 3" xfId="8526"/>
    <cellStyle name="Note 8 2 4 6 3 2" xfId="27498"/>
    <cellStyle name="Note 8 2 4 6 3 3" xfId="38343"/>
    <cellStyle name="Note 8 2 4 6 4" xfId="11185"/>
    <cellStyle name="Note 8 2 4 6 4 2" xfId="30157"/>
    <cellStyle name="Note 8 2 4 6 4 3" xfId="41002"/>
    <cellStyle name="Note 8 2 4 6 5" xfId="21981"/>
    <cellStyle name="Note 8 2 4 6 6" xfId="32826"/>
    <cellStyle name="Note 8 2 4 7" xfId="3693"/>
    <cellStyle name="Note 8 2 4 7 2" xfId="22665"/>
    <cellStyle name="Note 8 2 4 7 3" xfId="33510"/>
    <cellStyle name="Note 8 2 4 8" xfId="6368"/>
    <cellStyle name="Note 8 2 4 8 2" xfId="25340"/>
    <cellStyle name="Note 8 2 4 8 3" xfId="36185"/>
    <cellStyle name="Note 8 2 4 9" xfId="9027"/>
    <cellStyle name="Note 8 2 4 9 2" xfId="27999"/>
    <cellStyle name="Note 8 2 4 9 3" xfId="38844"/>
    <cellStyle name="Note 8 2 5" xfId="897"/>
    <cellStyle name="Note 8 2 5 10" xfId="19882"/>
    <cellStyle name="Note 8 2 5 11" xfId="30727"/>
    <cellStyle name="Note 8 2 5 2" xfId="1484"/>
    <cellStyle name="Note 8 2 5 2 2" xfId="4337"/>
    <cellStyle name="Note 8 2 5 2 2 2" xfId="23309"/>
    <cellStyle name="Note 8 2 5 2 2 3" xfId="34154"/>
    <cellStyle name="Note 8 2 5 2 3" xfId="7010"/>
    <cellStyle name="Note 8 2 5 2 3 2" xfId="25982"/>
    <cellStyle name="Note 8 2 5 2 3 3" xfId="36827"/>
    <cellStyle name="Note 8 2 5 2 4" xfId="9669"/>
    <cellStyle name="Note 8 2 5 2 4 2" xfId="28641"/>
    <cellStyle name="Note 8 2 5 2 4 3" xfId="39486"/>
    <cellStyle name="Note 8 2 5 2 5" xfId="20465"/>
    <cellStyle name="Note 8 2 5 2 6" xfId="31310"/>
    <cellStyle name="Note 8 2 5 3" xfId="1883"/>
    <cellStyle name="Note 8 2 5 3 2" xfId="4736"/>
    <cellStyle name="Note 8 2 5 3 2 2" xfId="23708"/>
    <cellStyle name="Note 8 2 5 3 2 3" xfId="34553"/>
    <cellStyle name="Note 8 2 5 3 3" xfId="7408"/>
    <cellStyle name="Note 8 2 5 3 3 2" xfId="26380"/>
    <cellStyle name="Note 8 2 5 3 3 3" xfId="37225"/>
    <cellStyle name="Note 8 2 5 3 4" xfId="10067"/>
    <cellStyle name="Note 8 2 5 3 4 2" xfId="29039"/>
    <cellStyle name="Note 8 2 5 3 4 3" xfId="39884"/>
    <cellStyle name="Note 8 2 5 3 5" xfId="20863"/>
    <cellStyle name="Note 8 2 5 3 6" xfId="31708"/>
    <cellStyle name="Note 8 2 5 4" xfId="2287"/>
    <cellStyle name="Note 8 2 5 4 2" xfId="5140"/>
    <cellStyle name="Note 8 2 5 4 2 2" xfId="24112"/>
    <cellStyle name="Note 8 2 5 4 2 3" xfId="34957"/>
    <cellStyle name="Note 8 2 5 4 3" xfId="7811"/>
    <cellStyle name="Note 8 2 5 4 3 2" xfId="26783"/>
    <cellStyle name="Note 8 2 5 4 3 3" xfId="37628"/>
    <cellStyle name="Note 8 2 5 4 4" xfId="10470"/>
    <cellStyle name="Note 8 2 5 4 4 2" xfId="29442"/>
    <cellStyle name="Note 8 2 5 4 4 3" xfId="40287"/>
    <cellStyle name="Note 8 2 5 4 5" xfId="21266"/>
    <cellStyle name="Note 8 2 5 4 6" xfId="32111"/>
    <cellStyle name="Note 8 2 5 5" xfId="2677"/>
    <cellStyle name="Note 8 2 5 5 2" xfId="5529"/>
    <cellStyle name="Note 8 2 5 5 2 2" xfId="24501"/>
    <cellStyle name="Note 8 2 5 5 2 3" xfId="35346"/>
    <cellStyle name="Note 8 2 5 5 3" xfId="8200"/>
    <cellStyle name="Note 8 2 5 5 3 2" xfId="27172"/>
    <cellStyle name="Note 8 2 5 5 3 3" xfId="38017"/>
    <cellStyle name="Note 8 2 5 5 4" xfId="10859"/>
    <cellStyle name="Note 8 2 5 5 4 2" xfId="29831"/>
    <cellStyle name="Note 8 2 5 5 4 3" xfId="40676"/>
    <cellStyle name="Note 8 2 5 5 5" xfId="21655"/>
    <cellStyle name="Note 8 2 5 5 6" xfId="32500"/>
    <cellStyle name="Note 8 2 5 6" xfId="3063"/>
    <cellStyle name="Note 8 2 5 6 2" xfId="5914"/>
    <cellStyle name="Note 8 2 5 6 2 2" xfId="24886"/>
    <cellStyle name="Note 8 2 5 6 2 3" xfId="35731"/>
    <cellStyle name="Note 8 2 5 6 3" xfId="8585"/>
    <cellStyle name="Note 8 2 5 6 3 2" xfId="27557"/>
    <cellStyle name="Note 8 2 5 6 3 3" xfId="38402"/>
    <cellStyle name="Note 8 2 5 6 4" xfId="11244"/>
    <cellStyle name="Note 8 2 5 6 4 2" xfId="30216"/>
    <cellStyle name="Note 8 2 5 6 4 3" xfId="41061"/>
    <cellStyle name="Note 8 2 5 6 5" xfId="22040"/>
    <cellStyle name="Note 8 2 5 6 6" xfId="32885"/>
    <cellStyle name="Note 8 2 5 7" xfId="3752"/>
    <cellStyle name="Note 8 2 5 7 2" xfId="22724"/>
    <cellStyle name="Note 8 2 5 7 3" xfId="33569"/>
    <cellStyle name="Note 8 2 5 8" xfId="6427"/>
    <cellStyle name="Note 8 2 5 8 2" xfId="25399"/>
    <cellStyle name="Note 8 2 5 8 3" xfId="36244"/>
    <cellStyle name="Note 8 2 5 9" xfId="9086"/>
    <cellStyle name="Note 8 2 5 9 2" xfId="28058"/>
    <cellStyle name="Note 8 2 5 9 3" xfId="38903"/>
    <cellStyle name="Note 8 2 6" xfId="1127"/>
    <cellStyle name="Note 8 2 6 2" xfId="3980"/>
    <cellStyle name="Note 8 2 6 2 2" xfId="22952"/>
    <cellStyle name="Note 8 2 6 2 3" xfId="33797"/>
    <cellStyle name="Note 8 2 6 3" xfId="6653"/>
    <cellStyle name="Note 8 2 6 3 2" xfId="25625"/>
    <cellStyle name="Note 8 2 6 3 3" xfId="36470"/>
    <cellStyle name="Note 8 2 6 4" xfId="9312"/>
    <cellStyle name="Note 8 2 6 4 2" xfId="28284"/>
    <cellStyle name="Note 8 2 6 4 3" xfId="39129"/>
    <cellStyle name="Note 8 2 6 5" xfId="20108"/>
    <cellStyle name="Note 8 2 6 6" xfId="30953"/>
    <cellStyle name="Note 8 2 7" xfId="1523"/>
    <cellStyle name="Note 8 2 7 2" xfId="4376"/>
    <cellStyle name="Note 8 2 7 2 2" xfId="23348"/>
    <cellStyle name="Note 8 2 7 2 3" xfId="34193"/>
    <cellStyle name="Note 8 2 7 3" xfId="7049"/>
    <cellStyle name="Note 8 2 7 3 2" xfId="26021"/>
    <cellStyle name="Note 8 2 7 3 3" xfId="36866"/>
    <cellStyle name="Note 8 2 7 4" xfId="9708"/>
    <cellStyle name="Note 8 2 7 4 2" xfId="28680"/>
    <cellStyle name="Note 8 2 7 4 3" xfId="39525"/>
    <cellStyle name="Note 8 2 7 5" xfId="20504"/>
    <cellStyle name="Note 8 2 7 6" xfId="31349"/>
    <cellStyle name="Note 8 2 8" xfId="1929"/>
    <cellStyle name="Note 8 2 8 2" xfId="4782"/>
    <cellStyle name="Note 8 2 8 2 2" xfId="23754"/>
    <cellStyle name="Note 8 2 8 2 3" xfId="34599"/>
    <cellStyle name="Note 8 2 8 3" xfId="7454"/>
    <cellStyle name="Note 8 2 8 3 2" xfId="26426"/>
    <cellStyle name="Note 8 2 8 3 3" xfId="37271"/>
    <cellStyle name="Note 8 2 8 4" xfId="10113"/>
    <cellStyle name="Note 8 2 8 4 2" xfId="29085"/>
    <cellStyle name="Note 8 2 8 4 3" xfId="39930"/>
    <cellStyle name="Note 8 2 8 5" xfId="20909"/>
    <cellStyle name="Note 8 2 8 6" xfId="31754"/>
    <cellStyle name="Note 8 2 9" xfId="2322"/>
    <cellStyle name="Note 8 2 9 2" xfId="5175"/>
    <cellStyle name="Note 8 2 9 2 2" xfId="24147"/>
    <cellStyle name="Note 8 2 9 2 3" xfId="34992"/>
    <cellStyle name="Note 8 2 9 3" xfId="7846"/>
    <cellStyle name="Note 8 2 9 3 2" xfId="26818"/>
    <cellStyle name="Note 8 2 9 3 3" xfId="37663"/>
    <cellStyle name="Note 8 2 9 4" xfId="10505"/>
    <cellStyle name="Note 8 2 9 4 2" xfId="29477"/>
    <cellStyle name="Note 8 2 9 4 3" xfId="40322"/>
    <cellStyle name="Note 8 2 9 5" xfId="21301"/>
    <cellStyle name="Note 8 2 9 6" xfId="32146"/>
    <cellStyle name="Note 8 3" xfId="617"/>
    <cellStyle name="Note 8 3 10" xfId="19624"/>
    <cellStyle name="Note 8 3 11" xfId="30469"/>
    <cellStyle name="Note 8 3 2" xfId="1221"/>
    <cellStyle name="Note 8 3 2 2" xfId="4074"/>
    <cellStyle name="Note 8 3 2 2 2" xfId="23046"/>
    <cellStyle name="Note 8 3 2 2 3" xfId="33891"/>
    <cellStyle name="Note 8 3 2 3" xfId="6747"/>
    <cellStyle name="Note 8 3 2 3 2" xfId="25719"/>
    <cellStyle name="Note 8 3 2 3 3" xfId="36564"/>
    <cellStyle name="Note 8 3 2 4" xfId="9406"/>
    <cellStyle name="Note 8 3 2 4 2" xfId="28378"/>
    <cellStyle name="Note 8 3 2 4 3" xfId="39223"/>
    <cellStyle name="Note 8 3 2 5" xfId="20202"/>
    <cellStyle name="Note 8 3 2 6" xfId="31047"/>
    <cellStyle name="Note 8 3 3" xfId="1619"/>
    <cellStyle name="Note 8 3 3 2" xfId="4472"/>
    <cellStyle name="Note 8 3 3 2 2" xfId="23444"/>
    <cellStyle name="Note 8 3 3 2 3" xfId="34289"/>
    <cellStyle name="Note 8 3 3 3" xfId="7144"/>
    <cellStyle name="Note 8 3 3 3 2" xfId="26116"/>
    <cellStyle name="Note 8 3 3 3 3" xfId="36961"/>
    <cellStyle name="Note 8 3 3 4" xfId="9803"/>
    <cellStyle name="Note 8 3 3 4 2" xfId="28775"/>
    <cellStyle name="Note 8 3 3 4 3" xfId="39620"/>
    <cellStyle name="Note 8 3 3 5" xfId="20599"/>
    <cellStyle name="Note 8 3 3 6" xfId="31444"/>
    <cellStyle name="Note 8 3 4" xfId="2021"/>
    <cellStyle name="Note 8 3 4 2" xfId="4874"/>
    <cellStyle name="Note 8 3 4 2 2" xfId="23846"/>
    <cellStyle name="Note 8 3 4 2 3" xfId="34691"/>
    <cellStyle name="Note 8 3 4 3" xfId="7546"/>
    <cellStyle name="Note 8 3 4 3 2" xfId="26518"/>
    <cellStyle name="Note 8 3 4 3 3" xfId="37363"/>
    <cellStyle name="Note 8 3 4 4" xfId="10205"/>
    <cellStyle name="Note 8 3 4 4 2" xfId="29177"/>
    <cellStyle name="Note 8 3 4 4 3" xfId="40022"/>
    <cellStyle name="Note 8 3 4 5" xfId="21001"/>
    <cellStyle name="Note 8 3 4 6" xfId="31846"/>
    <cellStyle name="Note 8 3 5" xfId="2413"/>
    <cellStyle name="Note 8 3 5 2" xfId="5266"/>
    <cellStyle name="Note 8 3 5 2 2" xfId="24238"/>
    <cellStyle name="Note 8 3 5 2 3" xfId="35083"/>
    <cellStyle name="Note 8 3 5 3" xfId="7937"/>
    <cellStyle name="Note 8 3 5 3 2" xfId="26909"/>
    <cellStyle name="Note 8 3 5 3 3" xfId="37754"/>
    <cellStyle name="Note 8 3 5 4" xfId="10596"/>
    <cellStyle name="Note 8 3 5 4 2" xfId="29568"/>
    <cellStyle name="Note 8 3 5 4 3" xfId="40413"/>
    <cellStyle name="Note 8 3 5 5" xfId="21392"/>
    <cellStyle name="Note 8 3 5 6" xfId="32237"/>
    <cellStyle name="Note 8 3 6" xfId="2802"/>
    <cellStyle name="Note 8 3 6 2" xfId="5654"/>
    <cellStyle name="Note 8 3 6 2 2" xfId="24626"/>
    <cellStyle name="Note 8 3 6 2 3" xfId="35471"/>
    <cellStyle name="Note 8 3 6 3" xfId="8325"/>
    <cellStyle name="Note 8 3 6 3 2" xfId="27297"/>
    <cellStyle name="Note 8 3 6 3 3" xfId="38142"/>
    <cellStyle name="Note 8 3 6 4" xfId="10984"/>
    <cellStyle name="Note 8 3 6 4 2" xfId="29956"/>
    <cellStyle name="Note 8 3 6 4 3" xfId="40801"/>
    <cellStyle name="Note 8 3 6 5" xfId="21780"/>
    <cellStyle name="Note 8 3 6 6" xfId="32625"/>
    <cellStyle name="Note 8 3 7" xfId="3493"/>
    <cellStyle name="Note 8 3 7 2" xfId="22465"/>
    <cellStyle name="Note 8 3 7 3" xfId="33310"/>
    <cellStyle name="Note 8 3 8" xfId="6169"/>
    <cellStyle name="Note 8 3 8 2" xfId="25141"/>
    <cellStyle name="Note 8 3 8 3" xfId="35986"/>
    <cellStyle name="Note 8 3 9" xfId="8828"/>
    <cellStyle name="Note 8 3 9 2" xfId="27800"/>
    <cellStyle name="Note 8 3 9 3" xfId="38645"/>
    <cellStyle name="Note 9" xfId="318"/>
    <cellStyle name="Note 9 2" xfId="430"/>
    <cellStyle name="Note 9 2 10" xfId="2712"/>
    <cellStyle name="Note 9 2 10 2" xfId="5564"/>
    <cellStyle name="Note 9 2 10 2 2" xfId="24536"/>
    <cellStyle name="Note 9 2 10 2 3" xfId="35381"/>
    <cellStyle name="Note 9 2 10 3" xfId="8235"/>
    <cellStyle name="Note 9 2 10 3 2" xfId="27207"/>
    <cellStyle name="Note 9 2 10 3 3" xfId="38052"/>
    <cellStyle name="Note 9 2 10 4" xfId="10894"/>
    <cellStyle name="Note 9 2 10 4 2" xfId="29866"/>
    <cellStyle name="Note 9 2 10 4 3" xfId="40711"/>
    <cellStyle name="Note 9 2 10 5" xfId="21690"/>
    <cellStyle name="Note 9 2 10 6" xfId="32535"/>
    <cellStyle name="Note 9 2 11" xfId="3097"/>
    <cellStyle name="Note 9 2 11 2" xfId="5948"/>
    <cellStyle name="Note 9 2 11 2 2" xfId="24920"/>
    <cellStyle name="Note 9 2 11 2 3" xfId="35765"/>
    <cellStyle name="Note 9 2 11 3" xfId="8619"/>
    <cellStyle name="Note 9 2 11 3 2" xfId="27591"/>
    <cellStyle name="Note 9 2 11 3 3" xfId="38436"/>
    <cellStyle name="Note 9 2 11 4" xfId="11278"/>
    <cellStyle name="Note 9 2 11 4 2" xfId="30250"/>
    <cellStyle name="Note 9 2 11 4 3" xfId="41095"/>
    <cellStyle name="Note 9 2 11 5" xfId="22074"/>
    <cellStyle name="Note 9 2 11 6" xfId="32919"/>
    <cellStyle name="Note 9 2 12" xfId="3154"/>
    <cellStyle name="Note 9 2 12 2" xfId="6005"/>
    <cellStyle name="Note 9 2 12 2 2" xfId="24977"/>
    <cellStyle name="Note 9 2 12 2 3" xfId="35822"/>
    <cellStyle name="Note 9 2 12 3" xfId="8676"/>
    <cellStyle name="Note 9 2 12 3 2" xfId="27648"/>
    <cellStyle name="Note 9 2 12 3 3" xfId="38493"/>
    <cellStyle name="Note 9 2 12 4" xfId="11335"/>
    <cellStyle name="Note 9 2 12 4 2" xfId="30307"/>
    <cellStyle name="Note 9 2 12 4 3" xfId="41152"/>
    <cellStyle name="Note 9 2 12 5" xfId="22131"/>
    <cellStyle name="Note 9 2 12 6" xfId="32976"/>
    <cellStyle name="Note 9 2 13" xfId="3211"/>
    <cellStyle name="Note 9 2 13 2" xfId="6062"/>
    <cellStyle name="Note 9 2 13 2 2" xfId="25034"/>
    <cellStyle name="Note 9 2 13 2 3" xfId="35879"/>
    <cellStyle name="Note 9 2 13 3" xfId="8733"/>
    <cellStyle name="Note 9 2 13 3 2" xfId="27705"/>
    <cellStyle name="Note 9 2 13 3 3" xfId="38550"/>
    <cellStyle name="Note 9 2 13 4" xfId="11392"/>
    <cellStyle name="Note 9 2 13 4 2" xfId="30364"/>
    <cellStyle name="Note 9 2 13 4 3" xfId="41209"/>
    <cellStyle name="Note 9 2 13 5" xfId="22188"/>
    <cellStyle name="Note 9 2 13 6" xfId="33033"/>
    <cellStyle name="Note 9 2 14" xfId="3380"/>
    <cellStyle name="Note 9 2 14 2" xfId="22354"/>
    <cellStyle name="Note 9 2 14 3" xfId="33199"/>
    <cellStyle name="Note 9 2 15" xfId="3278"/>
    <cellStyle name="Note 9 2 15 2" xfId="22252"/>
    <cellStyle name="Note 9 2 15 3" xfId="33097"/>
    <cellStyle name="Note 9 2 16" xfId="3319"/>
    <cellStyle name="Note 9 2 16 2" xfId="22293"/>
    <cellStyle name="Note 9 2 16 3" xfId="33138"/>
    <cellStyle name="Note 9 2 17" xfId="19508"/>
    <cellStyle name="Note 9 2 18" xfId="19422"/>
    <cellStyle name="Note 9 2 2" xfId="721"/>
    <cellStyle name="Note 9 2 2 10" xfId="19706"/>
    <cellStyle name="Note 9 2 2 11" xfId="30551"/>
    <cellStyle name="Note 9 2 2 2" xfId="1308"/>
    <cellStyle name="Note 9 2 2 2 2" xfId="4161"/>
    <cellStyle name="Note 9 2 2 2 2 2" xfId="23133"/>
    <cellStyle name="Note 9 2 2 2 2 3" xfId="33978"/>
    <cellStyle name="Note 9 2 2 2 3" xfId="6834"/>
    <cellStyle name="Note 9 2 2 2 3 2" xfId="25806"/>
    <cellStyle name="Note 9 2 2 2 3 3" xfId="36651"/>
    <cellStyle name="Note 9 2 2 2 4" xfId="9493"/>
    <cellStyle name="Note 9 2 2 2 4 2" xfId="28465"/>
    <cellStyle name="Note 9 2 2 2 4 3" xfId="39310"/>
    <cellStyle name="Note 9 2 2 2 5" xfId="20289"/>
    <cellStyle name="Note 9 2 2 2 6" xfId="31134"/>
    <cellStyle name="Note 9 2 2 3" xfId="1707"/>
    <cellStyle name="Note 9 2 2 3 2" xfId="4560"/>
    <cellStyle name="Note 9 2 2 3 2 2" xfId="23532"/>
    <cellStyle name="Note 9 2 2 3 2 3" xfId="34377"/>
    <cellStyle name="Note 9 2 2 3 3" xfId="7232"/>
    <cellStyle name="Note 9 2 2 3 3 2" xfId="26204"/>
    <cellStyle name="Note 9 2 2 3 3 3" xfId="37049"/>
    <cellStyle name="Note 9 2 2 3 4" xfId="9891"/>
    <cellStyle name="Note 9 2 2 3 4 2" xfId="28863"/>
    <cellStyle name="Note 9 2 2 3 4 3" xfId="39708"/>
    <cellStyle name="Note 9 2 2 3 5" xfId="20687"/>
    <cellStyle name="Note 9 2 2 3 6" xfId="31532"/>
    <cellStyle name="Note 9 2 2 4" xfId="2111"/>
    <cellStyle name="Note 9 2 2 4 2" xfId="4964"/>
    <cellStyle name="Note 9 2 2 4 2 2" xfId="23936"/>
    <cellStyle name="Note 9 2 2 4 2 3" xfId="34781"/>
    <cellStyle name="Note 9 2 2 4 3" xfId="7635"/>
    <cellStyle name="Note 9 2 2 4 3 2" xfId="26607"/>
    <cellStyle name="Note 9 2 2 4 3 3" xfId="37452"/>
    <cellStyle name="Note 9 2 2 4 4" xfId="10294"/>
    <cellStyle name="Note 9 2 2 4 4 2" xfId="29266"/>
    <cellStyle name="Note 9 2 2 4 4 3" xfId="40111"/>
    <cellStyle name="Note 9 2 2 4 5" xfId="21090"/>
    <cellStyle name="Note 9 2 2 4 6" xfId="31935"/>
    <cellStyle name="Note 9 2 2 5" xfId="2501"/>
    <cellStyle name="Note 9 2 2 5 2" xfId="5353"/>
    <cellStyle name="Note 9 2 2 5 2 2" xfId="24325"/>
    <cellStyle name="Note 9 2 2 5 2 3" xfId="35170"/>
    <cellStyle name="Note 9 2 2 5 3" xfId="8024"/>
    <cellStyle name="Note 9 2 2 5 3 2" xfId="26996"/>
    <cellStyle name="Note 9 2 2 5 3 3" xfId="37841"/>
    <cellStyle name="Note 9 2 2 5 4" xfId="10683"/>
    <cellStyle name="Note 9 2 2 5 4 2" xfId="29655"/>
    <cellStyle name="Note 9 2 2 5 4 3" xfId="40500"/>
    <cellStyle name="Note 9 2 2 5 5" xfId="21479"/>
    <cellStyle name="Note 9 2 2 5 6" xfId="32324"/>
    <cellStyle name="Note 9 2 2 6" xfId="2887"/>
    <cellStyle name="Note 9 2 2 6 2" xfId="5738"/>
    <cellStyle name="Note 9 2 2 6 2 2" xfId="24710"/>
    <cellStyle name="Note 9 2 2 6 2 3" xfId="35555"/>
    <cellStyle name="Note 9 2 2 6 3" xfId="8409"/>
    <cellStyle name="Note 9 2 2 6 3 2" xfId="27381"/>
    <cellStyle name="Note 9 2 2 6 3 3" xfId="38226"/>
    <cellStyle name="Note 9 2 2 6 4" xfId="11068"/>
    <cellStyle name="Note 9 2 2 6 4 2" xfId="30040"/>
    <cellStyle name="Note 9 2 2 6 4 3" xfId="40885"/>
    <cellStyle name="Note 9 2 2 6 5" xfId="21864"/>
    <cellStyle name="Note 9 2 2 6 6" xfId="32709"/>
    <cellStyle name="Note 9 2 2 7" xfId="3576"/>
    <cellStyle name="Note 9 2 2 7 2" xfId="22548"/>
    <cellStyle name="Note 9 2 2 7 3" xfId="33393"/>
    <cellStyle name="Note 9 2 2 8" xfId="6251"/>
    <cellStyle name="Note 9 2 2 8 2" xfId="25223"/>
    <cellStyle name="Note 9 2 2 8 3" xfId="36068"/>
    <cellStyle name="Note 9 2 2 9" xfId="8910"/>
    <cellStyle name="Note 9 2 2 9 2" xfId="27882"/>
    <cellStyle name="Note 9 2 2 9 3" xfId="38727"/>
    <cellStyle name="Note 9 2 3" xfId="780"/>
    <cellStyle name="Note 9 2 3 10" xfId="19765"/>
    <cellStyle name="Note 9 2 3 11" xfId="30610"/>
    <cellStyle name="Note 9 2 3 2" xfId="1367"/>
    <cellStyle name="Note 9 2 3 2 2" xfId="4220"/>
    <cellStyle name="Note 9 2 3 2 2 2" xfId="23192"/>
    <cellStyle name="Note 9 2 3 2 2 3" xfId="34037"/>
    <cellStyle name="Note 9 2 3 2 3" xfId="6893"/>
    <cellStyle name="Note 9 2 3 2 3 2" xfId="25865"/>
    <cellStyle name="Note 9 2 3 2 3 3" xfId="36710"/>
    <cellStyle name="Note 9 2 3 2 4" xfId="9552"/>
    <cellStyle name="Note 9 2 3 2 4 2" xfId="28524"/>
    <cellStyle name="Note 9 2 3 2 4 3" xfId="39369"/>
    <cellStyle name="Note 9 2 3 2 5" xfId="20348"/>
    <cellStyle name="Note 9 2 3 2 6" xfId="31193"/>
    <cellStyle name="Note 9 2 3 3" xfId="1766"/>
    <cellStyle name="Note 9 2 3 3 2" xfId="4619"/>
    <cellStyle name="Note 9 2 3 3 2 2" xfId="23591"/>
    <cellStyle name="Note 9 2 3 3 2 3" xfId="34436"/>
    <cellStyle name="Note 9 2 3 3 3" xfId="7291"/>
    <cellStyle name="Note 9 2 3 3 3 2" xfId="26263"/>
    <cellStyle name="Note 9 2 3 3 3 3" xfId="37108"/>
    <cellStyle name="Note 9 2 3 3 4" xfId="9950"/>
    <cellStyle name="Note 9 2 3 3 4 2" xfId="28922"/>
    <cellStyle name="Note 9 2 3 3 4 3" xfId="39767"/>
    <cellStyle name="Note 9 2 3 3 5" xfId="20746"/>
    <cellStyle name="Note 9 2 3 3 6" xfId="31591"/>
    <cellStyle name="Note 9 2 3 4" xfId="2170"/>
    <cellStyle name="Note 9 2 3 4 2" xfId="5023"/>
    <cellStyle name="Note 9 2 3 4 2 2" xfId="23995"/>
    <cellStyle name="Note 9 2 3 4 2 3" xfId="34840"/>
    <cellStyle name="Note 9 2 3 4 3" xfId="7694"/>
    <cellStyle name="Note 9 2 3 4 3 2" xfId="26666"/>
    <cellStyle name="Note 9 2 3 4 3 3" xfId="37511"/>
    <cellStyle name="Note 9 2 3 4 4" xfId="10353"/>
    <cellStyle name="Note 9 2 3 4 4 2" xfId="29325"/>
    <cellStyle name="Note 9 2 3 4 4 3" xfId="40170"/>
    <cellStyle name="Note 9 2 3 4 5" xfId="21149"/>
    <cellStyle name="Note 9 2 3 4 6" xfId="31994"/>
    <cellStyle name="Note 9 2 3 5" xfId="2560"/>
    <cellStyle name="Note 9 2 3 5 2" xfId="5412"/>
    <cellStyle name="Note 9 2 3 5 2 2" xfId="24384"/>
    <cellStyle name="Note 9 2 3 5 2 3" xfId="35229"/>
    <cellStyle name="Note 9 2 3 5 3" xfId="8083"/>
    <cellStyle name="Note 9 2 3 5 3 2" xfId="27055"/>
    <cellStyle name="Note 9 2 3 5 3 3" xfId="37900"/>
    <cellStyle name="Note 9 2 3 5 4" xfId="10742"/>
    <cellStyle name="Note 9 2 3 5 4 2" xfId="29714"/>
    <cellStyle name="Note 9 2 3 5 4 3" xfId="40559"/>
    <cellStyle name="Note 9 2 3 5 5" xfId="21538"/>
    <cellStyle name="Note 9 2 3 5 6" xfId="32383"/>
    <cellStyle name="Note 9 2 3 6" xfId="2946"/>
    <cellStyle name="Note 9 2 3 6 2" xfId="5797"/>
    <cellStyle name="Note 9 2 3 6 2 2" xfId="24769"/>
    <cellStyle name="Note 9 2 3 6 2 3" xfId="35614"/>
    <cellStyle name="Note 9 2 3 6 3" xfId="8468"/>
    <cellStyle name="Note 9 2 3 6 3 2" xfId="27440"/>
    <cellStyle name="Note 9 2 3 6 3 3" xfId="38285"/>
    <cellStyle name="Note 9 2 3 6 4" xfId="11127"/>
    <cellStyle name="Note 9 2 3 6 4 2" xfId="30099"/>
    <cellStyle name="Note 9 2 3 6 4 3" xfId="40944"/>
    <cellStyle name="Note 9 2 3 6 5" xfId="21923"/>
    <cellStyle name="Note 9 2 3 6 6" xfId="32768"/>
    <cellStyle name="Note 9 2 3 7" xfId="3635"/>
    <cellStyle name="Note 9 2 3 7 2" xfId="22607"/>
    <cellStyle name="Note 9 2 3 7 3" xfId="33452"/>
    <cellStyle name="Note 9 2 3 8" xfId="6310"/>
    <cellStyle name="Note 9 2 3 8 2" xfId="25282"/>
    <cellStyle name="Note 9 2 3 8 3" xfId="36127"/>
    <cellStyle name="Note 9 2 3 9" xfId="8969"/>
    <cellStyle name="Note 9 2 3 9 2" xfId="27941"/>
    <cellStyle name="Note 9 2 3 9 3" xfId="38786"/>
    <cellStyle name="Note 9 2 4" xfId="839"/>
    <cellStyle name="Note 9 2 4 10" xfId="19824"/>
    <cellStyle name="Note 9 2 4 11" xfId="30669"/>
    <cellStyle name="Note 9 2 4 2" xfId="1426"/>
    <cellStyle name="Note 9 2 4 2 2" xfId="4279"/>
    <cellStyle name="Note 9 2 4 2 2 2" xfId="23251"/>
    <cellStyle name="Note 9 2 4 2 2 3" xfId="34096"/>
    <cellStyle name="Note 9 2 4 2 3" xfId="6952"/>
    <cellStyle name="Note 9 2 4 2 3 2" xfId="25924"/>
    <cellStyle name="Note 9 2 4 2 3 3" xfId="36769"/>
    <cellStyle name="Note 9 2 4 2 4" xfId="9611"/>
    <cellStyle name="Note 9 2 4 2 4 2" xfId="28583"/>
    <cellStyle name="Note 9 2 4 2 4 3" xfId="39428"/>
    <cellStyle name="Note 9 2 4 2 5" xfId="20407"/>
    <cellStyle name="Note 9 2 4 2 6" xfId="31252"/>
    <cellStyle name="Note 9 2 4 3" xfId="1825"/>
    <cellStyle name="Note 9 2 4 3 2" xfId="4678"/>
    <cellStyle name="Note 9 2 4 3 2 2" xfId="23650"/>
    <cellStyle name="Note 9 2 4 3 2 3" xfId="34495"/>
    <cellStyle name="Note 9 2 4 3 3" xfId="7350"/>
    <cellStyle name="Note 9 2 4 3 3 2" xfId="26322"/>
    <cellStyle name="Note 9 2 4 3 3 3" xfId="37167"/>
    <cellStyle name="Note 9 2 4 3 4" xfId="10009"/>
    <cellStyle name="Note 9 2 4 3 4 2" xfId="28981"/>
    <cellStyle name="Note 9 2 4 3 4 3" xfId="39826"/>
    <cellStyle name="Note 9 2 4 3 5" xfId="20805"/>
    <cellStyle name="Note 9 2 4 3 6" xfId="31650"/>
    <cellStyle name="Note 9 2 4 4" xfId="2229"/>
    <cellStyle name="Note 9 2 4 4 2" xfId="5082"/>
    <cellStyle name="Note 9 2 4 4 2 2" xfId="24054"/>
    <cellStyle name="Note 9 2 4 4 2 3" xfId="34899"/>
    <cellStyle name="Note 9 2 4 4 3" xfId="7753"/>
    <cellStyle name="Note 9 2 4 4 3 2" xfId="26725"/>
    <cellStyle name="Note 9 2 4 4 3 3" xfId="37570"/>
    <cellStyle name="Note 9 2 4 4 4" xfId="10412"/>
    <cellStyle name="Note 9 2 4 4 4 2" xfId="29384"/>
    <cellStyle name="Note 9 2 4 4 4 3" xfId="40229"/>
    <cellStyle name="Note 9 2 4 4 5" xfId="21208"/>
    <cellStyle name="Note 9 2 4 4 6" xfId="32053"/>
    <cellStyle name="Note 9 2 4 5" xfId="2619"/>
    <cellStyle name="Note 9 2 4 5 2" xfId="5471"/>
    <cellStyle name="Note 9 2 4 5 2 2" xfId="24443"/>
    <cellStyle name="Note 9 2 4 5 2 3" xfId="35288"/>
    <cellStyle name="Note 9 2 4 5 3" xfId="8142"/>
    <cellStyle name="Note 9 2 4 5 3 2" xfId="27114"/>
    <cellStyle name="Note 9 2 4 5 3 3" xfId="37959"/>
    <cellStyle name="Note 9 2 4 5 4" xfId="10801"/>
    <cellStyle name="Note 9 2 4 5 4 2" xfId="29773"/>
    <cellStyle name="Note 9 2 4 5 4 3" xfId="40618"/>
    <cellStyle name="Note 9 2 4 5 5" xfId="21597"/>
    <cellStyle name="Note 9 2 4 5 6" xfId="32442"/>
    <cellStyle name="Note 9 2 4 6" xfId="3005"/>
    <cellStyle name="Note 9 2 4 6 2" xfId="5856"/>
    <cellStyle name="Note 9 2 4 6 2 2" xfId="24828"/>
    <cellStyle name="Note 9 2 4 6 2 3" xfId="35673"/>
    <cellStyle name="Note 9 2 4 6 3" xfId="8527"/>
    <cellStyle name="Note 9 2 4 6 3 2" xfId="27499"/>
    <cellStyle name="Note 9 2 4 6 3 3" xfId="38344"/>
    <cellStyle name="Note 9 2 4 6 4" xfId="11186"/>
    <cellStyle name="Note 9 2 4 6 4 2" xfId="30158"/>
    <cellStyle name="Note 9 2 4 6 4 3" xfId="41003"/>
    <cellStyle name="Note 9 2 4 6 5" xfId="21982"/>
    <cellStyle name="Note 9 2 4 6 6" xfId="32827"/>
    <cellStyle name="Note 9 2 4 7" xfId="3694"/>
    <cellStyle name="Note 9 2 4 7 2" xfId="22666"/>
    <cellStyle name="Note 9 2 4 7 3" xfId="33511"/>
    <cellStyle name="Note 9 2 4 8" xfId="6369"/>
    <cellStyle name="Note 9 2 4 8 2" xfId="25341"/>
    <cellStyle name="Note 9 2 4 8 3" xfId="36186"/>
    <cellStyle name="Note 9 2 4 9" xfId="9028"/>
    <cellStyle name="Note 9 2 4 9 2" xfId="28000"/>
    <cellStyle name="Note 9 2 4 9 3" xfId="38845"/>
    <cellStyle name="Note 9 2 5" xfId="898"/>
    <cellStyle name="Note 9 2 5 10" xfId="19883"/>
    <cellStyle name="Note 9 2 5 11" xfId="30728"/>
    <cellStyle name="Note 9 2 5 2" xfId="1485"/>
    <cellStyle name="Note 9 2 5 2 2" xfId="4338"/>
    <cellStyle name="Note 9 2 5 2 2 2" xfId="23310"/>
    <cellStyle name="Note 9 2 5 2 2 3" xfId="34155"/>
    <cellStyle name="Note 9 2 5 2 3" xfId="7011"/>
    <cellStyle name="Note 9 2 5 2 3 2" xfId="25983"/>
    <cellStyle name="Note 9 2 5 2 3 3" xfId="36828"/>
    <cellStyle name="Note 9 2 5 2 4" xfId="9670"/>
    <cellStyle name="Note 9 2 5 2 4 2" xfId="28642"/>
    <cellStyle name="Note 9 2 5 2 4 3" xfId="39487"/>
    <cellStyle name="Note 9 2 5 2 5" xfId="20466"/>
    <cellStyle name="Note 9 2 5 2 6" xfId="31311"/>
    <cellStyle name="Note 9 2 5 3" xfId="1884"/>
    <cellStyle name="Note 9 2 5 3 2" xfId="4737"/>
    <cellStyle name="Note 9 2 5 3 2 2" xfId="23709"/>
    <cellStyle name="Note 9 2 5 3 2 3" xfId="34554"/>
    <cellStyle name="Note 9 2 5 3 3" xfId="7409"/>
    <cellStyle name="Note 9 2 5 3 3 2" xfId="26381"/>
    <cellStyle name="Note 9 2 5 3 3 3" xfId="37226"/>
    <cellStyle name="Note 9 2 5 3 4" xfId="10068"/>
    <cellStyle name="Note 9 2 5 3 4 2" xfId="29040"/>
    <cellStyle name="Note 9 2 5 3 4 3" xfId="39885"/>
    <cellStyle name="Note 9 2 5 3 5" xfId="20864"/>
    <cellStyle name="Note 9 2 5 3 6" xfId="31709"/>
    <cellStyle name="Note 9 2 5 4" xfId="2288"/>
    <cellStyle name="Note 9 2 5 4 2" xfId="5141"/>
    <cellStyle name="Note 9 2 5 4 2 2" xfId="24113"/>
    <cellStyle name="Note 9 2 5 4 2 3" xfId="34958"/>
    <cellStyle name="Note 9 2 5 4 3" xfId="7812"/>
    <cellStyle name="Note 9 2 5 4 3 2" xfId="26784"/>
    <cellStyle name="Note 9 2 5 4 3 3" xfId="37629"/>
    <cellStyle name="Note 9 2 5 4 4" xfId="10471"/>
    <cellStyle name="Note 9 2 5 4 4 2" xfId="29443"/>
    <cellStyle name="Note 9 2 5 4 4 3" xfId="40288"/>
    <cellStyle name="Note 9 2 5 4 5" xfId="21267"/>
    <cellStyle name="Note 9 2 5 4 6" xfId="32112"/>
    <cellStyle name="Note 9 2 5 5" xfId="2678"/>
    <cellStyle name="Note 9 2 5 5 2" xfId="5530"/>
    <cellStyle name="Note 9 2 5 5 2 2" xfId="24502"/>
    <cellStyle name="Note 9 2 5 5 2 3" xfId="35347"/>
    <cellStyle name="Note 9 2 5 5 3" xfId="8201"/>
    <cellStyle name="Note 9 2 5 5 3 2" xfId="27173"/>
    <cellStyle name="Note 9 2 5 5 3 3" xfId="38018"/>
    <cellStyle name="Note 9 2 5 5 4" xfId="10860"/>
    <cellStyle name="Note 9 2 5 5 4 2" xfId="29832"/>
    <cellStyle name="Note 9 2 5 5 4 3" xfId="40677"/>
    <cellStyle name="Note 9 2 5 5 5" xfId="21656"/>
    <cellStyle name="Note 9 2 5 5 6" xfId="32501"/>
    <cellStyle name="Note 9 2 5 6" xfId="3064"/>
    <cellStyle name="Note 9 2 5 6 2" xfId="5915"/>
    <cellStyle name="Note 9 2 5 6 2 2" xfId="24887"/>
    <cellStyle name="Note 9 2 5 6 2 3" xfId="35732"/>
    <cellStyle name="Note 9 2 5 6 3" xfId="8586"/>
    <cellStyle name="Note 9 2 5 6 3 2" xfId="27558"/>
    <cellStyle name="Note 9 2 5 6 3 3" xfId="38403"/>
    <cellStyle name="Note 9 2 5 6 4" xfId="11245"/>
    <cellStyle name="Note 9 2 5 6 4 2" xfId="30217"/>
    <cellStyle name="Note 9 2 5 6 4 3" xfId="41062"/>
    <cellStyle name="Note 9 2 5 6 5" xfId="22041"/>
    <cellStyle name="Note 9 2 5 6 6" xfId="32886"/>
    <cellStyle name="Note 9 2 5 7" xfId="3753"/>
    <cellStyle name="Note 9 2 5 7 2" xfId="22725"/>
    <cellStyle name="Note 9 2 5 7 3" xfId="33570"/>
    <cellStyle name="Note 9 2 5 8" xfId="6428"/>
    <cellStyle name="Note 9 2 5 8 2" xfId="25400"/>
    <cellStyle name="Note 9 2 5 8 3" xfId="36245"/>
    <cellStyle name="Note 9 2 5 9" xfId="9087"/>
    <cellStyle name="Note 9 2 5 9 2" xfId="28059"/>
    <cellStyle name="Note 9 2 5 9 3" xfId="38904"/>
    <cellStyle name="Note 9 2 6" xfId="1128"/>
    <cellStyle name="Note 9 2 6 2" xfId="3981"/>
    <cellStyle name="Note 9 2 6 2 2" xfId="22953"/>
    <cellStyle name="Note 9 2 6 2 3" xfId="33798"/>
    <cellStyle name="Note 9 2 6 3" xfId="6654"/>
    <cellStyle name="Note 9 2 6 3 2" xfId="25626"/>
    <cellStyle name="Note 9 2 6 3 3" xfId="36471"/>
    <cellStyle name="Note 9 2 6 4" xfId="9313"/>
    <cellStyle name="Note 9 2 6 4 2" xfId="28285"/>
    <cellStyle name="Note 9 2 6 4 3" xfId="39130"/>
    <cellStyle name="Note 9 2 6 5" xfId="20109"/>
    <cellStyle name="Note 9 2 6 6" xfId="30954"/>
    <cellStyle name="Note 9 2 7" xfId="1524"/>
    <cellStyle name="Note 9 2 7 2" xfId="4377"/>
    <cellStyle name="Note 9 2 7 2 2" xfId="23349"/>
    <cellStyle name="Note 9 2 7 2 3" xfId="34194"/>
    <cellStyle name="Note 9 2 7 3" xfId="7050"/>
    <cellStyle name="Note 9 2 7 3 2" xfId="26022"/>
    <cellStyle name="Note 9 2 7 3 3" xfId="36867"/>
    <cellStyle name="Note 9 2 7 4" xfId="9709"/>
    <cellStyle name="Note 9 2 7 4 2" xfId="28681"/>
    <cellStyle name="Note 9 2 7 4 3" xfId="39526"/>
    <cellStyle name="Note 9 2 7 5" xfId="20505"/>
    <cellStyle name="Note 9 2 7 6" xfId="31350"/>
    <cellStyle name="Note 9 2 8" xfId="1930"/>
    <cellStyle name="Note 9 2 8 2" xfId="4783"/>
    <cellStyle name="Note 9 2 8 2 2" xfId="23755"/>
    <cellStyle name="Note 9 2 8 2 3" xfId="34600"/>
    <cellStyle name="Note 9 2 8 3" xfId="7455"/>
    <cellStyle name="Note 9 2 8 3 2" xfId="26427"/>
    <cellStyle name="Note 9 2 8 3 3" xfId="37272"/>
    <cellStyle name="Note 9 2 8 4" xfId="10114"/>
    <cellStyle name="Note 9 2 8 4 2" xfId="29086"/>
    <cellStyle name="Note 9 2 8 4 3" xfId="39931"/>
    <cellStyle name="Note 9 2 8 5" xfId="20910"/>
    <cellStyle name="Note 9 2 8 6" xfId="31755"/>
    <cellStyle name="Note 9 2 9" xfId="2323"/>
    <cellStyle name="Note 9 2 9 2" xfId="5176"/>
    <cellStyle name="Note 9 2 9 2 2" xfId="24148"/>
    <cellStyle name="Note 9 2 9 2 3" xfId="34993"/>
    <cellStyle name="Note 9 2 9 3" xfId="7847"/>
    <cellStyle name="Note 9 2 9 3 2" xfId="26819"/>
    <cellStyle name="Note 9 2 9 3 3" xfId="37664"/>
    <cellStyle name="Note 9 2 9 4" xfId="10506"/>
    <cellStyle name="Note 9 2 9 4 2" xfId="29478"/>
    <cellStyle name="Note 9 2 9 4 3" xfId="40323"/>
    <cellStyle name="Note 9 2 9 5" xfId="21302"/>
    <cellStyle name="Note 9 2 9 6" xfId="32147"/>
    <cellStyle name="Note 9 3" xfId="618"/>
    <cellStyle name="Note 9 3 10" xfId="19625"/>
    <cellStyle name="Note 9 3 11" xfId="30470"/>
    <cellStyle name="Note 9 3 2" xfId="1222"/>
    <cellStyle name="Note 9 3 2 2" xfId="4075"/>
    <cellStyle name="Note 9 3 2 2 2" xfId="23047"/>
    <cellStyle name="Note 9 3 2 2 3" xfId="33892"/>
    <cellStyle name="Note 9 3 2 3" xfId="6748"/>
    <cellStyle name="Note 9 3 2 3 2" xfId="25720"/>
    <cellStyle name="Note 9 3 2 3 3" xfId="36565"/>
    <cellStyle name="Note 9 3 2 4" xfId="9407"/>
    <cellStyle name="Note 9 3 2 4 2" xfId="28379"/>
    <cellStyle name="Note 9 3 2 4 3" xfId="39224"/>
    <cellStyle name="Note 9 3 2 5" xfId="20203"/>
    <cellStyle name="Note 9 3 2 6" xfId="31048"/>
    <cellStyle name="Note 9 3 3" xfId="1620"/>
    <cellStyle name="Note 9 3 3 2" xfId="4473"/>
    <cellStyle name="Note 9 3 3 2 2" xfId="23445"/>
    <cellStyle name="Note 9 3 3 2 3" xfId="34290"/>
    <cellStyle name="Note 9 3 3 3" xfId="7145"/>
    <cellStyle name="Note 9 3 3 3 2" xfId="26117"/>
    <cellStyle name="Note 9 3 3 3 3" xfId="36962"/>
    <cellStyle name="Note 9 3 3 4" xfId="9804"/>
    <cellStyle name="Note 9 3 3 4 2" xfId="28776"/>
    <cellStyle name="Note 9 3 3 4 3" xfId="39621"/>
    <cellStyle name="Note 9 3 3 5" xfId="20600"/>
    <cellStyle name="Note 9 3 3 6" xfId="31445"/>
    <cellStyle name="Note 9 3 4" xfId="2022"/>
    <cellStyle name="Note 9 3 4 2" xfId="4875"/>
    <cellStyle name="Note 9 3 4 2 2" xfId="23847"/>
    <cellStyle name="Note 9 3 4 2 3" xfId="34692"/>
    <cellStyle name="Note 9 3 4 3" xfId="7547"/>
    <cellStyle name="Note 9 3 4 3 2" xfId="26519"/>
    <cellStyle name="Note 9 3 4 3 3" xfId="37364"/>
    <cellStyle name="Note 9 3 4 4" xfId="10206"/>
    <cellStyle name="Note 9 3 4 4 2" xfId="29178"/>
    <cellStyle name="Note 9 3 4 4 3" xfId="40023"/>
    <cellStyle name="Note 9 3 4 5" xfId="21002"/>
    <cellStyle name="Note 9 3 4 6" xfId="31847"/>
    <cellStyle name="Note 9 3 5" xfId="2414"/>
    <cellStyle name="Note 9 3 5 2" xfId="5267"/>
    <cellStyle name="Note 9 3 5 2 2" xfId="24239"/>
    <cellStyle name="Note 9 3 5 2 3" xfId="35084"/>
    <cellStyle name="Note 9 3 5 3" xfId="7938"/>
    <cellStyle name="Note 9 3 5 3 2" xfId="26910"/>
    <cellStyle name="Note 9 3 5 3 3" xfId="37755"/>
    <cellStyle name="Note 9 3 5 4" xfId="10597"/>
    <cellStyle name="Note 9 3 5 4 2" xfId="29569"/>
    <cellStyle name="Note 9 3 5 4 3" xfId="40414"/>
    <cellStyle name="Note 9 3 5 5" xfId="21393"/>
    <cellStyle name="Note 9 3 5 6" xfId="32238"/>
    <cellStyle name="Note 9 3 6" xfId="2803"/>
    <cellStyle name="Note 9 3 6 2" xfId="5655"/>
    <cellStyle name="Note 9 3 6 2 2" xfId="24627"/>
    <cellStyle name="Note 9 3 6 2 3" xfId="35472"/>
    <cellStyle name="Note 9 3 6 3" xfId="8326"/>
    <cellStyle name="Note 9 3 6 3 2" xfId="27298"/>
    <cellStyle name="Note 9 3 6 3 3" xfId="38143"/>
    <cellStyle name="Note 9 3 6 4" xfId="10985"/>
    <cellStyle name="Note 9 3 6 4 2" xfId="29957"/>
    <cellStyle name="Note 9 3 6 4 3" xfId="40802"/>
    <cellStyle name="Note 9 3 6 5" xfId="21781"/>
    <cellStyle name="Note 9 3 6 6" xfId="32626"/>
    <cellStyle name="Note 9 3 7" xfId="3494"/>
    <cellStyle name="Note 9 3 7 2" xfId="22466"/>
    <cellStyle name="Note 9 3 7 3" xfId="33311"/>
    <cellStyle name="Note 9 3 8" xfId="6170"/>
    <cellStyle name="Note 9 3 8 2" xfId="25142"/>
    <cellStyle name="Note 9 3 8 3" xfId="35987"/>
    <cellStyle name="Note 9 3 9" xfId="8829"/>
    <cellStyle name="Note 9 3 9 2" xfId="27801"/>
    <cellStyle name="Note 9 3 9 3" xfId="38646"/>
    <cellStyle name="Output" xfId="136" builtinId="21" customBuiltin="1"/>
    <cellStyle name="Output 2" xfId="137"/>
    <cellStyle name="Output 2 10" xfId="571"/>
    <cellStyle name="Output 2 10 10" xfId="19581"/>
    <cellStyle name="Output 2 10 11" xfId="30426"/>
    <cellStyle name="Output 2 10 12" xfId="11635"/>
    <cellStyle name="Output 2 10 2" xfId="1177"/>
    <cellStyle name="Output 2 10 2 2" xfId="4030"/>
    <cellStyle name="Output 2 10 2 2 2" xfId="23002"/>
    <cellStyle name="Output 2 10 2 2 3" xfId="33847"/>
    <cellStyle name="Output 2 10 2 2 4" xfId="14112"/>
    <cellStyle name="Output 2 10 2 3" xfId="6703"/>
    <cellStyle name="Output 2 10 2 3 2" xfId="25675"/>
    <cellStyle name="Output 2 10 2 3 3" xfId="36520"/>
    <cellStyle name="Output 2 10 2 3 4" xfId="16027"/>
    <cellStyle name="Output 2 10 2 4" xfId="9362"/>
    <cellStyle name="Output 2 10 2 4 2" xfId="28334"/>
    <cellStyle name="Output 2 10 2 4 3" xfId="39179"/>
    <cellStyle name="Output 2 10 2 4 4" xfId="17931"/>
    <cellStyle name="Output 2 10 2 5" xfId="20158"/>
    <cellStyle name="Output 2 10 2 6" xfId="31003"/>
    <cellStyle name="Output 2 10 2 7" xfId="12077"/>
    <cellStyle name="Output 2 10 3" xfId="1574"/>
    <cellStyle name="Output 2 10 3 2" xfId="4427"/>
    <cellStyle name="Output 2 10 3 2 2" xfId="23399"/>
    <cellStyle name="Output 2 10 3 2 3" xfId="34244"/>
    <cellStyle name="Output 2 10 3 2 4" xfId="14398"/>
    <cellStyle name="Output 2 10 3 3" xfId="7099"/>
    <cellStyle name="Output 2 10 3 3 2" xfId="26071"/>
    <cellStyle name="Output 2 10 3 3 3" xfId="36916"/>
    <cellStyle name="Output 2 10 3 3 4" xfId="16312"/>
    <cellStyle name="Output 2 10 3 4" xfId="9758"/>
    <cellStyle name="Output 2 10 3 4 2" xfId="28730"/>
    <cellStyle name="Output 2 10 3 4 3" xfId="39575"/>
    <cellStyle name="Output 2 10 3 4 4" xfId="18216"/>
    <cellStyle name="Output 2 10 3 5" xfId="20554"/>
    <cellStyle name="Output 2 10 3 6" xfId="31399"/>
    <cellStyle name="Output 2 10 3 7" xfId="12362"/>
    <cellStyle name="Output 2 10 4" xfId="1978"/>
    <cellStyle name="Output 2 10 4 2" xfId="4831"/>
    <cellStyle name="Output 2 10 4 2 2" xfId="23803"/>
    <cellStyle name="Output 2 10 4 2 3" xfId="34648"/>
    <cellStyle name="Output 2 10 4 2 4" xfId="14686"/>
    <cellStyle name="Output 2 10 4 3" xfId="7503"/>
    <cellStyle name="Output 2 10 4 3 2" xfId="26475"/>
    <cellStyle name="Output 2 10 4 3 3" xfId="37320"/>
    <cellStyle name="Output 2 10 4 3 4" xfId="16600"/>
    <cellStyle name="Output 2 10 4 4" xfId="10162"/>
    <cellStyle name="Output 2 10 4 4 2" xfId="29134"/>
    <cellStyle name="Output 2 10 4 4 3" xfId="39979"/>
    <cellStyle name="Output 2 10 4 4 4" xfId="18504"/>
    <cellStyle name="Output 2 10 4 5" xfId="20958"/>
    <cellStyle name="Output 2 10 4 6" xfId="31803"/>
    <cellStyle name="Output 2 10 4 7" xfId="12650"/>
    <cellStyle name="Output 2 10 5" xfId="2370"/>
    <cellStyle name="Output 2 10 5 2" xfId="5223"/>
    <cellStyle name="Output 2 10 5 2 2" xfId="24195"/>
    <cellStyle name="Output 2 10 5 2 3" xfId="35040"/>
    <cellStyle name="Output 2 10 5 2 4" xfId="14967"/>
    <cellStyle name="Output 2 10 5 3" xfId="7894"/>
    <cellStyle name="Output 2 10 5 3 2" xfId="26866"/>
    <cellStyle name="Output 2 10 5 3 3" xfId="37711"/>
    <cellStyle name="Output 2 10 5 3 4" xfId="16880"/>
    <cellStyle name="Output 2 10 5 4" xfId="10553"/>
    <cellStyle name="Output 2 10 5 4 2" xfId="29525"/>
    <cellStyle name="Output 2 10 5 4 3" xfId="40370"/>
    <cellStyle name="Output 2 10 5 4 4" xfId="18784"/>
    <cellStyle name="Output 2 10 5 5" xfId="21349"/>
    <cellStyle name="Output 2 10 5 6" xfId="32194"/>
    <cellStyle name="Output 2 10 5 7" xfId="12930"/>
    <cellStyle name="Output 2 10 6" xfId="2759"/>
    <cellStyle name="Output 2 10 6 2" xfId="5611"/>
    <cellStyle name="Output 2 10 6 2 2" xfId="24583"/>
    <cellStyle name="Output 2 10 6 2 3" xfId="35428"/>
    <cellStyle name="Output 2 10 6 2 4" xfId="15245"/>
    <cellStyle name="Output 2 10 6 3" xfId="8282"/>
    <cellStyle name="Output 2 10 6 3 2" xfId="27254"/>
    <cellStyle name="Output 2 10 6 3 3" xfId="38099"/>
    <cellStyle name="Output 2 10 6 3 4" xfId="17158"/>
    <cellStyle name="Output 2 10 6 4" xfId="10941"/>
    <cellStyle name="Output 2 10 6 4 2" xfId="29913"/>
    <cellStyle name="Output 2 10 6 4 3" xfId="40758"/>
    <cellStyle name="Output 2 10 6 4 4" xfId="19062"/>
    <cellStyle name="Output 2 10 6 5" xfId="21737"/>
    <cellStyle name="Output 2 10 6 6" xfId="32582"/>
    <cellStyle name="Output 2 10 6 7" xfId="13208"/>
    <cellStyle name="Output 2 10 7" xfId="3450"/>
    <cellStyle name="Output 2 10 7 2" xfId="22422"/>
    <cellStyle name="Output 2 10 7 3" xfId="33267"/>
    <cellStyle name="Output 2 10 7 4" xfId="13690"/>
    <cellStyle name="Output 2 10 8" xfId="6126"/>
    <cellStyle name="Output 2 10 8 2" xfId="25098"/>
    <cellStyle name="Output 2 10 8 3" xfId="35943"/>
    <cellStyle name="Output 2 10 8 4" xfId="15607"/>
    <cellStyle name="Output 2 10 9" xfId="8785"/>
    <cellStyle name="Output 2 10 9 2" xfId="27757"/>
    <cellStyle name="Output 2 10 9 3" xfId="38602"/>
    <cellStyle name="Output 2 10 9 4" xfId="17511"/>
    <cellStyle name="Output 2 11" xfId="11462"/>
    <cellStyle name="Output 2 2" xfId="138"/>
    <cellStyle name="Output 2 2 2" xfId="389"/>
    <cellStyle name="Output 2 2 2 10" xfId="1508"/>
    <cellStyle name="Output 2 2 2 10 2" xfId="4361"/>
    <cellStyle name="Output 2 2 2 10 2 2" xfId="23333"/>
    <cellStyle name="Output 2 2 2 10 2 3" xfId="34178"/>
    <cellStyle name="Output 2 2 2 10 2 4" xfId="14354"/>
    <cellStyle name="Output 2 2 2 10 3" xfId="7034"/>
    <cellStyle name="Output 2 2 2 10 3 2" xfId="26006"/>
    <cellStyle name="Output 2 2 2 10 3 3" xfId="36851"/>
    <cellStyle name="Output 2 2 2 10 3 4" xfId="16269"/>
    <cellStyle name="Output 2 2 2 10 4" xfId="9693"/>
    <cellStyle name="Output 2 2 2 10 4 2" xfId="28665"/>
    <cellStyle name="Output 2 2 2 10 4 3" xfId="39510"/>
    <cellStyle name="Output 2 2 2 10 4 4" xfId="18173"/>
    <cellStyle name="Output 2 2 2 10 5" xfId="20489"/>
    <cellStyle name="Output 2 2 2 10 6" xfId="31334"/>
    <cellStyle name="Output 2 2 2 10 7" xfId="12319"/>
    <cellStyle name="Output 2 2 2 11" xfId="1626"/>
    <cellStyle name="Output 2 2 2 11 2" xfId="4479"/>
    <cellStyle name="Output 2 2 2 11 2 2" xfId="23451"/>
    <cellStyle name="Output 2 2 2 11 2 3" xfId="34296"/>
    <cellStyle name="Output 2 2 2 11 2 4" xfId="14441"/>
    <cellStyle name="Output 2 2 2 11 3" xfId="7151"/>
    <cellStyle name="Output 2 2 2 11 3 2" xfId="26123"/>
    <cellStyle name="Output 2 2 2 11 3 3" xfId="36968"/>
    <cellStyle name="Output 2 2 2 11 3 4" xfId="16355"/>
    <cellStyle name="Output 2 2 2 11 4" xfId="9810"/>
    <cellStyle name="Output 2 2 2 11 4 2" xfId="28782"/>
    <cellStyle name="Output 2 2 2 11 4 3" xfId="39627"/>
    <cellStyle name="Output 2 2 2 11 4 4" xfId="18259"/>
    <cellStyle name="Output 2 2 2 11 5" xfId="20606"/>
    <cellStyle name="Output 2 2 2 11 6" xfId="31451"/>
    <cellStyle name="Output 2 2 2 11 7" xfId="12405"/>
    <cellStyle name="Output 2 2 2 12" xfId="3124"/>
    <cellStyle name="Output 2 2 2 12 2" xfId="5975"/>
    <cellStyle name="Output 2 2 2 12 2 2" xfId="24947"/>
    <cellStyle name="Output 2 2 2 12 2 3" xfId="35792"/>
    <cellStyle name="Output 2 2 2 12 2 4" xfId="15500"/>
    <cellStyle name="Output 2 2 2 12 3" xfId="8646"/>
    <cellStyle name="Output 2 2 2 12 3 2" xfId="27618"/>
    <cellStyle name="Output 2 2 2 12 3 3" xfId="38463"/>
    <cellStyle name="Output 2 2 2 12 3 4" xfId="17413"/>
    <cellStyle name="Output 2 2 2 12 4" xfId="11305"/>
    <cellStyle name="Output 2 2 2 12 4 2" xfId="30277"/>
    <cellStyle name="Output 2 2 2 12 4 3" xfId="41122"/>
    <cellStyle name="Output 2 2 2 12 4 4" xfId="19317"/>
    <cellStyle name="Output 2 2 2 12 5" xfId="22101"/>
    <cellStyle name="Output 2 2 2 12 6" xfId="32946"/>
    <cellStyle name="Output 2 2 2 12 7" xfId="13463"/>
    <cellStyle name="Output 2 2 2 13" xfId="3181"/>
    <cellStyle name="Output 2 2 2 13 2" xfId="6032"/>
    <cellStyle name="Output 2 2 2 13 2 2" xfId="25004"/>
    <cellStyle name="Output 2 2 2 13 2 3" xfId="35849"/>
    <cellStyle name="Output 2 2 2 13 2 4" xfId="15537"/>
    <cellStyle name="Output 2 2 2 13 3" xfId="8703"/>
    <cellStyle name="Output 2 2 2 13 3 2" xfId="27675"/>
    <cellStyle name="Output 2 2 2 13 3 3" xfId="38520"/>
    <cellStyle name="Output 2 2 2 13 3 4" xfId="17450"/>
    <cellStyle name="Output 2 2 2 13 4" xfId="11362"/>
    <cellStyle name="Output 2 2 2 13 4 2" xfId="30334"/>
    <cellStyle name="Output 2 2 2 13 4 3" xfId="41179"/>
    <cellStyle name="Output 2 2 2 13 4 4" xfId="19354"/>
    <cellStyle name="Output 2 2 2 13 5" xfId="22158"/>
    <cellStyle name="Output 2 2 2 13 6" xfId="33003"/>
    <cellStyle name="Output 2 2 2 13 7" xfId="13500"/>
    <cellStyle name="Output 2 2 2 14" xfId="3347"/>
    <cellStyle name="Output 2 2 2 14 2" xfId="22321"/>
    <cellStyle name="Output 2 2 2 14 3" xfId="33166"/>
    <cellStyle name="Output 2 2 2 14 4" xfId="13617"/>
    <cellStyle name="Output 2 2 2 15" xfId="3321"/>
    <cellStyle name="Output 2 2 2 15 2" xfId="22295"/>
    <cellStyle name="Output 2 2 2 15 3" xfId="33140"/>
    <cellStyle name="Output 2 2 2 15 4" xfId="13602"/>
    <cellStyle name="Output 2 2 2 16" xfId="3246"/>
    <cellStyle name="Output 2 2 2 16 2" xfId="22222"/>
    <cellStyle name="Output 2 2 2 16 3" xfId="33067"/>
    <cellStyle name="Output 2 2 2 16 4" xfId="13548"/>
    <cellStyle name="Output 2 2 2 17" xfId="19478"/>
    <cellStyle name="Output 2 2 2 18" xfId="19415"/>
    <cellStyle name="Output 2 2 2 19" xfId="11527"/>
    <cellStyle name="Output 2 2 2 2" xfId="689"/>
    <cellStyle name="Output 2 2 2 2 10" xfId="19674"/>
    <cellStyle name="Output 2 2 2 2 11" xfId="30519"/>
    <cellStyle name="Output 2 2 2 2 12" xfId="11731"/>
    <cellStyle name="Output 2 2 2 2 2" xfId="1276"/>
    <cellStyle name="Output 2 2 2 2 2 2" xfId="4129"/>
    <cellStyle name="Output 2 2 2 2 2 2 2" xfId="23101"/>
    <cellStyle name="Output 2 2 2 2 2 2 3" xfId="33946"/>
    <cellStyle name="Output 2 2 2 2 2 2 4" xfId="14192"/>
    <cellStyle name="Output 2 2 2 2 2 3" xfId="6802"/>
    <cellStyle name="Output 2 2 2 2 2 3 2" xfId="25774"/>
    <cellStyle name="Output 2 2 2 2 2 3 3" xfId="36619"/>
    <cellStyle name="Output 2 2 2 2 2 3 4" xfId="16107"/>
    <cellStyle name="Output 2 2 2 2 2 4" xfId="9461"/>
    <cellStyle name="Output 2 2 2 2 2 4 2" xfId="28433"/>
    <cellStyle name="Output 2 2 2 2 2 4 3" xfId="39278"/>
    <cellStyle name="Output 2 2 2 2 2 4 4" xfId="18011"/>
    <cellStyle name="Output 2 2 2 2 2 5" xfId="20257"/>
    <cellStyle name="Output 2 2 2 2 2 6" xfId="31102"/>
    <cellStyle name="Output 2 2 2 2 2 7" xfId="12157"/>
    <cellStyle name="Output 2 2 2 2 3" xfId="1675"/>
    <cellStyle name="Output 2 2 2 2 3 2" xfId="4528"/>
    <cellStyle name="Output 2 2 2 2 3 2 2" xfId="23500"/>
    <cellStyle name="Output 2 2 2 2 3 2 3" xfId="34345"/>
    <cellStyle name="Output 2 2 2 2 3 2 4" xfId="14479"/>
    <cellStyle name="Output 2 2 2 2 3 3" xfId="7200"/>
    <cellStyle name="Output 2 2 2 2 3 3 2" xfId="26172"/>
    <cellStyle name="Output 2 2 2 2 3 3 3" xfId="37017"/>
    <cellStyle name="Output 2 2 2 2 3 3 4" xfId="16393"/>
    <cellStyle name="Output 2 2 2 2 3 4" xfId="9859"/>
    <cellStyle name="Output 2 2 2 2 3 4 2" xfId="28831"/>
    <cellStyle name="Output 2 2 2 2 3 4 3" xfId="39676"/>
    <cellStyle name="Output 2 2 2 2 3 4 4" xfId="18297"/>
    <cellStyle name="Output 2 2 2 2 3 5" xfId="20655"/>
    <cellStyle name="Output 2 2 2 2 3 6" xfId="31500"/>
    <cellStyle name="Output 2 2 2 2 3 7" xfId="12443"/>
    <cellStyle name="Output 2 2 2 2 4" xfId="2079"/>
    <cellStyle name="Output 2 2 2 2 4 2" xfId="4932"/>
    <cellStyle name="Output 2 2 2 2 4 2 2" xfId="23904"/>
    <cellStyle name="Output 2 2 2 2 4 2 3" xfId="34749"/>
    <cellStyle name="Output 2 2 2 2 4 2 4" xfId="14766"/>
    <cellStyle name="Output 2 2 2 2 4 3" xfId="7603"/>
    <cellStyle name="Output 2 2 2 2 4 3 2" xfId="26575"/>
    <cellStyle name="Output 2 2 2 2 4 3 3" xfId="37420"/>
    <cellStyle name="Output 2 2 2 2 4 3 4" xfId="16679"/>
    <cellStyle name="Output 2 2 2 2 4 4" xfId="10262"/>
    <cellStyle name="Output 2 2 2 2 4 4 2" xfId="29234"/>
    <cellStyle name="Output 2 2 2 2 4 4 3" xfId="40079"/>
    <cellStyle name="Output 2 2 2 2 4 4 4" xfId="18583"/>
    <cellStyle name="Output 2 2 2 2 4 5" xfId="21058"/>
    <cellStyle name="Output 2 2 2 2 4 6" xfId="31903"/>
    <cellStyle name="Output 2 2 2 2 4 7" xfId="12729"/>
    <cellStyle name="Output 2 2 2 2 5" xfId="2469"/>
    <cellStyle name="Output 2 2 2 2 5 2" xfId="5321"/>
    <cellStyle name="Output 2 2 2 2 5 2 2" xfId="24293"/>
    <cellStyle name="Output 2 2 2 2 5 2 3" xfId="35138"/>
    <cellStyle name="Output 2 2 2 2 5 2 4" xfId="15045"/>
    <cellStyle name="Output 2 2 2 2 5 3" xfId="7992"/>
    <cellStyle name="Output 2 2 2 2 5 3 2" xfId="26964"/>
    <cellStyle name="Output 2 2 2 2 5 3 3" xfId="37809"/>
    <cellStyle name="Output 2 2 2 2 5 3 4" xfId="16958"/>
    <cellStyle name="Output 2 2 2 2 5 4" xfId="10651"/>
    <cellStyle name="Output 2 2 2 2 5 4 2" xfId="29623"/>
    <cellStyle name="Output 2 2 2 2 5 4 3" xfId="40468"/>
    <cellStyle name="Output 2 2 2 2 5 4 4" xfId="18862"/>
    <cellStyle name="Output 2 2 2 2 5 5" xfId="21447"/>
    <cellStyle name="Output 2 2 2 2 5 6" xfId="32292"/>
    <cellStyle name="Output 2 2 2 2 5 7" xfId="13008"/>
    <cellStyle name="Output 2 2 2 2 6" xfId="2855"/>
    <cellStyle name="Output 2 2 2 2 6 2" xfId="5706"/>
    <cellStyle name="Output 2 2 2 2 6 2 2" xfId="24678"/>
    <cellStyle name="Output 2 2 2 2 6 2 3" xfId="35523"/>
    <cellStyle name="Output 2 2 2 2 6 2 4" xfId="15321"/>
    <cellStyle name="Output 2 2 2 2 6 3" xfId="8377"/>
    <cellStyle name="Output 2 2 2 2 6 3 2" xfId="27349"/>
    <cellStyle name="Output 2 2 2 2 6 3 3" xfId="38194"/>
    <cellStyle name="Output 2 2 2 2 6 3 4" xfId="17234"/>
    <cellStyle name="Output 2 2 2 2 6 4" xfId="11036"/>
    <cellStyle name="Output 2 2 2 2 6 4 2" xfId="30008"/>
    <cellStyle name="Output 2 2 2 2 6 4 3" xfId="40853"/>
    <cellStyle name="Output 2 2 2 2 6 4 4" xfId="19138"/>
    <cellStyle name="Output 2 2 2 2 6 5" xfId="21832"/>
    <cellStyle name="Output 2 2 2 2 6 6" xfId="32677"/>
    <cellStyle name="Output 2 2 2 2 6 7" xfId="13284"/>
    <cellStyle name="Output 2 2 2 2 7" xfId="3544"/>
    <cellStyle name="Output 2 2 2 2 7 2" xfId="22516"/>
    <cellStyle name="Output 2 2 2 2 7 3" xfId="33361"/>
    <cellStyle name="Output 2 2 2 2 7 4" xfId="13765"/>
    <cellStyle name="Output 2 2 2 2 8" xfId="6219"/>
    <cellStyle name="Output 2 2 2 2 8 2" xfId="25191"/>
    <cellStyle name="Output 2 2 2 2 8 3" xfId="36036"/>
    <cellStyle name="Output 2 2 2 2 8 4" xfId="15681"/>
    <cellStyle name="Output 2 2 2 2 9" xfId="8878"/>
    <cellStyle name="Output 2 2 2 2 9 2" xfId="27850"/>
    <cellStyle name="Output 2 2 2 2 9 3" xfId="38695"/>
    <cellStyle name="Output 2 2 2 2 9 4" xfId="17585"/>
    <cellStyle name="Output 2 2 2 3" xfId="749"/>
    <cellStyle name="Output 2 2 2 3 10" xfId="19734"/>
    <cellStyle name="Output 2 2 2 3 11" xfId="30579"/>
    <cellStyle name="Output 2 2 2 3 12" xfId="11771"/>
    <cellStyle name="Output 2 2 2 3 2" xfId="1336"/>
    <cellStyle name="Output 2 2 2 3 2 2" xfId="4189"/>
    <cellStyle name="Output 2 2 2 3 2 2 2" xfId="23161"/>
    <cellStyle name="Output 2 2 2 3 2 2 3" xfId="34006"/>
    <cellStyle name="Output 2 2 2 3 2 2 4" xfId="14232"/>
    <cellStyle name="Output 2 2 2 3 2 3" xfId="6862"/>
    <cellStyle name="Output 2 2 2 3 2 3 2" xfId="25834"/>
    <cellStyle name="Output 2 2 2 3 2 3 3" xfId="36679"/>
    <cellStyle name="Output 2 2 2 3 2 3 4" xfId="16147"/>
    <cellStyle name="Output 2 2 2 3 2 4" xfId="9521"/>
    <cellStyle name="Output 2 2 2 3 2 4 2" xfId="28493"/>
    <cellStyle name="Output 2 2 2 3 2 4 3" xfId="39338"/>
    <cellStyle name="Output 2 2 2 3 2 4 4" xfId="18051"/>
    <cellStyle name="Output 2 2 2 3 2 5" xfId="20317"/>
    <cellStyle name="Output 2 2 2 3 2 6" xfId="31162"/>
    <cellStyle name="Output 2 2 2 3 2 7" xfId="12197"/>
    <cellStyle name="Output 2 2 2 3 3" xfId="1735"/>
    <cellStyle name="Output 2 2 2 3 3 2" xfId="4588"/>
    <cellStyle name="Output 2 2 2 3 3 2 2" xfId="23560"/>
    <cellStyle name="Output 2 2 2 3 3 2 3" xfId="34405"/>
    <cellStyle name="Output 2 2 2 3 3 2 4" xfId="14519"/>
    <cellStyle name="Output 2 2 2 3 3 3" xfId="7260"/>
    <cellStyle name="Output 2 2 2 3 3 3 2" xfId="26232"/>
    <cellStyle name="Output 2 2 2 3 3 3 3" xfId="37077"/>
    <cellStyle name="Output 2 2 2 3 3 3 4" xfId="16433"/>
    <cellStyle name="Output 2 2 2 3 3 4" xfId="9919"/>
    <cellStyle name="Output 2 2 2 3 3 4 2" xfId="28891"/>
    <cellStyle name="Output 2 2 2 3 3 4 3" xfId="39736"/>
    <cellStyle name="Output 2 2 2 3 3 4 4" xfId="18337"/>
    <cellStyle name="Output 2 2 2 3 3 5" xfId="20715"/>
    <cellStyle name="Output 2 2 2 3 3 6" xfId="31560"/>
    <cellStyle name="Output 2 2 2 3 3 7" xfId="12483"/>
    <cellStyle name="Output 2 2 2 3 4" xfId="2139"/>
    <cellStyle name="Output 2 2 2 3 4 2" xfId="4992"/>
    <cellStyle name="Output 2 2 2 3 4 2 2" xfId="23964"/>
    <cellStyle name="Output 2 2 2 3 4 2 3" xfId="34809"/>
    <cellStyle name="Output 2 2 2 3 4 2 4" xfId="14806"/>
    <cellStyle name="Output 2 2 2 3 4 3" xfId="7663"/>
    <cellStyle name="Output 2 2 2 3 4 3 2" xfId="26635"/>
    <cellStyle name="Output 2 2 2 3 4 3 3" xfId="37480"/>
    <cellStyle name="Output 2 2 2 3 4 3 4" xfId="16719"/>
    <cellStyle name="Output 2 2 2 3 4 4" xfId="10322"/>
    <cellStyle name="Output 2 2 2 3 4 4 2" xfId="29294"/>
    <cellStyle name="Output 2 2 2 3 4 4 3" xfId="40139"/>
    <cellStyle name="Output 2 2 2 3 4 4 4" xfId="18623"/>
    <cellStyle name="Output 2 2 2 3 4 5" xfId="21118"/>
    <cellStyle name="Output 2 2 2 3 4 6" xfId="31963"/>
    <cellStyle name="Output 2 2 2 3 4 7" xfId="12769"/>
    <cellStyle name="Output 2 2 2 3 5" xfId="2529"/>
    <cellStyle name="Output 2 2 2 3 5 2" xfId="5381"/>
    <cellStyle name="Output 2 2 2 3 5 2 2" xfId="24353"/>
    <cellStyle name="Output 2 2 2 3 5 2 3" xfId="35198"/>
    <cellStyle name="Output 2 2 2 3 5 2 4" xfId="15085"/>
    <cellStyle name="Output 2 2 2 3 5 3" xfId="8052"/>
    <cellStyle name="Output 2 2 2 3 5 3 2" xfId="27024"/>
    <cellStyle name="Output 2 2 2 3 5 3 3" xfId="37869"/>
    <cellStyle name="Output 2 2 2 3 5 3 4" xfId="16998"/>
    <cellStyle name="Output 2 2 2 3 5 4" xfId="10711"/>
    <cellStyle name="Output 2 2 2 3 5 4 2" xfId="29683"/>
    <cellStyle name="Output 2 2 2 3 5 4 3" xfId="40528"/>
    <cellStyle name="Output 2 2 2 3 5 4 4" xfId="18902"/>
    <cellStyle name="Output 2 2 2 3 5 5" xfId="21507"/>
    <cellStyle name="Output 2 2 2 3 5 6" xfId="32352"/>
    <cellStyle name="Output 2 2 2 3 5 7" xfId="13048"/>
    <cellStyle name="Output 2 2 2 3 6" xfId="2915"/>
    <cellStyle name="Output 2 2 2 3 6 2" xfId="5766"/>
    <cellStyle name="Output 2 2 2 3 6 2 2" xfId="24738"/>
    <cellStyle name="Output 2 2 2 3 6 2 3" xfId="35583"/>
    <cellStyle name="Output 2 2 2 3 6 2 4" xfId="15361"/>
    <cellStyle name="Output 2 2 2 3 6 3" xfId="8437"/>
    <cellStyle name="Output 2 2 2 3 6 3 2" xfId="27409"/>
    <cellStyle name="Output 2 2 2 3 6 3 3" xfId="38254"/>
    <cellStyle name="Output 2 2 2 3 6 3 4" xfId="17274"/>
    <cellStyle name="Output 2 2 2 3 6 4" xfId="11096"/>
    <cellStyle name="Output 2 2 2 3 6 4 2" xfId="30068"/>
    <cellStyle name="Output 2 2 2 3 6 4 3" xfId="40913"/>
    <cellStyle name="Output 2 2 2 3 6 4 4" xfId="19178"/>
    <cellStyle name="Output 2 2 2 3 6 5" xfId="21892"/>
    <cellStyle name="Output 2 2 2 3 6 6" xfId="32737"/>
    <cellStyle name="Output 2 2 2 3 6 7" xfId="13324"/>
    <cellStyle name="Output 2 2 2 3 7" xfId="3604"/>
    <cellStyle name="Output 2 2 2 3 7 2" xfId="22576"/>
    <cellStyle name="Output 2 2 2 3 7 3" xfId="33421"/>
    <cellStyle name="Output 2 2 2 3 7 4" xfId="13805"/>
    <cellStyle name="Output 2 2 2 3 8" xfId="6279"/>
    <cellStyle name="Output 2 2 2 3 8 2" xfId="25251"/>
    <cellStyle name="Output 2 2 2 3 8 3" xfId="36096"/>
    <cellStyle name="Output 2 2 2 3 8 4" xfId="15721"/>
    <cellStyle name="Output 2 2 2 3 9" xfId="8938"/>
    <cellStyle name="Output 2 2 2 3 9 2" xfId="27910"/>
    <cellStyle name="Output 2 2 2 3 9 3" xfId="38755"/>
    <cellStyle name="Output 2 2 2 3 9 4" xfId="17625"/>
    <cellStyle name="Output 2 2 2 4" xfId="809"/>
    <cellStyle name="Output 2 2 2 4 10" xfId="19794"/>
    <cellStyle name="Output 2 2 2 4 11" xfId="30639"/>
    <cellStyle name="Output 2 2 2 4 12" xfId="11811"/>
    <cellStyle name="Output 2 2 2 4 2" xfId="1396"/>
    <cellStyle name="Output 2 2 2 4 2 2" xfId="4249"/>
    <cellStyle name="Output 2 2 2 4 2 2 2" xfId="23221"/>
    <cellStyle name="Output 2 2 2 4 2 2 3" xfId="34066"/>
    <cellStyle name="Output 2 2 2 4 2 2 4" xfId="14272"/>
    <cellStyle name="Output 2 2 2 4 2 3" xfId="6922"/>
    <cellStyle name="Output 2 2 2 4 2 3 2" xfId="25894"/>
    <cellStyle name="Output 2 2 2 4 2 3 3" xfId="36739"/>
    <cellStyle name="Output 2 2 2 4 2 3 4" xfId="16187"/>
    <cellStyle name="Output 2 2 2 4 2 4" xfId="9581"/>
    <cellStyle name="Output 2 2 2 4 2 4 2" xfId="28553"/>
    <cellStyle name="Output 2 2 2 4 2 4 3" xfId="39398"/>
    <cellStyle name="Output 2 2 2 4 2 4 4" xfId="18091"/>
    <cellStyle name="Output 2 2 2 4 2 5" xfId="20377"/>
    <cellStyle name="Output 2 2 2 4 2 6" xfId="31222"/>
    <cellStyle name="Output 2 2 2 4 2 7" xfId="12237"/>
    <cellStyle name="Output 2 2 2 4 3" xfId="1795"/>
    <cellStyle name="Output 2 2 2 4 3 2" xfId="4648"/>
    <cellStyle name="Output 2 2 2 4 3 2 2" xfId="23620"/>
    <cellStyle name="Output 2 2 2 4 3 2 3" xfId="34465"/>
    <cellStyle name="Output 2 2 2 4 3 2 4" xfId="14559"/>
    <cellStyle name="Output 2 2 2 4 3 3" xfId="7320"/>
    <cellStyle name="Output 2 2 2 4 3 3 2" xfId="26292"/>
    <cellStyle name="Output 2 2 2 4 3 3 3" xfId="37137"/>
    <cellStyle name="Output 2 2 2 4 3 3 4" xfId="16473"/>
    <cellStyle name="Output 2 2 2 4 3 4" xfId="9979"/>
    <cellStyle name="Output 2 2 2 4 3 4 2" xfId="28951"/>
    <cellStyle name="Output 2 2 2 4 3 4 3" xfId="39796"/>
    <cellStyle name="Output 2 2 2 4 3 4 4" xfId="18377"/>
    <cellStyle name="Output 2 2 2 4 3 5" xfId="20775"/>
    <cellStyle name="Output 2 2 2 4 3 6" xfId="31620"/>
    <cellStyle name="Output 2 2 2 4 3 7" xfId="12523"/>
    <cellStyle name="Output 2 2 2 4 4" xfId="2199"/>
    <cellStyle name="Output 2 2 2 4 4 2" xfId="5052"/>
    <cellStyle name="Output 2 2 2 4 4 2 2" xfId="24024"/>
    <cellStyle name="Output 2 2 2 4 4 2 3" xfId="34869"/>
    <cellStyle name="Output 2 2 2 4 4 2 4" xfId="14846"/>
    <cellStyle name="Output 2 2 2 4 4 3" xfId="7723"/>
    <cellStyle name="Output 2 2 2 4 4 3 2" xfId="26695"/>
    <cellStyle name="Output 2 2 2 4 4 3 3" xfId="37540"/>
    <cellStyle name="Output 2 2 2 4 4 3 4" xfId="16759"/>
    <cellStyle name="Output 2 2 2 4 4 4" xfId="10382"/>
    <cellStyle name="Output 2 2 2 4 4 4 2" xfId="29354"/>
    <cellStyle name="Output 2 2 2 4 4 4 3" xfId="40199"/>
    <cellStyle name="Output 2 2 2 4 4 4 4" xfId="18663"/>
    <cellStyle name="Output 2 2 2 4 4 5" xfId="21178"/>
    <cellStyle name="Output 2 2 2 4 4 6" xfId="32023"/>
    <cellStyle name="Output 2 2 2 4 4 7" xfId="12809"/>
    <cellStyle name="Output 2 2 2 4 5" xfId="2589"/>
    <cellStyle name="Output 2 2 2 4 5 2" xfId="5441"/>
    <cellStyle name="Output 2 2 2 4 5 2 2" xfId="24413"/>
    <cellStyle name="Output 2 2 2 4 5 2 3" xfId="35258"/>
    <cellStyle name="Output 2 2 2 4 5 2 4" xfId="15125"/>
    <cellStyle name="Output 2 2 2 4 5 3" xfId="8112"/>
    <cellStyle name="Output 2 2 2 4 5 3 2" xfId="27084"/>
    <cellStyle name="Output 2 2 2 4 5 3 3" xfId="37929"/>
    <cellStyle name="Output 2 2 2 4 5 3 4" xfId="17038"/>
    <cellStyle name="Output 2 2 2 4 5 4" xfId="10771"/>
    <cellStyle name="Output 2 2 2 4 5 4 2" xfId="29743"/>
    <cellStyle name="Output 2 2 2 4 5 4 3" xfId="40588"/>
    <cellStyle name="Output 2 2 2 4 5 4 4" xfId="18942"/>
    <cellStyle name="Output 2 2 2 4 5 5" xfId="21567"/>
    <cellStyle name="Output 2 2 2 4 5 6" xfId="32412"/>
    <cellStyle name="Output 2 2 2 4 5 7" xfId="13088"/>
    <cellStyle name="Output 2 2 2 4 6" xfId="2975"/>
    <cellStyle name="Output 2 2 2 4 6 2" xfId="5826"/>
    <cellStyle name="Output 2 2 2 4 6 2 2" xfId="24798"/>
    <cellStyle name="Output 2 2 2 4 6 2 3" xfId="35643"/>
    <cellStyle name="Output 2 2 2 4 6 2 4" xfId="15401"/>
    <cellStyle name="Output 2 2 2 4 6 3" xfId="8497"/>
    <cellStyle name="Output 2 2 2 4 6 3 2" xfId="27469"/>
    <cellStyle name="Output 2 2 2 4 6 3 3" xfId="38314"/>
    <cellStyle name="Output 2 2 2 4 6 3 4" xfId="17314"/>
    <cellStyle name="Output 2 2 2 4 6 4" xfId="11156"/>
    <cellStyle name="Output 2 2 2 4 6 4 2" xfId="30128"/>
    <cellStyle name="Output 2 2 2 4 6 4 3" xfId="40973"/>
    <cellStyle name="Output 2 2 2 4 6 4 4" xfId="19218"/>
    <cellStyle name="Output 2 2 2 4 6 5" xfId="21952"/>
    <cellStyle name="Output 2 2 2 4 6 6" xfId="32797"/>
    <cellStyle name="Output 2 2 2 4 6 7" xfId="13364"/>
    <cellStyle name="Output 2 2 2 4 7" xfId="3664"/>
    <cellStyle name="Output 2 2 2 4 7 2" xfId="22636"/>
    <cellStyle name="Output 2 2 2 4 7 3" xfId="33481"/>
    <cellStyle name="Output 2 2 2 4 7 4" xfId="13845"/>
    <cellStyle name="Output 2 2 2 4 8" xfId="6339"/>
    <cellStyle name="Output 2 2 2 4 8 2" xfId="25311"/>
    <cellStyle name="Output 2 2 2 4 8 3" xfId="36156"/>
    <cellStyle name="Output 2 2 2 4 8 4" xfId="15761"/>
    <cellStyle name="Output 2 2 2 4 9" xfId="8998"/>
    <cellStyle name="Output 2 2 2 4 9 2" xfId="27970"/>
    <cellStyle name="Output 2 2 2 4 9 3" xfId="38815"/>
    <cellStyle name="Output 2 2 2 4 9 4" xfId="17665"/>
    <cellStyle name="Output 2 2 2 5" xfId="868"/>
    <cellStyle name="Output 2 2 2 5 10" xfId="19853"/>
    <cellStyle name="Output 2 2 2 5 11" xfId="30698"/>
    <cellStyle name="Output 2 2 2 5 12" xfId="11850"/>
    <cellStyle name="Output 2 2 2 5 2" xfId="1455"/>
    <cellStyle name="Output 2 2 2 5 2 2" xfId="4308"/>
    <cellStyle name="Output 2 2 2 5 2 2 2" xfId="23280"/>
    <cellStyle name="Output 2 2 2 5 2 2 3" xfId="34125"/>
    <cellStyle name="Output 2 2 2 5 2 2 4" xfId="14311"/>
    <cellStyle name="Output 2 2 2 5 2 3" xfId="6981"/>
    <cellStyle name="Output 2 2 2 5 2 3 2" xfId="25953"/>
    <cellStyle name="Output 2 2 2 5 2 3 3" xfId="36798"/>
    <cellStyle name="Output 2 2 2 5 2 3 4" xfId="16226"/>
    <cellStyle name="Output 2 2 2 5 2 4" xfId="9640"/>
    <cellStyle name="Output 2 2 2 5 2 4 2" xfId="28612"/>
    <cellStyle name="Output 2 2 2 5 2 4 3" xfId="39457"/>
    <cellStyle name="Output 2 2 2 5 2 4 4" xfId="18130"/>
    <cellStyle name="Output 2 2 2 5 2 5" xfId="20436"/>
    <cellStyle name="Output 2 2 2 5 2 6" xfId="31281"/>
    <cellStyle name="Output 2 2 2 5 2 7" xfId="12276"/>
    <cellStyle name="Output 2 2 2 5 3" xfId="1854"/>
    <cellStyle name="Output 2 2 2 5 3 2" xfId="4707"/>
    <cellStyle name="Output 2 2 2 5 3 2 2" xfId="23679"/>
    <cellStyle name="Output 2 2 2 5 3 2 3" xfId="34524"/>
    <cellStyle name="Output 2 2 2 5 3 2 4" xfId="14598"/>
    <cellStyle name="Output 2 2 2 5 3 3" xfId="7379"/>
    <cellStyle name="Output 2 2 2 5 3 3 2" xfId="26351"/>
    <cellStyle name="Output 2 2 2 5 3 3 3" xfId="37196"/>
    <cellStyle name="Output 2 2 2 5 3 3 4" xfId="16512"/>
    <cellStyle name="Output 2 2 2 5 3 4" xfId="10038"/>
    <cellStyle name="Output 2 2 2 5 3 4 2" xfId="29010"/>
    <cellStyle name="Output 2 2 2 5 3 4 3" xfId="39855"/>
    <cellStyle name="Output 2 2 2 5 3 4 4" xfId="18416"/>
    <cellStyle name="Output 2 2 2 5 3 5" xfId="20834"/>
    <cellStyle name="Output 2 2 2 5 3 6" xfId="31679"/>
    <cellStyle name="Output 2 2 2 5 3 7" xfId="12562"/>
    <cellStyle name="Output 2 2 2 5 4" xfId="2258"/>
    <cellStyle name="Output 2 2 2 5 4 2" xfId="5111"/>
    <cellStyle name="Output 2 2 2 5 4 2 2" xfId="24083"/>
    <cellStyle name="Output 2 2 2 5 4 2 3" xfId="34928"/>
    <cellStyle name="Output 2 2 2 5 4 2 4" xfId="14885"/>
    <cellStyle name="Output 2 2 2 5 4 3" xfId="7782"/>
    <cellStyle name="Output 2 2 2 5 4 3 2" xfId="26754"/>
    <cellStyle name="Output 2 2 2 5 4 3 3" xfId="37599"/>
    <cellStyle name="Output 2 2 2 5 4 3 4" xfId="16798"/>
    <cellStyle name="Output 2 2 2 5 4 4" xfId="10441"/>
    <cellStyle name="Output 2 2 2 5 4 4 2" xfId="29413"/>
    <cellStyle name="Output 2 2 2 5 4 4 3" xfId="40258"/>
    <cellStyle name="Output 2 2 2 5 4 4 4" xfId="18702"/>
    <cellStyle name="Output 2 2 2 5 4 5" xfId="21237"/>
    <cellStyle name="Output 2 2 2 5 4 6" xfId="32082"/>
    <cellStyle name="Output 2 2 2 5 4 7" xfId="12848"/>
    <cellStyle name="Output 2 2 2 5 5" xfId="2648"/>
    <cellStyle name="Output 2 2 2 5 5 2" xfId="5500"/>
    <cellStyle name="Output 2 2 2 5 5 2 2" xfId="24472"/>
    <cellStyle name="Output 2 2 2 5 5 2 3" xfId="35317"/>
    <cellStyle name="Output 2 2 2 5 5 2 4" xfId="15164"/>
    <cellStyle name="Output 2 2 2 5 5 3" xfId="8171"/>
    <cellStyle name="Output 2 2 2 5 5 3 2" xfId="27143"/>
    <cellStyle name="Output 2 2 2 5 5 3 3" xfId="37988"/>
    <cellStyle name="Output 2 2 2 5 5 3 4" xfId="17077"/>
    <cellStyle name="Output 2 2 2 5 5 4" xfId="10830"/>
    <cellStyle name="Output 2 2 2 5 5 4 2" xfId="29802"/>
    <cellStyle name="Output 2 2 2 5 5 4 3" xfId="40647"/>
    <cellStyle name="Output 2 2 2 5 5 4 4" xfId="18981"/>
    <cellStyle name="Output 2 2 2 5 5 5" xfId="21626"/>
    <cellStyle name="Output 2 2 2 5 5 6" xfId="32471"/>
    <cellStyle name="Output 2 2 2 5 5 7" xfId="13127"/>
    <cellStyle name="Output 2 2 2 5 6" xfId="3034"/>
    <cellStyle name="Output 2 2 2 5 6 2" xfId="5885"/>
    <cellStyle name="Output 2 2 2 5 6 2 2" xfId="24857"/>
    <cellStyle name="Output 2 2 2 5 6 2 3" xfId="35702"/>
    <cellStyle name="Output 2 2 2 5 6 2 4" xfId="15440"/>
    <cellStyle name="Output 2 2 2 5 6 3" xfId="8556"/>
    <cellStyle name="Output 2 2 2 5 6 3 2" xfId="27528"/>
    <cellStyle name="Output 2 2 2 5 6 3 3" xfId="38373"/>
    <cellStyle name="Output 2 2 2 5 6 3 4" xfId="17353"/>
    <cellStyle name="Output 2 2 2 5 6 4" xfId="11215"/>
    <cellStyle name="Output 2 2 2 5 6 4 2" xfId="30187"/>
    <cellStyle name="Output 2 2 2 5 6 4 3" xfId="41032"/>
    <cellStyle name="Output 2 2 2 5 6 4 4" xfId="19257"/>
    <cellStyle name="Output 2 2 2 5 6 5" xfId="22011"/>
    <cellStyle name="Output 2 2 2 5 6 6" xfId="32856"/>
    <cellStyle name="Output 2 2 2 5 6 7" xfId="13403"/>
    <cellStyle name="Output 2 2 2 5 7" xfId="3723"/>
    <cellStyle name="Output 2 2 2 5 7 2" xfId="22695"/>
    <cellStyle name="Output 2 2 2 5 7 3" xfId="33540"/>
    <cellStyle name="Output 2 2 2 5 7 4" xfId="13884"/>
    <cellStyle name="Output 2 2 2 5 8" xfId="6398"/>
    <cellStyle name="Output 2 2 2 5 8 2" xfId="25370"/>
    <cellStyle name="Output 2 2 2 5 8 3" xfId="36215"/>
    <cellStyle name="Output 2 2 2 5 8 4" xfId="15800"/>
    <cellStyle name="Output 2 2 2 5 9" xfId="9057"/>
    <cellStyle name="Output 2 2 2 5 9 2" xfId="28029"/>
    <cellStyle name="Output 2 2 2 5 9 3" xfId="38874"/>
    <cellStyle name="Output 2 2 2 5 9 4" xfId="17704"/>
    <cellStyle name="Output 2 2 2 6" xfId="1090"/>
    <cellStyle name="Output 2 2 2 6 2" xfId="3943"/>
    <cellStyle name="Output 2 2 2 6 2 2" xfId="22915"/>
    <cellStyle name="Output 2 2 2 6 2 3" xfId="33760"/>
    <cellStyle name="Output 2 2 2 6 2 4" xfId="14046"/>
    <cellStyle name="Output 2 2 2 6 3" xfId="6617"/>
    <cellStyle name="Output 2 2 2 6 3 2" xfId="25589"/>
    <cellStyle name="Output 2 2 2 6 3 3" xfId="36434"/>
    <cellStyle name="Output 2 2 2 6 3 4" xfId="15962"/>
    <cellStyle name="Output 2 2 2 6 4" xfId="9276"/>
    <cellStyle name="Output 2 2 2 6 4 2" xfId="28248"/>
    <cellStyle name="Output 2 2 2 6 4 3" xfId="39093"/>
    <cellStyle name="Output 2 2 2 6 4 4" xfId="17866"/>
    <cellStyle name="Output 2 2 2 6 5" xfId="20072"/>
    <cellStyle name="Output 2 2 2 6 6" xfId="30917"/>
    <cellStyle name="Output 2 2 2 6 7" xfId="12012"/>
    <cellStyle name="Output 2 2 2 7" xfId="1048"/>
    <cellStyle name="Output 2 2 2 7 2" xfId="3901"/>
    <cellStyle name="Output 2 2 2 7 2 2" xfId="22873"/>
    <cellStyle name="Output 2 2 2 7 2 3" xfId="33718"/>
    <cellStyle name="Output 2 2 2 7 2 4" xfId="14017"/>
    <cellStyle name="Output 2 2 2 7 3" xfId="6575"/>
    <cellStyle name="Output 2 2 2 7 3 2" xfId="25547"/>
    <cellStyle name="Output 2 2 2 7 3 3" xfId="36392"/>
    <cellStyle name="Output 2 2 2 7 3 4" xfId="15933"/>
    <cellStyle name="Output 2 2 2 7 4" xfId="9234"/>
    <cellStyle name="Output 2 2 2 7 4 2" xfId="28206"/>
    <cellStyle name="Output 2 2 2 7 4 3" xfId="39051"/>
    <cellStyle name="Output 2 2 2 7 4 4" xfId="17837"/>
    <cellStyle name="Output 2 2 2 7 5" xfId="20030"/>
    <cellStyle name="Output 2 2 2 7 6" xfId="30875"/>
    <cellStyle name="Output 2 2 2 7 7" xfId="11983"/>
    <cellStyle name="Output 2 2 2 8" xfId="1897"/>
    <cellStyle name="Output 2 2 2 8 2" xfId="4750"/>
    <cellStyle name="Output 2 2 2 8 2 2" xfId="23722"/>
    <cellStyle name="Output 2 2 2 8 2 3" xfId="34567"/>
    <cellStyle name="Output 2 2 2 8 2 4" xfId="14626"/>
    <cellStyle name="Output 2 2 2 8 3" xfId="7422"/>
    <cellStyle name="Output 2 2 2 8 3 2" xfId="26394"/>
    <cellStyle name="Output 2 2 2 8 3 3" xfId="37239"/>
    <cellStyle name="Output 2 2 2 8 3 4" xfId="16540"/>
    <cellStyle name="Output 2 2 2 8 4" xfId="10081"/>
    <cellStyle name="Output 2 2 2 8 4 2" xfId="29053"/>
    <cellStyle name="Output 2 2 2 8 4 3" xfId="39898"/>
    <cellStyle name="Output 2 2 2 8 4 4" xfId="18444"/>
    <cellStyle name="Output 2 2 2 8 5" xfId="20877"/>
    <cellStyle name="Output 2 2 2 8 6" xfId="31722"/>
    <cellStyle name="Output 2 2 2 8 7" xfId="12590"/>
    <cellStyle name="Output 2 2 2 9" xfId="988"/>
    <cellStyle name="Output 2 2 2 9 2" xfId="3841"/>
    <cellStyle name="Output 2 2 2 9 2 2" xfId="22813"/>
    <cellStyle name="Output 2 2 2 9 2 3" xfId="33658"/>
    <cellStyle name="Output 2 2 2 9 2 4" xfId="13974"/>
    <cellStyle name="Output 2 2 2 9 3" xfId="6516"/>
    <cellStyle name="Output 2 2 2 9 3 2" xfId="25488"/>
    <cellStyle name="Output 2 2 2 9 3 3" xfId="36333"/>
    <cellStyle name="Output 2 2 2 9 3 4" xfId="15890"/>
    <cellStyle name="Output 2 2 2 9 4" xfId="9175"/>
    <cellStyle name="Output 2 2 2 9 4 2" xfId="28147"/>
    <cellStyle name="Output 2 2 2 9 4 3" xfId="38992"/>
    <cellStyle name="Output 2 2 2 9 4 4" xfId="17794"/>
    <cellStyle name="Output 2 2 2 9 5" xfId="19971"/>
    <cellStyle name="Output 2 2 2 9 6" xfId="30816"/>
    <cellStyle name="Output 2 2 2 9 7" xfId="11940"/>
    <cellStyle name="Output 2 2 3" xfId="572"/>
    <cellStyle name="Output 2 2 3 10" xfId="19582"/>
    <cellStyle name="Output 2 2 3 11" xfId="30427"/>
    <cellStyle name="Output 2 2 3 12" xfId="11636"/>
    <cellStyle name="Output 2 2 3 2" xfId="1178"/>
    <cellStyle name="Output 2 2 3 2 2" xfId="4031"/>
    <cellStyle name="Output 2 2 3 2 2 2" xfId="23003"/>
    <cellStyle name="Output 2 2 3 2 2 3" xfId="33848"/>
    <cellStyle name="Output 2 2 3 2 2 4" xfId="14113"/>
    <cellStyle name="Output 2 2 3 2 3" xfId="6704"/>
    <cellStyle name="Output 2 2 3 2 3 2" xfId="25676"/>
    <cellStyle name="Output 2 2 3 2 3 3" xfId="36521"/>
    <cellStyle name="Output 2 2 3 2 3 4" xfId="16028"/>
    <cellStyle name="Output 2 2 3 2 4" xfId="9363"/>
    <cellStyle name="Output 2 2 3 2 4 2" xfId="28335"/>
    <cellStyle name="Output 2 2 3 2 4 3" xfId="39180"/>
    <cellStyle name="Output 2 2 3 2 4 4" xfId="17932"/>
    <cellStyle name="Output 2 2 3 2 5" xfId="20159"/>
    <cellStyle name="Output 2 2 3 2 6" xfId="31004"/>
    <cellStyle name="Output 2 2 3 2 7" xfId="12078"/>
    <cellStyle name="Output 2 2 3 3" xfId="1575"/>
    <cellStyle name="Output 2 2 3 3 2" xfId="4428"/>
    <cellStyle name="Output 2 2 3 3 2 2" xfId="23400"/>
    <cellStyle name="Output 2 2 3 3 2 3" xfId="34245"/>
    <cellStyle name="Output 2 2 3 3 2 4" xfId="14399"/>
    <cellStyle name="Output 2 2 3 3 3" xfId="7100"/>
    <cellStyle name="Output 2 2 3 3 3 2" xfId="26072"/>
    <cellStyle name="Output 2 2 3 3 3 3" xfId="36917"/>
    <cellStyle name="Output 2 2 3 3 3 4" xfId="16313"/>
    <cellStyle name="Output 2 2 3 3 4" xfId="9759"/>
    <cellStyle name="Output 2 2 3 3 4 2" xfId="28731"/>
    <cellStyle name="Output 2 2 3 3 4 3" xfId="39576"/>
    <cellStyle name="Output 2 2 3 3 4 4" xfId="18217"/>
    <cellStyle name="Output 2 2 3 3 5" xfId="20555"/>
    <cellStyle name="Output 2 2 3 3 6" xfId="31400"/>
    <cellStyle name="Output 2 2 3 3 7" xfId="12363"/>
    <cellStyle name="Output 2 2 3 4" xfId="1979"/>
    <cellStyle name="Output 2 2 3 4 2" xfId="4832"/>
    <cellStyle name="Output 2 2 3 4 2 2" xfId="23804"/>
    <cellStyle name="Output 2 2 3 4 2 3" xfId="34649"/>
    <cellStyle name="Output 2 2 3 4 2 4" xfId="14687"/>
    <cellStyle name="Output 2 2 3 4 3" xfId="7504"/>
    <cellStyle name="Output 2 2 3 4 3 2" xfId="26476"/>
    <cellStyle name="Output 2 2 3 4 3 3" xfId="37321"/>
    <cellStyle name="Output 2 2 3 4 3 4" xfId="16601"/>
    <cellStyle name="Output 2 2 3 4 4" xfId="10163"/>
    <cellStyle name="Output 2 2 3 4 4 2" xfId="29135"/>
    <cellStyle name="Output 2 2 3 4 4 3" xfId="39980"/>
    <cellStyle name="Output 2 2 3 4 4 4" xfId="18505"/>
    <cellStyle name="Output 2 2 3 4 5" xfId="20959"/>
    <cellStyle name="Output 2 2 3 4 6" xfId="31804"/>
    <cellStyle name="Output 2 2 3 4 7" xfId="12651"/>
    <cellStyle name="Output 2 2 3 5" xfId="2371"/>
    <cellStyle name="Output 2 2 3 5 2" xfId="5224"/>
    <cellStyle name="Output 2 2 3 5 2 2" xfId="24196"/>
    <cellStyle name="Output 2 2 3 5 2 3" xfId="35041"/>
    <cellStyle name="Output 2 2 3 5 2 4" xfId="14968"/>
    <cellStyle name="Output 2 2 3 5 3" xfId="7895"/>
    <cellStyle name="Output 2 2 3 5 3 2" xfId="26867"/>
    <cellStyle name="Output 2 2 3 5 3 3" xfId="37712"/>
    <cellStyle name="Output 2 2 3 5 3 4" xfId="16881"/>
    <cellStyle name="Output 2 2 3 5 4" xfId="10554"/>
    <cellStyle name="Output 2 2 3 5 4 2" xfId="29526"/>
    <cellStyle name="Output 2 2 3 5 4 3" xfId="40371"/>
    <cellStyle name="Output 2 2 3 5 4 4" xfId="18785"/>
    <cellStyle name="Output 2 2 3 5 5" xfId="21350"/>
    <cellStyle name="Output 2 2 3 5 6" xfId="32195"/>
    <cellStyle name="Output 2 2 3 5 7" xfId="12931"/>
    <cellStyle name="Output 2 2 3 6" xfId="2760"/>
    <cellStyle name="Output 2 2 3 6 2" xfId="5612"/>
    <cellStyle name="Output 2 2 3 6 2 2" xfId="24584"/>
    <cellStyle name="Output 2 2 3 6 2 3" xfId="35429"/>
    <cellStyle name="Output 2 2 3 6 2 4" xfId="15246"/>
    <cellStyle name="Output 2 2 3 6 3" xfId="8283"/>
    <cellStyle name="Output 2 2 3 6 3 2" xfId="27255"/>
    <cellStyle name="Output 2 2 3 6 3 3" xfId="38100"/>
    <cellStyle name="Output 2 2 3 6 3 4" xfId="17159"/>
    <cellStyle name="Output 2 2 3 6 4" xfId="10942"/>
    <cellStyle name="Output 2 2 3 6 4 2" xfId="29914"/>
    <cellStyle name="Output 2 2 3 6 4 3" xfId="40759"/>
    <cellStyle name="Output 2 2 3 6 4 4" xfId="19063"/>
    <cellStyle name="Output 2 2 3 6 5" xfId="21738"/>
    <cellStyle name="Output 2 2 3 6 6" xfId="32583"/>
    <cellStyle name="Output 2 2 3 6 7" xfId="13209"/>
    <cellStyle name="Output 2 2 3 7" xfId="3451"/>
    <cellStyle name="Output 2 2 3 7 2" xfId="22423"/>
    <cellStyle name="Output 2 2 3 7 3" xfId="33268"/>
    <cellStyle name="Output 2 2 3 7 4" xfId="13691"/>
    <cellStyle name="Output 2 2 3 8" xfId="6127"/>
    <cellStyle name="Output 2 2 3 8 2" xfId="25099"/>
    <cellStyle name="Output 2 2 3 8 3" xfId="35944"/>
    <cellStyle name="Output 2 2 3 8 4" xfId="15608"/>
    <cellStyle name="Output 2 2 3 9" xfId="8786"/>
    <cellStyle name="Output 2 2 3 9 2" xfId="27758"/>
    <cellStyle name="Output 2 2 3 9 3" xfId="38603"/>
    <cellStyle name="Output 2 2 3 9 4" xfId="17512"/>
    <cellStyle name="Output 2 2 4" xfId="11463"/>
    <cellStyle name="Output 2 3" xfId="139"/>
    <cellStyle name="Output 2 3 2" xfId="390"/>
    <cellStyle name="Output 2 3 2 10" xfId="928"/>
    <cellStyle name="Output 2 3 2 10 2" xfId="3783"/>
    <cellStyle name="Output 2 3 2 10 2 2" xfId="22755"/>
    <cellStyle name="Output 2 3 2 10 2 3" xfId="33600"/>
    <cellStyle name="Output 2 3 2 10 2 4" xfId="13929"/>
    <cellStyle name="Output 2 3 2 10 3" xfId="6458"/>
    <cellStyle name="Output 2 3 2 10 3 2" xfId="25430"/>
    <cellStyle name="Output 2 3 2 10 3 3" xfId="36275"/>
    <cellStyle name="Output 2 3 2 10 3 4" xfId="15845"/>
    <cellStyle name="Output 2 3 2 10 4" xfId="9117"/>
    <cellStyle name="Output 2 3 2 10 4 2" xfId="28089"/>
    <cellStyle name="Output 2 3 2 10 4 3" xfId="38934"/>
    <cellStyle name="Output 2 3 2 10 4 4" xfId="17749"/>
    <cellStyle name="Output 2 3 2 10 5" xfId="19913"/>
    <cellStyle name="Output 2 3 2 10 6" xfId="30758"/>
    <cellStyle name="Output 2 3 2 10 7" xfId="11895"/>
    <cellStyle name="Output 2 3 2 11" xfId="1045"/>
    <cellStyle name="Output 2 3 2 11 2" xfId="3898"/>
    <cellStyle name="Output 2 3 2 11 2 2" xfId="22870"/>
    <cellStyle name="Output 2 3 2 11 2 3" xfId="33715"/>
    <cellStyle name="Output 2 3 2 11 2 4" xfId="14014"/>
    <cellStyle name="Output 2 3 2 11 3" xfId="6572"/>
    <cellStyle name="Output 2 3 2 11 3 2" xfId="25544"/>
    <cellStyle name="Output 2 3 2 11 3 3" xfId="36389"/>
    <cellStyle name="Output 2 3 2 11 3 4" xfId="15930"/>
    <cellStyle name="Output 2 3 2 11 4" xfId="9231"/>
    <cellStyle name="Output 2 3 2 11 4 2" xfId="28203"/>
    <cellStyle name="Output 2 3 2 11 4 3" xfId="39048"/>
    <cellStyle name="Output 2 3 2 11 4 4" xfId="17834"/>
    <cellStyle name="Output 2 3 2 11 5" xfId="20027"/>
    <cellStyle name="Output 2 3 2 11 6" xfId="30872"/>
    <cellStyle name="Output 2 3 2 11 7" xfId="11980"/>
    <cellStyle name="Output 2 3 2 12" xfId="3125"/>
    <cellStyle name="Output 2 3 2 12 2" xfId="5976"/>
    <cellStyle name="Output 2 3 2 12 2 2" xfId="24948"/>
    <cellStyle name="Output 2 3 2 12 2 3" xfId="35793"/>
    <cellStyle name="Output 2 3 2 12 2 4" xfId="15501"/>
    <cellStyle name="Output 2 3 2 12 3" xfId="8647"/>
    <cellStyle name="Output 2 3 2 12 3 2" xfId="27619"/>
    <cellStyle name="Output 2 3 2 12 3 3" xfId="38464"/>
    <cellStyle name="Output 2 3 2 12 3 4" xfId="17414"/>
    <cellStyle name="Output 2 3 2 12 4" xfId="11306"/>
    <cellStyle name="Output 2 3 2 12 4 2" xfId="30278"/>
    <cellStyle name="Output 2 3 2 12 4 3" xfId="41123"/>
    <cellStyle name="Output 2 3 2 12 4 4" xfId="19318"/>
    <cellStyle name="Output 2 3 2 12 5" xfId="22102"/>
    <cellStyle name="Output 2 3 2 12 6" xfId="32947"/>
    <cellStyle name="Output 2 3 2 12 7" xfId="13464"/>
    <cellStyle name="Output 2 3 2 13" xfId="3182"/>
    <cellStyle name="Output 2 3 2 13 2" xfId="6033"/>
    <cellStyle name="Output 2 3 2 13 2 2" xfId="25005"/>
    <cellStyle name="Output 2 3 2 13 2 3" xfId="35850"/>
    <cellStyle name="Output 2 3 2 13 2 4" xfId="15538"/>
    <cellStyle name="Output 2 3 2 13 3" xfId="8704"/>
    <cellStyle name="Output 2 3 2 13 3 2" xfId="27676"/>
    <cellStyle name="Output 2 3 2 13 3 3" xfId="38521"/>
    <cellStyle name="Output 2 3 2 13 3 4" xfId="17451"/>
    <cellStyle name="Output 2 3 2 13 4" xfId="11363"/>
    <cellStyle name="Output 2 3 2 13 4 2" xfId="30335"/>
    <cellStyle name="Output 2 3 2 13 4 3" xfId="41180"/>
    <cellStyle name="Output 2 3 2 13 4 4" xfId="19355"/>
    <cellStyle name="Output 2 3 2 13 5" xfId="22159"/>
    <cellStyle name="Output 2 3 2 13 6" xfId="33004"/>
    <cellStyle name="Output 2 3 2 13 7" xfId="13501"/>
    <cellStyle name="Output 2 3 2 14" xfId="3348"/>
    <cellStyle name="Output 2 3 2 14 2" xfId="22322"/>
    <cellStyle name="Output 2 3 2 14 3" xfId="33167"/>
    <cellStyle name="Output 2 3 2 14 4" xfId="13618"/>
    <cellStyle name="Output 2 3 2 15" xfId="3305"/>
    <cellStyle name="Output 2 3 2 15 2" xfId="22279"/>
    <cellStyle name="Output 2 3 2 15 3" xfId="33124"/>
    <cellStyle name="Output 2 3 2 15 4" xfId="13590"/>
    <cellStyle name="Output 2 3 2 16" xfId="6074"/>
    <cellStyle name="Output 2 3 2 16 2" xfId="25046"/>
    <cellStyle name="Output 2 3 2 16 3" xfId="35891"/>
    <cellStyle name="Output 2 3 2 16 4" xfId="15568"/>
    <cellStyle name="Output 2 3 2 17" xfId="19479"/>
    <cellStyle name="Output 2 3 2 18" xfId="19395"/>
    <cellStyle name="Output 2 3 2 19" xfId="11528"/>
    <cellStyle name="Output 2 3 2 2" xfId="690"/>
    <cellStyle name="Output 2 3 2 2 10" xfId="19675"/>
    <cellStyle name="Output 2 3 2 2 11" xfId="30520"/>
    <cellStyle name="Output 2 3 2 2 12" xfId="11732"/>
    <cellStyle name="Output 2 3 2 2 2" xfId="1277"/>
    <cellStyle name="Output 2 3 2 2 2 2" xfId="4130"/>
    <cellStyle name="Output 2 3 2 2 2 2 2" xfId="23102"/>
    <cellStyle name="Output 2 3 2 2 2 2 3" xfId="33947"/>
    <cellStyle name="Output 2 3 2 2 2 2 4" xfId="14193"/>
    <cellStyle name="Output 2 3 2 2 2 3" xfId="6803"/>
    <cellStyle name="Output 2 3 2 2 2 3 2" xfId="25775"/>
    <cellStyle name="Output 2 3 2 2 2 3 3" xfId="36620"/>
    <cellStyle name="Output 2 3 2 2 2 3 4" xfId="16108"/>
    <cellStyle name="Output 2 3 2 2 2 4" xfId="9462"/>
    <cellStyle name="Output 2 3 2 2 2 4 2" xfId="28434"/>
    <cellStyle name="Output 2 3 2 2 2 4 3" xfId="39279"/>
    <cellStyle name="Output 2 3 2 2 2 4 4" xfId="18012"/>
    <cellStyle name="Output 2 3 2 2 2 5" xfId="20258"/>
    <cellStyle name="Output 2 3 2 2 2 6" xfId="31103"/>
    <cellStyle name="Output 2 3 2 2 2 7" xfId="12158"/>
    <cellStyle name="Output 2 3 2 2 3" xfId="1676"/>
    <cellStyle name="Output 2 3 2 2 3 2" xfId="4529"/>
    <cellStyle name="Output 2 3 2 2 3 2 2" xfId="23501"/>
    <cellStyle name="Output 2 3 2 2 3 2 3" xfId="34346"/>
    <cellStyle name="Output 2 3 2 2 3 2 4" xfId="14480"/>
    <cellStyle name="Output 2 3 2 2 3 3" xfId="7201"/>
    <cellStyle name="Output 2 3 2 2 3 3 2" xfId="26173"/>
    <cellStyle name="Output 2 3 2 2 3 3 3" xfId="37018"/>
    <cellStyle name="Output 2 3 2 2 3 3 4" xfId="16394"/>
    <cellStyle name="Output 2 3 2 2 3 4" xfId="9860"/>
    <cellStyle name="Output 2 3 2 2 3 4 2" xfId="28832"/>
    <cellStyle name="Output 2 3 2 2 3 4 3" xfId="39677"/>
    <cellStyle name="Output 2 3 2 2 3 4 4" xfId="18298"/>
    <cellStyle name="Output 2 3 2 2 3 5" xfId="20656"/>
    <cellStyle name="Output 2 3 2 2 3 6" xfId="31501"/>
    <cellStyle name="Output 2 3 2 2 3 7" xfId="12444"/>
    <cellStyle name="Output 2 3 2 2 4" xfId="2080"/>
    <cellStyle name="Output 2 3 2 2 4 2" xfId="4933"/>
    <cellStyle name="Output 2 3 2 2 4 2 2" xfId="23905"/>
    <cellStyle name="Output 2 3 2 2 4 2 3" xfId="34750"/>
    <cellStyle name="Output 2 3 2 2 4 2 4" xfId="14767"/>
    <cellStyle name="Output 2 3 2 2 4 3" xfId="7604"/>
    <cellStyle name="Output 2 3 2 2 4 3 2" xfId="26576"/>
    <cellStyle name="Output 2 3 2 2 4 3 3" xfId="37421"/>
    <cellStyle name="Output 2 3 2 2 4 3 4" xfId="16680"/>
    <cellStyle name="Output 2 3 2 2 4 4" xfId="10263"/>
    <cellStyle name="Output 2 3 2 2 4 4 2" xfId="29235"/>
    <cellStyle name="Output 2 3 2 2 4 4 3" xfId="40080"/>
    <cellStyle name="Output 2 3 2 2 4 4 4" xfId="18584"/>
    <cellStyle name="Output 2 3 2 2 4 5" xfId="21059"/>
    <cellStyle name="Output 2 3 2 2 4 6" xfId="31904"/>
    <cellStyle name="Output 2 3 2 2 4 7" xfId="12730"/>
    <cellStyle name="Output 2 3 2 2 5" xfId="2470"/>
    <cellStyle name="Output 2 3 2 2 5 2" xfId="5322"/>
    <cellStyle name="Output 2 3 2 2 5 2 2" xfId="24294"/>
    <cellStyle name="Output 2 3 2 2 5 2 3" xfId="35139"/>
    <cellStyle name="Output 2 3 2 2 5 2 4" xfId="15046"/>
    <cellStyle name="Output 2 3 2 2 5 3" xfId="7993"/>
    <cellStyle name="Output 2 3 2 2 5 3 2" xfId="26965"/>
    <cellStyle name="Output 2 3 2 2 5 3 3" xfId="37810"/>
    <cellStyle name="Output 2 3 2 2 5 3 4" xfId="16959"/>
    <cellStyle name="Output 2 3 2 2 5 4" xfId="10652"/>
    <cellStyle name="Output 2 3 2 2 5 4 2" xfId="29624"/>
    <cellStyle name="Output 2 3 2 2 5 4 3" xfId="40469"/>
    <cellStyle name="Output 2 3 2 2 5 4 4" xfId="18863"/>
    <cellStyle name="Output 2 3 2 2 5 5" xfId="21448"/>
    <cellStyle name="Output 2 3 2 2 5 6" xfId="32293"/>
    <cellStyle name="Output 2 3 2 2 5 7" xfId="13009"/>
    <cellStyle name="Output 2 3 2 2 6" xfId="2856"/>
    <cellStyle name="Output 2 3 2 2 6 2" xfId="5707"/>
    <cellStyle name="Output 2 3 2 2 6 2 2" xfId="24679"/>
    <cellStyle name="Output 2 3 2 2 6 2 3" xfId="35524"/>
    <cellStyle name="Output 2 3 2 2 6 2 4" xfId="15322"/>
    <cellStyle name="Output 2 3 2 2 6 3" xfId="8378"/>
    <cellStyle name="Output 2 3 2 2 6 3 2" xfId="27350"/>
    <cellStyle name="Output 2 3 2 2 6 3 3" xfId="38195"/>
    <cellStyle name="Output 2 3 2 2 6 3 4" xfId="17235"/>
    <cellStyle name="Output 2 3 2 2 6 4" xfId="11037"/>
    <cellStyle name="Output 2 3 2 2 6 4 2" xfId="30009"/>
    <cellStyle name="Output 2 3 2 2 6 4 3" xfId="40854"/>
    <cellStyle name="Output 2 3 2 2 6 4 4" xfId="19139"/>
    <cellStyle name="Output 2 3 2 2 6 5" xfId="21833"/>
    <cellStyle name="Output 2 3 2 2 6 6" xfId="32678"/>
    <cellStyle name="Output 2 3 2 2 6 7" xfId="13285"/>
    <cellStyle name="Output 2 3 2 2 7" xfId="3545"/>
    <cellStyle name="Output 2 3 2 2 7 2" xfId="22517"/>
    <cellStyle name="Output 2 3 2 2 7 3" xfId="33362"/>
    <cellStyle name="Output 2 3 2 2 7 4" xfId="13766"/>
    <cellStyle name="Output 2 3 2 2 8" xfId="6220"/>
    <cellStyle name="Output 2 3 2 2 8 2" xfId="25192"/>
    <cellStyle name="Output 2 3 2 2 8 3" xfId="36037"/>
    <cellStyle name="Output 2 3 2 2 8 4" xfId="15682"/>
    <cellStyle name="Output 2 3 2 2 9" xfId="8879"/>
    <cellStyle name="Output 2 3 2 2 9 2" xfId="27851"/>
    <cellStyle name="Output 2 3 2 2 9 3" xfId="38696"/>
    <cellStyle name="Output 2 3 2 2 9 4" xfId="17586"/>
    <cellStyle name="Output 2 3 2 3" xfId="750"/>
    <cellStyle name="Output 2 3 2 3 10" xfId="19735"/>
    <cellStyle name="Output 2 3 2 3 11" xfId="30580"/>
    <cellStyle name="Output 2 3 2 3 12" xfId="11772"/>
    <cellStyle name="Output 2 3 2 3 2" xfId="1337"/>
    <cellStyle name="Output 2 3 2 3 2 2" xfId="4190"/>
    <cellStyle name="Output 2 3 2 3 2 2 2" xfId="23162"/>
    <cellStyle name="Output 2 3 2 3 2 2 3" xfId="34007"/>
    <cellStyle name="Output 2 3 2 3 2 2 4" xfId="14233"/>
    <cellStyle name="Output 2 3 2 3 2 3" xfId="6863"/>
    <cellStyle name="Output 2 3 2 3 2 3 2" xfId="25835"/>
    <cellStyle name="Output 2 3 2 3 2 3 3" xfId="36680"/>
    <cellStyle name="Output 2 3 2 3 2 3 4" xfId="16148"/>
    <cellStyle name="Output 2 3 2 3 2 4" xfId="9522"/>
    <cellStyle name="Output 2 3 2 3 2 4 2" xfId="28494"/>
    <cellStyle name="Output 2 3 2 3 2 4 3" xfId="39339"/>
    <cellStyle name="Output 2 3 2 3 2 4 4" xfId="18052"/>
    <cellStyle name="Output 2 3 2 3 2 5" xfId="20318"/>
    <cellStyle name="Output 2 3 2 3 2 6" xfId="31163"/>
    <cellStyle name="Output 2 3 2 3 2 7" xfId="12198"/>
    <cellStyle name="Output 2 3 2 3 3" xfId="1736"/>
    <cellStyle name="Output 2 3 2 3 3 2" xfId="4589"/>
    <cellStyle name="Output 2 3 2 3 3 2 2" xfId="23561"/>
    <cellStyle name="Output 2 3 2 3 3 2 3" xfId="34406"/>
    <cellStyle name="Output 2 3 2 3 3 2 4" xfId="14520"/>
    <cellStyle name="Output 2 3 2 3 3 3" xfId="7261"/>
    <cellStyle name="Output 2 3 2 3 3 3 2" xfId="26233"/>
    <cellStyle name="Output 2 3 2 3 3 3 3" xfId="37078"/>
    <cellStyle name="Output 2 3 2 3 3 3 4" xfId="16434"/>
    <cellStyle name="Output 2 3 2 3 3 4" xfId="9920"/>
    <cellStyle name="Output 2 3 2 3 3 4 2" xfId="28892"/>
    <cellStyle name="Output 2 3 2 3 3 4 3" xfId="39737"/>
    <cellStyle name="Output 2 3 2 3 3 4 4" xfId="18338"/>
    <cellStyle name="Output 2 3 2 3 3 5" xfId="20716"/>
    <cellStyle name="Output 2 3 2 3 3 6" xfId="31561"/>
    <cellStyle name="Output 2 3 2 3 3 7" xfId="12484"/>
    <cellStyle name="Output 2 3 2 3 4" xfId="2140"/>
    <cellStyle name="Output 2 3 2 3 4 2" xfId="4993"/>
    <cellStyle name="Output 2 3 2 3 4 2 2" xfId="23965"/>
    <cellStyle name="Output 2 3 2 3 4 2 3" xfId="34810"/>
    <cellStyle name="Output 2 3 2 3 4 2 4" xfId="14807"/>
    <cellStyle name="Output 2 3 2 3 4 3" xfId="7664"/>
    <cellStyle name="Output 2 3 2 3 4 3 2" xfId="26636"/>
    <cellStyle name="Output 2 3 2 3 4 3 3" xfId="37481"/>
    <cellStyle name="Output 2 3 2 3 4 3 4" xfId="16720"/>
    <cellStyle name="Output 2 3 2 3 4 4" xfId="10323"/>
    <cellStyle name="Output 2 3 2 3 4 4 2" xfId="29295"/>
    <cellStyle name="Output 2 3 2 3 4 4 3" xfId="40140"/>
    <cellStyle name="Output 2 3 2 3 4 4 4" xfId="18624"/>
    <cellStyle name="Output 2 3 2 3 4 5" xfId="21119"/>
    <cellStyle name="Output 2 3 2 3 4 6" xfId="31964"/>
    <cellStyle name="Output 2 3 2 3 4 7" xfId="12770"/>
    <cellStyle name="Output 2 3 2 3 5" xfId="2530"/>
    <cellStyle name="Output 2 3 2 3 5 2" xfId="5382"/>
    <cellStyle name="Output 2 3 2 3 5 2 2" xfId="24354"/>
    <cellStyle name="Output 2 3 2 3 5 2 3" xfId="35199"/>
    <cellStyle name="Output 2 3 2 3 5 2 4" xfId="15086"/>
    <cellStyle name="Output 2 3 2 3 5 3" xfId="8053"/>
    <cellStyle name="Output 2 3 2 3 5 3 2" xfId="27025"/>
    <cellStyle name="Output 2 3 2 3 5 3 3" xfId="37870"/>
    <cellStyle name="Output 2 3 2 3 5 3 4" xfId="16999"/>
    <cellStyle name="Output 2 3 2 3 5 4" xfId="10712"/>
    <cellStyle name="Output 2 3 2 3 5 4 2" xfId="29684"/>
    <cellStyle name="Output 2 3 2 3 5 4 3" xfId="40529"/>
    <cellStyle name="Output 2 3 2 3 5 4 4" xfId="18903"/>
    <cellStyle name="Output 2 3 2 3 5 5" xfId="21508"/>
    <cellStyle name="Output 2 3 2 3 5 6" xfId="32353"/>
    <cellStyle name="Output 2 3 2 3 5 7" xfId="13049"/>
    <cellStyle name="Output 2 3 2 3 6" xfId="2916"/>
    <cellStyle name="Output 2 3 2 3 6 2" xfId="5767"/>
    <cellStyle name="Output 2 3 2 3 6 2 2" xfId="24739"/>
    <cellStyle name="Output 2 3 2 3 6 2 3" xfId="35584"/>
    <cellStyle name="Output 2 3 2 3 6 2 4" xfId="15362"/>
    <cellStyle name="Output 2 3 2 3 6 3" xfId="8438"/>
    <cellStyle name="Output 2 3 2 3 6 3 2" xfId="27410"/>
    <cellStyle name="Output 2 3 2 3 6 3 3" xfId="38255"/>
    <cellStyle name="Output 2 3 2 3 6 3 4" xfId="17275"/>
    <cellStyle name="Output 2 3 2 3 6 4" xfId="11097"/>
    <cellStyle name="Output 2 3 2 3 6 4 2" xfId="30069"/>
    <cellStyle name="Output 2 3 2 3 6 4 3" xfId="40914"/>
    <cellStyle name="Output 2 3 2 3 6 4 4" xfId="19179"/>
    <cellStyle name="Output 2 3 2 3 6 5" xfId="21893"/>
    <cellStyle name="Output 2 3 2 3 6 6" xfId="32738"/>
    <cellStyle name="Output 2 3 2 3 6 7" xfId="13325"/>
    <cellStyle name="Output 2 3 2 3 7" xfId="3605"/>
    <cellStyle name="Output 2 3 2 3 7 2" xfId="22577"/>
    <cellStyle name="Output 2 3 2 3 7 3" xfId="33422"/>
    <cellStyle name="Output 2 3 2 3 7 4" xfId="13806"/>
    <cellStyle name="Output 2 3 2 3 8" xfId="6280"/>
    <cellStyle name="Output 2 3 2 3 8 2" xfId="25252"/>
    <cellStyle name="Output 2 3 2 3 8 3" xfId="36097"/>
    <cellStyle name="Output 2 3 2 3 8 4" xfId="15722"/>
    <cellStyle name="Output 2 3 2 3 9" xfId="8939"/>
    <cellStyle name="Output 2 3 2 3 9 2" xfId="27911"/>
    <cellStyle name="Output 2 3 2 3 9 3" xfId="38756"/>
    <cellStyle name="Output 2 3 2 3 9 4" xfId="17626"/>
    <cellStyle name="Output 2 3 2 4" xfId="810"/>
    <cellStyle name="Output 2 3 2 4 10" xfId="19795"/>
    <cellStyle name="Output 2 3 2 4 11" xfId="30640"/>
    <cellStyle name="Output 2 3 2 4 12" xfId="11812"/>
    <cellStyle name="Output 2 3 2 4 2" xfId="1397"/>
    <cellStyle name="Output 2 3 2 4 2 2" xfId="4250"/>
    <cellStyle name="Output 2 3 2 4 2 2 2" xfId="23222"/>
    <cellStyle name="Output 2 3 2 4 2 2 3" xfId="34067"/>
    <cellStyle name="Output 2 3 2 4 2 2 4" xfId="14273"/>
    <cellStyle name="Output 2 3 2 4 2 3" xfId="6923"/>
    <cellStyle name="Output 2 3 2 4 2 3 2" xfId="25895"/>
    <cellStyle name="Output 2 3 2 4 2 3 3" xfId="36740"/>
    <cellStyle name="Output 2 3 2 4 2 3 4" xfId="16188"/>
    <cellStyle name="Output 2 3 2 4 2 4" xfId="9582"/>
    <cellStyle name="Output 2 3 2 4 2 4 2" xfId="28554"/>
    <cellStyle name="Output 2 3 2 4 2 4 3" xfId="39399"/>
    <cellStyle name="Output 2 3 2 4 2 4 4" xfId="18092"/>
    <cellStyle name="Output 2 3 2 4 2 5" xfId="20378"/>
    <cellStyle name="Output 2 3 2 4 2 6" xfId="31223"/>
    <cellStyle name="Output 2 3 2 4 2 7" xfId="12238"/>
    <cellStyle name="Output 2 3 2 4 3" xfId="1796"/>
    <cellStyle name="Output 2 3 2 4 3 2" xfId="4649"/>
    <cellStyle name="Output 2 3 2 4 3 2 2" xfId="23621"/>
    <cellStyle name="Output 2 3 2 4 3 2 3" xfId="34466"/>
    <cellStyle name="Output 2 3 2 4 3 2 4" xfId="14560"/>
    <cellStyle name="Output 2 3 2 4 3 3" xfId="7321"/>
    <cellStyle name="Output 2 3 2 4 3 3 2" xfId="26293"/>
    <cellStyle name="Output 2 3 2 4 3 3 3" xfId="37138"/>
    <cellStyle name="Output 2 3 2 4 3 3 4" xfId="16474"/>
    <cellStyle name="Output 2 3 2 4 3 4" xfId="9980"/>
    <cellStyle name="Output 2 3 2 4 3 4 2" xfId="28952"/>
    <cellStyle name="Output 2 3 2 4 3 4 3" xfId="39797"/>
    <cellStyle name="Output 2 3 2 4 3 4 4" xfId="18378"/>
    <cellStyle name="Output 2 3 2 4 3 5" xfId="20776"/>
    <cellStyle name="Output 2 3 2 4 3 6" xfId="31621"/>
    <cellStyle name="Output 2 3 2 4 3 7" xfId="12524"/>
    <cellStyle name="Output 2 3 2 4 4" xfId="2200"/>
    <cellStyle name="Output 2 3 2 4 4 2" xfId="5053"/>
    <cellStyle name="Output 2 3 2 4 4 2 2" xfId="24025"/>
    <cellStyle name="Output 2 3 2 4 4 2 3" xfId="34870"/>
    <cellStyle name="Output 2 3 2 4 4 2 4" xfId="14847"/>
    <cellStyle name="Output 2 3 2 4 4 3" xfId="7724"/>
    <cellStyle name="Output 2 3 2 4 4 3 2" xfId="26696"/>
    <cellStyle name="Output 2 3 2 4 4 3 3" xfId="37541"/>
    <cellStyle name="Output 2 3 2 4 4 3 4" xfId="16760"/>
    <cellStyle name="Output 2 3 2 4 4 4" xfId="10383"/>
    <cellStyle name="Output 2 3 2 4 4 4 2" xfId="29355"/>
    <cellStyle name="Output 2 3 2 4 4 4 3" xfId="40200"/>
    <cellStyle name="Output 2 3 2 4 4 4 4" xfId="18664"/>
    <cellStyle name="Output 2 3 2 4 4 5" xfId="21179"/>
    <cellStyle name="Output 2 3 2 4 4 6" xfId="32024"/>
    <cellStyle name="Output 2 3 2 4 4 7" xfId="12810"/>
    <cellStyle name="Output 2 3 2 4 5" xfId="2590"/>
    <cellStyle name="Output 2 3 2 4 5 2" xfId="5442"/>
    <cellStyle name="Output 2 3 2 4 5 2 2" xfId="24414"/>
    <cellStyle name="Output 2 3 2 4 5 2 3" xfId="35259"/>
    <cellStyle name="Output 2 3 2 4 5 2 4" xfId="15126"/>
    <cellStyle name="Output 2 3 2 4 5 3" xfId="8113"/>
    <cellStyle name="Output 2 3 2 4 5 3 2" xfId="27085"/>
    <cellStyle name="Output 2 3 2 4 5 3 3" xfId="37930"/>
    <cellStyle name="Output 2 3 2 4 5 3 4" xfId="17039"/>
    <cellStyle name="Output 2 3 2 4 5 4" xfId="10772"/>
    <cellStyle name="Output 2 3 2 4 5 4 2" xfId="29744"/>
    <cellStyle name="Output 2 3 2 4 5 4 3" xfId="40589"/>
    <cellStyle name="Output 2 3 2 4 5 4 4" xfId="18943"/>
    <cellStyle name="Output 2 3 2 4 5 5" xfId="21568"/>
    <cellStyle name="Output 2 3 2 4 5 6" xfId="32413"/>
    <cellStyle name="Output 2 3 2 4 5 7" xfId="13089"/>
    <cellStyle name="Output 2 3 2 4 6" xfId="2976"/>
    <cellStyle name="Output 2 3 2 4 6 2" xfId="5827"/>
    <cellStyle name="Output 2 3 2 4 6 2 2" xfId="24799"/>
    <cellStyle name="Output 2 3 2 4 6 2 3" xfId="35644"/>
    <cellStyle name="Output 2 3 2 4 6 2 4" xfId="15402"/>
    <cellStyle name="Output 2 3 2 4 6 3" xfId="8498"/>
    <cellStyle name="Output 2 3 2 4 6 3 2" xfId="27470"/>
    <cellStyle name="Output 2 3 2 4 6 3 3" xfId="38315"/>
    <cellStyle name="Output 2 3 2 4 6 3 4" xfId="17315"/>
    <cellStyle name="Output 2 3 2 4 6 4" xfId="11157"/>
    <cellStyle name="Output 2 3 2 4 6 4 2" xfId="30129"/>
    <cellStyle name="Output 2 3 2 4 6 4 3" xfId="40974"/>
    <cellStyle name="Output 2 3 2 4 6 4 4" xfId="19219"/>
    <cellStyle name="Output 2 3 2 4 6 5" xfId="21953"/>
    <cellStyle name="Output 2 3 2 4 6 6" xfId="32798"/>
    <cellStyle name="Output 2 3 2 4 6 7" xfId="13365"/>
    <cellStyle name="Output 2 3 2 4 7" xfId="3665"/>
    <cellStyle name="Output 2 3 2 4 7 2" xfId="22637"/>
    <cellStyle name="Output 2 3 2 4 7 3" xfId="33482"/>
    <cellStyle name="Output 2 3 2 4 7 4" xfId="13846"/>
    <cellStyle name="Output 2 3 2 4 8" xfId="6340"/>
    <cellStyle name="Output 2 3 2 4 8 2" xfId="25312"/>
    <cellStyle name="Output 2 3 2 4 8 3" xfId="36157"/>
    <cellStyle name="Output 2 3 2 4 8 4" xfId="15762"/>
    <cellStyle name="Output 2 3 2 4 9" xfId="8999"/>
    <cellStyle name="Output 2 3 2 4 9 2" xfId="27971"/>
    <cellStyle name="Output 2 3 2 4 9 3" xfId="38816"/>
    <cellStyle name="Output 2 3 2 4 9 4" xfId="17666"/>
    <cellStyle name="Output 2 3 2 5" xfId="869"/>
    <cellStyle name="Output 2 3 2 5 10" xfId="19854"/>
    <cellStyle name="Output 2 3 2 5 11" xfId="30699"/>
    <cellStyle name="Output 2 3 2 5 12" xfId="11851"/>
    <cellStyle name="Output 2 3 2 5 2" xfId="1456"/>
    <cellStyle name="Output 2 3 2 5 2 2" xfId="4309"/>
    <cellStyle name="Output 2 3 2 5 2 2 2" xfId="23281"/>
    <cellStyle name="Output 2 3 2 5 2 2 3" xfId="34126"/>
    <cellStyle name="Output 2 3 2 5 2 2 4" xfId="14312"/>
    <cellStyle name="Output 2 3 2 5 2 3" xfId="6982"/>
    <cellStyle name="Output 2 3 2 5 2 3 2" xfId="25954"/>
    <cellStyle name="Output 2 3 2 5 2 3 3" xfId="36799"/>
    <cellStyle name="Output 2 3 2 5 2 3 4" xfId="16227"/>
    <cellStyle name="Output 2 3 2 5 2 4" xfId="9641"/>
    <cellStyle name="Output 2 3 2 5 2 4 2" xfId="28613"/>
    <cellStyle name="Output 2 3 2 5 2 4 3" xfId="39458"/>
    <cellStyle name="Output 2 3 2 5 2 4 4" xfId="18131"/>
    <cellStyle name="Output 2 3 2 5 2 5" xfId="20437"/>
    <cellStyle name="Output 2 3 2 5 2 6" xfId="31282"/>
    <cellStyle name="Output 2 3 2 5 2 7" xfId="12277"/>
    <cellStyle name="Output 2 3 2 5 3" xfId="1855"/>
    <cellStyle name="Output 2 3 2 5 3 2" xfId="4708"/>
    <cellStyle name="Output 2 3 2 5 3 2 2" xfId="23680"/>
    <cellStyle name="Output 2 3 2 5 3 2 3" xfId="34525"/>
    <cellStyle name="Output 2 3 2 5 3 2 4" xfId="14599"/>
    <cellStyle name="Output 2 3 2 5 3 3" xfId="7380"/>
    <cellStyle name="Output 2 3 2 5 3 3 2" xfId="26352"/>
    <cellStyle name="Output 2 3 2 5 3 3 3" xfId="37197"/>
    <cellStyle name="Output 2 3 2 5 3 3 4" xfId="16513"/>
    <cellStyle name="Output 2 3 2 5 3 4" xfId="10039"/>
    <cellStyle name="Output 2 3 2 5 3 4 2" xfId="29011"/>
    <cellStyle name="Output 2 3 2 5 3 4 3" xfId="39856"/>
    <cellStyle name="Output 2 3 2 5 3 4 4" xfId="18417"/>
    <cellStyle name="Output 2 3 2 5 3 5" xfId="20835"/>
    <cellStyle name="Output 2 3 2 5 3 6" xfId="31680"/>
    <cellStyle name="Output 2 3 2 5 3 7" xfId="12563"/>
    <cellStyle name="Output 2 3 2 5 4" xfId="2259"/>
    <cellStyle name="Output 2 3 2 5 4 2" xfId="5112"/>
    <cellStyle name="Output 2 3 2 5 4 2 2" xfId="24084"/>
    <cellStyle name="Output 2 3 2 5 4 2 3" xfId="34929"/>
    <cellStyle name="Output 2 3 2 5 4 2 4" xfId="14886"/>
    <cellStyle name="Output 2 3 2 5 4 3" xfId="7783"/>
    <cellStyle name="Output 2 3 2 5 4 3 2" xfId="26755"/>
    <cellStyle name="Output 2 3 2 5 4 3 3" xfId="37600"/>
    <cellStyle name="Output 2 3 2 5 4 3 4" xfId="16799"/>
    <cellStyle name="Output 2 3 2 5 4 4" xfId="10442"/>
    <cellStyle name="Output 2 3 2 5 4 4 2" xfId="29414"/>
    <cellStyle name="Output 2 3 2 5 4 4 3" xfId="40259"/>
    <cellStyle name="Output 2 3 2 5 4 4 4" xfId="18703"/>
    <cellStyle name="Output 2 3 2 5 4 5" xfId="21238"/>
    <cellStyle name="Output 2 3 2 5 4 6" xfId="32083"/>
    <cellStyle name="Output 2 3 2 5 4 7" xfId="12849"/>
    <cellStyle name="Output 2 3 2 5 5" xfId="2649"/>
    <cellStyle name="Output 2 3 2 5 5 2" xfId="5501"/>
    <cellStyle name="Output 2 3 2 5 5 2 2" xfId="24473"/>
    <cellStyle name="Output 2 3 2 5 5 2 3" xfId="35318"/>
    <cellStyle name="Output 2 3 2 5 5 2 4" xfId="15165"/>
    <cellStyle name="Output 2 3 2 5 5 3" xfId="8172"/>
    <cellStyle name="Output 2 3 2 5 5 3 2" xfId="27144"/>
    <cellStyle name="Output 2 3 2 5 5 3 3" xfId="37989"/>
    <cellStyle name="Output 2 3 2 5 5 3 4" xfId="17078"/>
    <cellStyle name="Output 2 3 2 5 5 4" xfId="10831"/>
    <cellStyle name="Output 2 3 2 5 5 4 2" xfId="29803"/>
    <cellStyle name="Output 2 3 2 5 5 4 3" xfId="40648"/>
    <cellStyle name="Output 2 3 2 5 5 4 4" xfId="18982"/>
    <cellStyle name="Output 2 3 2 5 5 5" xfId="21627"/>
    <cellStyle name="Output 2 3 2 5 5 6" xfId="32472"/>
    <cellStyle name="Output 2 3 2 5 5 7" xfId="13128"/>
    <cellStyle name="Output 2 3 2 5 6" xfId="3035"/>
    <cellStyle name="Output 2 3 2 5 6 2" xfId="5886"/>
    <cellStyle name="Output 2 3 2 5 6 2 2" xfId="24858"/>
    <cellStyle name="Output 2 3 2 5 6 2 3" xfId="35703"/>
    <cellStyle name="Output 2 3 2 5 6 2 4" xfId="15441"/>
    <cellStyle name="Output 2 3 2 5 6 3" xfId="8557"/>
    <cellStyle name="Output 2 3 2 5 6 3 2" xfId="27529"/>
    <cellStyle name="Output 2 3 2 5 6 3 3" xfId="38374"/>
    <cellStyle name="Output 2 3 2 5 6 3 4" xfId="17354"/>
    <cellStyle name="Output 2 3 2 5 6 4" xfId="11216"/>
    <cellStyle name="Output 2 3 2 5 6 4 2" xfId="30188"/>
    <cellStyle name="Output 2 3 2 5 6 4 3" xfId="41033"/>
    <cellStyle name="Output 2 3 2 5 6 4 4" xfId="19258"/>
    <cellStyle name="Output 2 3 2 5 6 5" xfId="22012"/>
    <cellStyle name="Output 2 3 2 5 6 6" xfId="32857"/>
    <cellStyle name="Output 2 3 2 5 6 7" xfId="13404"/>
    <cellStyle name="Output 2 3 2 5 7" xfId="3724"/>
    <cellStyle name="Output 2 3 2 5 7 2" xfId="22696"/>
    <cellStyle name="Output 2 3 2 5 7 3" xfId="33541"/>
    <cellStyle name="Output 2 3 2 5 7 4" xfId="13885"/>
    <cellStyle name="Output 2 3 2 5 8" xfId="6399"/>
    <cellStyle name="Output 2 3 2 5 8 2" xfId="25371"/>
    <cellStyle name="Output 2 3 2 5 8 3" xfId="36216"/>
    <cellStyle name="Output 2 3 2 5 8 4" xfId="15801"/>
    <cellStyle name="Output 2 3 2 5 9" xfId="9058"/>
    <cellStyle name="Output 2 3 2 5 9 2" xfId="28030"/>
    <cellStyle name="Output 2 3 2 5 9 3" xfId="38875"/>
    <cellStyle name="Output 2 3 2 5 9 4" xfId="17705"/>
    <cellStyle name="Output 2 3 2 6" xfId="1091"/>
    <cellStyle name="Output 2 3 2 6 2" xfId="3944"/>
    <cellStyle name="Output 2 3 2 6 2 2" xfId="22916"/>
    <cellStyle name="Output 2 3 2 6 2 3" xfId="33761"/>
    <cellStyle name="Output 2 3 2 6 2 4" xfId="14047"/>
    <cellStyle name="Output 2 3 2 6 3" xfId="6618"/>
    <cellStyle name="Output 2 3 2 6 3 2" xfId="25590"/>
    <cellStyle name="Output 2 3 2 6 3 3" xfId="36435"/>
    <cellStyle name="Output 2 3 2 6 3 4" xfId="15963"/>
    <cellStyle name="Output 2 3 2 6 4" xfId="9277"/>
    <cellStyle name="Output 2 3 2 6 4 2" xfId="28249"/>
    <cellStyle name="Output 2 3 2 6 4 3" xfId="39094"/>
    <cellStyle name="Output 2 3 2 6 4 4" xfId="17867"/>
    <cellStyle name="Output 2 3 2 6 5" xfId="20073"/>
    <cellStyle name="Output 2 3 2 6 6" xfId="30918"/>
    <cellStyle name="Output 2 3 2 6 7" xfId="12013"/>
    <cellStyle name="Output 2 3 2 7" xfId="904"/>
    <cellStyle name="Output 2 3 2 7 2" xfId="3759"/>
    <cellStyle name="Output 2 3 2 7 2 2" xfId="22731"/>
    <cellStyle name="Output 2 3 2 7 2 3" xfId="33576"/>
    <cellStyle name="Output 2 3 2 7 2 4" xfId="13910"/>
    <cellStyle name="Output 2 3 2 7 3" xfId="6434"/>
    <cellStyle name="Output 2 3 2 7 3 2" xfId="25406"/>
    <cellStyle name="Output 2 3 2 7 3 3" xfId="36251"/>
    <cellStyle name="Output 2 3 2 7 3 4" xfId="15826"/>
    <cellStyle name="Output 2 3 2 7 4" xfId="9093"/>
    <cellStyle name="Output 2 3 2 7 4 2" xfId="28065"/>
    <cellStyle name="Output 2 3 2 7 4 3" xfId="38910"/>
    <cellStyle name="Output 2 3 2 7 4 4" xfId="17730"/>
    <cellStyle name="Output 2 3 2 7 5" xfId="19889"/>
    <cellStyle name="Output 2 3 2 7 6" xfId="30734"/>
    <cellStyle name="Output 2 3 2 7 7" xfId="11876"/>
    <cellStyle name="Output 2 3 2 8" xfId="1898"/>
    <cellStyle name="Output 2 3 2 8 2" xfId="4751"/>
    <cellStyle name="Output 2 3 2 8 2 2" xfId="23723"/>
    <cellStyle name="Output 2 3 2 8 2 3" xfId="34568"/>
    <cellStyle name="Output 2 3 2 8 2 4" xfId="14627"/>
    <cellStyle name="Output 2 3 2 8 3" xfId="7423"/>
    <cellStyle name="Output 2 3 2 8 3 2" xfId="26395"/>
    <cellStyle name="Output 2 3 2 8 3 3" xfId="37240"/>
    <cellStyle name="Output 2 3 2 8 3 4" xfId="16541"/>
    <cellStyle name="Output 2 3 2 8 4" xfId="10082"/>
    <cellStyle name="Output 2 3 2 8 4 2" xfId="29054"/>
    <cellStyle name="Output 2 3 2 8 4 3" xfId="39899"/>
    <cellStyle name="Output 2 3 2 8 4 4" xfId="18445"/>
    <cellStyle name="Output 2 3 2 8 5" xfId="20878"/>
    <cellStyle name="Output 2 3 2 8 6" xfId="31723"/>
    <cellStyle name="Output 2 3 2 8 7" xfId="12591"/>
    <cellStyle name="Output 2 3 2 9" xfId="1066"/>
    <cellStyle name="Output 2 3 2 9 2" xfId="3919"/>
    <cellStyle name="Output 2 3 2 9 2 2" xfId="22891"/>
    <cellStyle name="Output 2 3 2 9 2 3" xfId="33736"/>
    <cellStyle name="Output 2 3 2 9 2 4" xfId="14032"/>
    <cellStyle name="Output 2 3 2 9 3" xfId="6593"/>
    <cellStyle name="Output 2 3 2 9 3 2" xfId="25565"/>
    <cellStyle name="Output 2 3 2 9 3 3" xfId="36410"/>
    <cellStyle name="Output 2 3 2 9 3 4" xfId="15948"/>
    <cellStyle name="Output 2 3 2 9 4" xfId="9252"/>
    <cellStyle name="Output 2 3 2 9 4 2" xfId="28224"/>
    <cellStyle name="Output 2 3 2 9 4 3" xfId="39069"/>
    <cellStyle name="Output 2 3 2 9 4 4" xfId="17852"/>
    <cellStyle name="Output 2 3 2 9 5" xfId="20048"/>
    <cellStyle name="Output 2 3 2 9 6" xfId="30893"/>
    <cellStyle name="Output 2 3 2 9 7" xfId="11998"/>
    <cellStyle name="Output 2 3 3" xfId="573"/>
    <cellStyle name="Output 2 3 3 10" xfId="19583"/>
    <cellStyle name="Output 2 3 3 11" xfId="30428"/>
    <cellStyle name="Output 2 3 3 12" xfId="11637"/>
    <cellStyle name="Output 2 3 3 2" xfId="1179"/>
    <cellStyle name="Output 2 3 3 2 2" xfId="4032"/>
    <cellStyle name="Output 2 3 3 2 2 2" xfId="23004"/>
    <cellStyle name="Output 2 3 3 2 2 3" xfId="33849"/>
    <cellStyle name="Output 2 3 3 2 2 4" xfId="14114"/>
    <cellStyle name="Output 2 3 3 2 3" xfId="6705"/>
    <cellStyle name="Output 2 3 3 2 3 2" xfId="25677"/>
    <cellStyle name="Output 2 3 3 2 3 3" xfId="36522"/>
    <cellStyle name="Output 2 3 3 2 3 4" xfId="16029"/>
    <cellStyle name="Output 2 3 3 2 4" xfId="9364"/>
    <cellStyle name="Output 2 3 3 2 4 2" xfId="28336"/>
    <cellStyle name="Output 2 3 3 2 4 3" xfId="39181"/>
    <cellStyle name="Output 2 3 3 2 4 4" xfId="17933"/>
    <cellStyle name="Output 2 3 3 2 5" xfId="20160"/>
    <cellStyle name="Output 2 3 3 2 6" xfId="31005"/>
    <cellStyle name="Output 2 3 3 2 7" xfId="12079"/>
    <cellStyle name="Output 2 3 3 3" xfId="1576"/>
    <cellStyle name="Output 2 3 3 3 2" xfId="4429"/>
    <cellStyle name="Output 2 3 3 3 2 2" xfId="23401"/>
    <cellStyle name="Output 2 3 3 3 2 3" xfId="34246"/>
    <cellStyle name="Output 2 3 3 3 2 4" xfId="14400"/>
    <cellStyle name="Output 2 3 3 3 3" xfId="7101"/>
    <cellStyle name="Output 2 3 3 3 3 2" xfId="26073"/>
    <cellStyle name="Output 2 3 3 3 3 3" xfId="36918"/>
    <cellStyle name="Output 2 3 3 3 3 4" xfId="16314"/>
    <cellStyle name="Output 2 3 3 3 4" xfId="9760"/>
    <cellStyle name="Output 2 3 3 3 4 2" xfId="28732"/>
    <cellStyle name="Output 2 3 3 3 4 3" xfId="39577"/>
    <cellStyle name="Output 2 3 3 3 4 4" xfId="18218"/>
    <cellStyle name="Output 2 3 3 3 5" xfId="20556"/>
    <cellStyle name="Output 2 3 3 3 6" xfId="31401"/>
    <cellStyle name="Output 2 3 3 3 7" xfId="12364"/>
    <cellStyle name="Output 2 3 3 4" xfId="1980"/>
    <cellStyle name="Output 2 3 3 4 2" xfId="4833"/>
    <cellStyle name="Output 2 3 3 4 2 2" xfId="23805"/>
    <cellStyle name="Output 2 3 3 4 2 3" xfId="34650"/>
    <cellStyle name="Output 2 3 3 4 2 4" xfId="14688"/>
    <cellStyle name="Output 2 3 3 4 3" xfId="7505"/>
    <cellStyle name="Output 2 3 3 4 3 2" xfId="26477"/>
    <cellStyle name="Output 2 3 3 4 3 3" xfId="37322"/>
    <cellStyle name="Output 2 3 3 4 3 4" xfId="16602"/>
    <cellStyle name="Output 2 3 3 4 4" xfId="10164"/>
    <cellStyle name="Output 2 3 3 4 4 2" xfId="29136"/>
    <cellStyle name="Output 2 3 3 4 4 3" xfId="39981"/>
    <cellStyle name="Output 2 3 3 4 4 4" xfId="18506"/>
    <cellStyle name="Output 2 3 3 4 5" xfId="20960"/>
    <cellStyle name="Output 2 3 3 4 6" xfId="31805"/>
    <cellStyle name="Output 2 3 3 4 7" xfId="12652"/>
    <cellStyle name="Output 2 3 3 5" xfId="2372"/>
    <cellStyle name="Output 2 3 3 5 2" xfId="5225"/>
    <cellStyle name="Output 2 3 3 5 2 2" xfId="24197"/>
    <cellStyle name="Output 2 3 3 5 2 3" xfId="35042"/>
    <cellStyle name="Output 2 3 3 5 2 4" xfId="14969"/>
    <cellStyle name="Output 2 3 3 5 3" xfId="7896"/>
    <cellStyle name="Output 2 3 3 5 3 2" xfId="26868"/>
    <cellStyle name="Output 2 3 3 5 3 3" xfId="37713"/>
    <cellStyle name="Output 2 3 3 5 3 4" xfId="16882"/>
    <cellStyle name="Output 2 3 3 5 4" xfId="10555"/>
    <cellStyle name="Output 2 3 3 5 4 2" xfId="29527"/>
    <cellStyle name="Output 2 3 3 5 4 3" xfId="40372"/>
    <cellStyle name="Output 2 3 3 5 4 4" xfId="18786"/>
    <cellStyle name="Output 2 3 3 5 5" xfId="21351"/>
    <cellStyle name="Output 2 3 3 5 6" xfId="32196"/>
    <cellStyle name="Output 2 3 3 5 7" xfId="12932"/>
    <cellStyle name="Output 2 3 3 6" xfId="2761"/>
    <cellStyle name="Output 2 3 3 6 2" xfId="5613"/>
    <cellStyle name="Output 2 3 3 6 2 2" xfId="24585"/>
    <cellStyle name="Output 2 3 3 6 2 3" xfId="35430"/>
    <cellStyle name="Output 2 3 3 6 2 4" xfId="15247"/>
    <cellStyle name="Output 2 3 3 6 3" xfId="8284"/>
    <cellStyle name="Output 2 3 3 6 3 2" xfId="27256"/>
    <cellStyle name="Output 2 3 3 6 3 3" xfId="38101"/>
    <cellStyle name="Output 2 3 3 6 3 4" xfId="17160"/>
    <cellStyle name="Output 2 3 3 6 4" xfId="10943"/>
    <cellStyle name="Output 2 3 3 6 4 2" xfId="29915"/>
    <cellStyle name="Output 2 3 3 6 4 3" xfId="40760"/>
    <cellStyle name="Output 2 3 3 6 4 4" xfId="19064"/>
    <cellStyle name="Output 2 3 3 6 5" xfId="21739"/>
    <cellStyle name="Output 2 3 3 6 6" xfId="32584"/>
    <cellStyle name="Output 2 3 3 6 7" xfId="13210"/>
    <cellStyle name="Output 2 3 3 7" xfId="3452"/>
    <cellStyle name="Output 2 3 3 7 2" xfId="22424"/>
    <cellStyle name="Output 2 3 3 7 3" xfId="33269"/>
    <cellStyle name="Output 2 3 3 7 4" xfId="13692"/>
    <cellStyle name="Output 2 3 3 8" xfId="6128"/>
    <cellStyle name="Output 2 3 3 8 2" xfId="25100"/>
    <cellStyle name="Output 2 3 3 8 3" xfId="35945"/>
    <cellStyle name="Output 2 3 3 8 4" xfId="15609"/>
    <cellStyle name="Output 2 3 3 9" xfId="8787"/>
    <cellStyle name="Output 2 3 3 9 2" xfId="27759"/>
    <cellStyle name="Output 2 3 3 9 3" xfId="38604"/>
    <cellStyle name="Output 2 3 3 9 4" xfId="17513"/>
    <cellStyle name="Output 2 3 4" xfId="11464"/>
    <cellStyle name="Output 2 4" xfId="140"/>
    <cellStyle name="Output 2 4 2" xfId="391"/>
    <cellStyle name="Output 2 4 2 10" xfId="1026"/>
    <cellStyle name="Output 2 4 2 10 2" xfId="3879"/>
    <cellStyle name="Output 2 4 2 10 2 2" xfId="22851"/>
    <cellStyle name="Output 2 4 2 10 2 3" xfId="33696"/>
    <cellStyle name="Output 2 4 2 10 2 4" xfId="14000"/>
    <cellStyle name="Output 2 4 2 10 3" xfId="6553"/>
    <cellStyle name="Output 2 4 2 10 3 2" xfId="25525"/>
    <cellStyle name="Output 2 4 2 10 3 3" xfId="36370"/>
    <cellStyle name="Output 2 4 2 10 3 4" xfId="15916"/>
    <cellStyle name="Output 2 4 2 10 4" xfId="9212"/>
    <cellStyle name="Output 2 4 2 10 4 2" xfId="28184"/>
    <cellStyle name="Output 2 4 2 10 4 3" xfId="39029"/>
    <cellStyle name="Output 2 4 2 10 4 4" xfId="17820"/>
    <cellStyle name="Output 2 4 2 10 5" xfId="20008"/>
    <cellStyle name="Output 2 4 2 10 6" xfId="30853"/>
    <cellStyle name="Output 2 4 2 10 7" xfId="11966"/>
    <cellStyle name="Output 2 4 2 11" xfId="956"/>
    <cellStyle name="Output 2 4 2 11 2" xfId="3809"/>
    <cellStyle name="Output 2 4 2 11 2 2" xfId="22781"/>
    <cellStyle name="Output 2 4 2 11 2 3" xfId="33626"/>
    <cellStyle name="Output 2 4 2 11 2 4" xfId="13952"/>
    <cellStyle name="Output 2 4 2 11 3" xfId="6484"/>
    <cellStyle name="Output 2 4 2 11 3 2" xfId="25456"/>
    <cellStyle name="Output 2 4 2 11 3 3" xfId="36301"/>
    <cellStyle name="Output 2 4 2 11 3 4" xfId="15868"/>
    <cellStyle name="Output 2 4 2 11 4" xfId="9143"/>
    <cellStyle name="Output 2 4 2 11 4 2" xfId="28115"/>
    <cellStyle name="Output 2 4 2 11 4 3" xfId="38960"/>
    <cellStyle name="Output 2 4 2 11 4 4" xfId="17772"/>
    <cellStyle name="Output 2 4 2 11 5" xfId="19939"/>
    <cellStyle name="Output 2 4 2 11 6" xfId="30784"/>
    <cellStyle name="Output 2 4 2 11 7" xfId="11918"/>
    <cellStyle name="Output 2 4 2 12" xfId="3126"/>
    <cellStyle name="Output 2 4 2 12 2" xfId="5977"/>
    <cellStyle name="Output 2 4 2 12 2 2" xfId="24949"/>
    <cellStyle name="Output 2 4 2 12 2 3" xfId="35794"/>
    <cellStyle name="Output 2 4 2 12 2 4" xfId="15502"/>
    <cellStyle name="Output 2 4 2 12 3" xfId="8648"/>
    <cellStyle name="Output 2 4 2 12 3 2" xfId="27620"/>
    <cellStyle name="Output 2 4 2 12 3 3" xfId="38465"/>
    <cellStyle name="Output 2 4 2 12 3 4" xfId="17415"/>
    <cellStyle name="Output 2 4 2 12 4" xfId="11307"/>
    <cellStyle name="Output 2 4 2 12 4 2" xfId="30279"/>
    <cellStyle name="Output 2 4 2 12 4 3" xfId="41124"/>
    <cellStyle name="Output 2 4 2 12 4 4" xfId="19319"/>
    <cellStyle name="Output 2 4 2 12 5" xfId="22103"/>
    <cellStyle name="Output 2 4 2 12 6" xfId="32948"/>
    <cellStyle name="Output 2 4 2 12 7" xfId="13465"/>
    <cellStyle name="Output 2 4 2 13" xfId="3183"/>
    <cellStyle name="Output 2 4 2 13 2" xfId="6034"/>
    <cellStyle name="Output 2 4 2 13 2 2" xfId="25006"/>
    <cellStyle name="Output 2 4 2 13 2 3" xfId="35851"/>
    <cellStyle name="Output 2 4 2 13 2 4" xfId="15539"/>
    <cellStyle name="Output 2 4 2 13 3" xfId="8705"/>
    <cellStyle name="Output 2 4 2 13 3 2" xfId="27677"/>
    <cellStyle name="Output 2 4 2 13 3 3" xfId="38522"/>
    <cellStyle name="Output 2 4 2 13 3 4" xfId="17452"/>
    <cellStyle name="Output 2 4 2 13 4" xfId="11364"/>
    <cellStyle name="Output 2 4 2 13 4 2" xfId="30336"/>
    <cellStyle name="Output 2 4 2 13 4 3" xfId="41181"/>
    <cellStyle name="Output 2 4 2 13 4 4" xfId="19356"/>
    <cellStyle name="Output 2 4 2 13 5" xfId="22160"/>
    <cellStyle name="Output 2 4 2 13 6" xfId="33005"/>
    <cellStyle name="Output 2 4 2 13 7" xfId="13502"/>
    <cellStyle name="Output 2 4 2 14" xfId="3349"/>
    <cellStyle name="Output 2 4 2 14 2" xfId="22323"/>
    <cellStyle name="Output 2 4 2 14 3" xfId="33168"/>
    <cellStyle name="Output 2 4 2 14 4" xfId="13619"/>
    <cellStyle name="Output 2 4 2 15" xfId="3392"/>
    <cellStyle name="Output 2 4 2 15 2" xfId="22364"/>
    <cellStyle name="Output 2 4 2 15 3" xfId="33209"/>
    <cellStyle name="Output 2 4 2 15 4" xfId="13646"/>
    <cellStyle name="Output 2 4 2 16" xfId="3401"/>
    <cellStyle name="Output 2 4 2 16 2" xfId="22373"/>
    <cellStyle name="Output 2 4 2 16 3" xfId="33218"/>
    <cellStyle name="Output 2 4 2 16 4" xfId="13654"/>
    <cellStyle name="Output 2 4 2 17" xfId="19480"/>
    <cellStyle name="Output 2 4 2 18" xfId="19394"/>
    <cellStyle name="Output 2 4 2 19" xfId="11529"/>
    <cellStyle name="Output 2 4 2 2" xfId="691"/>
    <cellStyle name="Output 2 4 2 2 10" xfId="19676"/>
    <cellStyle name="Output 2 4 2 2 11" xfId="30521"/>
    <cellStyle name="Output 2 4 2 2 12" xfId="11733"/>
    <cellStyle name="Output 2 4 2 2 2" xfId="1278"/>
    <cellStyle name="Output 2 4 2 2 2 2" xfId="4131"/>
    <cellStyle name="Output 2 4 2 2 2 2 2" xfId="23103"/>
    <cellStyle name="Output 2 4 2 2 2 2 3" xfId="33948"/>
    <cellStyle name="Output 2 4 2 2 2 2 4" xfId="14194"/>
    <cellStyle name="Output 2 4 2 2 2 3" xfId="6804"/>
    <cellStyle name="Output 2 4 2 2 2 3 2" xfId="25776"/>
    <cellStyle name="Output 2 4 2 2 2 3 3" xfId="36621"/>
    <cellStyle name="Output 2 4 2 2 2 3 4" xfId="16109"/>
    <cellStyle name="Output 2 4 2 2 2 4" xfId="9463"/>
    <cellStyle name="Output 2 4 2 2 2 4 2" xfId="28435"/>
    <cellStyle name="Output 2 4 2 2 2 4 3" xfId="39280"/>
    <cellStyle name="Output 2 4 2 2 2 4 4" xfId="18013"/>
    <cellStyle name="Output 2 4 2 2 2 5" xfId="20259"/>
    <cellStyle name="Output 2 4 2 2 2 6" xfId="31104"/>
    <cellStyle name="Output 2 4 2 2 2 7" xfId="12159"/>
    <cellStyle name="Output 2 4 2 2 3" xfId="1677"/>
    <cellStyle name="Output 2 4 2 2 3 2" xfId="4530"/>
    <cellStyle name="Output 2 4 2 2 3 2 2" xfId="23502"/>
    <cellStyle name="Output 2 4 2 2 3 2 3" xfId="34347"/>
    <cellStyle name="Output 2 4 2 2 3 2 4" xfId="14481"/>
    <cellStyle name="Output 2 4 2 2 3 3" xfId="7202"/>
    <cellStyle name="Output 2 4 2 2 3 3 2" xfId="26174"/>
    <cellStyle name="Output 2 4 2 2 3 3 3" xfId="37019"/>
    <cellStyle name="Output 2 4 2 2 3 3 4" xfId="16395"/>
    <cellStyle name="Output 2 4 2 2 3 4" xfId="9861"/>
    <cellStyle name="Output 2 4 2 2 3 4 2" xfId="28833"/>
    <cellStyle name="Output 2 4 2 2 3 4 3" xfId="39678"/>
    <cellStyle name="Output 2 4 2 2 3 4 4" xfId="18299"/>
    <cellStyle name="Output 2 4 2 2 3 5" xfId="20657"/>
    <cellStyle name="Output 2 4 2 2 3 6" xfId="31502"/>
    <cellStyle name="Output 2 4 2 2 3 7" xfId="12445"/>
    <cellStyle name="Output 2 4 2 2 4" xfId="2081"/>
    <cellStyle name="Output 2 4 2 2 4 2" xfId="4934"/>
    <cellStyle name="Output 2 4 2 2 4 2 2" xfId="23906"/>
    <cellStyle name="Output 2 4 2 2 4 2 3" xfId="34751"/>
    <cellStyle name="Output 2 4 2 2 4 2 4" xfId="14768"/>
    <cellStyle name="Output 2 4 2 2 4 3" xfId="7605"/>
    <cellStyle name="Output 2 4 2 2 4 3 2" xfId="26577"/>
    <cellStyle name="Output 2 4 2 2 4 3 3" xfId="37422"/>
    <cellStyle name="Output 2 4 2 2 4 3 4" xfId="16681"/>
    <cellStyle name="Output 2 4 2 2 4 4" xfId="10264"/>
    <cellStyle name="Output 2 4 2 2 4 4 2" xfId="29236"/>
    <cellStyle name="Output 2 4 2 2 4 4 3" xfId="40081"/>
    <cellStyle name="Output 2 4 2 2 4 4 4" xfId="18585"/>
    <cellStyle name="Output 2 4 2 2 4 5" xfId="21060"/>
    <cellStyle name="Output 2 4 2 2 4 6" xfId="31905"/>
    <cellStyle name="Output 2 4 2 2 4 7" xfId="12731"/>
    <cellStyle name="Output 2 4 2 2 5" xfId="2471"/>
    <cellStyle name="Output 2 4 2 2 5 2" xfId="5323"/>
    <cellStyle name="Output 2 4 2 2 5 2 2" xfId="24295"/>
    <cellStyle name="Output 2 4 2 2 5 2 3" xfId="35140"/>
    <cellStyle name="Output 2 4 2 2 5 2 4" xfId="15047"/>
    <cellStyle name="Output 2 4 2 2 5 3" xfId="7994"/>
    <cellStyle name="Output 2 4 2 2 5 3 2" xfId="26966"/>
    <cellStyle name="Output 2 4 2 2 5 3 3" xfId="37811"/>
    <cellStyle name="Output 2 4 2 2 5 3 4" xfId="16960"/>
    <cellStyle name="Output 2 4 2 2 5 4" xfId="10653"/>
    <cellStyle name="Output 2 4 2 2 5 4 2" xfId="29625"/>
    <cellStyle name="Output 2 4 2 2 5 4 3" xfId="40470"/>
    <cellStyle name="Output 2 4 2 2 5 4 4" xfId="18864"/>
    <cellStyle name="Output 2 4 2 2 5 5" xfId="21449"/>
    <cellStyle name="Output 2 4 2 2 5 6" xfId="32294"/>
    <cellStyle name="Output 2 4 2 2 5 7" xfId="13010"/>
    <cellStyle name="Output 2 4 2 2 6" xfId="2857"/>
    <cellStyle name="Output 2 4 2 2 6 2" xfId="5708"/>
    <cellStyle name="Output 2 4 2 2 6 2 2" xfId="24680"/>
    <cellStyle name="Output 2 4 2 2 6 2 3" xfId="35525"/>
    <cellStyle name="Output 2 4 2 2 6 2 4" xfId="15323"/>
    <cellStyle name="Output 2 4 2 2 6 3" xfId="8379"/>
    <cellStyle name="Output 2 4 2 2 6 3 2" xfId="27351"/>
    <cellStyle name="Output 2 4 2 2 6 3 3" xfId="38196"/>
    <cellStyle name="Output 2 4 2 2 6 3 4" xfId="17236"/>
    <cellStyle name="Output 2 4 2 2 6 4" xfId="11038"/>
    <cellStyle name="Output 2 4 2 2 6 4 2" xfId="30010"/>
    <cellStyle name="Output 2 4 2 2 6 4 3" xfId="40855"/>
    <cellStyle name="Output 2 4 2 2 6 4 4" xfId="19140"/>
    <cellStyle name="Output 2 4 2 2 6 5" xfId="21834"/>
    <cellStyle name="Output 2 4 2 2 6 6" xfId="32679"/>
    <cellStyle name="Output 2 4 2 2 6 7" xfId="13286"/>
    <cellStyle name="Output 2 4 2 2 7" xfId="3546"/>
    <cellStyle name="Output 2 4 2 2 7 2" xfId="22518"/>
    <cellStyle name="Output 2 4 2 2 7 3" xfId="33363"/>
    <cellStyle name="Output 2 4 2 2 7 4" xfId="13767"/>
    <cellStyle name="Output 2 4 2 2 8" xfId="6221"/>
    <cellStyle name="Output 2 4 2 2 8 2" xfId="25193"/>
    <cellStyle name="Output 2 4 2 2 8 3" xfId="36038"/>
    <cellStyle name="Output 2 4 2 2 8 4" xfId="15683"/>
    <cellStyle name="Output 2 4 2 2 9" xfId="8880"/>
    <cellStyle name="Output 2 4 2 2 9 2" xfId="27852"/>
    <cellStyle name="Output 2 4 2 2 9 3" xfId="38697"/>
    <cellStyle name="Output 2 4 2 2 9 4" xfId="17587"/>
    <cellStyle name="Output 2 4 2 3" xfId="751"/>
    <cellStyle name="Output 2 4 2 3 10" xfId="19736"/>
    <cellStyle name="Output 2 4 2 3 11" xfId="30581"/>
    <cellStyle name="Output 2 4 2 3 12" xfId="11773"/>
    <cellStyle name="Output 2 4 2 3 2" xfId="1338"/>
    <cellStyle name="Output 2 4 2 3 2 2" xfId="4191"/>
    <cellStyle name="Output 2 4 2 3 2 2 2" xfId="23163"/>
    <cellStyle name="Output 2 4 2 3 2 2 3" xfId="34008"/>
    <cellStyle name="Output 2 4 2 3 2 2 4" xfId="14234"/>
    <cellStyle name="Output 2 4 2 3 2 3" xfId="6864"/>
    <cellStyle name="Output 2 4 2 3 2 3 2" xfId="25836"/>
    <cellStyle name="Output 2 4 2 3 2 3 3" xfId="36681"/>
    <cellStyle name="Output 2 4 2 3 2 3 4" xfId="16149"/>
    <cellStyle name="Output 2 4 2 3 2 4" xfId="9523"/>
    <cellStyle name="Output 2 4 2 3 2 4 2" xfId="28495"/>
    <cellStyle name="Output 2 4 2 3 2 4 3" xfId="39340"/>
    <cellStyle name="Output 2 4 2 3 2 4 4" xfId="18053"/>
    <cellStyle name="Output 2 4 2 3 2 5" xfId="20319"/>
    <cellStyle name="Output 2 4 2 3 2 6" xfId="31164"/>
    <cellStyle name="Output 2 4 2 3 2 7" xfId="12199"/>
    <cellStyle name="Output 2 4 2 3 3" xfId="1737"/>
    <cellStyle name="Output 2 4 2 3 3 2" xfId="4590"/>
    <cellStyle name="Output 2 4 2 3 3 2 2" xfId="23562"/>
    <cellStyle name="Output 2 4 2 3 3 2 3" xfId="34407"/>
    <cellStyle name="Output 2 4 2 3 3 2 4" xfId="14521"/>
    <cellStyle name="Output 2 4 2 3 3 3" xfId="7262"/>
    <cellStyle name="Output 2 4 2 3 3 3 2" xfId="26234"/>
    <cellStyle name="Output 2 4 2 3 3 3 3" xfId="37079"/>
    <cellStyle name="Output 2 4 2 3 3 3 4" xfId="16435"/>
    <cellStyle name="Output 2 4 2 3 3 4" xfId="9921"/>
    <cellStyle name="Output 2 4 2 3 3 4 2" xfId="28893"/>
    <cellStyle name="Output 2 4 2 3 3 4 3" xfId="39738"/>
    <cellStyle name="Output 2 4 2 3 3 4 4" xfId="18339"/>
    <cellStyle name="Output 2 4 2 3 3 5" xfId="20717"/>
    <cellStyle name="Output 2 4 2 3 3 6" xfId="31562"/>
    <cellStyle name="Output 2 4 2 3 3 7" xfId="12485"/>
    <cellStyle name="Output 2 4 2 3 4" xfId="2141"/>
    <cellStyle name="Output 2 4 2 3 4 2" xfId="4994"/>
    <cellStyle name="Output 2 4 2 3 4 2 2" xfId="23966"/>
    <cellStyle name="Output 2 4 2 3 4 2 3" xfId="34811"/>
    <cellStyle name="Output 2 4 2 3 4 2 4" xfId="14808"/>
    <cellStyle name="Output 2 4 2 3 4 3" xfId="7665"/>
    <cellStyle name="Output 2 4 2 3 4 3 2" xfId="26637"/>
    <cellStyle name="Output 2 4 2 3 4 3 3" xfId="37482"/>
    <cellStyle name="Output 2 4 2 3 4 3 4" xfId="16721"/>
    <cellStyle name="Output 2 4 2 3 4 4" xfId="10324"/>
    <cellStyle name="Output 2 4 2 3 4 4 2" xfId="29296"/>
    <cellStyle name="Output 2 4 2 3 4 4 3" xfId="40141"/>
    <cellStyle name="Output 2 4 2 3 4 4 4" xfId="18625"/>
    <cellStyle name="Output 2 4 2 3 4 5" xfId="21120"/>
    <cellStyle name="Output 2 4 2 3 4 6" xfId="31965"/>
    <cellStyle name="Output 2 4 2 3 4 7" xfId="12771"/>
    <cellStyle name="Output 2 4 2 3 5" xfId="2531"/>
    <cellStyle name="Output 2 4 2 3 5 2" xfId="5383"/>
    <cellStyle name="Output 2 4 2 3 5 2 2" xfId="24355"/>
    <cellStyle name="Output 2 4 2 3 5 2 3" xfId="35200"/>
    <cellStyle name="Output 2 4 2 3 5 2 4" xfId="15087"/>
    <cellStyle name="Output 2 4 2 3 5 3" xfId="8054"/>
    <cellStyle name="Output 2 4 2 3 5 3 2" xfId="27026"/>
    <cellStyle name="Output 2 4 2 3 5 3 3" xfId="37871"/>
    <cellStyle name="Output 2 4 2 3 5 3 4" xfId="17000"/>
    <cellStyle name="Output 2 4 2 3 5 4" xfId="10713"/>
    <cellStyle name="Output 2 4 2 3 5 4 2" xfId="29685"/>
    <cellStyle name="Output 2 4 2 3 5 4 3" xfId="40530"/>
    <cellStyle name="Output 2 4 2 3 5 4 4" xfId="18904"/>
    <cellStyle name="Output 2 4 2 3 5 5" xfId="21509"/>
    <cellStyle name="Output 2 4 2 3 5 6" xfId="32354"/>
    <cellStyle name="Output 2 4 2 3 5 7" xfId="13050"/>
    <cellStyle name="Output 2 4 2 3 6" xfId="2917"/>
    <cellStyle name="Output 2 4 2 3 6 2" xfId="5768"/>
    <cellStyle name="Output 2 4 2 3 6 2 2" xfId="24740"/>
    <cellStyle name="Output 2 4 2 3 6 2 3" xfId="35585"/>
    <cellStyle name="Output 2 4 2 3 6 2 4" xfId="15363"/>
    <cellStyle name="Output 2 4 2 3 6 3" xfId="8439"/>
    <cellStyle name="Output 2 4 2 3 6 3 2" xfId="27411"/>
    <cellStyle name="Output 2 4 2 3 6 3 3" xfId="38256"/>
    <cellStyle name="Output 2 4 2 3 6 3 4" xfId="17276"/>
    <cellStyle name="Output 2 4 2 3 6 4" xfId="11098"/>
    <cellStyle name="Output 2 4 2 3 6 4 2" xfId="30070"/>
    <cellStyle name="Output 2 4 2 3 6 4 3" xfId="40915"/>
    <cellStyle name="Output 2 4 2 3 6 4 4" xfId="19180"/>
    <cellStyle name="Output 2 4 2 3 6 5" xfId="21894"/>
    <cellStyle name="Output 2 4 2 3 6 6" xfId="32739"/>
    <cellStyle name="Output 2 4 2 3 6 7" xfId="13326"/>
    <cellStyle name="Output 2 4 2 3 7" xfId="3606"/>
    <cellStyle name="Output 2 4 2 3 7 2" xfId="22578"/>
    <cellStyle name="Output 2 4 2 3 7 3" xfId="33423"/>
    <cellStyle name="Output 2 4 2 3 7 4" xfId="13807"/>
    <cellStyle name="Output 2 4 2 3 8" xfId="6281"/>
    <cellStyle name="Output 2 4 2 3 8 2" xfId="25253"/>
    <cellStyle name="Output 2 4 2 3 8 3" xfId="36098"/>
    <cellStyle name="Output 2 4 2 3 8 4" xfId="15723"/>
    <cellStyle name="Output 2 4 2 3 9" xfId="8940"/>
    <cellStyle name="Output 2 4 2 3 9 2" xfId="27912"/>
    <cellStyle name="Output 2 4 2 3 9 3" xfId="38757"/>
    <cellStyle name="Output 2 4 2 3 9 4" xfId="17627"/>
    <cellStyle name="Output 2 4 2 4" xfId="811"/>
    <cellStyle name="Output 2 4 2 4 10" xfId="19796"/>
    <cellStyle name="Output 2 4 2 4 11" xfId="30641"/>
    <cellStyle name="Output 2 4 2 4 12" xfId="11813"/>
    <cellStyle name="Output 2 4 2 4 2" xfId="1398"/>
    <cellStyle name="Output 2 4 2 4 2 2" xfId="4251"/>
    <cellStyle name="Output 2 4 2 4 2 2 2" xfId="23223"/>
    <cellStyle name="Output 2 4 2 4 2 2 3" xfId="34068"/>
    <cellStyle name="Output 2 4 2 4 2 2 4" xfId="14274"/>
    <cellStyle name="Output 2 4 2 4 2 3" xfId="6924"/>
    <cellStyle name="Output 2 4 2 4 2 3 2" xfId="25896"/>
    <cellStyle name="Output 2 4 2 4 2 3 3" xfId="36741"/>
    <cellStyle name="Output 2 4 2 4 2 3 4" xfId="16189"/>
    <cellStyle name="Output 2 4 2 4 2 4" xfId="9583"/>
    <cellStyle name="Output 2 4 2 4 2 4 2" xfId="28555"/>
    <cellStyle name="Output 2 4 2 4 2 4 3" xfId="39400"/>
    <cellStyle name="Output 2 4 2 4 2 4 4" xfId="18093"/>
    <cellStyle name="Output 2 4 2 4 2 5" xfId="20379"/>
    <cellStyle name="Output 2 4 2 4 2 6" xfId="31224"/>
    <cellStyle name="Output 2 4 2 4 2 7" xfId="12239"/>
    <cellStyle name="Output 2 4 2 4 3" xfId="1797"/>
    <cellStyle name="Output 2 4 2 4 3 2" xfId="4650"/>
    <cellStyle name="Output 2 4 2 4 3 2 2" xfId="23622"/>
    <cellStyle name="Output 2 4 2 4 3 2 3" xfId="34467"/>
    <cellStyle name="Output 2 4 2 4 3 2 4" xfId="14561"/>
    <cellStyle name="Output 2 4 2 4 3 3" xfId="7322"/>
    <cellStyle name="Output 2 4 2 4 3 3 2" xfId="26294"/>
    <cellStyle name="Output 2 4 2 4 3 3 3" xfId="37139"/>
    <cellStyle name="Output 2 4 2 4 3 3 4" xfId="16475"/>
    <cellStyle name="Output 2 4 2 4 3 4" xfId="9981"/>
    <cellStyle name="Output 2 4 2 4 3 4 2" xfId="28953"/>
    <cellStyle name="Output 2 4 2 4 3 4 3" xfId="39798"/>
    <cellStyle name="Output 2 4 2 4 3 4 4" xfId="18379"/>
    <cellStyle name="Output 2 4 2 4 3 5" xfId="20777"/>
    <cellStyle name="Output 2 4 2 4 3 6" xfId="31622"/>
    <cellStyle name="Output 2 4 2 4 3 7" xfId="12525"/>
    <cellStyle name="Output 2 4 2 4 4" xfId="2201"/>
    <cellStyle name="Output 2 4 2 4 4 2" xfId="5054"/>
    <cellStyle name="Output 2 4 2 4 4 2 2" xfId="24026"/>
    <cellStyle name="Output 2 4 2 4 4 2 3" xfId="34871"/>
    <cellStyle name="Output 2 4 2 4 4 2 4" xfId="14848"/>
    <cellStyle name="Output 2 4 2 4 4 3" xfId="7725"/>
    <cellStyle name="Output 2 4 2 4 4 3 2" xfId="26697"/>
    <cellStyle name="Output 2 4 2 4 4 3 3" xfId="37542"/>
    <cellStyle name="Output 2 4 2 4 4 3 4" xfId="16761"/>
    <cellStyle name="Output 2 4 2 4 4 4" xfId="10384"/>
    <cellStyle name="Output 2 4 2 4 4 4 2" xfId="29356"/>
    <cellStyle name="Output 2 4 2 4 4 4 3" xfId="40201"/>
    <cellStyle name="Output 2 4 2 4 4 4 4" xfId="18665"/>
    <cellStyle name="Output 2 4 2 4 4 5" xfId="21180"/>
    <cellStyle name="Output 2 4 2 4 4 6" xfId="32025"/>
    <cellStyle name="Output 2 4 2 4 4 7" xfId="12811"/>
    <cellStyle name="Output 2 4 2 4 5" xfId="2591"/>
    <cellStyle name="Output 2 4 2 4 5 2" xfId="5443"/>
    <cellStyle name="Output 2 4 2 4 5 2 2" xfId="24415"/>
    <cellStyle name="Output 2 4 2 4 5 2 3" xfId="35260"/>
    <cellStyle name="Output 2 4 2 4 5 2 4" xfId="15127"/>
    <cellStyle name="Output 2 4 2 4 5 3" xfId="8114"/>
    <cellStyle name="Output 2 4 2 4 5 3 2" xfId="27086"/>
    <cellStyle name="Output 2 4 2 4 5 3 3" xfId="37931"/>
    <cellStyle name="Output 2 4 2 4 5 3 4" xfId="17040"/>
    <cellStyle name="Output 2 4 2 4 5 4" xfId="10773"/>
    <cellStyle name="Output 2 4 2 4 5 4 2" xfId="29745"/>
    <cellStyle name="Output 2 4 2 4 5 4 3" xfId="40590"/>
    <cellStyle name="Output 2 4 2 4 5 4 4" xfId="18944"/>
    <cellStyle name="Output 2 4 2 4 5 5" xfId="21569"/>
    <cellStyle name="Output 2 4 2 4 5 6" xfId="32414"/>
    <cellStyle name="Output 2 4 2 4 5 7" xfId="13090"/>
    <cellStyle name="Output 2 4 2 4 6" xfId="2977"/>
    <cellStyle name="Output 2 4 2 4 6 2" xfId="5828"/>
    <cellStyle name="Output 2 4 2 4 6 2 2" xfId="24800"/>
    <cellStyle name="Output 2 4 2 4 6 2 3" xfId="35645"/>
    <cellStyle name="Output 2 4 2 4 6 2 4" xfId="15403"/>
    <cellStyle name="Output 2 4 2 4 6 3" xfId="8499"/>
    <cellStyle name="Output 2 4 2 4 6 3 2" xfId="27471"/>
    <cellStyle name="Output 2 4 2 4 6 3 3" xfId="38316"/>
    <cellStyle name="Output 2 4 2 4 6 3 4" xfId="17316"/>
    <cellStyle name="Output 2 4 2 4 6 4" xfId="11158"/>
    <cellStyle name="Output 2 4 2 4 6 4 2" xfId="30130"/>
    <cellStyle name="Output 2 4 2 4 6 4 3" xfId="40975"/>
    <cellStyle name="Output 2 4 2 4 6 4 4" xfId="19220"/>
    <cellStyle name="Output 2 4 2 4 6 5" xfId="21954"/>
    <cellStyle name="Output 2 4 2 4 6 6" xfId="32799"/>
    <cellStyle name="Output 2 4 2 4 6 7" xfId="13366"/>
    <cellStyle name="Output 2 4 2 4 7" xfId="3666"/>
    <cellStyle name="Output 2 4 2 4 7 2" xfId="22638"/>
    <cellStyle name="Output 2 4 2 4 7 3" xfId="33483"/>
    <cellStyle name="Output 2 4 2 4 7 4" xfId="13847"/>
    <cellStyle name="Output 2 4 2 4 8" xfId="6341"/>
    <cellStyle name="Output 2 4 2 4 8 2" xfId="25313"/>
    <cellStyle name="Output 2 4 2 4 8 3" xfId="36158"/>
    <cellStyle name="Output 2 4 2 4 8 4" xfId="15763"/>
    <cellStyle name="Output 2 4 2 4 9" xfId="9000"/>
    <cellStyle name="Output 2 4 2 4 9 2" xfId="27972"/>
    <cellStyle name="Output 2 4 2 4 9 3" xfId="38817"/>
    <cellStyle name="Output 2 4 2 4 9 4" xfId="17667"/>
    <cellStyle name="Output 2 4 2 5" xfId="870"/>
    <cellStyle name="Output 2 4 2 5 10" xfId="19855"/>
    <cellStyle name="Output 2 4 2 5 11" xfId="30700"/>
    <cellStyle name="Output 2 4 2 5 12" xfId="11852"/>
    <cellStyle name="Output 2 4 2 5 2" xfId="1457"/>
    <cellStyle name="Output 2 4 2 5 2 2" xfId="4310"/>
    <cellStyle name="Output 2 4 2 5 2 2 2" xfId="23282"/>
    <cellStyle name="Output 2 4 2 5 2 2 3" xfId="34127"/>
    <cellStyle name="Output 2 4 2 5 2 2 4" xfId="14313"/>
    <cellStyle name="Output 2 4 2 5 2 3" xfId="6983"/>
    <cellStyle name="Output 2 4 2 5 2 3 2" xfId="25955"/>
    <cellStyle name="Output 2 4 2 5 2 3 3" xfId="36800"/>
    <cellStyle name="Output 2 4 2 5 2 3 4" xfId="16228"/>
    <cellStyle name="Output 2 4 2 5 2 4" xfId="9642"/>
    <cellStyle name="Output 2 4 2 5 2 4 2" xfId="28614"/>
    <cellStyle name="Output 2 4 2 5 2 4 3" xfId="39459"/>
    <cellStyle name="Output 2 4 2 5 2 4 4" xfId="18132"/>
    <cellStyle name="Output 2 4 2 5 2 5" xfId="20438"/>
    <cellStyle name="Output 2 4 2 5 2 6" xfId="31283"/>
    <cellStyle name="Output 2 4 2 5 2 7" xfId="12278"/>
    <cellStyle name="Output 2 4 2 5 3" xfId="1856"/>
    <cellStyle name="Output 2 4 2 5 3 2" xfId="4709"/>
    <cellStyle name="Output 2 4 2 5 3 2 2" xfId="23681"/>
    <cellStyle name="Output 2 4 2 5 3 2 3" xfId="34526"/>
    <cellStyle name="Output 2 4 2 5 3 2 4" xfId="14600"/>
    <cellStyle name="Output 2 4 2 5 3 3" xfId="7381"/>
    <cellStyle name="Output 2 4 2 5 3 3 2" xfId="26353"/>
    <cellStyle name="Output 2 4 2 5 3 3 3" xfId="37198"/>
    <cellStyle name="Output 2 4 2 5 3 3 4" xfId="16514"/>
    <cellStyle name="Output 2 4 2 5 3 4" xfId="10040"/>
    <cellStyle name="Output 2 4 2 5 3 4 2" xfId="29012"/>
    <cellStyle name="Output 2 4 2 5 3 4 3" xfId="39857"/>
    <cellStyle name="Output 2 4 2 5 3 4 4" xfId="18418"/>
    <cellStyle name="Output 2 4 2 5 3 5" xfId="20836"/>
    <cellStyle name="Output 2 4 2 5 3 6" xfId="31681"/>
    <cellStyle name="Output 2 4 2 5 3 7" xfId="12564"/>
    <cellStyle name="Output 2 4 2 5 4" xfId="2260"/>
    <cellStyle name="Output 2 4 2 5 4 2" xfId="5113"/>
    <cellStyle name="Output 2 4 2 5 4 2 2" xfId="24085"/>
    <cellStyle name="Output 2 4 2 5 4 2 3" xfId="34930"/>
    <cellStyle name="Output 2 4 2 5 4 2 4" xfId="14887"/>
    <cellStyle name="Output 2 4 2 5 4 3" xfId="7784"/>
    <cellStyle name="Output 2 4 2 5 4 3 2" xfId="26756"/>
    <cellStyle name="Output 2 4 2 5 4 3 3" xfId="37601"/>
    <cellStyle name="Output 2 4 2 5 4 3 4" xfId="16800"/>
    <cellStyle name="Output 2 4 2 5 4 4" xfId="10443"/>
    <cellStyle name="Output 2 4 2 5 4 4 2" xfId="29415"/>
    <cellStyle name="Output 2 4 2 5 4 4 3" xfId="40260"/>
    <cellStyle name="Output 2 4 2 5 4 4 4" xfId="18704"/>
    <cellStyle name="Output 2 4 2 5 4 5" xfId="21239"/>
    <cellStyle name="Output 2 4 2 5 4 6" xfId="32084"/>
    <cellStyle name="Output 2 4 2 5 4 7" xfId="12850"/>
    <cellStyle name="Output 2 4 2 5 5" xfId="2650"/>
    <cellStyle name="Output 2 4 2 5 5 2" xfId="5502"/>
    <cellStyle name="Output 2 4 2 5 5 2 2" xfId="24474"/>
    <cellStyle name="Output 2 4 2 5 5 2 3" xfId="35319"/>
    <cellStyle name="Output 2 4 2 5 5 2 4" xfId="15166"/>
    <cellStyle name="Output 2 4 2 5 5 3" xfId="8173"/>
    <cellStyle name="Output 2 4 2 5 5 3 2" xfId="27145"/>
    <cellStyle name="Output 2 4 2 5 5 3 3" xfId="37990"/>
    <cellStyle name="Output 2 4 2 5 5 3 4" xfId="17079"/>
    <cellStyle name="Output 2 4 2 5 5 4" xfId="10832"/>
    <cellStyle name="Output 2 4 2 5 5 4 2" xfId="29804"/>
    <cellStyle name="Output 2 4 2 5 5 4 3" xfId="40649"/>
    <cellStyle name="Output 2 4 2 5 5 4 4" xfId="18983"/>
    <cellStyle name="Output 2 4 2 5 5 5" xfId="21628"/>
    <cellStyle name="Output 2 4 2 5 5 6" xfId="32473"/>
    <cellStyle name="Output 2 4 2 5 5 7" xfId="13129"/>
    <cellStyle name="Output 2 4 2 5 6" xfId="3036"/>
    <cellStyle name="Output 2 4 2 5 6 2" xfId="5887"/>
    <cellStyle name="Output 2 4 2 5 6 2 2" xfId="24859"/>
    <cellStyle name="Output 2 4 2 5 6 2 3" xfId="35704"/>
    <cellStyle name="Output 2 4 2 5 6 2 4" xfId="15442"/>
    <cellStyle name="Output 2 4 2 5 6 3" xfId="8558"/>
    <cellStyle name="Output 2 4 2 5 6 3 2" xfId="27530"/>
    <cellStyle name="Output 2 4 2 5 6 3 3" xfId="38375"/>
    <cellStyle name="Output 2 4 2 5 6 3 4" xfId="17355"/>
    <cellStyle name="Output 2 4 2 5 6 4" xfId="11217"/>
    <cellStyle name="Output 2 4 2 5 6 4 2" xfId="30189"/>
    <cellStyle name="Output 2 4 2 5 6 4 3" xfId="41034"/>
    <cellStyle name="Output 2 4 2 5 6 4 4" xfId="19259"/>
    <cellStyle name="Output 2 4 2 5 6 5" xfId="22013"/>
    <cellStyle name="Output 2 4 2 5 6 6" xfId="32858"/>
    <cellStyle name="Output 2 4 2 5 6 7" xfId="13405"/>
    <cellStyle name="Output 2 4 2 5 7" xfId="3725"/>
    <cellStyle name="Output 2 4 2 5 7 2" xfId="22697"/>
    <cellStyle name="Output 2 4 2 5 7 3" xfId="33542"/>
    <cellStyle name="Output 2 4 2 5 7 4" xfId="13886"/>
    <cellStyle name="Output 2 4 2 5 8" xfId="6400"/>
    <cellStyle name="Output 2 4 2 5 8 2" xfId="25372"/>
    <cellStyle name="Output 2 4 2 5 8 3" xfId="36217"/>
    <cellStyle name="Output 2 4 2 5 8 4" xfId="15802"/>
    <cellStyle name="Output 2 4 2 5 9" xfId="9059"/>
    <cellStyle name="Output 2 4 2 5 9 2" xfId="28031"/>
    <cellStyle name="Output 2 4 2 5 9 3" xfId="38876"/>
    <cellStyle name="Output 2 4 2 5 9 4" xfId="17706"/>
    <cellStyle name="Output 2 4 2 6" xfId="1092"/>
    <cellStyle name="Output 2 4 2 6 2" xfId="3945"/>
    <cellStyle name="Output 2 4 2 6 2 2" xfId="22917"/>
    <cellStyle name="Output 2 4 2 6 2 3" xfId="33762"/>
    <cellStyle name="Output 2 4 2 6 2 4" xfId="14048"/>
    <cellStyle name="Output 2 4 2 6 3" xfId="6619"/>
    <cellStyle name="Output 2 4 2 6 3 2" xfId="25591"/>
    <cellStyle name="Output 2 4 2 6 3 3" xfId="36436"/>
    <cellStyle name="Output 2 4 2 6 3 4" xfId="15964"/>
    <cellStyle name="Output 2 4 2 6 4" xfId="9278"/>
    <cellStyle name="Output 2 4 2 6 4 2" xfId="28250"/>
    <cellStyle name="Output 2 4 2 6 4 3" xfId="39095"/>
    <cellStyle name="Output 2 4 2 6 4 4" xfId="17868"/>
    <cellStyle name="Output 2 4 2 6 5" xfId="20074"/>
    <cellStyle name="Output 2 4 2 6 6" xfId="30919"/>
    <cellStyle name="Output 2 4 2 6 7" xfId="12014"/>
    <cellStyle name="Output 2 4 2 7" xfId="1491"/>
    <cellStyle name="Output 2 4 2 7 2" xfId="4344"/>
    <cellStyle name="Output 2 4 2 7 2 2" xfId="23316"/>
    <cellStyle name="Output 2 4 2 7 2 3" xfId="34161"/>
    <cellStyle name="Output 2 4 2 7 2 4" xfId="14337"/>
    <cellStyle name="Output 2 4 2 7 3" xfId="7017"/>
    <cellStyle name="Output 2 4 2 7 3 2" xfId="25989"/>
    <cellStyle name="Output 2 4 2 7 3 3" xfId="36834"/>
    <cellStyle name="Output 2 4 2 7 3 4" xfId="16252"/>
    <cellStyle name="Output 2 4 2 7 4" xfId="9676"/>
    <cellStyle name="Output 2 4 2 7 4 2" xfId="28648"/>
    <cellStyle name="Output 2 4 2 7 4 3" xfId="39493"/>
    <cellStyle name="Output 2 4 2 7 4 4" xfId="18156"/>
    <cellStyle name="Output 2 4 2 7 5" xfId="20472"/>
    <cellStyle name="Output 2 4 2 7 6" xfId="31317"/>
    <cellStyle name="Output 2 4 2 7 7" xfId="12302"/>
    <cellStyle name="Output 2 4 2 8" xfId="1899"/>
    <cellStyle name="Output 2 4 2 8 2" xfId="4752"/>
    <cellStyle name="Output 2 4 2 8 2 2" xfId="23724"/>
    <cellStyle name="Output 2 4 2 8 2 3" xfId="34569"/>
    <cellStyle name="Output 2 4 2 8 2 4" xfId="14628"/>
    <cellStyle name="Output 2 4 2 8 3" xfId="7424"/>
    <cellStyle name="Output 2 4 2 8 3 2" xfId="26396"/>
    <cellStyle name="Output 2 4 2 8 3 3" xfId="37241"/>
    <cellStyle name="Output 2 4 2 8 3 4" xfId="16542"/>
    <cellStyle name="Output 2 4 2 8 4" xfId="10083"/>
    <cellStyle name="Output 2 4 2 8 4 2" xfId="29055"/>
    <cellStyle name="Output 2 4 2 8 4 3" xfId="39900"/>
    <cellStyle name="Output 2 4 2 8 4 4" xfId="18446"/>
    <cellStyle name="Output 2 4 2 8 5" xfId="20879"/>
    <cellStyle name="Output 2 4 2 8 6" xfId="31724"/>
    <cellStyle name="Output 2 4 2 8 7" xfId="12592"/>
    <cellStyle name="Output 2 4 2 9" xfId="951"/>
    <cellStyle name="Output 2 4 2 9 2" xfId="3804"/>
    <cellStyle name="Output 2 4 2 9 2 2" xfId="22776"/>
    <cellStyle name="Output 2 4 2 9 2 3" xfId="33621"/>
    <cellStyle name="Output 2 4 2 9 2 4" xfId="13949"/>
    <cellStyle name="Output 2 4 2 9 3" xfId="6479"/>
    <cellStyle name="Output 2 4 2 9 3 2" xfId="25451"/>
    <cellStyle name="Output 2 4 2 9 3 3" xfId="36296"/>
    <cellStyle name="Output 2 4 2 9 3 4" xfId="15865"/>
    <cellStyle name="Output 2 4 2 9 4" xfId="9138"/>
    <cellStyle name="Output 2 4 2 9 4 2" xfId="28110"/>
    <cellStyle name="Output 2 4 2 9 4 3" xfId="38955"/>
    <cellStyle name="Output 2 4 2 9 4 4" xfId="17769"/>
    <cellStyle name="Output 2 4 2 9 5" xfId="19934"/>
    <cellStyle name="Output 2 4 2 9 6" xfId="30779"/>
    <cellStyle name="Output 2 4 2 9 7" xfId="11915"/>
    <cellStyle name="Output 2 4 3" xfId="574"/>
    <cellStyle name="Output 2 4 3 10" xfId="19584"/>
    <cellStyle name="Output 2 4 3 11" xfId="30429"/>
    <cellStyle name="Output 2 4 3 12" xfId="11638"/>
    <cellStyle name="Output 2 4 3 2" xfId="1180"/>
    <cellStyle name="Output 2 4 3 2 2" xfId="4033"/>
    <cellStyle name="Output 2 4 3 2 2 2" xfId="23005"/>
    <cellStyle name="Output 2 4 3 2 2 3" xfId="33850"/>
    <cellStyle name="Output 2 4 3 2 2 4" xfId="14115"/>
    <cellStyle name="Output 2 4 3 2 3" xfId="6706"/>
    <cellStyle name="Output 2 4 3 2 3 2" xfId="25678"/>
    <cellStyle name="Output 2 4 3 2 3 3" xfId="36523"/>
    <cellStyle name="Output 2 4 3 2 3 4" xfId="16030"/>
    <cellStyle name="Output 2 4 3 2 4" xfId="9365"/>
    <cellStyle name="Output 2 4 3 2 4 2" xfId="28337"/>
    <cellStyle name="Output 2 4 3 2 4 3" xfId="39182"/>
    <cellStyle name="Output 2 4 3 2 4 4" xfId="17934"/>
    <cellStyle name="Output 2 4 3 2 5" xfId="20161"/>
    <cellStyle name="Output 2 4 3 2 6" xfId="31006"/>
    <cellStyle name="Output 2 4 3 2 7" xfId="12080"/>
    <cellStyle name="Output 2 4 3 3" xfId="1577"/>
    <cellStyle name="Output 2 4 3 3 2" xfId="4430"/>
    <cellStyle name="Output 2 4 3 3 2 2" xfId="23402"/>
    <cellStyle name="Output 2 4 3 3 2 3" xfId="34247"/>
    <cellStyle name="Output 2 4 3 3 2 4" xfId="14401"/>
    <cellStyle name="Output 2 4 3 3 3" xfId="7102"/>
    <cellStyle name="Output 2 4 3 3 3 2" xfId="26074"/>
    <cellStyle name="Output 2 4 3 3 3 3" xfId="36919"/>
    <cellStyle name="Output 2 4 3 3 3 4" xfId="16315"/>
    <cellStyle name="Output 2 4 3 3 4" xfId="9761"/>
    <cellStyle name="Output 2 4 3 3 4 2" xfId="28733"/>
    <cellStyle name="Output 2 4 3 3 4 3" xfId="39578"/>
    <cellStyle name="Output 2 4 3 3 4 4" xfId="18219"/>
    <cellStyle name="Output 2 4 3 3 5" xfId="20557"/>
    <cellStyle name="Output 2 4 3 3 6" xfId="31402"/>
    <cellStyle name="Output 2 4 3 3 7" xfId="12365"/>
    <cellStyle name="Output 2 4 3 4" xfId="1981"/>
    <cellStyle name="Output 2 4 3 4 2" xfId="4834"/>
    <cellStyle name="Output 2 4 3 4 2 2" xfId="23806"/>
    <cellStyle name="Output 2 4 3 4 2 3" xfId="34651"/>
    <cellStyle name="Output 2 4 3 4 2 4" xfId="14689"/>
    <cellStyle name="Output 2 4 3 4 3" xfId="7506"/>
    <cellStyle name="Output 2 4 3 4 3 2" xfId="26478"/>
    <cellStyle name="Output 2 4 3 4 3 3" xfId="37323"/>
    <cellStyle name="Output 2 4 3 4 3 4" xfId="16603"/>
    <cellStyle name="Output 2 4 3 4 4" xfId="10165"/>
    <cellStyle name="Output 2 4 3 4 4 2" xfId="29137"/>
    <cellStyle name="Output 2 4 3 4 4 3" xfId="39982"/>
    <cellStyle name="Output 2 4 3 4 4 4" xfId="18507"/>
    <cellStyle name="Output 2 4 3 4 5" xfId="20961"/>
    <cellStyle name="Output 2 4 3 4 6" xfId="31806"/>
    <cellStyle name="Output 2 4 3 4 7" xfId="12653"/>
    <cellStyle name="Output 2 4 3 5" xfId="2373"/>
    <cellStyle name="Output 2 4 3 5 2" xfId="5226"/>
    <cellStyle name="Output 2 4 3 5 2 2" xfId="24198"/>
    <cellStyle name="Output 2 4 3 5 2 3" xfId="35043"/>
    <cellStyle name="Output 2 4 3 5 2 4" xfId="14970"/>
    <cellStyle name="Output 2 4 3 5 3" xfId="7897"/>
    <cellStyle name="Output 2 4 3 5 3 2" xfId="26869"/>
    <cellStyle name="Output 2 4 3 5 3 3" xfId="37714"/>
    <cellStyle name="Output 2 4 3 5 3 4" xfId="16883"/>
    <cellStyle name="Output 2 4 3 5 4" xfId="10556"/>
    <cellStyle name="Output 2 4 3 5 4 2" xfId="29528"/>
    <cellStyle name="Output 2 4 3 5 4 3" xfId="40373"/>
    <cellStyle name="Output 2 4 3 5 4 4" xfId="18787"/>
    <cellStyle name="Output 2 4 3 5 5" xfId="21352"/>
    <cellStyle name="Output 2 4 3 5 6" xfId="32197"/>
    <cellStyle name="Output 2 4 3 5 7" xfId="12933"/>
    <cellStyle name="Output 2 4 3 6" xfId="2762"/>
    <cellStyle name="Output 2 4 3 6 2" xfId="5614"/>
    <cellStyle name="Output 2 4 3 6 2 2" xfId="24586"/>
    <cellStyle name="Output 2 4 3 6 2 3" xfId="35431"/>
    <cellStyle name="Output 2 4 3 6 2 4" xfId="15248"/>
    <cellStyle name="Output 2 4 3 6 3" xfId="8285"/>
    <cellStyle name="Output 2 4 3 6 3 2" xfId="27257"/>
    <cellStyle name="Output 2 4 3 6 3 3" xfId="38102"/>
    <cellStyle name="Output 2 4 3 6 3 4" xfId="17161"/>
    <cellStyle name="Output 2 4 3 6 4" xfId="10944"/>
    <cellStyle name="Output 2 4 3 6 4 2" xfId="29916"/>
    <cellStyle name="Output 2 4 3 6 4 3" xfId="40761"/>
    <cellStyle name="Output 2 4 3 6 4 4" xfId="19065"/>
    <cellStyle name="Output 2 4 3 6 5" xfId="21740"/>
    <cellStyle name="Output 2 4 3 6 6" xfId="32585"/>
    <cellStyle name="Output 2 4 3 6 7" xfId="13211"/>
    <cellStyle name="Output 2 4 3 7" xfId="3453"/>
    <cellStyle name="Output 2 4 3 7 2" xfId="22425"/>
    <cellStyle name="Output 2 4 3 7 3" xfId="33270"/>
    <cellStyle name="Output 2 4 3 7 4" xfId="13693"/>
    <cellStyle name="Output 2 4 3 8" xfId="6129"/>
    <cellStyle name="Output 2 4 3 8 2" xfId="25101"/>
    <cellStyle name="Output 2 4 3 8 3" xfId="35946"/>
    <cellStyle name="Output 2 4 3 8 4" xfId="15610"/>
    <cellStyle name="Output 2 4 3 9" xfId="8788"/>
    <cellStyle name="Output 2 4 3 9 2" xfId="27760"/>
    <cellStyle name="Output 2 4 3 9 3" xfId="38605"/>
    <cellStyle name="Output 2 4 3 9 4" xfId="17514"/>
    <cellStyle name="Output 2 4 4" xfId="11465"/>
    <cellStyle name="Output 2 5" xfId="141"/>
    <cellStyle name="Output 2 5 2" xfId="392"/>
    <cellStyle name="Output 2 5 2 10" xfId="2684"/>
    <cellStyle name="Output 2 5 2 10 2" xfId="5536"/>
    <cellStyle name="Output 2 5 2 10 2 2" xfId="24508"/>
    <cellStyle name="Output 2 5 2 10 2 3" xfId="35353"/>
    <cellStyle name="Output 2 5 2 10 2 4" xfId="15190"/>
    <cellStyle name="Output 2 5 2 10 3" xfId="8207"/>
    <cellStyle name="Output 2 5 2 10 3 2" xfId="27179"/>
    <cellStyle name="Output 2 5 2 10 3 3" xfId="38024"/>
    <cellStyle name="Output 2 5 2 10 3 4" xfId="17103"/>
    <cellStyle name="Output 2 5 2 10 4" xfId="10866"/>
    <cellStyle name="Output 2 5 2 10 4 2" xfId="29838"/>
    <cellStyle name="Output 2 5 2 10 4 3" xfId="40683"/>
    <cellStyle name="Output 2 5 2 10 4 4" xfId="19007"/>
    <cellStyle name="Output 2 5 2 10 5" xfId="21662"/>
    <cellStyle name="Output 2 5 2 10 6" xfId="32507"/>
    <cellStyle name="Output 2 5 2 10 7" xfId="13153"/>
    <cellStyle name="Output 2 5 2 11" xfId="3070"/>
    <cellStyle name="Output 2 5 2 11 2" xfId="5921"/>
    <cellStyle name="Output 2 5 2 11 2 2" xfId="24893"/>
    <cellStyle name="Output 2 5 2 11 2 3" xfId="35738"/>
    <cellStyle name="Output 2 5 2 11 2 4" xfId="15466"/>
    <cellStyle name="Output 2 5 2 11 3" xfId="8592"/>
    <cellStyle name="Output 2 5 2 11 3 2" xfId="27564"/>
    <cellStyle name="Output 2 5 2 11 3 3" xfId="38409"/>
    <cellStyle name="Output 2 5 2 11 3 4" xfId="17379"/>
    <cellStyle name="Output 2 5 2 11 4" xfId="11251"/>
    <cellStyle name="Output 2 5 2 11 4 2" xfId="30223"/>
    <cellStyle name="Output 2 5 2 11 4 3" xfId="41068"/>
    <cellStyle name="Output 2 5 2 11 4 4" xfId="19283"/>
    <cellStyle name="Output 2 5 2 11 5" xfId="22047"/>
    <cellStyle name="Output 2 5 2 11 6" xfId="32892"/>
    <cellStyle name="Output 2 5 2 11 7" xfId="13429"/>
    <cellStyle name="Output 2 5 2 12" xfId="3127"/>
    <cellStyle name="Output 2 5 2 12 2" xfId="5978"/>
    <cellStyle name="Output 2 5 2 12 2 2" xfId="24950"/>
    <cellStyle name="Output 2 5 2 12 2 3" xfId="35795"/>
    <cellStyle name="Output 2 5 2 12 2 4" xfId="15503"/>
    <cellStyle name="Output 2 5 2 12 3" xfId="8649"/>
    <cellStyle name="Output 2 5 2 12 3 2" xfId="27621"/>
    <cellStyle name="Output 2 5 2 12 3 3" xfId="38466"/>
    <cellStyle name="Output 2 5 2 12 3 4" xfId="17416"/>
    <cellStyle name="Output 2 5 2 12 4" xfId="11308"/>
    <cellStyle name="Output 2 5 2 12 4 2" xfId="30280"/>
    <cellStyle name="Output 2 5 2 12 4 3" xfId="41125"/>
    <cellStyle name="Output 2 5 2 12 4 4" xfId="19320"/>
    <cellStyle name="Output 2 5 2 12 5" xfId="22104"/>
    <cellStyle name="Output 2 5 2 12 6" xfId="32949"/>
    <cellStyle name="Output 2 5 2 12 7" xfId="13466"/>
    <cellStyle name="Output 2 5 2 13" xfId="3184"/>
    <cellStyle name="Output 2 5 2 13 2" xfId="6035"/>
    <cellStyle name="Output 2 5 2 13 2 2" xfId="25007"/>
    <cellStyle name="Output 2 5 2 13 2 3" xfId="35852"/>
    <cellStyle name="Output 2 5 2 13 2 4" xfId="15540"/>
    <cellStyle name="Output 2 5 2 13 3" xfId="8706"/>
    <cellStyle name="Output 2 5 2 13 3 2" xfId="27678"/>
    <cellStyle name="Output 2 5 2 13 3 3" xfId="38523"/>
    <cellStyle name="Output 2 5 2 13 3 4" xfId="17453"/>
    <cellStyle name="Output 2 5 2 13 4" xfId="11365"/>
    <cellStyle name="Output 2 5 2 13 4 2" xfId="30337"/>
    <cellStyle name="Output 2 5 2 13 4 3" xfId="41182"/>
    <cellStyle name="Output 2 5 2 13 4 4" xfId="19357"/>
    <cellStyle name="Output 2 5 2 13 5" xfId="22161"/>
    <cellStyle name="Output 2 5 2 13 6" xfId="33006"/>
    <cellStyle name="Output 2 5 2 13 7" xfId="13503"/>
    <cellStyle name="Output 2 5 2 14" xfId="3350"/>
    <cellStyle name="Output 2 5 2 14 2" xfId="22324"/>
    <cellStyle name="Output 2 5 2 14 3" xfId="33169"/>
    <cellStyle name="Output 2 5 2 14 4" xfId="13620"/>
    <cellStyle name="Output 2 5 2 15" xfId="3318"/>
    <cellStyle name="Output 2 5 2 15 2" xfId="22292"/>
    <cellStyle name="Output 2 5 2 15 3" xfId="33137"/>
    <cellStyle name="Output 2 5 2 15 4" xfId="13601"/>
    <cellStyle name="Output 2 5 2 16" xfId="3241"/>
    <cellStyle name="Output 2 5 2 16 2" xfId="22218"/>
    <cellStyle name="Output 2 5 2 16 3" xfId="33063"/>
    <cellStyle name="Output 2 5 2 16 4" xfId="13545"/>
    <cellStyle name="Output 2 5 2 17" xfId="19481"/>
    <cellStyle name="Output 2 5 2 18" xfId="19519"/>
    <cellStyle name="Output 2 5 2 19" xfId="11530"/>
    <cellStyle name="Output 2 5 2 2" xfId="692"/>
    <cellStyle name="Output 2 5 2 2 10" xfId="19677"/>
    <cellStyle name="Output 2 5 2 2 11" xfId="30522"/>
    <cellStyle name="Output 2 5 2 2 12" xfId="11734"/>
    <cellStyle name="Output 2 5 2 2 2" xfId="1279"/>
    <cellStyle name="Output 2 5 2 2 2 2" xfId="4132"/>
    <cellStyle name="Output 2 5 2 2 2 2 2" xfId="23104"/>
    <cellStyle name="Output 2 5 2 2 2 2 3" xfId="33949"/>
    <cellStyle name="Output 2 5 2 2 2 2 4" xfId="14195"/>
    <cellStyle name="Output 2 5 2 2 2 3" xfId="6805"/>
    <cellStyle name="Output 2 5 2 2 2 3 2" xfId="25777"/>
    <cellStyle name="Output 2 5 2 2 2 3 3" xfId="36622"/>
    <cellStyle name="Output 2 5 2 2 2 3 4" xfId="16110"/>
    <cellStyle name="Output 2 5 2 2 2 4" xfId="9464"/>
    <cellStyle name="Output 2 5 2 2 2 4 2" xfId="28436"/>
    <cellStyle name="Output 2 5 2 2 2 4 3" xfId="39281"/>
    <cellStyle name="Output 2 5 2 2 2 4 4" xfId="18014"/>
    <cellStyle name="Output 2 5 2 2 2 5" xfId="20260"/>
    <cellStyle name="Output 2 5 2 2 2 6" xfId="31105"/>
    <cellStyle name="Output 2 5 2 2 2 7" xfId="12160"/>
    <cellStyle name="Output 2 5 2 2 3" xfId="1678"/>
    <cellStyle name="Output 2 5 2 2 3 2" xfId="4531"/>
    <cellStyle name="Output 2 5 2 2 3 2 2" xfId="23503"/>
    <cellStyle name="Output 2 5 2 2 3 2 3" xfId="34348"/>
    <cellStyle name="Output 2 5 2 2 3 2 4" xfId="14482"/>
    <cellStyle name="Output 2 5 2 2 3 3" xfId="7203"/>
    <cellStyle name="Output 2 5 2 2 3 3 2" xfId="26175"/>
    <cellStyle name="Output 2 5 2 2 3 3 3" xfId="37020"/>
    <cellStyle name="Output 2 5 2 2 3 3 4" xfId="16396"/>
    <cellStyle name="Output 2 5 2 2 3 4" xfId="9862"/>
    <cellStyle name="Output 2 5 2 2 3 4 2" xfId="28834"/>
    <cellStyle name="Output 2 5 2 2 3 4 3" xfId="39679"/>
    <cellStyle name="Output 2 5 2 2 3 4 4" xfId="18300"/>
    <cellStyle name="Output 2 5 2 2 3 5" xfId="20658"/>
    <cellStyle name="Output 2 5 2 2 3 6" xfId="31503"/>
    <cellStyle name="Output 2 5 2 2 3 7" xfId="12446"/>
    <cellStyle name="Output 2 5 2 2 4" xfId="2082"/>
    <cellStyle name="Output 2 5 2 2 4 2" xfId="4935"/>
    <cellStyle name="Output 2 5 2 2 4 2 2" xfId="23907"/>
    <cellStyle name="Output 2 5 2 2 4 2 3" xfId="34752"/>
    <cellStyle name="Output 2 5 2 2 4 2 4" xfId="14769"/>
    <cellStyle name="Output 2 5 2 2 4 3" xfId="7606"/>
    <cellStyle name="Output 2 5 2 2 4 3 2" xfId="26578"/>
    <cellStyle name="Output 2 5 2 2 4 3 3" xfId="37423"/>
    <cellStyle name="Output 2 5 2 2 4 3 4" xfId="16682"/>
    <cellStyle name="Output 2 5 2 2 4 4" xfId="10265"/>
    <cellStyle name="Output 2 5 2 2 4 4 2" xfId="29237"/>
    <cellStyle name="Output 2 5 2 2 4 4 3" xfId="40082"/>
    <cellStyle name="Output 2 5 2 2 4 4 4" xfId="18586"/>
    <cellStyle name="Output 2 5 2 2 4 5" xfId="21061"/>
    <cellStyle name="Output 2 5 2 2 4 6" xfId="31906"/>
    <cellStyle name="Output 2 5 2 2 4 7" xfId="12732"/>
    <cellStyle name="Output 2 5 2 2 5" xfId="2472"/>
    <cellStyle name="Output 2 5 2 2 5 2" xfId="5324"/>
    <cellStyle name="Output 2 5 2 2 5 2 2" xfId="24296"/>
    <cellStyle name="Output 2 5 2 2 5 2 3" xfId="35141"/>
    <cellStyle name="Output 2 5 2 2 5 2 4" xfId="15048"/>
    <cellStyle name="Output 2 5 2 2 5 3" xfId="7995"/>
    <cellStyle name="Output 2 5 2 2 5 3 2" xfId="26967"/>
    <cellStyle name="Output 2 5 2 2 5 3 3" xfId="37812"/>
    <cellStyle name="Output 2 5 2 2 5 3 4" xfId="16961"/>
    <cellStyle name="Output 2 5 2 2 5 4" xfId="10654"/>
    <cellStyle name="Output 2 5 2 2 5 4 2" xfId="29626"/>
    <cellStyle name="Output 2 5 2 2 5 4 3" xfId="40471"/>
    <cellStyle name="Output 2 5 2 2 5 4 4" xfId="18865"/>
    <cellStyle name="Output 2 5 2 2 5 5" xfId="21450"/>
    <cellStyle name="Output 2 5 2 2 5 6" xfId="32295"/>
    <cellStyle name="Output 2 5 2 2 5 7" xfId="13011"/>
    <cellStyle name="Output 2 5 2 2 6" xfId="2858"/>
    <cellStyle name="Output 2 5 2 2 6 2" xfId="5709"/>
    <cellStyle name="Output 2 5 2 2 6 2 2" xfId="24681"/>
    <cellStyle name="Output 2 5 2 2 6 2 3" xfId="35526"/>
    <cellStyle name="Output 2 5 2 2 6 2 4" xfId="15324"/>
    <cellStyle name="Output 2 5 2 2 6 3" xfId="8380"/>
    <cellStyle name="Output 2 5 2 2 6 3 2" xfId="27352"/>
    <cellStyle name="Output 2 5 2 2 6 3 3" xfId="38197"/>
    <cellStyle name="Output 2 5 2 2 6 3 4" xfId="17237"/>
    <cellStyle name="Output 2 5 2 2 6 4" xfId="11039"/>
    <cellStyle name="Output 2 5 2 2 6 4 2" xfId="30011"/>
    <cellStyle name="Output 2 5 2 2 6 4 3" xfId="40856"/>
    <cellStyle name="Output 2 5 2 2 6 4 4" xfId="19141"/>
    <cellStyle name="Output 2 5 2 2 6 5" xfId="21835"/>
    <cellStyle name="Output 2 5 2 2 6 6" xfId="32680"/>
    <cellStyle name="Output 2 5 2 2 6 7" xfId="13287"/>
    <cellStyle name="Output 2 5 2 2 7" xfId="3547"/>
    <cellStyle name="Output 2 5 2 2 7 2" xfId="22519"/>
    <cellStyle name="Output 2 5 2 2 7 3" xfId="33364"/>
    <cellStyle name="Output 2 5 2 2 7 4" xfId="13768"/>
    <cellStyle name="Output 2 5 2 2 8" xfId="6222"/>
    <cellStyle name="Output 2 5 2 2 8 2" xfId="25194"/>
    <cellStyle name="Output 2 5 2 2 8 3" xfId="36039"/>
    <cellStyle name="Output 2 5 2 2 8 4" xfId="15684"/>
    <cellStyle name="Output 2 5 2 2 9" xfId="8881"/>
    <cellStyle name="Output 2 5 2 2 9 2" xfId="27853"/>
    <cellStyle name="Output 2 5 2 2 9 3" xfId="38698"/>
    <cellStyle name="Output 2 5 2 2 9 4" xfId="17588"/>
    <cellStyle name="Output 2 5 2 3" xfId="752"/>
    <cellStyle name="Output 2 5 2 3 10" xfId="19737"/>
    <cellStyle name="Output 2 5 2 3 11" xfId="30582"/>
    <cellStyle name="Output 2 5 2 3 12" xfId="11774"/>
    <cellStyle name="Output 2 5 2 3 2" xfId="1339"/>
    <cellStyle name="Output 2 5 2 3 2 2" xfId="4192"/>
    <cellStyle name="Output 2 5 2 3 2 2 2" xfId="23164"/>
    <cellStyle name="Output 2 5 2 3 2 2 3" xfId="34009"/>
    <cellStyle name="Output 2 5 2 3 2 2 4" xfId="14235"/>
    <cellStyle name="Output 2 5 2 3 2 3" xfId="6865"/>
    <cellStyle name="Output 2 5 2 3 2 3 2" xfId="25837"/>
    <cellStyle name="Output 2 5 2 3 2 3 3" xfId="36682"/>
    <cellStyle name="Output 2 5 2 3 2 3 4" xfId="16150"/>
    <cellStyle name="Output 2 5 2 3 2 4" xfId="9524"/>
    <cellStyle name="Output 2 5 2 3 2 4 2" xfId="28496"/>
    <cellStyle name="Output 2 5 2 3 2 4 3" xfId="39341"/>
    <cellStyle name="Output 2 5 2 3 2 4 4" xfId="18054"/>
    <cellStyle name="Output 2 5 2 3 2 5" xfId="20320"/>
    <cellStyle name="Output 2 5 2 3 2 6" xfId="31165"/>
    <cellStyle name="Output 2 5 2 3 2 7" xfId="12200"/>
    <cellStyle name="Output 2 5 2 3 3" xfId="1738"/>
    <cellStyle name="Output 2 5 2 3 3 2" xfId="4591"/>
    <cellStyle name="Output 2 5 2 3 3 2 2" xfId="23563"/>
    <cellStyle name="Output 2 5 2 3 3 2 3" xfId="34408"/>
    <cellStyle name="Output 2 5 2 3 3 2 4" xfId="14522"/>
    <cellStyle name="Output 2 5 2 3 3 3" xfId="7263"/>
    <cellStyle name="Output 2 5 2 3 3 3 2" xfId="26235"/>
    <cellStyle name="Output 2 5 2 3 3 3 3" xfId="37080"/>
    <cellStyle name="Output 2 5 2 3 3 3 4" xfId="16436"/>
    <cellStyle name="Output 2 5 2 3 3 4" xfId="9922"/>
    <cellStyle name="Output 2 5 2 3 3 4 2" xfId="28894"/>
    <cellStyle name="Output 2 5 2 3 3 4 3" xfId="39739"/>
    <cellStyle name="Output 2 5 2 3 3 4 4" xfId="18340"/>
    <cellStyle name="Output 2 5 2 3 3 5" xfId="20718"/>
    <cellStyle name="Output 2 5 2 3 3 6" xfId="31563"/>
    <cellStyle name="Output 2 5 2 3 3 7" xfId="12486"/>
    <cellStyle name="Output 2 5 2 3 4" xfId="2142"/>
    <cellStyle name="Output 2 5 2 3 4 2" xfId="4995"/>
    <cellStyle name="Output 2 5 2 3 4 2 2" xfId="23967"/>
    <cellStyle name="Output 2 5 2 3 4 2 3" xfId="34812"/>
    <cellStyle name="Output 2 5 2 3 4 2 4" xfId="14809"/>
    <cellStyle name="Output 2 5 2 3 4 3" xfId="7666"/>
    <cellStyle name="Output 2 5 2 3 4 3 2" xfId="26638"/>
    <cellStyle name="Output 2 5 2 3 4 3 3" xfId="37483"/>
    <cellStyle name="Output 2 5 2 3 4 3 4" xfId="16722"/>
    <cellStyle name="Output 2 5 2 3 4 4" xfId="10325"/>
    <cellStyle name="Output 2 5 2 3 4 4 2" xfId="29297"/>
    <cellStyle name="Output 2 5 2 3 4 4 3" xfId="40142"/>
    <cellStyle name="Output 2 5 2 3 4 4 4" xfId="18626"/>
    <cellStyle name="Output 2 5 2 3 4 5" xfId="21121"/>
    <cellStyle name="Output 2 5 2 3 4 6" xfId="31966"/>
    <cellStyle name="Output 2 5 2 3 4 7" xfId="12772"/>
    <cellStyle name="Output 2 5 2 3 5" xfId="2532"/>
    <cellStyle name="Output 2 5 2 3 5 2" xfId="5384"/>
    <cellStyle name="Output 2 5 2 3 5 2 2" xfId="24356"/>
    <cellStyle name="Output 2 5 2 3 5 2 3" xfId="35201"/>
    <cellStyle name="Output 2 5 2 3 5 2 4" xfId="15088"/>
    <cellStyle name="Output 2 5 2 3 5 3" xfId="8055"/>
    <cellStyle name="Output 2 5 2 3 5 3 2" xfId="27027"/>
    <cellStyle name="Output 2 5 2 3 5 3 3" xfId="37872"/>
    <cellStyle name="Output 2 5 2 3 5 3 4" xfId="17001"/>
    <cellStyle name="Output 2 5 2 3 5 4" xfId="10714"/>
    <cellStyle name="Output 2 5 2 3 5 4 2" xfId="29686"/>
    <cellStyle name="Output 2 5 2 3 5 4 3" xfId="40531"/>
    <cellStyle name="Output 2 5 2 3 5 4 4" xfId="18905"/>
    <cellStyle name="Output 2 5 2 3 5 5" xfId="21510"/>
    <cellStyle name="Output 2 5 2 3 5 6" xfId="32355"/>
    <cellStyle name="Output 2 5 2 3 5 7" xfId="13051"/>
    <cellStyle name="Output 2 5 2 3 6" xfId="2918"/>
    <cellStyle name="Output 2 5 2 3 6 2" xfId="5769"/>
    <cellStyle name="Output 2 5 2 3 6 2 2" xfId="24741"/>
    <cellStyle name="Output 2 5 2 3 6 2 3" xfId="35586"/>
    <cellStyle name="Output 2 5 2 3 6 2 4" xfId="15364"/>
    <cellStyle name="Output 2 5 2 3 6 3" xfId="8440"/>
    <cellStyle name="Output 2 5 2 3 6 3 2" xfId="27412"/>
    <cellStyle name="Output 2 5 2 3 6 3 3" xfId="38257"/>
    <cellStyle name="Output 2 5 2 3 6 3 4" xfId="17277"/>
    <cellStyle name="Output 2 5 2 3 6 4" xfId="11099"/>
    <cellStyle name="Output 2 5 2 3 6 4 2" xfId="30071"/>
    <cellStyle name="Output 2 5 2 3 6 4 3" xfId="40916"/>
    <cellStyle name="Output 2 5 2 3 6 4 4" xfId="19181"/>
    <cellStyle name="Output 2 5 2 3 6 5" xfId="21895"/>
    <cellStyle name="Output 2 5 2 3 6 6" xfId="32740"/>
    <cellStyle name="Output 2 5 2 3 6 7" xfId="13327"/>
    <cellStyle name="Output 2 5 2 3 7" xfId="3607"/>
    <cellStyle name="Output 2 5 2 3 7 2" xfId="22579"/>
    <cellStyle name="Output 2 5 2 3 7 3" xfId="33424"/>
    <cellStyle name="Output 2 5 2 3 7 4" xfId="13808"/>
    <cellStyle name="Output 2 5 2 3 8" xfId="6282"/>
    <cellStyle name="Output 2 5 2 3 8 2" xfId="25254"/>
    <cellStyle name="Output 2 5 2 3 8 3" xfId="36099"/>
    <cellStyle name="Output 2 5 2 3 8 4" xfId="15724"/>
    <cellStyle name="Output 2 5 2 3 9" xfId="8941"/>
    <cellStyle name="Output 2 5 2 3 9 2" xfId="27913"/>
    <cellStyle name="Output 2 5 2 3 9 3" xfId="38758"/>
    <cellStyle name="Output 2 5 2 3 9 4" xfId="17628"/>
    <cellStyle name="Output 2 5 2 4" xfId="812"/>
    <cellStyle name="Output 2 5 2 4 10" xfId="19797"/>
    <cellStyle name="Output 2 5 2 4 11" xfId="30642"/>
    <cellStyle name="Output 2 5 2 4 12" xfId="11814"/>
    <cellStyle name="Output 2 5 2 4 2" xfId="1399"/>
    <cellStyle name="Output 2 5 2 4 2 2" xfId="4252"/>
    <cellStyle name="Output 2 5 2 4 2 2 2" xfId="23224"/>
    <cellStyle name="Output 2 5 2 4 2 2 3" xfId="34069"/>
    <cellStyle name="Output 2 5 2 4 2 2 4" xfId="14275"/>
    <cellStyle name="Output 2 5 2 4 2 3" xfId="6925"/>
    <cellStyle name="Output 2 5 2 4 2 3 2" xfId="25897"/>
    <cellStyle name="Output 2 5 2 4 2 3 3" xfId="36742"/>
    <cellStyle name="Output 2 5 2 4 2 3 4" xfId="16190"/>
    <cellStyle name="Output 2 5 2 4 2 4" xfId="9584"/>
    <cellStyle name="Output 2 5 2 4 2 4 2" xfId="28556"/>
    <cellStyle name="Output 2 5 2 4 2 4 3" xfId="39401"/>
    <cellStyle name="Output 2 5 2 4 2 4 4" xfId="18094"/>
    <cellStyle name="Output 2 5 2 4 2 5" xfId="20380"/>
    <cellStyle name="Output 2 5 2 4 2 6" xfId="31225"/>
    <cellStyle name="Output 2 5 2 4 2 7" xfId="12240"/>
    <cellStyle name="Output 2 5 2 4 3" xfId="1798"/>
    <cellStyle name="Output 2 5 2 4 3 2" xfId="4651"/>
    <cellStyle name="Output 2 5 2 4 3 2 2" xfId="23623"/>
    <cellStyle name="Output 2 5 2 4 3 2 3" xfId="34468"/>
    <cellStyle name="Output 2 5 2 4 3 2 4" xfId="14562"/>
    <cellStyle name="Output 2 5 2 4 3 3" xfId="7323"/>
    <cellStyle name="Output 2 5 2 4 3 3 2" xfId="26295"/>
    <cellStyle name="Output 2 5 2 4 3 3 3" xfId="37140"/>
    <cellStyle name="Output 2 5 2 4 3 3 4" xfId="16476"/>
    <cellStyle name="Output 2 5 2 4 3 4" xfId="9982"/>
    <cellStyle name="Output 2 5 2 4 3 4 2" xfId="28954"/>
    <cellStyle name="Output 2 5 2 4 3 4 3" xfId="39799"/>
    <cellStyle name="Output 2 5 2 4 3 4 4" xfId="18380"/>
    <cellStyle name="Output 2 5 2 4 3 5" xfId="20778"/>
    <cellStyle name="Output 2 5 2 4 3 6" xfId="31623"/>
    <cellStyle name="Output 2 5 2 4 3 7" xfId="12526"/>
    <cellStyle name="Output 2 5 2 4 4" xfId="2202"/>
    <cellStyle name="Output 2 5 2 4 4 2" xfId="5055"/>
    <cellStyle name="Output 2 5 2 4 4 2 2" xfId="24027"/>
    <cellStyle name="Output 2 5 2 4 4 2 3" xfId="34872"/>
    <cellStyle name="Output 2 5 2 4 4 2 4" xfId="14849"/>
    <cellStyle name="Output 2 5 2 4 4 3" xfId="7726"/>
    <cellStyle name="Output 2 5 2 4 4 3 2" xfId="26698"/>
    <cellStyle name="Output 2 5 2 4 4 3 3" xfId="37543"/>
    <cellStyle name="Output 2 5 2 4 4 3 4" xfId="16762"/>
    <cellStyle name="Output 2 5 2 4 4 4" xfId="10385"/>
    <cellStyle name="Output 2 5 2 4 4 4 2" xfId="29357"/>
    <cellStyle name="Output 2 5 2 4 4 4 3" xfId="40202"/>
    <cellStyle name="Output 2 5 2 4 4 4 4" xfId="18666"/>
    <cellStyle name="Output 2 5 2 4 4 5" xfId="21181"/>
    <cellStyle name="Output 2 5 2 4 4 6" xfId="32026"/>
    <cellStyle name="Output 2 5 2 4 4 7" xfId="12812"/>
    <cellStyle name="Output 2 5 2 4 5" xfId="2592"/>
    <cellStyle name="Output 2 5 2 4 5 2" xfId="5444"/>
    <cellStyle name="Output 2 5 2 4 5 2 2" xfId="24416"/>
    <cellStyle name="Output 2 5 2 4 5 2 3" xfId="35261"/>
    <cellStyle name="Output 2 5 2 4 5 2 4" xfId="15128"/>
    <cellStyle name="Output 2 5 2 4 5 3" xfId="8115"/>
    <cellStyle name="Output 2 5 2 4 5 3 2" xfId="27087"/>
    <cellStyle name="Output 2 5 2 4 5 3 3" xfId="37932"/>
    <cellStyle name="Output 2 5 2 4 5 3 4" xfId="17041"/>
    <cellStyle name="Output 2 5 2 4 5 4" xfId="10774"/>
    <cellStyle name="Output 2 5 2 4 5 4 2" xfId="29746"/>
    <cellStyle name="Output 2 5 2 4 5 4 3" xfId="40591"/>
    <cellStyle name="Output 2 5 2 4 5 4 4" xfId="18945"/>
    <cellStyle name="Output 2 5 2 4 5 5" xfId="21570"/>
    <cellStyle name="Output 2 5 2 4 5 6" xfId="32415"/>
    <cellStyle name="Output 2 5 2 4 5 7" xfId="13091"/>
    <cellStyle name="Output 2 5 2 4 6" xfId="2978"/>
    <cellStyle name="Output 2 5 2 4 6 2" xfId="5829"/>
    <cellStyle name="Output 2 5 2 4 6 2 2" xfId="24801"/>
    <cellStyle name="Output 2 5 2 4 6 2 3" xfId="35646"/>
    <cellStyle name="Output 2 5 2 4 6 2 4" xfId="15404"/>
    <cellStyle name="Output 2 5 2 4 6 3" xfId="8500"/>
    <cellStyle name="Output 2 5 2 4 6 3 2" xfId="27472"/>
    <cellStyle name="Output 2 5 2 4 6 3 3" xfId="38317"/>
    <cellStyle name="Output 2 5 2 4 6 3 4" xfId="17317"/>
    <cellStyle name="Output 2 5 2 4 6 4" xfId="11159"/>
    <cellStyle name="Output 2 5 2 4 6 4 2" xfId="30131"/>
    <cellStyle name="Output 2 5 2 4 6 4 3" xfId="40976"/>
    <cellStyle name="Output 2 5 2 4 6 4 4" xfId="19221"/>
    <cellStyle name="Output 2 5 2 4 6 5" xfId="21955"/>
    <cellStyle name="Output 2 5 2 4 6 6" xfId="32800"/>
    <cellStyle name="Output 2 5 2 4 6 7" xfId="13367"/>
    <cellStyle name="Output 2 5 2 4 7" xfId="3667"/>
    <cellStyle name="Output 2 5 2 4 7 2" xfId="22639"/>
    <cellStyle name="Output 2 5 2 4 7 3" xfId="33484"/>
    <cellStyle name="Output 2 5 2 4 7 4" xfId="13848"/>
    <cellStyle name="Output 2 5 2 4 8" xfId="6342"/>
    <cellStyle name="Output 2 5 2 4 8 2" xfId="25314"/>
    <cellStyle name="Output 2 5 2 4 8 3" xfId="36159"/>
    <cellStyle name="Output 2 5 2 4 8 4" xfId="15764"/>
    <cellStyle name="Output 2 5 2 4 9" xfId="9001"/>
    <cellStyle name="Output 2 5 2 4 9 2" xfId="27973"/>
    <cellStyle name="Output 2 5 2 4 9 3" xfId="38818"/>
    <cellStyle name="Output 2 5 2 4 9 4" xfId="17668"/>
    <cellStyle name="Output 2 5 2 5" xfId="871"/>
    <cellStyle name="Output 2 5 2 5 10" xfId="19856"/>
    <cellStyle name="Output 2 5 2 5 11" xfId="30701"/>
    <cellStyle name="Output 2 5 2 5 12" xfId="11853"/>
    <cellStyle name="Output 2 5 2 5 2" xfId="1458"/>
    <cellStyle name="Output 2 5 2 5 2 2" xfId="4311"/>
    <cellStyle name="Output 2 5 2 5 2 2 2" xfId="23283"/>
    <cellStyle name="Output 2 5 2 5 2 2 3" xfId="34128"/>
    <cellStyle name="Output 2 5 2 5 2 2 4" xfId="14314"/>
    <cellStyle name="Output 2 5 2 5 2 3" xfId="6984"/>
    <cellStyle name="Output 2 5 2 5 2 3 2" xfId="25956"/>
    <cellStyle name="Output 2 5 2 5 2 3 3" xfId="36801"/>
    <cellStyle name="Output 2 5 2 5 2 3 4" xfId="16229"/>
    <cellStyle name="Output 2 5 2 5 2 4" xfId="9643"/>
    <cellStyle name="Output 2 5 2 5 2 4 2" xfId="28615"/>
    <cellStyle name="Output 2 5 2 5 2 4 3" xfId="39460"/>
    <cellStyle name="Output 2 5 2 5 2 4 4" xfId="18133"/>
    <cellStyle name="Output 2 5 2 5 2 5" xfId="20439"/>
    <cellStyle name="Output 2 5 2 5 2 6" xfId="31284"/>
    <cellStyle name="Output 2 5 2 5 2 7" xfId="12279"/>
    <cellStyle name="Output 2 5 2 5 3" xfId="1857"/>
    <cellStyle name="Output 2 5 2 5 3 2" xfId="4710"/>
    <cellStyle name="Output 2 5 2 5 3 2 2" xfId="23682"/>
    <cellStyle name="Output 2 5 2 5 3 2 3" xfId="34527"/>
    <cellStyle name="Output 2 5 2 5 3 2 4" xfId="14601"/>
    <cellStyle name="Output 2 5 2 5 3 3" xfId="7382"/>
    <cellStyle name="Output 2 5 2 5 3 3 2" xfId="26354"/>
    <cellStyle name="Output 2 5 2 5 3 3 3" xfId="37199"/>
    <cellStyle name="Output 2 5 2 5 3 3 4" xfId="16515"/>
    <cellStyle name="Output 2 5 2 5 3 4" xfId="10041"/>
    <cellStyle name="Output 2 5 2 5 3 4 2" xfId="29013"/>
    <cellStyle name="Output 2 5 2 5 3 4 3" xfId="39858"/>
    <cellStyle name="Output 2 5 2 5 3 4 4" xfId="18419"/>
    <cellStyle name="Output 2 5 2 5 3 5" xfId="20837"/>
    <cellStyle name="Output 2 5 2 5 3 6" xfId="31682"/>
    <cellStyle name="Output 2 5 2 5 3 7" xfId="12565"/>
    <cellStyle name="Output 2 5 2 5 4" xfId="2261"/>
    <cellStyle name="Output 2 5 2 5 4 2" xfId="5114"/>
    <cellStyle name="Output 2 5 2 5 4 2 2" xfId="24086"/>
    <cellStyle name="Output 2 5 2 5 4 2 3" xfId="34931"/>
    <cellStyle name="Output 2 5 2 5 4 2 4" xfId="14888"/>
    <cellStyle name="Output 2 5 2 5 4 3" xfId="7785"/>
    <cellStyle name="Output 2 5 2 5 4 3 2" xfId="26757"/>
    <cellStyle name="Output 2 5 2 5 4 3 3" xfId="37602"/>
    <cellStyle name="Output 2 5 2 5 4 3 4" xfId="16801"/>
    <cellStyle name="Output 2 5 2 5 4 4" xfId="10444"/>
    <cellStyle name="Output 2 5 2 5 4 4 2" xfId="29416"/>
    <cellStyle name="Output 2 5 2 5 4 4 3" xfId="40261"/>
    <cellStyle name="Output 2 5 2 5 4 4 4" xfId="18705"/>
    <cellStyle name="Output 2 5 2 5 4 5" xfId="21240"/>
    <cellStyle name="Output 2 5 2 5 4 6" xfId="32085"/>
    <cellStyle name="Output 2 5 2 5 4 7" xfId="12851"/>
    <cellStyle name="Output 2 5 2 5 5" xfId="2651"/>
    <cellStyle name="Output 2 5 2 5 5 2" xfId="5503"/>
    <cellStyle name="Output 2 5 2 5 5 2 2" xfId="24475"/>
    <cellStyle name="Output 2 5 2 5 5 2 3" xfId="35320"/>
    <cellStyle name="Output 2 5 2 5 5 2 4" xfId="15167"/>
    <cellStyle name="Output 2 5 2 5 5 3" xfId="8174"/>
    <cellStyle name="Output 2 5 2 5 5 3 2" xfId="27146"/>
    <cellStyle name="Output 2 5 2 5 5 3 3" xfId="37991"/>
    <cellStyle name="Output 2 5 2 5 5 3 4" xfId="17080"/>
    <cellStyle name="Output 2 5 2 5 5 4" xfId="10833"/>
    <cellStyle name="Output 2 5 2 5 5 4 2" xfId="29805"/>
    <cellStyle name="Output 2 5 2 5 5 4 3" xfId="40650"/>
    <cellStyle name="Output 2 5 2 5 5 4 4" xfId="18984"/>
    <cellStyle name="Output 2 5 2 5 5 5" xfId="21629"/>
    <cellStyle name="Output 2 5 2 5 5 6" xfId="32474"/>
    <cellStyle name="Output 2 5 2 5 5 7" xfId="13130"/>
    <cellStyle name="Output 2 5 2 5 6" xfId="3037"/>
    <cellStyle name="Output 2 5 2 5 6 2" xfId="5888"/>
    <cellStyle name="Output 2 5 2 5 6 2 2" xfId="24860"/>
    <cellStyle name="Output 2 5 2 5 6 2 3" xfId="35705"/>
    <cellStyle name="Output 2 5 2 5 6 2 4" xfId="15443"/>
    <cellStyle name="Output 2 5 2 5 6 3" xfId="8559"/>
    <cellStyle name="Output 2 5 2 5 6 3 2" xfId="27531"/>
    <cellStyle name="Output 2 5 2 5 6 3 3" xfId="38376"/>
    <cellStyle name="Output 2 5 2 5 6 3 4" xfId="17356"/>
    <cellStyle name="Output 2 5 2 5 6 4" xfId="11218"/>
    <cellStyle name="Output 2 5 2 5 6 4 2" xfId="30190"/>
    <cellStyle name="Output 2 5 2 5 6 4 3" xfId="41035"/>
    <cellStyle name="Output 2 5 2 5 6 4 4" xfId="19260"/>
    <cellStyle name="Output 2 5 2 5 6 5" xfId="22014"/>
    <cellStyle name="Output 2 5 2 5 6 6" xfId="32859"/>
    <cellStyle name="Output 2 5 2 5 6 7" xfId="13406"/>
    <cellStyle name="Output 2 5 2 5 7" xfId="3726"/>
    <cellStyle name="Output 2 5 2 5 7 2" xfId="22698"/>
    <cellStyle name="Output 2 5 2 5 7 3" xfId="33543"/>
    <cellStyle name="Output 2 5 2 5 7 4" xfId="13887"/>
    <cellStyle name="Output 2 5 2 5 8" xfId="6401"/>
    <cellStyle name="Output 2 5 2 5 8 2" xfId="25373"/>
    <cellStyle name="Output 2 5 2 5 8 3" xfId="36218"/>
    <cellStyle name="Output 2 5 2 5 8 4" xfId="15803"/>
    <cellStyle name="Output 2 5 2 5 9" xfId="9060"/>
    <cellStyle name="Output 2 5 2 5 9 2" xfId="28032"/>
    <cellStyle name="Output 2 5 2 5 9 3" xfId="38877"/>
    <cellStyle name="Output 2 5 2 5 9 4" xfId="17707"/>
    <cellStyle name="Output 2 5 2 6" xfId="1093"/>
    <cellStyle name="Output 2 5 2 6 2" xfId="3946"/>
    <cellStyle name="Output 2 5 2 6 2 2" xfId="22918"/>
    <cellStyle name="Output 2 5 2 6 2 3" xfId="33763"/>
    <cellStyle name="Output 2 5 2 6 2 4" xfId="14049"/>
    <cellStyle name="Output 2 5 2 6 3" xfId="6620"/>
    <cellStyle name="Output 2 5 2 6 3 2" xfId="25592"/>
    <cellStyle name="Output 2 5 2 6 3 3" xfId="36437"/>
    <cellStyle name="Output 2 5 2 6 3 4" xfId="15965"/>
    <cellStyle name="Output 2 5 2 6 4" xfId="9279"/>
    <cellStyle name="Output 2 5 2 6 4 2" xfId="28251"/>
    <cellStyle name="Output 2 5 2 6 4 3" xfId="39096"/>
    <cellStyle name="Output 2 5 2 6 4 4" xfId="17869"/>
    <cellStyle name="Output 2 5 2 6 5" xfId="20075"/>
    <cellStyle name="Output 2 5 2 6 6" xfId="30920"/>
    <cellStyle name="Output 2 5 2 6 7" xfId="12015"/>
    <cellStyle name="Output 2 5 2 7" xfId="1492"/>
    <cellStyle name="Output 2 5 2 7 2" xfId="4345"/>
    <cellStyle name="Output 2 5 2 7 2 2" xfId="23317"/>
    <cellStyle name="Output 2 5 2 7 2 3" xfId="34162"/>
    <cellStyle name="Output 2 5 2 7 2 4" xfId="14338"/>
    <cellStyle name="Output 2 5 2 7 3" xfId="7018"/>
    <cellStyle name="Output 2 5 2 7 3 2" xfId="25990"/>
    <cellStyle name="Output 2 5 2 7 3 3" xfId="36835"/>
    <cellStyle name="Output 2 5 2 7 3 4" xfId="16253"/>
    <cellStyle name="Output 2 5 2 7 4" xfId="9677"/>
    <cellStyle name="Output 2 5 2 7 4 2" xfId="28649"/>
    <cellStyle name="Output 2 5 2 7 4 3" xfId="39494"/>
    <cellStyle name="Output 2 5 2 7 4 4" xfId="18157"/>
    <cellStyle name="Output 2 5 2 7 5" xfId="20473"/>
    <cellStyle name="Output 2 5 2 7 6" xfId="31318"/>
    <cellStyle name="Output 2 5 2 7 7" xfId="12303"/>
    <cellStyle name="Output 2 5 2 8" xfId="1900"/>
    <cellStyle name="Output 2 5 2 8 2" xfId="4753"/>
    <cellStyle name="Output 2 5 2 8 2 2" xfId="23725"/>
    <cellStyle name="Output 2 5 2 8 2 3" xfId="34570"/>
    <cellStyle name="Output 2 5 2 8 2 4" xfId="14629"/>
    <cellStyle name="Output 2 5 2 8 3" xfId="7425"/>
    <cellStyle name="Output 2 5 2 8 3 2" xfId="26397"/>
    <cellStyle name="Output 2 5 2 8 3 3" xfId="37242"/>
    <cellStyle name="Output 2 5 2 8 3 4" xfId="16543"/>
    <cellStyle name="Output 2 5 2 8 4" xfId="10084"/>
    <cellStyle name="Output 2 5 2 8 4 2" xfId="29056"/>
    <cellStyle name="Output 2 5 2 8 4 3" xfId="39901"/>
    <cellStyle name="Output 2 5 2 8 4 4" xfId="18447"/>
    <cellStyle name="Output 2 5 2 8 5" xfId="20880"/>
    <cellStyle name="Output 2 5 2 8 6" xfId="31725"/>
    <cellStyle name="Output 2 5 2 8 7" xfId="12593"/>
    <cellStyle name="Output 2 5 2 9" xfId="2294"/>
    <cellStyle name="Output 2 5 2 9 2" xfId="5147"/>
    <cellStyle name="Output 2 5 2 9 2 2" xfId="24119"/>
    <cellStyle name="Output 2 5 2 9 2 3" xfId="34964"/>
    <cellStyle name="Output 2 5 2 9 2 4" xfId="14911"/>
    <cellStyle name="Output 2 5 2 9 3" xfId="7818"/>
    <cellStyle name="Output 2 5 2 9 3 2" xfId="26790"/>
    <cellStyle name="Output 2 5 2 9 3 3" xfId="37635"/>
    <cellStyle name="Output 2 5 2 9 3 4" xfId="16824"/>
    <cellStyle name="Output 2 5 2 9 4" xfId="10477"/>
    <cellStyle name="Output 2 5 2 9 4 2" xfId="29449"/>
    <cellStyle name="Output 2 5 2 9 4 3" xfId="40294"/>
    <cellStyle name="Output 2 5 2 9 4 4" xfId="18728"/>
    <cellStyle name="Output 2 5 2 9 5" xfId="21273"/>
    <cellStyle name="Output 2 5 2 9 6" xfId="32118"/>
    <cellStyle name="Output 2 5 2 9 7" xfId="12874"/>
    <cellStyle name="Output 2 5 3" xfId="575"/>
    <cellStyle name="Output 2 5 3 10" xfId="19585"/>
    <cellStyle name="Output 2 5 3 11" xfId="30430"/>
    <cellStyle name="Output 2 5 3 12" xfId="11639"/>
    <cellStyle name="Output 2 5 3 2" xfId="1181"/>
    <cellStyle name="Output 2 5 3 2 2" xfId="4034"/>
    <cellStyle name="Output 2 5 3 2 2 2" xfId="23006"/>
    <cellStyle name="Output 2 5 3 2 2 3" xfId="33851"/>
    <cellStyle name="Output 2 5 3 2 2 4" xfId="14116"/>
    <cellStyle name="Output 2 5 3 2 3" xfId="6707"/>
    <cellStyle name="Output 2 5 3 2 3 2" xfId="25679"/>
    <cellStyle name="Output 2 5 3 2 3 3" xfId="36524"/>
    <cellStyle name="Output 2 5 3 2 3 4" xfId="16031"/>
    <cellStyle name="Output 2 5 3 2 4" xfId="9366"/>
    <cellStyle name="Output 2 5 3 2 4 2" xfId="28338"/>
    <cellStyle name="Output 2 5 3 2 4 3" xfId="39183"/>
    <cellStyle name="Output 2 5 3 2 4 4" xfId="17935"/>
    <cellStyle name="Output 2 5 3 2 5" xfId="20162"/>
    <cellStyle name="Output 2 5 3 2 6" xfId="31007"/>
    <cellStyle name="Output 2 5 3 2 7" xfId="12081"/>
    <cellStyle name="Output 2 5 3 3" xfId="1578"/>
    <cellStyle name="Output 2 5 3 3 2" xfId="4431"/>
    <cellStyle name="Output 2 5 3 3 2 2" xfId="23403"/>
    <cellStyle name="Output 2 5 3 3 2 3" xfId="34248"/>
    <cellStyle name="Output 2 5 3 3 2 4" xfId="14402"/>
    <cellStyle name="Output 2 5 3 3 3" xfId="7103"/>
    <cellStyle name="Output 2 5 3 3 3 2" xfId="26075"/>
    <cellStyle name="Output 2 5 3 3 3 3" xfId="36920"/>
    <cellStyle name="Output 2 5 3 3 3 4" xfId="16316"/>
    <cellStyle name="Output 2 5 3 3 4" xfId="9762"/>
    <cellStyle name="Output 2 5 3 3 4 2" xfId="28734"/>
    <cellStyle name="Output 2 5 3 3 4 3" xfId="39579"/>
    <cellStyle name="Output 2 5 3 3 4 4" xfId="18220"/>
    <cellStyle name="Output 2 5 3 3 5" xfId="20558"/>
    <cellStyle name="Output 2 5 3 3 6" xfId="31403"/>
    <cellStyle name="Output 2 5 3 3 7" xfId="12366"/>
    <cellStyle name="Output 2 5 3 4" xfId="1982"/>
    <cellStyle name="Output 2 5 3 4 2" xfId="4835"/>
    <cellStyle name="Output 2 5 3 4 2 2" xfId="23807"/>
    <cellStyle name="Output 2 5 3 4 2 3" xfId="34652"/>
    <cellStyle name="Output 2 5 3 4 2 4" xfId="14690"/>
    <cellStyle name="Output 2 5 3 4 3" xfId="7507"/>
    <cellStyle name="Output 2 5 3 4 3 2" xfId="26479"/>
    <cellStyle name="Output 2 5 3 4 3 3" xfId="37324"/>
    <cellStyle name="Output 2 5 3 4 3 4" xfId="16604"/>
    <cellStyle name="Output 2 5 3 4 4" xfId="10166"/>
    <cellStyle name="Output 2 5 3 4 4 2" xfId="29138"/>
    <cellStyle name="Output 2 5 3 4 4 3" xfId="39983"/>
    <cellStyle name="Output 2 5 3 4 4 4" xfId="18508"/>
    <cellStyle name="Output 2 5 3 4 5" xfId="20962"/>
    <cellStyle name="Output 2 5 3 4 6" xfId="31807"/>
    <cellStyle name="Output 2 5 3 4 7" xfId="12654"/>
    <cellStyle name="Output 2 5 3 5" xfId="2374"/>
    <cellStyle name="Output 2 5 3 5 2" xfId="5227"/>
    <cellStyle name="Output 2 5 3 5 2 2" xfId="24199"/>
    <cellStyle name="Output 2 5 3 5 2 3" xfId="35044"/>
    <cellStyle name="Output 2 5 3 5 2 4" xfId="14971"/>
    <cellStyle name="Output 2 5 3 5 3" xfId="7898"/>
    <cellStyle name="Output 2 5 3 5 3 2" xfId="26870"/>
    <cellStyle name="Output 2 5 3 5 3 3" xfId="37715"/>
    <cellStyle name="Output 2 5 3 5 3 4" xfId="16884"/>
    <cellStyle name="Output 2 5 3 5 4" xfId="10557"/>
    <cellStyle name="Output 2 5 3 5 4 2" xfId="29529"/>
    <cellStyle name="Output 2 5 3 5 4 3" xfId="40374"/>
    <cellStyle name="Output 2 5 3 5 4 4" xfId="18788"/>
    <cellStyle name="Output 2 5 3 5 5" xfId="21353"/>
    <cellStyle name="Output 2 5 3 5 6" xfId="32198"/>
    <cellStyle name="Output 2 5 3 5 7" xfId="12934"/>
    <cellStyle name="Output 2 5 3 6" xfId="2763"/>
    <cellStyle name="Output 2 5 3 6 2" xfId="5615"/>
    <cellStyle name="Output 2 5 3 6 2 2" xfId="24587"/>
    <cellStyle name="Output 2 5 3 6 2 3" xfId="35432"/>
    <cellStyle name="Output 2 5 3 6 2 4" xfId="15249"/>
    <cellStyle name="Output 2 5 3 6 3" xfId="8286"/>
    <cellStyle name="Output 2 5 3 6 3 2" xfId="27258"/>
    <cellStyle name="Output 2 5 3 6 3 3" xfId="38103"/>
    <cellStyle name="Output 2 5 3 6 3 4" xfId="17162"/>
    <cellStyle name="Output 2 5 3 6 4" xfId="10945"/>
    <cellStyle name="Output 2 5 3 6 4 2" xfId="29917"/>
    <cellStyle name="Output 2 5 3 6 4 3" xfId="40762"/>
    <cellStyle name="Output 2 5 3 6 4 4" xfId="19066"/>
    <cellStyle name="Output 2 5 3 6 5" xfId="21741"/>
    <cellStyle name="Output 2 5 3 6 6" xfId="32586"/>
    <cellStyle name="Output 2 5 3 6 7" xfId="13212"/>
    <cellStyle name="Output 2 5 3 7" xfId="3454"/>
    <cellStyle name="Output 2 5 3 7 2" xfId="22426"/>
    <cellStyle name="Output 2 5 3 7 3" xfId="33271"/>
    <cellStyle name="Output 2 5 3 7 4" xfId="13694"/>
    <cellStyle name="Output 2 5 3 8" xfId="6130"/>
    <cellStyle name="Output 2 5 3 8 2" xfId="25102"/>
    <cellStyle name="Output 2 5 3 8 3" xfId="35947"/>
    <cellStyle name="Output 2 5 3 8 4" xfId="15611"/>
    <cellStyle name="Output 2 5 3 9" xfId="8789"/>
    <cellStyle name="Output 2 5 3 9 2" xfId="27761"/>
    <cellStyle name="Output 2 5 3 9 3" xfId="38606"/>
    <cellStyle name="Output 2 5 3 9 4" xfId="17515"/>
    <cellStyle name="Output 2 5 4" xfId="11466"/>
    <cellStyle name="Output 2 6" xfId="142"/>
    <cellStyle name="Output 2 6 2" xfId="393"/>
    <cellStyle name="Output 2 6 2 10" xfId="2685"/>
    <cellStyle name="Output 2 6 2 10 2" xfId="5537"/>
    <cellStyle name="Output 2 6 2 10 2 2" xfId="24509"/>
    <cellStyle name="Output 2 6 2 10 2 3" xfId="35354"/>
    <cellStyle name="Output 2 6 2 10 2 4" xfId="15191"/>
    <cellStyle name="Output 2 6 2 10 3" xfId="8208"/>
    <cellStyle name="Output 2 6 2 10 3 2" xfId="27180"/>
    <cellStyle name="Output 2 6 2 10 3 3" xfId="38025"/>
    <cellStyle name="Output 2 6 2 10 3 4" xfId="17104"/>
    <cellStyle name="Output 2 6 2 10 4" xfId="10867"/>
    <cellStyle name="Output 2 6 2 10 4 2" xfId="29839"/>
    <cellStyle name="Output 2 6 2 10 4 3" xfId="40684"/>
    <cellStyle name="Output 2 6 2 10 4 4" xfId="19008"/>
    <cellStyle name="Output 2 6 2 10 5" xfId="21663"/>
    <cellStyle name="Output 2 6 2 10 6" xfId="32508"/>
    <cellStyle name="Output 2 6 2 10 7" xfId="13154"/>
    <cellStyle name="Output 2 6 2 11" xfId="3071"/>
    <cellStyle name="Output 2 6 2 11 2" xfId="5922"/>
    <cellStyle name="Output 2 6 2 11 2 2" xfId="24894"/>
    <cellStyle name="Output 2 6 2 11 2 3" xfId="35739"/>
    <cellStyle name="Output 2 6 2 11 2 4" xfId="15467"/>
    <cellStyle name="Output 2 6 2 11 3" xfId="8593"/>
    <cellStyle name="Output 2 6 2 11 3 2" xfId="27565"/>
    <cellStyle name="Output 2 6 2 11 3 3" xfId="38410"/>
    <cellStyle name="Output 2 6 2 11 3 4" xfId="17380"/>
    <cellStyle name="Output 2 6 2 11 4" xfId="11252"/>
    <cellStyle name="Output 2 6 2 11 4 2" xfId="30224"/>
    <cellStyle name="Output 2 6 2 11 4 3" xfId="41069"/>
    <cellStyle name="Output 2 6 2 11 4 4" xfId="19284"/>
    <cellStyle name="Output 2 6 2 11 5" xfId="22048"/>
    <cellStyle name="Output 2 6 2 11 6" xfId="32893"/>
    <cellStyle name="Output 2 6 2 11 7" xfId="13430"/>
    <cellStyle name="Output 2 6 2 12" xfId="3128"/>
    <cellStyle name="Output 2 6 2 12 2" xfId="5979"/>
    <cellStyle name="Output 2 6 2 12 2 2" xfId="24951"/>
    <cellStyle name="Output 2 6 2 12 2 3" xfId="35796"/>
    <cellStyle name="Output 2 6 2 12 2 4" xfId="15504"/>
    <cellStyle name="Output 2 6 2 12 3" xfId="8650"/>
    <cellStyle name="Output 2 6 2 12 3 2" xfId="27622"/>
    <cellStyle name="Output 2 6 2 12 3 3" xfId="38467"/>
    <cellStyle name="Output 2 6 2 12 3 4" xfId="17417"/>
    <cellStyle name="Output 2 6 2 12 4" xfId="11309"/>
    <cellStyle name="Output 2 6 2 12 4 2" xfId="30281"/>
    <cellStyle name="Output 2 6 2 12 4 3" xfId="41126"/>
    <cellStyle name="Output 2 6 2 12 4 4" xfId="19321"/>
    <cellStyle name="Output 2 6 2 12 5" xfId="22105"/>
    <cellStyle name="Output 2 6 2 12 6" xfId="32950"/>
    <cellStyle name="Output 2 6 2 12 7" xfId="13467"/>
    <cellStyle name="Output 2 6 2 13" xfId="3185"/>
    <cellStyle name="Output 2 6 2 13 2" xfId="6036"/>
    <cellStyle name="Output 2 6 2 13 2 2" xfId="25008"/>
    <cellStyle name="Output 2 6 2 13 2 3" xfId="35853"/>
    <cellStyle name="Output 2 6 2 13 2 4" xfId="15541"/>
    <cellStyle name="Output 2 6 2 13 3" xfId="8707"/>
    <cellStyle name="Output 2 6 2 13 3 2" xfId="27679"/>
    <cellStyle name="Output 2 6 2 13 3 3" xfId="38524"/>
    <cellStyle name="Output 2 6 2 13 3 4" xfId="17454"/>
    <cellStyle name="Output 2 6 2 13 4" xfId="11366"/>
    <cellStyle name="Output 2 6 2 13 4 2" xfId="30338"/>
    <cellStyle name="Output 2 6 2 13 4 3" xfId="41183"/>
    <cellStyle name="Output 2 6 2 13 4 4" xfId="19358"/>
    <cellStyle name="Output 2 6 2 13 5" xfId="22162"/>
    <cellStyle name="Output 2 6 2 13 6" xfId="33007"/>
    <cellStyle name="Output 2 6 2 13 7" xfId="13504"/>
    <cellStyle name="Output 2 6 2 14" xfId="3351"/>
    <cellStyle name="Output 2 6 2 14 2" xfId="22325"/>
    <cellStyle name="Output 2 6 2 14 3" xfId="33170"/>
    <cellStyle name="Output 2 6 2 14 4" xfId="13621"/>
    <cellStyle name="Output 2 6 2 15" xfId="3223"/>
    <cellStyle name="Output 2 6 2 15 2" xfId="22200"/>
    <cellStyle name="Output 2 6 2 15 3" xfId="33045"/>
    <cellStyle name="Output 2 6 2 15 4" xfId="13531"/>
    <cellStyle name="Output 2 6 2 16" xfId="3402"/>
    <cellStyle name="Output 2 6 2 16 2" xfId="22374"/>
    <cellStyle name="Output 2 6 2 16 3" xfId="33219"/>
    <cellStyle name="Output 2 6 2 16 4" xfId="13655"/>
    <cellStyle name="Output 2 6 2 17" xfId="19482"/>
    <cellStyle name="Output 2 6 2 18" xfId="19429"/>
    <cellStyle name="Output 2 6 2 19" xfId="11531"/>
    <cellStyle name="Output 2 6 2 2" xfId="693"/>
    <cellStyle name="Output 2 6 2 2 10" xfId="19678"/>
    <cellStyle name="Output 2 6 2 2 11" xfId="30523"/>
    <cellStyle name="Output 2 6 2 2 12" xfId="11735"/>
    <cellStyle name="Output 2 6 2 2 2" xfId="1280"/>
    <cellStyle name="Output 2 6 2 2 2 2" xfId="4133"/>
    <cellStyle name="Output 2 6 2 2 2 2 2" xfId="23105"/>
    <cellStyle name="Output 2 6 2 2 2 2 3" xfId="33950"/>
    <cellStyle name="Output 2 6 2 2 2 2 4" xfId="14196"/>
    <cellStyle name="Output 2 6 2 2 2 3" xfId="6806"/>
    <cellStyle name="Output 2 6 2 2 2 3 2" xfId="25778"/>
    <cellStyle name="Output 2 6 2 2 2 3 3" xfId="36623"/>
    <cellStyle name="Output 2 6 2 2 2 3 4" xfId="16111"/>
    <cellStyle name="Output 2 6 2 2 2 4" xfId="9465"/>
    <cellStyle name="Output 2 6 2 2 2 4 2" xfId="28437"/>
    <cellStyle name="Output 2 6 2 2 2 4 3" xfId="39282"/>
    <cellStyle name="Output 2 6 2 2 2 4 4" xfId="18015"/>
    <cellStyle name="Output 2 6 2 2 2 5" xfId="20261"/>
    <cellStyle name="Output 2 6 2 2 2 6" xfId="31106"/>
    <cellStyle name="Output 2 6 2 2 2 7" xfId="12161"/>
    <cellStyle name="Output 2 6 2 2 3" xfId="1679"/>
    <cellStyle name="Output 2 6 2 2 3 2" xfId="4532"/>
    <cellStyle name="Output 2 6 2 2 3 2 2" xfId="23504"/>
    <cellStyle name="Output 2 6 2 2 3 2 3" xfId="34349"/>
    <cellStyle name="Output 2 6 2 2 3 2 4" xfId="14483"/>
    <cellStyle name="Output 2 6 2 2 3 3" xfId="7204"/>
    <cellStyle name="Output 2 6 2 2 3 3 2" xfId="26176"/>
    <cellStyle name="Output 2 6 2 2 3 3 3" xfId="37021"/>
    <cellStyle name="Output 2 6 2 2 3 3 4" xfId="16397"/>
    <cellStyle name="Output 2 6 2 2 3 4" xfId="9863"/>
    <cellStyle name="Output 2 6 2 2 3 4 2" xfId="28835"/>
    <cellStyle name="Output 2 6 2 2 3 4 3" xfId="39680"/>
    <cellStyle name="Output 2 6 2 2 3 4 4" xfId="18301"/>
    <cellStyle name="Output 2 6 2 2 3 5" xfId="20659"/>
    <cellStyle name="Output 2 6 2 2 3 6" xfId="31504"/>
    <cellStyle name="Output 2 6 2 2 3 7" xfId="12447"/>
    <cellStyle name="Output 2 6 2 2 4" xfId="2083"/>
    <cellStyle name="Output 2 6 2 2 4 2" xfId="4936"/>
    <cellStyle name="Output 2 6 2 2 4 2 2" xfId="23908"/>
    <cellStyle name="Output 2 6 2 2 4 2 3" xfId="34753"/>
    <cellStyle name="Output 2 6 2 2 4 2 4" xfId="14770"/>
    <cellStyle name="Output 2 6 2 2 4 3" xfId="7607"/>
    <cellStyle name="Output 2 6 2 2 4 3 2" xfId="26579"/>
    <cellStyle name="Output 2 6 2 2 4 3 3" xfId="37424"/>
    <cellStyle name="Output 2 6 2 2 4 3 4" xfId="16683"/>
    <cellStyle name="Output 2 6 2 2 4 4" xfId="10266"/>
    <cellStyle name="Output 2 6 2 2 4 4 2" xfId="29238"/>
    <cellStyle name="Output 2 6 2 2 4 4 3" xfId="40083"/>
    <cellStyle name="Output 2 6 2 2 4 4 4" xfId="18587"/>
    <cellStyle name="Output 2 6 2 2 4 5" xfId="21062"/>
    <cellStyle name="Output 2 6 2 2 4 6" xfId="31907"/>
    <cellStyle name="Output 2 6 2 2 4 7" xfId="12733"/>
    <cellStyle name="Output 2 6 2 2 5" xfId="2473"/>
    <cellStyle name="Output 2 6 2 2 5 2" xfId="5325"/>
    <cellStyle name="Output 2 6 2 2 5 2 2" xfId="24297"/>
    <cellStyle name="Output 2 6 2 2 5 2 3" xfId="35142"/>
    <cellStyle name="Output 2 6 2 2 5 2 4" xfId="15049"/>
    <cellStyle name="Output 2 6 2 2 5 3" xfId="7996"/>
    <cellStyle name="Output 2 6 2 2 5 3 2" xfId="26968"/>
    <cellStyle name="Output 2 6 2 2 5 3 3" xfId="37813"/>
    <cellStyle name="Output 2 6 2 2 5 3 4" xfId="16962"/>
    <cellStyle name="Output 2 6 2 2 5 4" xfId="10655"/>
    <cellStyle name="Output 2 6 2 2 5 4 2" xfId="29627"/>
    <cellStyle name="Output 2 6 2 2 5 4 3" xfId="40472"/>
    <cellStyle name="Output 2 6 2 2 5 4 4" xfId="18866"/>
    <cellStyle name="Output 2 6 2 2 5 5" xfId="21451"/>
    <cellStyle name="Output 2 6 2 2 5 6" xfId="32296"/>
    <cellStyle name="Output 2 6 2 2 5 7" xfId="13012"/>
    <cellStyle name="Output 2 6 2 2 6" xfId="2859"/>
    <cellStyle name="Output 2 6 2 2 6 2" xfId="5710"/>
    <cellStyle name="Output 2 6 2 2 6 2 2" xfId="24682"/>
    <cellStyle name="Output 2 6 2 2 6 2 3" xfId="35527"/>
    <cellStyle name="Output 2 6 2 2 6 2 4" xfId="15325"/>
    <cellStyle name="Output 2 6 2 2 6 3" xfId="8381"/>
    <cellStyle name="Output 2 6 2 2 6 3 2" xfId="27353"/>
    <cellStyle name="Output 2 6 2 2 6 3 3" xfId="38198"/>
    <cellStyle name="Output 2 6 2 2 6 3 4" xfId="17238"/>
    <cellStyle name="Output 2 6 2 2 6 4" xfId="11040"/>
    <cellStyle name="Output 2 6 2 2 6 4 2" xfId="30012"/>
    <cellStyle name="Output 2 6 2 2 6 4 3" xfId="40857"/>
    <cellStyle name="Output 2 6 2 2 6 4 4" xfId="19142"/>
    <cellStyle name="Output 2 6 2 2 6 5" xfId="21836"/>
    <cellStyle name="Output 2 6 2 2 6 6" xfId="32681"/>
    <cellStyle name="Output 2 6 2 2 6 7" xfId="13288"/>
    <cellStyle name="Output 2 6 2 2 7" xfId="3548"/>
    <cellStyle name="Output 2 6 2 2 7 2" xfId="22520"/>
    <cellStyle name="Output 2 6 2 2 7 3" xfId="33365"/>
    <cellStyle name="Output 2 6 2 2 7 4" xfId="13769"/>
    <cellStyle name="Output 2 6 2 2 8" xfId="6223"/>
    <cellStyle name="Output 2 6 2 2 8 2" xfId="25195"/>
    <cellStyle name="Output 2 6 2 2 8 3" xfId="36040"/>
    <cellStyle name="Output 2 6 2 2 8 4" xfId="15685"/>
    <cellStyle name="Output 2 6 2 2 9" xfId="8882"/>
    <cellStyle name="Output 2 6 2 2 9 2" xfId="27854"/>
    <cellStyle name="Output 2 6 2 2 9 3" xfId="38699"/>
    <cellStyle name="Output 2 6 2 2 9 4" xfId="17589"/>
    <cellStyle name="Output 2 6 2 3" xfId="753"/>
    <cellStyle name="Output 2 6 2 3 10" xfId="19738"/>
    <cellStyle name="Output 2 6 2 3 11" xfId="30583"/>
    <cellStyle name="Output 2 6 2 3 12" xfId="11775"/>
    <cellStyle name="Output 2 6 2 3 2" xfId="1340"/>
    <cellStyle name="Output 2 6 2 3 2 2" xfId="4193"/>
    <cellStyle name="Output 2 6 2 3 2 2 2" xfId="23165"/>
    <cellStyle name="Output 2 6 2 3 2 2 3" xfId="34010"/>
    <cellStyle name="Output 2 6 2 3 2 2 4" xfId="14236"/>
    <cellStyle name="Output 2 6 2 3 2 3" xfId="6866"/>
    <cellStyle name="Output 2 6 2 3 2 3 2" xfId="25838"/>
    <cellStyle name="Output 2 6 2 3 2 3 3" xfId="36683"/>
    <cellStyle name="Output 2 6 2 3 2 3 4" xfId="16151"/>
    <cellStyle name="Output 2 6 2 3 2 4" xfId="9525"/>
    <cellStyle name="Output 2 6 2 3 2 4 2" xfId="28497"/>
    <cellStyle name="Output 2 6 2 3 2 4 3" xfId="39342"/>
    <cellStyle name="Output 2 6 2 3 2 4 4" xfId="18055"/>
    <cellStyle name="Output 2 6 2 3 2 5" xfId="20321"/>
    <cellStyle name="Output 2 6 2 3 2 6" xfId="31166"/>
    <cellStyle name="Output 2 6 2 3 2 7" xfId="12201"/>
    <cellStyle name="Output 2 6 2 3 3" xfId="1739"/>
    <cellStyle name="Output 2 6 2 3 3 2" xfId="4592"/>
    <cellStyle name="Output 2 6 2 3 3 2 2" xfId="23564"/>
    <cellStyle name="Output 2 6 2 3 3 2 3" xfId="34409"/>
    <cellStyle name="Output 2 6 2 3 3 2 4" xfId="14523"/>
    <cellStyle name="Output 2 6 2 3 3 3" xfId="7264"/>
    <cellStyle name="Output 2 6 2 3 3 3 2" xfId="26236"/>
    <cellStyle name="Output 2 6 2 3 3 3 3" xfId="37081"/>
    <cellStyle name="Output 2 6 2 3 3 3 4" xfId="16437"/>
    <cellStyle name="Output 2 6 2 3 3 4" xfId="9923"/>
    <cellStyle name="Output 2 6 2 3 3 4 2" xfId="28895"/>
    <cellStyle name="Output 2 6 2 3 3 4 3" xfId="39740"/>
    <cellStyle name="Output 2 6 2 3 3 4 4" xfId="18341"/>
    <cellStyle name="Output 2 6 2 3 3 5" xfId="20719"/>
    <cellStyle name="Output 2 6 2 3 3 6" xfId="31564"/>
    <cellStyle name="Output 2 6 2 3 3 7" xfId="12487"/>
    <cellStyle name="Output 2 6 2 3 4" xfId="2143"/>
    <cellStyle name="Output 2 6 2 3 4 2" xfId="4996"/>
    <cellStyle name="Output 2 6 2 3 4 2 2" xfId="23968"/>
    <cellStyle name="Output 2 6 2 3 4 2 3" xfId="34813"/>
    <cellStyle name="Output 2 6 2 3 4 2 4" xfId="14810"/>
    <cellStyle name="Output 2 6 2 3 4 3" xfId="7667"/>
    <cellStyle name="Output 2 6 2 3 4 3 2" xfId="26639"/>
    <cellStyle name="Output 2 6 2 3 4 3 3" xfId="37484"/>
    <cellStyle name="Output 2 6 2 3 4 3 4" xfId="16723"/>
    <cellStyle name="Output 2 6 2 3 4 4" xfId="10326"/>
    <cellStyle name="Output 2 6 2 3 4 4 2" xfId="29298"/>
    <cellStyle name="Output 2 6 2 3 4 4 3" xfId="40143"/>
    <cellStyle name="Output 2 6 2 3 4 4 4" xfId="18627"/>
    <cellStyle name="Output 2 6 2 3 4 5" xfId="21122"/>
    <cellStyle name="Output 2 6 2 3 4 6" xfId="31967"/>
    <cellStyle name="Output 2 6 2 3 4 7" xfId="12773"/>
    <cellStyle name="Output 2 6 2 3 5" xfId="2533"/>
    <cellStyle name="Output 2 6 2 3 5 2" xfId="5385"/>
    <cellStyle name="Output 2 6 2 3 5 2 2" xfId="24357"/>
    <cellStyle name="Output 2 6 2 3 5 2 3" xfId="35202"/>
    <cellStyle name="Output 2 6 2 3 5 2 4" xfId="15089"/>
    <cellStyle name="Output 2 6 2 3 5 3" xfId="8056"/>
    <cellStyle name="Output 2 6 2 3 5 3 2" xfId="27028"/>
    <cellStyle name="Output 2 6 2 3 5 3 3" xfId="37873"/>
    <cellStyle name="Output 2 6 2 3 5 3 4" xfId="17002"/>
    <cellStyle name="Output 2 6 2 3 5 4" xfId="10715"/>
    <cellStyle name="Output 2 6 2 3 5 4 2" xfId="29687"/>
    <cellStyle name="Output 2 6 2 3 5 4 3" xfId="40532"/>
    <cellStyle name="Output 2 6 2 3 5 4 4" xfId="18906"/>
    <cellStyle name="Output 2 6 2 3 5 5" xfId="21511"/>
    <cellStyle name="Output 2 6 2 3 5 6" xfId="32356"/>
    <cellStyle name="Output 2 6 2 3 5 7" xfId="13052"/>
    <cellStyle name="Output 2 6 2 3 6" xfId="2919"/>
    <cellStyle name="Output 2 6 2 3 6 2" xfId="5770"/>
    <cellStyle name="Output 2 6 2 3 6 2 2" xfId="24742"/>
    <cellStyle name="Output 2 6 2 3 6 2 3" xfId="35587"/>
    <cellStyle name="Output 2 6 2 3 6 2 4" xfId="15365"/>
    <cellStyle name="Output 2 6 2 3 6 3" xfId="8441"/>
    <cellStyle name="Output 2 6 2 3 6 3 2" xfId="27413"/>
    <cellStyle name="Output 2 6 2 3 6 3 3" xfId="38258"/>
    <cellStyle name="Output 2 6 2 3 6 3 4" xfId="17278"/>
    <cellStyle name="Output 2 6 2 3 6 4" xfId="11100"/>
    <cellStyle name="Output 2 6 2 3 6 4 2" xfId="30072"/>
    <cellStyle name="Output 2 6 2 3 6 4 3" xfId="40917"/>
    <cellStyle name="Output 2 6 2 3 6 4 4" xfId="19182"/>
    <cellStyle name="Output 2 6 2 3 6 5" xfId="21896"/>
    <cellStyle name="Output 2 6 2 3 6 6" xfId="32741"/>
    <cellStyle name="Output 2 6 2 3 6 7" xfId="13328"/>
    <cellStyle name="Output 2 6 2 3 7" xfId="3608"/>
    <cellStyle name="Output 2 6 2 3 7 2" xfId="22580"/>
    <cellStyle name="Output 2 6 2 3 7 3" xfId="33425"/>
    <cellStyle name="Output 2 6 2 3 7 4" xfId="13809"/>
    <cellStyle name="Output 2 6 2 3 8" xfId="6283"/>
    <cellStyle name="Output 2 6 2 3 8 2" xfId="25255"/>
    <cellStyle name="Output 2 6 2 3 8 3" xfId="36100"/>
    <cellStyle name="Output 2 6 2 3 8 4" xfId="15725"/>
    <cellStyle name="Output 2 6 2 3 9" xfId="8942"/>
    <cellStyle name="Output 2 6 2 3 9 2" xfId="27914"/>
    <cellStyle name="Output 2 6 2 3 9 3" xfId="38759"/>
    <cellStyle name="Output 2 6 2 3 9 4" xfId="17629"/>
    <cellStyle name="Output 2 6 2 4" xfId="813"/>
    <cellStyle name="Output 2 6 2 4 10" xfId="19798"/>
    <cellStyle name="Output 2 6 2 4 11" xfId="30643"/>
    <cellStyle name="Output 2 6 2 4 12" xfId="11815"/>
    <cellStyle name="Output 2 6 2 4 2" xfId="1400"/>
    <cellStyle name="Output 2 6 2 4 2 2" xfId="4253"/>
    <cellStyle name="Output 2 6 2 4 2 2 2" xfId="23225"/>
    <cellStyle name="Output 2 6 2 4 2 2 3" xfId="34070"/>
    <cellStyle name="Output 2 6 2 4 2 2 4" xfId="14276"/>
    <cellStyle name="Output 2 6 2 4 2 3" xfId="6926"/>
    <cellStyle name="Output 2 6 2 4 2 3 2" xfId="25898"/>
    <cellStyle name="Output 2 6 2 4 2 3 3" xfId="36743"/>
    <cellStyle name="Output 2 6 2 4 2 3 4" xfId="16191"/>
    <cellStyle name="Output 2 6 2 4 2 4" xfId="9585"/>
    <cellStyle name="Output 2 6 2 4 2 4 2" xfId="28557"/>
    <cellStyle name="Output 2 6 2 4 2 4 3" xfId="39402"/>
    <cellStyle name="Output 2 6 2 4 2 4 4" xfId="18095"/>
    <cellStyle name="Output 2 6 2 4 2 5" xfId="20381"/>
    <cellStyle name="Output 2 6 2 4 2 6" xfId="31226"/>
    <cellStyle name="Output 2 6 2 4 2 7" xfId="12241"/>
    <cellStyle name="Output 2 6 2 4 3" xfId="1799"/>
    <cellStyle name="Output 2 6 2 4 3 2" xfId="4652"/>
    <cellStyle name="Output 2 6 2 4 3 2 2" xfId="23624"/>
    <cellStyle name="Output 2 6 2 4 3 2 3" xfId="34469"/>
    <cellStyle name="Output 2 6 2 4 3 2 4" xfId="14563"/>
    <cellStyle name="Output 2 6 2 4 3 3" xfId="7324"/>
    <cellStyle name="Output 2 6 2 4 3 3 2" xfId="26296"/>
    <cellStyle name="Output 2 6 2 4 3 3 3" xfId="37141"/>
    <cellStyle name="Output 2 6 2 4 3 3 4" xfId="16477"/>
    <cellStyle name="Output 2 6 2 4 3 4" xfId="9983"/>
    <cellStyle name="Output 2 6 2 4 3 4 2" xfId="28955"/>
    <cellStyle name="Output 2 6 2 4 3 4 3" xfId="39800"/>
    <cellStyle name="Output 2 6 2 4 3 4 4" xfId="18381"/>
    <cellStyle name="Output 2 6 2 4 3 5" xfId="20779"/>
    <cellStyle name="Output 2 6 2 4 3 6" xfId="31624"/>
    <cellStyle name="Output 2 6 2 4 3 7" xfId="12527"/>
    <cellStyle name="Output 2 6 2 4 4" xfId="2203"/>
    <cellStyle name="Output 2 6 2 4 4 2" xfId="5056"/>
    <cellStyle name="Output 2 6 2 4 4 2 2" xfId="24028"/>
    <cellStyle name="Output 2 6 2 4 4 2 3" xfId="34873"/>
    <cellStyle name="Output 2 6 2 4 4 2 4" xfId="14850"/>
    <cellStyle name="Output 2 6 2 4 4 3" xfId="7727"/>
    <cellStyle name="Output 2 6 2 4 4 3 2" xfId="26699"/>
    <cellStyle name="Output 2 6 2 4 4 3 3" xfId="37544"/>
    <cellStyle name="Output 2 6 2 4 4 3 4" xfId="16763"/>
    <cellStyle name="Output 2 6 2 4 4 4" xfId="10386"/>
    <cellStyle name="Output 2 6 2 4 4 4 2" xfId="29358"/>
    <cellStyle name="Output 2 6 2 4 4 4 3" xfId="40203"/>
    <cellStyle name="Output 2 6 2 4 4 4 4" xfId="18667"/>
    <cellStyle name="Output 2 6 2 4 4 5" xfId="21182"/>
    <cellStyle name="Output 2 6 2 4 4 6" xfId="32027"/>
    <cellStyle name="Output 2 6 2 4 4 7" xfId="12813"/>
    <cellStyle name="Output 2 6 2 4 5" xfId="2593"/>
    <cellStyle name="Output 2 6 2 4 5 2" xfId="5445"/>
    <cellStyle name="Output 2 6 2 4 5 2 2" xfId="24417"/>
    <cellStyle name="Output 2 6 2 4 5 2 3" xfId="35262"/>
    <cellStyle name="Output 2 6 2 4 5 2 4" xfId="15129"/>
    <cellStyle name="Output 2 6 2 4 5 3" xfId="8116"/>
    <cellStyle name="Output 2 6 2 4 5 3 2" xfId="27088"/>
    <cellStyle name="Output 2 6 2 4 5 3 3" xfId="37933"/>
    <cellStyle name="Output 2 6 2 4 5 3 4" xfId="17042"/>
    <cellStyle name="Output 2 6 2 4 5 4" xfId="10775"/>
    <cellStyle name="Output 2 6 2 4 5 4 2" xfId="29747"/>
    <cellStyle name="Output 2 6 2 4 5 4 3" xfId="40592"/>
    <cellStyle name="Output 2 6 2 4 5 4 4" xfId="18946"/>
    <cellStyle name="Output 2 6 2 4 5 5" xfId="21571"/>
    <cellStyle name="Output 2 6 2 4 5 6" xfId="32416"/>
    <cellStyle name="Output 2 6 2 4 5 7" xfId="13092"/>
    <cellStyle name="Output 2 6 2 4 6" xfId="2979"/>
    <cellStyle name="Output 2 6 2 4 6 2" xfId="5830"/>
    <cellStyle name="Output 2 6 2 4 6 2 2" xfId="24802"/>
    <cellStyle name="Output 2 6 2 4 6 2 3" xfId="35647"/>
    <cellStyle name="Output 2 6 2 4 6 2 4" xfId="15405"/>
    <cellStyle name="Output 2 6 2 4 6 3" xfId="8501"/>
    <cellStyle name="Output 2 6 2 4 6 3 2" xfId="27473"/>
    <cellStyle name="Output 2 6 2 4 6 3 3" xfId="38318"/>
    <cellStyle name="Output 2 6 2 4 6 3 4" xfId="17318"/>
    <cellStyle name="Output 2 6 2 4 6 4" xfId="11160"/>
    <cellStyle name="Output 2 6 2 4 6 4 2" xfId="30132"/>
    <cellStyle name="Output 2 6 2 4 6 4 3" xfId="40977"/>
    <cellStyle name="Output 2 6 2 4 6 4 4" xfId="19222"/>
    <cellStyle name="Output 2 6 2 4 6 5" xfId="21956"/>
    <cellStyle name="Output 2 6 2 4 6 6" xfId="32801"/>
    <cellStyle name="Output 2 6 2 4 6 7" xfId="13368"/>
    <cellStyle name="Output 2 6 2 4 7" xfId="3668"/>
    <cellStyle name="Output 2 6 2 4 7 2" xfId="22640"/>
    <cellStyle name="Output 2 6 2 4 7 3" xfId="33485"/>
    <cellStyle name="Output 2 6 2 4 7 4" xfId="13849"/>
    <cellStyle name="Output 2 6 2 4 8" xfId="6343"/>
    <cellStyle name="Output 2 6 2 4 8 2" xfId="25315"/>
    <cellStyle name="Output 2 6 2 4 8 3" xfId="36160"/>
    <cellStyle name="Output 2 6 2 4 8 4" xfId="15765"/>
    <cellStyle name="Output 2 6 2 4 9" xfId="9002"/>
    <cellStyle name="Output 2 6 2 4 9 2" xfId="27974"/>
    <cellStyle name="Output 2 6 2 4 9 3" xfId="38819"/>
    <cellStyle name="Output 2 6 2 4 9 4" xfId="17669"/>
    <cellStyle name="Output 2 6 2 5" xfId="872"/>
    <cellStyle name="Output 2 6 2 5 10" xfId="19857"/>
    <cellStyle name="Output 2 6 2 5 11" xfId="30702"/>
    <cellStyle name="Output 2 6 2 5 12" xfId="11854"/>
    <cellStyle name="Output 2 6 2 5 2" xfId="1459"/>
    <cellStyle name="Output 2 6 2 5 2 2" xfId="4312"/>
    <cellStyle name="Output 2 6 2 5 2 2 2" xfId="23284"/>
    <cellStyle name="Output 2 6 2 5 2 2 3" xfId="34129"/>
    <cellStyle name="Output 2 6 2 5 2 2 4" xfId="14315"/>
    <cellStyle name="Output 2 6 2 5 2 3" xfId="6985"/>
    <cellStyle name="Output 2 6 2 5 2 3 2" xfId="25957"/>
    <cellStyle name="Output 2 6 2 5 2 3 3" xfId="36802"/>
    <cellStyle name="Output 2 6 2 5 2 3 4" xfId="16230"/>
    <cellStyle name="Output 2 6 2 5 2 4" xfId="9644"/>
    <cellStyle name="Output 2 6 2 5 2 4 2" xfId="28616"/>
    <cellStyle name="Output 2 6 2 5 2 4 3" xfId="39461"/>
    <cellStyle name="Output 2 6 2 5 2 4 4" xfId="18134"/>
    <cellStyle name="Output 2 6 2 5 2 5" xfId="20440"/>
    <cellStyle name="Output 2 6 2 5 2 6" xfId="31285"/>
    <cellStyle name="Output 2 6 2 5 2 7" xfId="12280"/>
    <cellStyle name="Output 2 6 2 5 3" xfId="1858"/>
    <cellStyle name="Output 2 6 2 5 3 2" xfId="4711"/>
    <cellStyle name="Output 2 6 2 5 3 2 2" xfId="23683"/>
    <cellStyle name="Output 2 6 2 5 3 2 3" xfId="34528"/>
    <cellStyle name="Output 2 6 2 5 3 2 4" xfId="14602"/>
    <cellStyle name="Output 2 6 2 5 3 3" xfId="7383"/>
    <cellStyle name="Output 2 6 2 5 3 3 2" xfId="26355"/>
    <cellStyle name="Output 2 6 2 5 3 3 3" xfId="37200"/>
    <cellStyle name="Output 2 6 2 5 3 3 4" xfId="16516"/>
    <cellStyle name="Output 2 6 2 5 3 4" xfId="10042"/>
    <cellStyle name="Output 2 6 2 5 3 4 2" xfId="29014"/>
    <cellStyle name="Output 2 6 2 5 3 4 3" xfId="39859"/>
    <cellStyle name="Output 2 6 2 5 3 4 4" xfId="18420"/>
    <cellStyle name="Output 2 6 2 5 3 5" xfId="20838"/>
    <cellStyle name="Output 2 6 2 5 3 6" xfId="31683"/>
    <cellStyle name="Output 2 6 2 5 3 7" xfId="12566"/>
    <cellStyle name="Output 2 6 2 5 4" xfId="2262"/>
    <cellStyle name="Output 2 6 2 5 4 2" xfId="5115"/>
    <cellStyle name="Output 2 6 2 5 4 2 2" xfId="24087"/>
    <cellStyle name="Output 2 6 2 5 4 2 3" xfId="34932"/>
    <cellStyle name="Output 2 6 2 5 4 2 4" xfId="14889"/>
    <cellStyle name="Output 2 6 2 5 4 3" xfId="7786"/>
    <cellStyle name="Output 2 6 2 5 4 3 2" xfId="26758"/>
    <cellStyle name="Output 2 6 2 5 4 3 3" xfId="37603"/>
    <cellStyle name="Output 2 6 2 5 4 3 4" xfId="16802"/>
    <cellStyle name="Output 2 6 2 5 4 4" xfId="10445"/>
    <cellStyle name="Output 2 6 2 5 4 4 2" xfId="29417"/>
    <cellStyle name="Output 2 6 2 5 4 4 3" xfId="40262"/>
    <cellStyle name="Output 2 6 2 5 4 4 4" xfId="18706"/>
    <cellStyle name="Output 2 6 2 5 4 5" xfId="21241"/>
    <cellStyle name="Output 2 6 2 5 4 6" xfId="32086"/>
    <cellStyle name="Output 2 6 2 5 4 7" xfId="12852"/>
    <cellStyle name="Output 2 6 2 5 5" xfId="2652"/>
    <cellStyle name="Output 2 6 2 5 5 2" xfId="5504"/>
    <cellStyle name="Output 2 6 2 5 5 2 2" xfId="24476"/>
    <cellStyle name="Output 2 6 2 5 5 2 3" xfId="35321"/>
    <cellStyle name="Output 2 6 2 5 5 2 4" xfId="15168"/>
    <cellStyle name="Output 2 6 2 5 5 3" xfId="8175"/>
    <cellStyle name="Output 2 6 2 5 5 3 2" xfId="27147"/>
    <cellStyle name="Output 2 6 2 5 5 3 3" xfId="37992"/>
    <cellStyle name="Output 2 6 2 5 5 3 4" xfId="17081"/>
    <cellStyle name="Output 2 6 2 5 5 4" xfId="10834"/>
    <cellStyle name="Output 2 6 2 5 5 4 2" xfId="29806"/>
    <cellStyle name="Output 2 6 2 5 5 4 3" xfId="40651"/>
    <cellStyle name="Output 2 6 2 5 5 4 4" xfId="18985"/>
    <cellStyle name="Output 2 6 2 5 5 5" xfId="21630"/>
    <cellStyle name="Output 2 6 2 5 5 6" xfId="32475"/>
    <cellStyle name="Output 2 6 2 5 5 7" xfId="13131"/>
    <cellStyle name="Output 2 6 2 5 6" xfId="3038"/>
    <cellStyle name="Output 2 6 2 5 6 2" xfId="5889"/>
    <cellStyle name="Output 2 6 2 5 6 2 2" xfId="24861"/>
    <cellStyle name="Output 2 6 2 5 6 2 3" xfId="35706"/>
    <cellStyle name="Output 2 6 2 5 6 2 4" xfId="15444"/>
    <cellStyle name="Output 2 6 2 5 6 3" xfId="8560"/>
    <cellStyle name="Output 2 6 2 5 6 3 2" xfId="27532"/>
    <cellStyle name="Output 2 6 2 5 6 3 3" xfId="38377"/>
    <cellStyle name="Output 2 6 2 5 6 3 4" xfId="17357"/>
    <cellStyle name="Output 2 6 2 5 6 4" xfId="11219"/>
    <cellStyle name="Output 2 6 2 5 6 4 2" xfId="30191"/>
    <cellStyle name="Output 2 6 2 5 6 4 3" xfId="41036"/>
    <cellStyle name="Output 2 6 2 5 6 4 4" xfId="19261"/>
    <cellStyle name="Output 2 6 2 5 6 5" xfId="22015"/>
    <cellStyle name="Output 2 6 2 5 6 6" xfId="32860"/>
    <cellStyle name="Output 2 6 2 5 6 7" xfId="13407"/>
    <cellStyle name="Output 2 6 2 5 7" xfId="3727"/>
    <cellStyle name="Output 2 6 2 5 7 2" xfId="22699"/>
    <cellStyle name="Output 2 6 2 5 7 3" xfId="33544"/>
    <cellStyle name="Output 2 6 2 5 7 4" xfId="13888"/>
    <cellStyle name="Output 2 6 2 5 8" xfId="6402"/>
    <cellStyle name="Output 2 6 2 5 8 2" xfId="25374"/>
    <cellStyle name="Output 2 6 2 5 8 3" xfId="36219"/>
    <cellStyle name="Output 2 6 2 5 8 4" xfId="15804"/>
    <cellStyle name="Output 2 6 2 5 9" xfId="9061"/>
    <cellStyle name="Output 2 6 2 5 9 2" xfId="28033"/>
    <cellStyle name="Output 2 6 2 5 9 3" xfId="38878"/>
    <cellStyle name="Output 2 6 2 5 9 4" xfId="17708"/>
    <cellStyle name="Output 2 6 2 6" xfId="1094"/>
    <cellStyle name="Output 2 6 2 6 2" xfId="3947"/>
    <cellStyle name="Output 2 6 2 6 2 2" xfId="22919"/>
    <cellStyle name="Output 2 6 2 6 2 3" xfId="33764"/>
    <cellStyle name="Output 2 6 2 6 2 4" xfId="14050"/>
    <cellStyle name="Output 2 6 2 6 3" xfId="6621"/>
    <cellStyle name="Output 2 6 2 6 3 2" xfId="25593"/>
    <cellStyle name="Output 2 6 2 6 3 3" xfId="36438"/>
    <cellStyle name="Output 2 6 2 6 3 4" xfId="15966"/>
    <cellStyle name="Output 2 6 2 6 4" xfId="9280"/>
    <cellStyle name="Output 2 6 2 6 4 2" xfId="28252"/>
    <cellStyle name="Output 2 6 2 6 4 3" xfId="39097"/>
    <cellStyle name="Output 2 6 2 6 4 4" xfId="17870"/>
    <cellStyle name="Output 2 6 2 6 5" xfId="20076"/>
    <cellStyle name="Output 2 6 2 6 6" xfId="30921"/>
    <cellStyle name="Output 2 6 2 6 7" xfId="12016"/>
    <cellStyle name="Output 2 6 2 7" xfId="1493"/>
    <cellStyle name="Output 2 6 2 7 2" xfId="4346"/>
    <cellStyle name="Output 2 6 2 7 2 2" xfId="23318"/>
    <cellStyle name="Output 2 6 2 7 2 3" xfId="34163"/>
    <cellStyle name="Output 2 6 2 7 2 4" xfId="14339"/>
    <cellStyle name="Output 2 6 2 7 3" xfId="7019"/>
    <cellStyle name="Output 2 6 2 7 3 2" xfId="25991"/>
    <cellStyle name="Output 2 6 2 7 3 3" xfId="36836"/>
    <cellStyle name="Output 2 6 2 7 3 4" xfId="16254"/>
    <cellStyle name="Output 2 6 2 7 4" xfId="9678"/>
    <cellStyle name="Output 2 6 2 7 4 2" xfId="28650"/>
    <cellStyle name="Output 2 6 2 7 4 3" xfId="39495"/>
    <cellStyle name="Output 2 6 2 7 4 4" xfId="18158"/>
    <cellStyle name="Output 2 6 2 7 5" xfId="20474"/>
    <cellStyle name="Output 2 6 2 7 6" xfId="31319"/>
    <cellStyle name="Output 2 6 2 7 7" xfId="12304"/>
    <cellStyle name="Output 2 6 2 8" xfId="1901"/>
    <cellStyle name="Output 2 6 2 8 2" xfId="4754"/>
    <cellStyle name="Output 2 6 2 8 2 2" xfId="23726"/>
    <cellStyle name="Output 2 6 2 8 2 3" xfId="34571"/>
    <cellStyle name="Output 2 6 2 8 2 4" xfId="14630"/>
    <cellStyle name="Output 2 6 2 8 3" xfId="7426"/>
    <cellStyle name="Output 2 6 2 8 3 2" xfId="26398"/>
    <cellStyle name="Output 2 6 2 8 3 3" xfId="37243"/>
    <cellStyle name="Output 2 6 2 8 3 4" xfId="16544"/>
    <cellStyle name="Output 2 6 2 8 4" xfId="10085"/>
    <cellStyle name="Output 2 6 2 8 4 2" xfId="29057"/>
    <cellStyle name="Output 2 6 2 8 4 3" xfId="39902"/>
    <cellStyle name="Output 2 6 2 8 4 4" xfId="18448"/>
    <cellStyle name="Output 2 6 2 8 5" xfId="20881"/>
    <cellStyle name="Output 2 6 2 8 6" xfId="31726"/>
    <cellStyle name="Output 2 6 2 8 7" xfId="12594"/>
    <cellStyle name="Output 2 6 2 9" xfId="2295"/>
    <cellStyle name="Output 2 6 2 9 2" xfId="5148"/>
    <cellStyle name="Output 2 6 2 9 2 2" xfId="24120"/>
    <cellStyle name="Output 2 6 2 9 2 3" xfId="34965"/>
    <cellStyle name="Output 2 6 2 9 2 4" xfId="14912"/>
    <cellStyle name="Output 2 6 2 9 3" xfId="7819"/>
    <cellStyle name="Output 2 6 2 9 3 2" xfId="26791"/>
    <cellStyle name="Output 2 6 2 9 3 3" xfId="37636"/>
    <cellStyle name="Output 2 6 2 9 3 4" xfId="16825"/>
    <cellStyle name="Output 2 6 2 9 4" xfId="10478"/>
    <cellStyle name="Output 2 6 2 9 4 2" xfId="29450"/>
    <cellStyle name="Output 2 6 2 9 4 3" xfId="40295"/>
    <cellStyle name="Output 2 6 2 9 4 4" xfId="18729"/>
    <cellStyle name="Output 2 6 2 9 5" xfId="21274"/>
    <cellStyle name="Output 2 6 2 9 6" xfId="32119"/>
    <cellStyle name="Output 2 6 2 9 7" xfId="12875"/>
    <cellStyle name="Output 2 6 3" xfId="576"/>
    <cellStyle name="Output 2 6 3 10" xfId="19586"/>
    <cellStyle name="Output 2 6 3 11" xfId="30431"/>
    <cellStyle name="Output 2 6 3 12" xfId="11640"/>
    <cellStyle name="Output 2 6 3 2" xfId="1182"/>
    <cellStyle name="Output 2 6 3 2 2" xfId="4035"/>
    <cellStyle name="Output 2 6 3 2 2 2" xfId="23007"/>
    <cellStyle name="Output 2 6 3 2 2 3" xfId="33852"/>
    <cellStyle name="Output 2 6 3 2 2 4" xfId="14117"/>
    <cellStyle name="Output 2 6 3 2 3" xfId="6708"/>
    <cellStyle name="Output 2 6 3 2 3 2" xfId="25680"/>
    <cellStyle name="Output 2 6 3 2 3 3" xfId="36525"/>
    <cellStyle name="Output 2 6 3 2 3 4" xfId="16032"/>
    <cellStyle name="Output 2 6 3 2 4" xfId="9367"/>
    <cellStyle name="Output 2 6 3 2 4 2" xfId="28339"/>
    <cellStyle name="Output 2 6 3 2 4 3" xfId="39184"/>
    <cellStyle name="Output 2 6 3 2 4 4" xfId="17936"/>
    <cellStyle name="Output 2 6 3 2 5" xfId="20163"/>
    <cellStyle name="Output 2 6 3 2 6" xfId="31008"/>
    <cellStyle name="Output 2 6 3 2 7" xfId="12082"/>
    <cellStyle name="Output 2 6 3 3" xfId="1579"/>
    <cellStyle name="Output 2 6 3 3 2" xfId="4432"/>
    <cellStyle name="Output 2 6 3 3 2 2" xfId="23404"/>
    <cellStyle name="Output 2 6 3 3 2 3" xfId="34249"/>
    <cellStyle name="Output 2 6 3 3 2 4" xfId="14403"/>
    <cellStyle name="Output 2 6 3 3 3" xfId="7104"/>
    <cellStyle name="Output 2 6 3 3 3 2" xfId="26076"/>
    <cellStyle name="Output 2 6 3 3 3 3" xfId="36921"/>
    <cellStyle name="Output 2 6 3 3 3 4" xfId="16317"/>
    <cellStyle name="Output 2 6 3 3 4" xfId="9763"/>
    <cellStyle name="Output 2 6 3 3 4 2" xfId="28735"/>
    <cellStyle name="Output 2 6 3 3 4 3" xfId="39580"/>
    <cellStyle name="Output 2 6 3 3 4 4" xfId="18221"/>
    <cellStyle name="Output 2 6 3 3 5" xfId="20559"/>
    <cellStyle name="Output 2 6 3 3 6" xfId="31404"/>
    <cellStyle name="Output 2 6 3 3 7" xfId="12367"/>
    <cellStyle name="Output 2 6 3 4" xfId="1983"/>
    <cellStyle name="Output 2 6 3 4 2" xfId="4836"/>
    <cellStyle name="Output 2 6 3 4 2 2" xfId="23808"/>
    <cellStyle name="Output 2 6 3 4 2 3" xfId="34653"/>
    <cellStyle name="Output 2 6 3 4 2 4" xfId="14691"/>
    <cellStyle name="Output 2 6 3 4 3" xfId="7508"/>
    <cellStyle name="Output 2 6 3 4 3 2" xfId="26480"/>
    <cellStyle name="Output 2 6 3 4 3 3" xfId="37325"/>
    <cellStyle name="Output 2 6 3 4 3 4" xfId="16605"/>
    <cellStyle name="Output 2 6 3 4 4" xfId="10167"/>
    <cellStyle name="Output 2 6 3 4 4 2" xfId="29139"/>
    <cellStyle name="Output 2 6 3 4 4 3" xfId="39984"/>
    <cellStyle name="Output 2 6 3 4 4 4" xfId="18509"/>
    <cellStyle name="Output 2 6 3 4 5" xfId="20963"/>
    <cellStyle name="Output 2 6 3 4 6" xfId="31808"/>
    <cellStyle name="Output 2 6 3 4 7" xfId="12655"/>
    <cellStyle name="Output 2 6 3 5" xfId="2375"/>
    <cellStyle name="Output 2 6 3 5 2" xfId="5228"/>
    <cellStyle name="Output 2 6 3 5 2 2" xfId="24200"/>
    <cellStyle name="Output 2 6 3 5 2 3" xfId="35045"/>
    <cellStyle name="Output 2 6 3 5 2 4" xfId="14972"/>
    <cellStyle name="Output 2 6 3 5 3" xfId="7899"/>
    <cellStyle name="Output 2 6 3 5 3 2" xfId="26871"/>
    <cellStyle name="Output 2 6 3 5 3 3" xfId="37716"/>
    <cellStyle name="Output 2 6 3 5 3 4" xfId="16885"/>
    <cellStyle name="Output 2 6 3 5 4" xfId="10558"/>
    <cellStyle name="Output 2 6 3 5 4 2" xfId="29530"/>
    <cellStyle name="Output 2 6 3 5 4 3" xfId="40375"/>
    <cellStyle name="Output 2 6 3 5 4 4" xfId="18789"/>
    <cellStyle name="Output 2 6 3 5 5" xfId="21354"/>
    <cellStyle name="Output 2 6 3 5 6" xfId="32199"/>
    <cellStyle name="Output 2 6 3 5 7" xfId="12935"/>
    <cellStyle name="Output 2 6 3 6" xfId="2764"/>
    <cellStyle name="Output 2 6 3 6 2" xfId="5616"/>
    <cellStyle name="Output 2 6 3 6 2 2" xfId="24588"/>
    <cellStyle name="Output 2 6 3 6 2 3" xfId="35433"/>
    <cellStyle name="Output 2 6 3 6 2 4" xfId="15250"/>
    <cellStyle name="Output 2 6 3 6 3" xfId="8287"/>
    <cellStyle name="Output 2 6 3 6 3 2" xfId="27259"/>
    <cellStyle name="Output 2 6 3 6 3 3" xfId="38104"/>
    <cellStyle name="Output 2 6 3 6 3 4" xfId="17163"/>
    <cellStyle name="Output 2 6 3 6 4" xfId="10946"/>
    <cellStyle name="Output 2 6 3 6 4 2" xfId="29918"/>
    <cellStyle name="Output 2 6 3 6 4 3" xfId="40763"/>
    <cellStyle name="Output 2 6 3 6 4 4" xfId="19067"/>
    <cellStyle name="Output 2 6 3 6 5" xfId="21742"/>
    <cellStyle name="Output 2 6 3 6 6" xfId="32587"/>
    <cellStyle name="Output 2 6 3 6 7" xfId="13213"/>
    <cellStyle name="Output 2 6 3 7" xfId="3455"/>
    <cellStyle name="Output 2 6 3 7 2" xfId="22427"/>
    <cellStyle name="Output 2 6 3 7 3" xfId="33272"/>
    <cellStyle name="Output 2 6 3 7 4" xfId="13695"/>
    <cellStyle name="Output 2 6 3 8" xfId="6131"/>
    <cellStyle name="Output 2 6 3 8 2" xfId="25103"/>
    <cellStyle name="Output 2 6 3 8 3" xfId="35948"/>
    <cellStyle name="Output 2 6 3 8 4" xfId="15612"/>
    <cellStyle name="Output 2 6 3 9" xfId="8790"/>
    <cellStyle name="Output 2 6 3 9 2" xfId="27762"/>
    <cellStyle name="Output 2 6 3 9 3" xfId="38607"/>
    <cellStyle name="Output 2 6 3 9 4" xfId="17516"/>
    <cellStyle name="Output 2 6 4" xfId="11467"/>
    <cellStyle name="Output 2 7" xfId="143"/>
    <cellStyle name="Output 2 7 2" xfId="394"/>
    <cellStyle name="Output 2 7 2 10" xfId="2686"/>
    <cellStyle name="Output 2 7 2 10 2" xfId="5538"/>
    <cellStyle name="Output 2 7 2 10 2 2" xfId="24510"/>
    <cellStyle name="Output 2 7 2 10 2 3" xfId="35355"/>
    <cellStyle name="Output 2 7 2 10 2 4" xfId="15192"/>
    <cellStyle name="Output 2 7 2 10 3" xfId="8209"/>
    <cellStyle name="Output 2 7 2 10 3 2" xfId="27181"/>
    <cellStyle name="Output 2 7 2 10 3 3" xfId="38026"/>
    <cellStyle name="Output 2 7 2 10 3 4" xfId="17105"/>
    <cellStyle name="Output 2 7 2 10 4" xfId="10868"/>
    <cellStyle name="Output 2 7 2 10 4 2" xfId="29840"/>
    <cellStyle name="Output 2 7 2 10 4 3" xfId="40685"/>
    <cellStyle name="Output 2 7 2 10 4 4" xfId="19009"/>
    <cellStyle name="Output 2 7 2 10 5" xfId="21664"/>
    <cellStyle name="Output 2 7 2 10 6" xfId="32509"/>
    <cellStyle name="Output 2 7 2 10 7" xfId="13155"/>
    <cellStyle name="Output 2 7 2 11" xfId="3072"/>
    <cellStyle name="Output 2 7 2 11 2" xfId="5923"/>
    <cellStyle name="Output 2 7 2 11 2 2" xfId="24895"/>
    <cellStyle name="Output 2 7 2 11 2 3" xfId="35740"/>
    <cellStyle name="Output 2 7 2 11 2 4" xfId="15468"/>
    <cellStyle name="Output 2 7 2 11 3" xfId="8594"/>
    <cellStyle name="Output 2 7 2 11 3 2" xfId="27566"/>
    <cellStyle name="Output 2 7 2 11 3 3" xfId="38411"/>
    <cellStyle name="Output 2 7 2 11 3 4" xfId="17381"/>
    <cellStyle name="Output 2 7 2 11 4" xfId="11253"/>
    <cellStyle name="Output 2 7 2 11 4 2" xfId="30225"/>
    <cellStyle name="Output 2 7 2 11 4 3" xfId="41070"/>
    <cellStyle name="Output 2 7 2 11 4 4" xfId="19285"/>
    <cellStyle name="Output 2 7 2 11 5" xfId="22049"/>
    <cellStyle name="Output 2 7 2 11 6" xfId="32894"/>
    <cellStyle name="Output 2 7 2 11 7" xfId="13431"/>
    <cellStyle name="Output 2 7 2 12" xfId="3129"/>
    <cellStyle name="Output 2 7 2 12 2" xfId="5980"/>
    <cellStyle name="Output 2 7 2 12 2 2" xfId="24952"/>
    <cellStyle name="Output 2 7 2 12 2 3" xfId="35797"/>
    <cellStyle name="Output 2 7 2 12 2 4" xfId="15505"/>
    <cellStyle name="Output 2 7 2 12 3" xfId="8651"/>
    <cellStyle name="Output 2 7 2 12 3 2" xfId="27623"/>
    <cellStyle name="Output 2 7 2 12 3 3" xfId="38468"/>
    <cellStyle name="Output 2 7 2 12 3 4" xfId="17418"/>
    <cellStyle name="Output 2 7 2 12 4" xfId="11310"/>
    <cellStyle name="Output 2 7 2 12 4 2" xfId="30282"/>
    <cellStyle name="Output 2 7 2 12 4 3" xfId="41127"/>
    <cellStyle name="Output 2 7 2 12 4 4" xfId="19322"/>
    <cellStyle name="Output 2 7 2 12 5" xfId="22106"/>
    <cellStyle name="Output 2 7 2 12 6" xfId="32951"/>
    <cellStyle name="Output 2 7 2 12 7" xfId="13468"/>
    <cellStyle name="Output 2 7 2 13" xfId="3186"/>
    <cellStyle name="Output 2 7 2 13 2" xfId="6037"/>
    <cellStyle name="Output 2 7 2 13 2 2" xfId="25009"/>
    <cellStyle name="Output 2 7 2 13 2 3" xfId="35854"/>
    <cellStyle name="Output 2 7 2 13 2 4" xfId="15542"/>
    <cellStyle name="Output 2 7 2 13 3" xfId="8708"/>
    <cellStyle name="Output 2 7 2 13 3 2" xfId="27680"/>
    <cellStyle name="Output 2 7 2 13 3 3" xfId="38525"/>
    <cellStyle name="Output 2 7 2 13 3 4" xfId="17455"/>
    <cellStyle name="Output 2 7 2 13 4" xfId="11367"/>
    <cellStyle name="Output 2 7 2 13 4 2" xfId="30339"/>
    <cellStyle name="Output 2 7 2 13 4 3" xfId="41184"/>
    <cellStyle name="Output 2 7 2 13 4 4" xfId="19359"/>
    <cellStyle name="Output 2 7 2 13 5" xfId="22163"/>
    <cellStyle name="Output 2 7 2 13 6" xfId="33008"/>
    <cellStyle name="Output 2 7 2 13 7" xfId="13505"/>
    <cellStyle name="Output 2 7 2 14" xfId="3352"/>
    <cellStyle name="Output 2 7 2 14 2" xfId="22326"/>
    <cellStyle name="Output 2 7 2 14 3" xfId="33171"/>
    <cellStyle name="Output 2 7 2 14 4" xfId="13622"/>
    <cellStyle name="Output 2 7 2 15" xfId="3283"/>
    <cellStyle name="Output 2 7 2 15 2" xfId="22257"/>
    <cellStyle name="Output 2 7 2 15 3" xfId="33102"/>
    <cellStyle name="Output 2 7 2 15 4" xfId="13576"/>
    <cellStyle name="Output 2 7 2 16" xfId="3248"/>
    <cellStyle name="Output 2 7 2 16 2" xfId="22224"/>
    <cellStyle name="Output 2 7 2 16 3" xfId="33069"/>
    <cellStyle name="Output 2 7 2 16 4" xfId="13550"/>
    <cellStyle name="Output 2 7 2 17" xfId="19483"/>
    <cellStyle name="Output 2 7 2 18" xfId="19393"/>
    <cellStyle name="Output 2 7 2 19" xfId="11532"/>
    <cellStyle name="Output 2 7 2 2" xfId="694"/>
    <cellStyle name="Output 2 7 2 2 10" xfId="19679"/>
    <cellStyle name="Output 2 7 2 2 11" xfId="30524"/>
    <cellStyle name="Output 2 7 2 2 12" xfId="11736"/>
    <cellStyle name="Output 2 7 2 2 2" xfId="1281"/>
    <cellStyle name="Output 2 7 2 2 2 2" xfId="4134"/>
    <cellStyle name="Output 2 7 2 2 2 2 2" xfId="23106"/>
    <cellStyle name="Output 2 7 2 2 2 2 3" xfId="33951"/>
    <cellStyle name="Output 2 7 2 2 2 2 4" xfId="14197"/>
    <cellStyle name="Output 2 7 2 2 2 3" xfId="6807"/>
    <cellStyle name="Output 2 7 2 2 2 3 2" xfId="25779"/>
    <cellStyle name="Output 2 7 2 2 2 3 3" xfId="36624"/>
    <cellStyle name="Output 2 7 2 2 2 3 4" xfId="16112"/>
    <cellStyle name="Output 2 7 2 2 2 4" xfId="9466"/>
    <cellStyle name="Output 2 7 2 2 2 4 2" xfId="28438"/>
    <cellStyle name="Output 2 7 2 2 2 4 3" xfId="39283"/>
    <cellStyle name="Output 2 7 2 2 2 4 4" xfId="18016"/>
    <cellStyle name="Output 2 7 2 2 2 5" xfId="20262"/>
    <cellStyle name="Output 2 7 2 2 2 6" xfId="31107"/>
    <cellStyle name="Output 2 7 2 2 2 7" xfId="12162"/>
    <cellStyle name="Output 2 7 2 2 3" xfId="1680"/>
    <cellStyle name="Output 2 7 2 2 3 2" xfId="4533"/>
    <cellStyle name="Output 2 7 2 2 3 2 2" xfId="23505"/>
    <cellStyle name="Output 2 7 2 2 3 2 3" xfId="34350"/>
    <cellStyle name="Output 2 7 2 2 3 2 4" xfId="14484"/>
    <cellStyle name="Output 2 7 2 2 3 3" xfId="7205"/>
    <cellStyle name="Output 2 7 2 2 3 3 2" xfId="26177"/>
    <cellStyle name="Output 2 7 2 2 3 3 3" xfId="37022"/>
    <cellStyle name="Output 2 7 2 2 3 3 4" xfId="16398"/>
    <cellStyle name="Output 2 7 2 2 3 4" xfId="9864"/>
    <cellStyle name="Output 2 7 2 2 3 4 2" xfId="28836"/>
    <cellStyle name="Output 2 7 2 2 3 4 3" xfId="39681"/>
    <cellStyle name="Output 2 7 2 2 3 4 4" xfId="18302"/>
    <cellStyle name="Output 2 7 2 2 3 5" xfId="20660"/>
    <cellStyle name="Output 2 7 2 2 3 6" xfId="31505"/>
    <cellStyle name="Output 2 7 2 2 3 7" xfId="12448"/>
    <cellStyle name="Output 2 7 2 2 4" xfId="2084"/>
    <cellStyle name="Output 2 7 2 2 4 2" xfId="4937"/>
    <cellStyle name="Output 2 7 2 2 4 2 2" xfId="23909"/>
    <cellStyle name="Output 2 7 2 2 4 2 3" xfId="34754"/>
    <cellStyle name="Output 2 7 2 2 4 2 4" xfId="14771"/>
    <cellStyle name="Output 2 7 2 2 4 3" xfId="7608"/>
    <cellStyle name="Output 2 7 2 2 4 3 2" xfId="26580"/>
    <cellStyle name="Output 2 7 2 2 4 3 3" xfId="37425"/>
    <cellStyle name="Output 2 7 2 2 4 3 4" xfId="16684"/>
    <cellStyle name="Output 2 7 2 2 4 4" xfId="10267"/>
    <cellStyle name="Output 2 7 2 2 4 4 2" xfId="29239"/>
    <cellStyle name="Output 2 7 2 2 4 4 3" xfId="40084"/>
    <cellStyle name="Output 2 7 2 2 4 4 4" xfId="18588"/>
    <cellStyle name="Output 2 7 2 2 4 5" xfId="21063"/>
    <cellStyle name="Output 2 7 2 2 4 6" xfId="31908"/>
    <cellStyle name="Output 2 7 2 2 4 7" xfId="12734"/>
    <cellStyle name="Output 2 7 2 2 5" xfId="2474"/>
    <cellStyle name="Output 2 7 2 2 5 2" xfId="5326"/>
    <cellStyle name="Output 2 7 2 2 5 2 2" xfId="24298"/>
    <cellStyle name="Output 2 7 2 2 5 2 3" xfId="35143"/>
    <cellStyle name="Output 2 7 2 2 5 2 4" xfId="15050"/>
    <cellStyle name="Output 2 7 2 2 5 3" xfId="7997"/>
    <cellStyle name="Output 2 7 2 2 5 3 2" xfId="26969"/>
    <cellStyle name="Output 2 7 2 2 5 3 3" xfId="37814"/>
    <cellStyle name="Output 2 7 2 2 5 3 4" xfId="16963"/>
    <cellStyle name="Output 2 7 2 2 5 4" xfId="10656"/>
    <cellStyle name="Output 2 7 2 2 5 4 2" xfId="29628"/>
    <cellStyle name="Output 2 7 2 2 5 4 3" xfId="40473"/>
    <cellStyle name="Output 2 7 2 2 5 4 4" xfId="18867"/>
    <cellStyle name="Output 2 7 2 2 5 5" xfId="21452"/>
    <cellStyle name="Output 2 7 2 2 5 6" xfId="32297"/>
    <cellStyle name="Output 2 7 2 2 5 7" xfId="13013"/>
    <cellStyle name="Output 2 7 2 2 6" xfId="2860"/>
    <cellStyle name="Output 2 7 2 2 6 2" xfId="5711"/>
    <cellStyle name="Output 2 7 2 2 6 2 2" xfId="24683"/>
    <cellStyle name="Output 2 7 2 2 6 2 3" xfId="35528"/>
    <cellStyle name="Output 2 7 2 2 6 2 4" xfId="15326"/>
    <cellStyle name="Output 2 7 2 2 6 3" xfId="8382"/>
    <cellStyle name="Output 2 7 2 2 6 3 2" xfId="27354"/>
    <cellStyle name="Output 2 7 2 2 6 3 3" xfId="38199"/>
    <cellStyle name="Output 2 7 2 2 6 3 4" xfId="17239"/>
    <cellStyle name="Output 2 7 2 2 6 4" xfId="11041"/>
    <cellStyle name="Output 2 7 2 2 6 4 2" xfId="30013"/>
    <cellStyle name="Output 2 7 2 2 6 4 3" xfId="40858"/>
    <cellStyle name="Output 2 7 2 2 6 4 4" xfId="19143"/>
    <cellStyle name="Output 2 7 2 2 6 5" xfId="21837"/>
    <cellStyle name="Output 2 7 2 2 6 6" xfId="32682"/>
    <cellStyle name="Output 2 7 2 2 6 7" xfId="13289"/>
    <cellStyle name="Output 2 7 2 2 7" xfId="3549"/>
    <cellStyle name="Output 2 7 2 2 7 2" xfId="22521"/>
    <cellStyle name="Output 2 7 2 2 7 3" xfId="33366"/>
    <cellStyle name="Output 2 7 2 2 7 4" xfId="13770"/>
    <cellStyle name="Output 2 7 2 2 8" xfId="6224"/>
    <cellStyle name="Output 2 7 2 2 8 2" xfId="25196"/>
    <cellStyle name="Output 2 7 2 2 8 3" xfId="36041"/>
    <cellStyle name="Output 2 7 2 2 8 4" xfId="15686"/>
    <cellStyle name="Output 2 7 2 2 9" xfId="8883"/>
    <cellStyle name="Output 2 7 2 2 9 2" xfId="27855"/>
    <cellStyle name="Output 2 7 2 2 9 3" xfId="38700"/>
    <cellStyle name="Output 2 7 2 2 9 4" xfId="17590"/>
    <cellStyle name="Output 2 7 2 3" xfId="754"/>
    <cellStyle name="Output 2 7 2 3 10" xfId="19739"/>
    <cellStyle name="Output 2 7 2 3 11" xfId="30584"/>
    <cellStyle name="Output 2 7 2 3 12" xfId="11776"/>
    <cellStyle name="Output 2 7 2 3 2" xfId="1341"/>
    <cellStyle name="Output 2 7 2 3 2 2" xfId="4194"/>
    <cellStyle name="Output 2 7 2 3 2 2 2" xfId="23166"/>
    <cellStyle name="Output 2 7 2 3 2 2 3" xfId="34011"/>
    <cellStyle name="Output 2 7 2 3 2 2 4" xfId="14237"/>
    <cellStyle name="Output 2 7 2 3 2 3" xfId="6867"/>
    <cellStyle name="Output 2 7 2 3 2 3 2" xfId="25839"/>
    <cellStyle name="Output 2 7 2 3 2 3 3" xfId="36684"/>
    <cellStyle name="Output 2 7 2 3 2 3 4" xfId="16152"/>
    <cellStyle name="Output 2 7 2 3 2 4" xfId="9526"/>
    <cellStyle name="Output 2 7 2 3 2 4 2" xfId="28498"/>
    <cellStyle name="Output 2 7 2 3 2 4 3" xfId="39343"/>
    <cellStyle name="Output 2 7 2 3 2 4 4" xfId="18056"/>
    <cellStyle name="Output 2 7 2 3 2 5" xfId="20322"/>
    <cellStyle name="Output 2 7 2 3 2 6" xfId="31167"/>
    <cellStyle name="Output 2 7 2 3 2 7" xfId="12202"/>
    <cellStyle name="Output 2 7 2 3 3" xfId="1740"/>
    <cellStyle name="Output 2 7 2 3 3 2" xfId="4593"/>
    <cellStyle name="Output 2 7 2 3 3 2 2" xfId="23565"/>
    <cellStyle name="Output 2 7 2 3 3 2 3" xfId="34410"/>
    <cellStyle name="Output 2 7 2 3 3 2 4" xfId="14524"/>
    <cellStyle name="Output 2 7 2 3 3 3" xfId="7265"/>
    <cellStyle name="Output 2 7 2 3 3 3 2" xfId="26237"/>
    <cellStyle name="Output 2 7 2 3 3 3 3" xfId="37082"/>
    <cellStyle name="Output 2 7 2 3 3 3 4" xfId="16438"/>
    <cellStyle name="Output 2 7 2 3 3 4" xfId="9924"/>
    <cellStyle name="Output 2 7 2 3 3 4 2" xfId="28896"/>
    <cellStyle name="Output 2 7 2 3 3 4 3" xfId="39741"/>
    <cellStyle name="Output 2 7 2 3 3 4 4" xfId="18342"/>
    <cellStyle name="Output 2 7 2 3 3 5" xfId="20720"/>
    <cellStyle name="Output 2 7 2 3 3 6" xfId="31565"/>
    <cellStyle name="Output 2 7 2 3 3 7" xfId="12488"/>
    <cellStyle name="Output 2 7 2 3 4" xfId="2144"/>
    <cellStyle name="Output 2 7 2 3 4 2" xfId="4997"/>
    <cellStyle name="Output 2 7 2 3 4 2 2" xfId="23969"/>
    <cellStyle name="Output 2 7 2 3 4 2 3" xfId="34814"/>
    <cellStyle name="Output 2 7 2 3 4 2 4" xfId="14811"/>
    <cellStyle name="Output 2 7 2 3 4 3" xfId="7668"/>
    <cellStyle name="Output 2 7 2 3 4 3 2" xfId="26640"/>
    <cellStyle name="Output 2 7 2 3 4 3 3" xfId="37485"/>
    <cellStyle name="Output 2 7 2 3 4 3 4" xfId="16724"/>
    <cellStyle name="Output 2 7 2 3 4 4" xfId="10327"/>
    <cellStyle name="Output 2 7 2 3 4 4 2" xfId="29299"/>
    <cellStyle name="Output 2 7 2 3 4 4 3" xfId="40144"/>
    <cellStyle name="Output 2 7 2 3 4 4 4" xfId="18628"/>
    <cellStyle name="Output 2 7 2 3 4 5" xfId="21123"/>
    <cellStyle name="Output 2 7 2 3 4 6" xfId="31968"/>
    <cellStyle name="Output 2 7 2 3 4 7" xfId="12774"/>
    <cellStyle name="Output 2 7 2 3 5" xfId="2534"/>
    <cellStyle name="Output 2 7 2 3 5 2" xfId="5386"/>
    <cellStyle name="Output 2 7 2 3 5 2 2" xfId="24358"/>
    <cellStyle name="Output 2 7 2 3 5 2 3" xfId="35203"/>
    <cellStyle name="Output 2 7 2 3 5 2 4" xfId="15090"/>
    <cellStyle name="Output 2 7 2 3 5 3" xfId="8057"/>
    <cellStyle name="Output 2 7 2 3 5 3 2" xfId="27029"/>
    <cellStyle name="Output 2 7 2 3 5 3 3" xfId="37874"/>
    <cellStyle name="Output 2 7 2 3 5 3 4" xfId="17003"/>
    <cellStyle name="Output 2 7 2 3 5 4" xfId="10716"/>
    <cellStyle name="Output 2 7 2 3 5 4 2" xfId="29688"/>
    <cellStyle name="Output 2 7 2 3 5 4 3" xfId="40533"/>
    <cellStyle name="Output 2 7 2 3 5 4 4" xfId="18907"/>
    <cellStyle name="Output 2 7 2 3 5 5" xfId="21512"/>
    <cellStyle name="Output 2 7 2 3 5 6" xfId="32357"/>
    <cellStyle name="Output 2 7 2 3 5 7" xfId="13053"/>
    <cellStyle name="Output 2 7 2 3 6" xfId="2920"/>
    <cellStyle name="Output 2 7 2 3 6 2" xfId="5771"/>
    <cellStyle name="Output 2 7 2 3 6 2 2" xfId="24743"/>
    <cellStyle name="Output 2 7 2 3 6 2 3" xfId="35588"/>
    <cellStyle name="Output 2 7 2 3 6 2 4" xfId="15366"/>
    <cellStyle name="Output 2 7 2 3 6 3" xfId="8442"/>
    <cellStyle name="Output 2 7 2 3 6 3 2" xfId="27414"/>
    <cellStyle name="Output 2 7 2 3 6 3 3" xfId="38259"/>
    <cellStyle name="Output 2 7 2 3 6 3 4" xfId="17279"/>
    <cellStyle name="Output 2 7 2 3 6 4" xfId="11101"/>
    <cellStyle name="Output 2 7 2 3 6 4 2" xfId="30073"/>
    <cellStyle name="Output 2 7 2 3 6 4 3" xfId="40918"/>
    <cellStyle name="Output 2 7 2 3 6 4 4" xfId="19183"/>
    <cellStyle name="Output 2 7 2 3 6 5" xfId="21897"/>
    <cellStyle name="Output 2 7 2 3 6 6" xfId="32742"/>
    <cellStyle name="Output 2 7 2 3 6 7" xfId="13329"/>
    <cellStyle name="Output 2 7 2 3 7" xfId="3609"/>
    <cellStyle name="Output 2 7 2 3 7 2" xfId="22581"/>
    <cellStyle name="Output 2 7 2 3 7 3" xfId="33426"/>
    <cellStyle name="Output 2 7 2 3 7 4" xfId="13810"/>
    <cellStyle name="Output 2 7 2 3 8" xfId="6284"/>
    <cellStyle name="Output 2 7 2 3 8 2" xfId="25256"/>
    <cellStyle name="Output 2 7 2 3 8 3" xfId="36101"/>
    <cellStyle name="Output 2 7 2 3 8 4" xfId="15726"/>
    <cellStyle name="Output 2 7 2 3 9" xfId="8943"/>
    <cellStyle name="Output 2 7 2 3 9 2" xfId="27915"/>
    <cellStyle name="Output 2 7 2 3 9 3" xfId="38760"/>
    <cellStyle name="Output 2 7 2 3 9 4" xfId="17630"/>
    <cellStyle name="Output 2 7 2 4" xfId="814"/>
    <cellStyle name="Output 2 7 2 4 10" xfId="19799"/>
    <cellStyle name="Output 2 7 2 4 11" xfId="30644"/>
    <cellStyle name="Output 2 7 2 4 12" xfId="11816"/>
    <cellStyle name="Output 2 7 2 4 2" xfId="1401"/>
    <cellStyle name="Output 2 7 2 4 2 2" xfId="4254"/>
    <cellStyle name="Output 2 7 2 4 2 2 2" xfId="23226"/>
    <cellStyle name="Output 2 7 2 4 2 2 3" xfId="34071"/>
    <cellStyle name="Output 2 7 2 4 2 2 4" xfId="14277"/>
    <cellStyle name="Output 2 7 2 4 2 3" xfId="6927"/>
    <cellStyle name="Output 2 7 2 4 2 3 2" xfId="25899"/>
    <cellStyle name="Output 2 7 2 4 2 3 3" xfId="36744"/>
    <cellStyle name="Output 2 7 2 4 2 3 4" xfId="16192"/>
    <cellStyle name="Output 2 7 2 4 2 4" xfId="9586"/>
    <cellStyle name="Output 2 7 2 4 2 4 2" xfId="28558"/>
    <cellStyle name="Output 2 7 2 4 2 4 3" xfId="39403"/>
    <cellStyle name="Output 2 7 2 4 2 4 4" xfId="18096"/>
    <cellStyle name="Output 2 7 2 4 2 5" xfId="20382"/>
    <cellStyle name="Output 2 7 2 4 2 6" xfId="31227"/>
    <cellStyle name="Output 2 7 2 4 2 7" xfId="12242"/>
    <cellStyle name="Output 2 7 2 4 3" xfId="1800"/>
    <cellStyle name="Output 2 7 2 4 3 2" xfId="4653"/>
    <cellStyle name="Output 2 7 2 4 3 2 2" xfId="23625"/>
    <cellStyle name="Output 2 7 2 4 3 2 3" xfId="34470"/>
    <cellStyle name="Output 2 7 2 4 3 2 4" xfId="14564"/>
    <cellStyle name="Output 2 7 2 4 3 3" xfId="7325"/>
    <cellStyle name="Output 2 7 2 4 3 3 2" xfId="26297"/>
    <cellStyle name="Output 2 7 2 4 3 3 3" xfId="37142"/>
    <cellStyle name="Output 2 7 2 4 3 3 4" xfId="16478"/>
    <cellStyle name="Output 2 7 2 4 3 4" xfId="9984"/>
    <cellStyle name="Output 2 7 2 4 3 4 2" xfId="28956"/>
    <cellStyle name="Output 2 7 2 4 3 4 3" xfId="39801"/>
    <cellStyle name="Output 2 7 2 4 3 4 4" xfId="18382"/>
    <cellStyle name="Output 2 7 2 4 3 5" xfId="20780"/>
    <cellStyle name="Output 2 7 2 4 3 6" xfId="31625"/>
    <cellStyle name="Output 2 7 2 4 3 7" xfId="12528"/>
    <cellStyle name="Output 2 7 2 4 4" xfId="2204"/>
    <cellStyle name="Output 2 7 2 4 4 2" xfId="5057"/>
    <cellStyle name="Output 2 7 2 4 4 2 2" xfId="24029"/>
    <cellStyle name="Output 2 7 2 4 4 2 3" xfId="34874"/>
    <cellStyle name="Output 2 7 2 4 4 2 4" xfId="14851"/>
    <cellStyle name="Output 2 7 2 4 4 3" xfId="7728"/>
    <cellStyle name="Output 2 7 2 4 4 3 2" xfId="26700"/>
    <cellStyle name="Output 2 7 2 4 4 3 3" xfId="37545"/>
    <cellStyle name="Output 2 7 2 4 4 3 4" xfId="16764"/>
    <cellStyle name="Output 2 7 2 4 4 4" xfId="10387"/>
    <cellStyle name="Output 2 7 2 4 4 4 2" xfId="29359"/>
    <cellStyle name="Output 2 7 2 4 4 4 3" xfId="40204"/>
    <cellStyle name="Output 2 7 2 4 4 4 4" xfId="18668"/>
    <cellStyle name="Output 2 7 2 4 4 5" xfId="21183"/>
    <cellStyle name="Output 2 7 2 4 4 6" xfId="32028"/>
    <cellStyle name="Output 2 7 2 4 4 7" xfId="12814"/>
    <cellStyle name="Output 2 7 2 4 5" xfId="2594"/>
    <cellStyle name="Output 2 7 2 4 5 2" xfId="5446"/>
    <cellStyle name="Output 2 7 2 4 5 2 2" xfId="24418"/>
    <cellStyle name="Output 2 7 2 4 5 2 3" xfId="35263"/>
    <cellStyle name="Output 2 7 2 4 5 2 4" xfId="15130"/>
    <cellStyle name="Output 2 7 2 4 5 3" xfId="8117"/>
    <cellStyle name="Output 2 7 2 4 5 3 2" xfId="27089"/>
    <cellStyle name="Output 2 7 2 4 5 3 3" xfId="37934"/>
    <cellStyle name="Output 2 7 2 4 5 3 4" xfId="17043"/>
    <cellStyle name="Output 2 7 2 4 5 4" xfId="10776"/>
    <cellStyle name="Output 2 7 2 4 5 4 2" xfId="29748"/>
    <cellStyle name="Output 2 7 2 4 5 4 3" xfId="40593"/>
    <cellStyle name="Output 2 7 2 4 5 4 4" xfId="18947"/>
    <cellStyle name="Output 2 7 2 4 5 5" xfId="21572"/>
    <cellStyle name="Output 2 7 2 4 5 6" xfId="32417"/>
    <cellStyle name="Output 2 7 2 4 5 7" xfId="13093"/>
    <cellStyle name="Output 2 7 2 4 6" xfId="2980"/>
    <cellStyle name="Output 2 7 2 4 6 2" xfId="5831"/>
    <cellStyle name="Output 2 7 2 4 6 2 2" xfId="24803"/>
    <cellStyle name="Output 2 7 2 4 6 2 3" xfId="35648"/>
    <cellStyle name="Output 2 7 2 4 6 2 4" xfId="15406"/>
    <cellStyle name="Output 2 7 2 4 6 3" xfId="8502"/>
    <cellStyle name="Output 2 7 2 4 6 3 2" xfId="27474"/>
    <cellStyle name="Output 2 7 2 4 6 3 3" xfId="38319"/>
    <cellStyle name="Output 2 7 2 4 6 3 4" xfId="17319"/>
    <cellStyle name="Output 2 7 2 4 6 4" xfId="11161"/>
    <cellStyle name="Output 2 7 2 4 6 4 2" xfId="30133"/>
    <cellStyle name="Output 2 7 2 4 6 4 3" xfId="40978"/>
    <cellStyle name="Output 2 7 2 4 6 4 4" xfId="19223"/>
    <cellStyle name="Output 2 7 2 4 6 5" xfId="21957"/>
    <cellStyle name="Output 2 7 2 4 6 6" xfId="32802"/>
    <cellStyle name="Output 2 7 2 4 6 7" xfId="13369"/>
    <cellStyle name="Output 2 7 2 4 7" xfId="3669"/>
    <cellStyle name="Output 2 7 2 4 7 2" xfId="22641"/>
    <cellStyle name="Output 2 7 2 4 7 3" xfId="33486"/>
    <cellStyle name="Output 2 7 2 4 7 4" xfId="13850"/>
    <cellStyle name="Output 2 7 2 4 8" xfId="6344"/>
    <cellStyle name="Output 2 7 2 4 8 2" xfId="25316"/>
    <cellStyle name="Output 2 7 2 4 8 3" xfId="36161"/>
    <cellStyle name="Output 2 7 2 4 8 4" xfId="15766"/>
    <cellStyle name="Output 2 7 2 4 9" xfId="9003"/>
    <cellStyle name="Output 2 7 2 4 9 2" xfId="27975"/>
    <cellStyle name="Output 2 7 2 4 9 3" xfId="38820"/>
    <cellStyle name="Output 2 7 2 4 9 4" xfId="17670"/>
    <cellStyle name="Output 2 7 2 5" xfId="873"/>
    <cellStyle name="Output 2 7 2 5 10" xfId="19858"/>
    <cellStyle name="Output 2 7 2 5 11" xfId="30703"/>
    <cellStyle name="Output 2 7 2 5 12" xfId="11855"/>
    <cellStyle name="Output 2 7 2 5 2" xfId="1460"/>
    <cellStyle name="Output 2 7 2 5 2 2" xfId="4313"/>
    <cellStyle name="Output 2 7 2 5 2 2 2" xfId="23285"/>
    <cellStyle name="Output 2 7 2 5 2 2 3" xfId="34130"/>
    <cellStyle name="Output 2 7 2 5 2 2 4" xfId="14316"/>
    <cellStyle name="Output 2 7 2 5 2 3" xfId="6986"/>
    <cellStyle name="Output 2 7 2 5 2 3 2" xfId="25958"/>
    <cellStyle name="Output 2 7 2 5 2 3 3" xfId="36803"/>
    <cellStyle name="Output 2 7 2 5 2 3 4" xfId="16231"/>
    <cellStyle name="Output 2 7 2 5 2 4" xfId="9645"/>
    <cellStyle name="Output 2 7 2 5 2 4 2" xfId="28617"/>
    <cellStyle name="Output 2 7 2 5 2 4 3" xfId="39462"/>
    <cellStyle name="Output 2 7 2 5 2 4 4" xfId="18135"/>
    <cellStyle name="Output 2 7 2 5 2 5" xfId="20441"/>
    <cellStyle name="Output 2 7 2 5 2 6" xfId="31286"/>
    <cellStyle name="Output 2 7 2 5 2 7" xfId="12281"/>
    <cellStyle name="Output 2 7 2 5 3" xfId="1859"/>
    <cellStyle name="Output 2 7 2 5 3 2" xfId="4712"/>
    <cellStyle name="Output 2 7 2 5 3 2 2" xfId="23684"/>
    <cellStyle name="Output 2 7 2 5 3 2 3" xfId="34529"/>
    <cellStyle name="Output 2 7 2 5 3 2 4" xfId="14603"/>
    <cellStyle name="Output 2 7 2 5 3 3" xfId="7384"/>
    <cellStyle name="Output 2 7 2 5 3 3 2" xfId="26356"/>
    <cellStyle name="Output 2 7 2 5 3 3 3" xfId="37201"/>
    <cellStyle name="Output 2 7 2 5 3 3 4" xfId="16517"/>
    <cellStyle name="Output 2 7 2 5 3 4" xfId="10043"/>
    <cellStyle name="Output 2 7 2 5 3 4 2" xfId="29015"/>
    <cellStyle name="Output 2 7 2 5 3 4 3" xfId="39860"/>
    <cellStyle name="Output 2 7 2 5 3 4 4" xfId="18421"/>
    <cellStyle name="Output 2 7 2 5 3 5" xfId="20839"/>
    <cellStyle name="Output 2 7 2 5 3 6" xfId="31684"/>
    <cellStyle name="Output 2 7 2 5 3 7" xfId="12567"/>
    <cellStyle name="Output 2 7 2 5 4" xfId="2263"/>
    <cellStyle name="Output 2 7 2 5 4 2" xfId="5116"/>
    <cellStyle name="Output 2 7 2 5 4 2 2" xfId="24088"/>
    <cellStyle name="Output 2 7 2 5 4 2 3" xfId="34933"/>
    <cellStyle name="Output 2 7 2 5 4 2 4" xfId="14890"/>
    <cellStyle name="Output 2 7 2 5 4 3" xfId="7787"/>
    <cellStyle name="Output 2 7 2 5 4 3 2" xfId="26759"/>
    <cellStyle name="Output 2 7 2 5 4 3 3" xfId="37604"/>
    <cellStyle name="Output 2 7 2 5 4 3 4" xfId="16803"/>
    <cellStyle name="Output 2 7 2 5 4 4" xfId="10446"/>
    <cellStyle name="Output 2 7 2 5 4 4 2" xfId="29418"/>
    <cellStyle name="Output 2 7 2 5 4 4 3" xfId="40263"/>
    <cellStyle name="Output 2 7 2 5 4 4 4" xfId="18707"/>
    <cellStyle name="Output 2 7 2 5 4 5" xfId="21242"/>
    <cellStyle name="Output 2 7 2 5 4 6" xfId="32087"/>
    <cellStyle name="Output 2 7 2 5 4 7" xfId="12853"/>
    <cellStyle name="Output 2 7 2 5 5" xfId="2653"/>
    <cellStyle name="Output 2 7 2 5 5 2" xfId="5505"/>
    <cellStyle name="Output 2 7 2 5 5 2 2" xfId="24477"/>
    <cellStyle name="Output 2 7 2 5 5 2 3" xfId="35322"/>
    <cellStyle name="Output 2 7 2 5 5 2 4" xfId="15169"/>
    <cellStyle name="Output 2 7 2 5 5 3" xfId="8176"/>
    <cellStyle name="Output 2 7 2 5 5 3 2" xfId="27148"/>
    <cellStyle name="Output 2 7 2 5 5 3 3" xfId="37993"/>
    <cellStyle name="Output 2 7 2 5 5 3 4" xfId="17082"/>
    <cellStyle name="Output 2 7 2 5 5 4" xfId="10835"/>
    <cellStyle name="Output 2 7 2 5 5 4 2" xfId="29807"/>
    <cellStyle name="Output 2 7 2 5 5 4 3" xfId="40652"/>
    <cellStyle name="Output 2 7 2 5 5 4 4" xfId="18986"/>
    <cellStyle name="Output 2 7 2 5 5 5" xfId="21631"/>
    <cellStyle name="Output 2 7 2 5 5 6" xfId="32476"/>
    <cellStyle name="Output 2 7 2 5 5 7" xfId="13132"/>
    <cellStyle name="Output 2 7 2 5 6" xfId="3039"/>
    <cellStyle name="Output 2 7 2 5 6 2" xfId="5890"/>
    <cellStyle name="Output 2 7 2 5 6 2 2" xfId="24862"/>
    <cellStyle name="Output 2 7 2 5 6 2 3" xfId="35707"/>
    <cellStyle name="Output 2 7 2 5 6 2 4" xfId="15445"/>
    <cellStyle name="Output 2 7 2 5 6 3" xfId="8561"/>
    <cellStyle name="Output 2 7 2 5 6 3 2" xfId="27533"/>
    <cellStyle name="Output 2 7 2 5 6 3 3" xfId="38378"/>
    <cellStyle name="Output 2 7 2 5 6 3 4" xfId="17358"/>
    <cellStyle name="Output 2 7 2 5 6 4" xfId="11220"/>
    <cellStyle name="Output 2 7 2 5 6 4 2" xfId="30192"/>
    <cellStyle name="Output 2 7 2 5 6 4 3" xfId="41037"/>
    <cellStyle name="Output 2 7 2 5 6 4 4" xfId="19262"/>
    <cellStyle name="Output 2 7 2 5 6 5" xfId="22016"/>
    <cellStyle name="Output 2 7 2 5 6 6" xfId="32861"/>
    <cellStyle name="Output 2 7 2 5 6 7" xfId="13408"/>
    <cellStyle name="Output 2 7 2 5 7" xfId="3728"/>
    <cellStyle name="Output 2 7 2 5 7 2" xfId="22700"/>
    <cellStyle name="Output 2 7 2 5 7 3" xfId="33545"/>
    <cellStyle name="Output 2 7 2 5 7 4" xfId="13889"/>
    <cellStyle name="Output 2 7 2 5 8" xfId="6403"/>
    <cellStyle name="Output 2 7 2 5 8 2" xfId="25375"/>
    <cellStyle name="Output 2 7 2 5 8 3" xfId="36220"/>
    <cellStyle name="Output 2 7 2 5 8 4" xfId="15805"/>
    <cellStyle name="Output 2 7 2 5 9" xfId="9062"/>
    <cellStyle name="Output 2 7 2 5 9 2" xfId="28034"/>
    <cellStyle name="Output 2 7 2 5 9 3" xfId="38879"/>
    <cellStyle name="Output 2 7 2 5 9 4" xfId="17709"/>
    <cellStyle name="Output 2 7 2 6" xfId="1095"/>
    <cellStyle name="Output 2 7 2 6 2" xfId="3948"/>
    <cellStyle name="Output 2 7 2 6 2 2" xfId="22920"/>
    <cellStyle name="Output 2 7 2 6 2 3" xfId="33765"/>
    <cellStyle name="Output 2 7 2 6 2 4" xfId="14051"/>
    <cellStyle name="Output 2 7 2 6 3" xfId="6622"/>
    <cellStyle name="Output 2 7 2 6 3 2" xfId="25594"/>
    <cellStyle name="Output 2 7 2 6 3 3" xfId="36439"/>
    <cellStyle name="Output 2 7 2 6 3 4" xfId="15967"/>
    <cellStyle name="Output 2 7 2 6 4" xfId="9281"/>
    <cellStyle name="Output 2 7 2 6 4 2" xfId="28253"/>
    <cellStyle name="Output 2 7 2 6 4 3" xfId="39098"/>
    <cellStyle name="Output 2 7 2 6 4 4" xfId="17871"/>
    <cellStyle name="Output 2 7 2 6 5" xfId="20077"/>
    <cellStyle name="Output 2 7 2 6 6" xfId="30922"/>
    <cellStyle name="Output 2 7 2 6 7" xfId="12017"/>
    <cellStyle name="Output 2 7 2 7" xfId="1494"/>
    <cellStyle name="Output 2 7 2 7 2" xfId="4347"/>
    <cellStyle name="Output 2 7 2 7 2 2" xfId="23319"/>
    <cellStyle name="Output 2 7 2 7 2 3" xfId="34164"/>
    <cellStyle name="Output 2 7 2 7 2 4" xfId="14340"/>
    <cellStyle name="Output 2 7 2 7 3" xfId="7020"/>
    <cellStyle name="Output 2 7 2 7 3 2" xfId="25992"/>
    <cellStyle name="Output 2 7 2 7 3 3" xfId="36837"/>
    <cellStyle name="Output 2 7 2 7 3 4" xfId="16255"/>
    <cellStyle name="Output 2 7 2 7 4" xfId="9679"/>
    <cellStyle name="Output 2 7 2 7 4 2" xfId="28651"/>
    <cellStyle name="Output 2 7 2 7 4 3" xfId="39496"/>
    <cellStyle name="Output 2 7 2 7 4 4" xfId="18159"/>
    <cellStyle name="Output 2 7 2 7 5" xfId="20475"/>
    <cellStyle name="Output 2 7 2 7 6" xfId="31320"/>
    <cellStyle name="Output 2 7 2 7 7" xfId="12305"/>
    <cellStyle name="Output 2 7 2 8" xfId="1902"/>
    <cellStyle name="Output 2 7 2 8 2" xfId="4755"/>
    <cellStyle name="Output 2 7 2 8 2 2" xfId="23727"/>
    <cellStyle name="Output 2 7 2 8 2 3" xfId="34572"/>
    <cellStyle name="Output 2 7 2 8 2 4" xfId="14631"/>
    <cellStyle name="Output 2 7 2 8 3" xfId="7427"/>
    <cellStyle name="Output 2 7 2 8 3 2" xfId="26399"/>
    <cellStyle name="Output 2 7 2 8 3 3" xfId="37244"/>
    <cellStyle name="Output 2 7 2 8 3 4" xfId="16545"/>
    <cellStyle name="Output 2 7 2 8 4" xfId="10086"/>
    <cellStyle name="Output 2 7 2 8 4 2" xfId="29058"/>
    <cellStyle name="Output 2 7 2 8 4 3" xfId="39903"/>
    <cellStyle name="Output 2 7 2 8 4 4" xfId="18449"/>
    <cellStyle name="Output 2 7 2 8 5" xfId="20882"/>
    <cellStyle name="Output 2 7 2 8 6" xfId="31727"/>
    <cellStyle name="Output 2 7 2 8 7" xfId="12595"/>
    <cellStyle name="Output 2 7 2 9" xfId="2296"/>
    <cellStyle name="Output 2 7 2 9 2" xfId="5149"/>
    <cellStyle name="Output 2 7 2 9 2 2" xfId="24121"/>
    <cellStyle name="Output 2 7 2 9 2 3" xfId="34966"/>
    <cellStyle name="Output 2 7 2 9 2 4" xfId="14913"/>
    <cellStyle name="Output 2 7 2 9 3" xfId="7820"/>
    <cellStyle name="Output 2 7 2 9 3 2" xfId="26792"/>
    <cellStyle name="Output 2 7 2 9 3 3" xfId="37637"/>
    <cellStyle name="Output 2 7 2 9 3 4" xfId="16826"/>
    <cellStyle name="Output 2 7 2 9 4" xfId="10479"/>
    <cellStyle name="Output 2 7 2 9 4 2" xfId="29451"/>
    <cellStyle name="Output 2 7 2 9 4 3" xfId="40296"/>
    <cellStyle name="Output 2 7 2 9 4 4" xfId="18730"/>
    <cellStyle name="Output 2 7 2 9 5" xfId="21275"/>
    <cellStyle name="Output 2 7 2 9 6" xfId="32120"/>
    <cellStyle name="Output 2 7 2 9 7" xfId="12876"/>
    <cellStyle name="Output 2 7 3" xfId="577"/>
    <cellStyle name="Output 2 7 3 10" xfId="19587"/>
    <cellStyle name="Output 2 7 3 11" xfId="30432"/>
    <cellStyle name="Output 2 7 3 12" xfId="11641"/>
    <cellStyle name="Output 2 7 3 2" xfId="1183"/>
    <cellStyle name="Output 2 7 3 2 2" xfId="4036"/>
    <cellStyle name="Output 2 7 3 2 2 2" xfId="23008"/>
    <cellStyle name="Output 2 7 3 2 2 3" xfId="33853"/>
    <cellStyle name="Output 2 7 3 2 2 4" xfId="14118"/>
    <cellStyle name="Output 2 7 3 2 3" xfId="6709"/>
    <cellStyle name="Output 2 7 3 2 3 2" xfId="25681"/>
    <cellStyle name="Output 2 7 3 2 3 3" xfId="36526"/>
    <cellStyle name="Output 2 7 3 2 3 4" xfId="16033"/>
    <cellStyle name="Output 2 7 3 2 4" xfId="9368"/>
    <cellStyle name="Output 2 7 3 2 4 2" xfId="28340"/>
    <cellStyle name="Output 2 7 3 2 4 3" xfId="39185"/>
    <cellStyle name="Output 2 7 3 2 4 4" xfId="17937"/>
    <cellStyle name="Output 2 7 3 2 5" xfId="20164"/>
    <cellStyle name="Output 2 7 3 2 6" xfId="31009"/>
    <cellStyle name="Output 2 7 3 2 7" xfId="12083"/>
    <cellStyle name="Output 2 7 3 3" xfId="1580"/>
    <cellStyle name="Output 2 7 3 3 2" xfId="4433"/>
    <cellStyle name="Output 2 7 3 3 2 2" xfId="23405"/>
    <cellStyle name="Output 2 7 3 3 2 3" xfId="34250"/>
    <cellStyle name="Output 2 7 3 3 2 4" xfId="14404"/>
    <cellStyle name="Output 2 7 3 3 3" xfId="7105"/>
    <cellStyle name="Output 2 7 3 3 3 2" xfId="26077"/>
    <cellStyle name="Output 2 7 3 3 3 3" xfId="36922"/>
    <cellStyle name="Output 2 7 3 3 3 4" xfId="16318"/>
    <cellStyle name="Output 2 7 3 3 4" xfId="9764"/>
    <cellStyle name="Output 2 7 3 3 4 2" xfId="28736"/>
    <cellStyle name="Output 2 7 3 3 4 3" xfId="39581"/>
    <cellStyle name="Output 2 7 3 3 4 4" xfId="18222"/>
    <cellStyle name="Output 2 7 3 3 5" xfId="20560"/>
    <cellStyle name="Output 2 7 3 3 6" xfId="31405"/>
    <cellStyle name="Output 2 7 3 3 7" xfId="12368"/>
    <cellStyle name="Output 2 7 3 4" xfId="1984"/>
    <cellStyle name="Output 2 7 3 4 2" xfId="4837"/>
    <cellStyle name="Output 2 7 3 4 2 2" xfId="23809"/>
    <cellStyle name="Output 2 7 3 4 2 3" xfId="34654"/>
    <cellStyle name="Output 2 7 3 4 2 4" xfId="14692"/>
    <cellStyle name="Output 2 7 3 4 3" xfId="7509"/>
    <cellStyle name="Output 2 7 3 4 3 2" xfId="26481"/>
    <cellStyle name="Output 2 7 3 4 3 3" xfId="37326"/>
    <cellStyle name="Output 2 7 3 4 3 4" xfId="16606"/>
    <cellStyle name="Output 2 7 3 4 4" xfId="10168"/>
    <cellStyle name="Output 2 7 3 4 4 2" xfId="29140"/>
    <cellStyle name="Output 2 7 3 4 4 3" xfId="39985"/>
    <cellStyle name="Output 2 7 3 4 4 4" xfId="18510"/>
    <cellStyle name="Output 2 7 3 4 5" xfId="20964"/>
    <cellStyle name="Output 2 7 3 4 6" xfId="31809"/>
    <cellStyle name="Output 2 7 3 4 7" xfId="12656"/>
    <cellStyle name="Output 2 7 3 5" xfId="2376"/>
    <cellStyle name="Output 2 7 3 5 2" xfId="5229"/>
    <cellStyle name="Output 2 7 3 5 2 2" xfId="24201"/>
    <cellStyle name="Output 2 7 3 5 2 3" xfId="35046"/>
    <cellStyle name="Output 2 7 3 5 2 4" xfId="14973"/>
    <cellStyle name="Output 2 7 3 5 3" xfId="7900"/>
    <cellStyle name="Output 2 7 3 5 3 2" xfId="26872"/>
    <cellStyle name="Output 2 7 3 5 3 3" xfId="37717"/>
    <cellStyle name="Output 2 7 3 5 3 4" xfId="16886"/>
    <cellStyle name="Output 2 7 3 5 4" xfId="10559"/>
    <cellStyle name="Output 2 7 3 5 4 2" xfId="29531"/>
    <cellStyle name="Output 2 7 3 5 4 3" xfId="40376"/>
    <cellStyle name="Output 2 7 3 5 4 4" xfId="18790"/>
    <cellStyle name="Output 2 7 3 5 5" xfId="21355"/>
    <cellStyle name="Output 2 7 3 5 6" xfId="32200"/>
    <cellStyle name="Output 2 7 3 5 7" xfId="12936"/>
    <cellStyle name="Output 2 7 3 6" xfId="2765"/>
    <cellStyle name="Output 2 7 3 6 2" xfId="5617"/>
    <cellStyle name="Output 2 7 3 6 2 2" xfId="24589"/>
    <cellStyle name="Output 2 7 3 6 2 3" xfId="35434"/>
    <cellStyle name="Output 2 7 3 6 2 4" xfId="15251"/>
    <cellStyle name="Output 2 7 3 6 3" xfId="8288"/>
    <cellStyle name="Output 2 7 3 6 3 2" xfId="27260"/>
    <cellStyle name="Output 2 7 3 6 3 3" xfId="38105"/>
    <cellStyle name="Output 2 7 3 6 3 4" xfId="17164"/>
    <cellStyle name="Output 2 7 3 6 4" xfId="10947"/>
    <cellStyle name="Output 2 7 3 6 4 2" xfId="29919"/>
    <cellStyle name="Output 2 7 3 6 4 3" xfId="40764"/>
    <cellStyle name="Output 2 7 3 6 4 4" xfId="19068"/>
    <cellStyle name="Output 2 7 3 6 5" xfId="21743"/>
    <cellStyle name="Output 2 7 3 6 6" xfId="32588"/>
    <cellStyle name="Output 2 7 3 6 7" xfId="13214"/>
    <cellStyle name="Output 2 7 3 7" xfId="3456"/>
    <cellStyle name="Output 2 7 3 7 2" xfId="22428"/>
    <cellStyle name="Output 2 7 3 7 3" xfId="33273"/>
    <cellStyle name="Output 2 7 3 7 4" xfId="13696"/>
    <cellStyle name="Output 2 7 3 8" xfId="6132"/>
    <cellStyle name="Output 2 7 3 8 2" xfId="25104"/>
    <cellStyle name="Output 2 7 3 8 3" xfId="35949"/>
    <cellStyle name="Output 2 7 3 8 4" xfId="15613"/>
    <cellStyle name="Output 2 7 3 9" xfId="8791"/>
    <cellStyle name="Output 2 7 3 9 2" xfId="27763"/>
    <cellStyle name="Output 2 7 3 9 3" xfId="38608"/>
    <cellStyle name="Output 2 7 3 9 4" xfId="17517"/>
    <cellStyle name="Output 2 7 4" xfId="11468"/>
    <cellStyle name="Output 2 8" xfId="144"/>
    <cellStyle name="Output 2 8 2" xfId="395"/>
    <cellStyle name="Output 2 8 2 10" xfId="2687"/>
    <cellStyle name="Output 2 8 2 10 2" xfId="5539"/>
    <cellStyle name="Output 2 8 2 10 2 2" xfId="24511"/>
    <cellStyle name="Output 2 8 2 10 2 3" xfId="35356"/>
    <cellStyle name="Output 2 8 2 10 2 4" xfId="15193"/>
    <cellStyle name="Output 2 8 2 10 3" xfId="8210"/>
    <cellStyle name="Output 2 8 2 10 3 2" xfId="27182"/>
    <cellStyle name="Output 2 8 2 10 3 3" xfId="38027"/>
    <cellStyle name="Output 2 8 2 10 3 4" xfId="17106"/>
    <cellStyle name="Output 2 8 2 10 4" xfId="10869"/>
    <cellStyle name="Output 2 8 2 10 4 2" xfId="29841"/>
    <cellStyle name="Output 2 8 2 10 4 3" xfId="40686"/>
    <cellStyle name="Output 2 8 2 10 4 4" xfId="19010"/>
    <cellStyle name="Output 2 8 2 10 5" xfId="21665"/>
    <cellStyle name="Output 2 8 2 10 6" xfId="32510"/>
    <cellStyle name="Output 2 8 2 10 7" xfId="13156"/>
    <cellStyle name="Output 2 8 2 11" xfId="3073"/>
    <cellStyle name="Output 2 8 2 11 2" xfId="5924"/>
    <cellStyle name="Output 2 8 2 11 2 2" xfId="24896"/>
    <cellStyle name="Output 2 8 2 11 2 3" xfId="35741"/>
    <cellStyle name="Output 2 8 2 11 2 4" xfId="15469"/>
    <cellStyle name="Output 2 8 2 11 3" xfId="8595"/>
    <cellStyle name="Output 2 8 2 11 3 2" xfId="27567"/>
    <cellStyle name="Output 2 8 2 11 3 3" xfId="38412"/>
    <cellStyle name="Output 2 8 2 11 3 4" xfId="17382"/>
    <cellStyle name="Output 2 8 2 11 4" xfId="11254"/>
    <cellStyle name="Output 2 8 2 11 4 2" xfId="30226"/>
    <cellStyle name="Output 2 8 2 11 4 3" xfId="41071"/>
    <cellStyle name="Output 2 8 2 11 4 4" xfId="19286"/>
    <cellStyle name="Output 2 8 2 11 5" xfId="22050"/>
    <cellStyle name="Output 2 8 2 11 6" xfId="32895"/>
    <cellStyle name="Output 2 8 2 11 7" xfId="13432"/>
    <cellStyle name="Output 2 8 2 12" xfId="3130"/>
    <cellStyle name="Output 2 8 2 12 2" xfId="5981"/>
    <cellStyle name="Output 2 8 2 12 2 2" xfId="24953"/>
    <cellStyle name="Output 2 8 2 12 2 3" xfId="35798"/>
    <cellStyle name="Output 2 8 2 12 2 4" xfId="15506"/>
    <cellStyle name="Output 2 8 2 12 3" xfId="8652"/>
    <cellStyle name="Output 2 8 2 12 3 2" xfId="27624"/>
    <cellStyle name="Output 2 8 2 12 3 3" xfId="38469"/>
    <cellStyle name="Output 2 8 2 12 3 4" xfId="17419"/>
    <cellStyle name="Output 2 8 2 12 4" xfId="11311"/>
    <cellStyle name="Output 2 8 2 12 4 2" xfId="30283"/>
    <cellStyle name="Output 2 8 2 12 4 3" xfId="41128"/>
    <cellStyle name="Output 2 8 2 12 4 4" xfId="19323"/>
    <cellStyle name="Output 2 8 2 12 5" xfId="22107"/>
    <cellStyle name="Output 2 8 2 12 6" xfId="32952"/>
    <cellStyle name="Output 2 8 2 12 7" xfId="13469"/>
    <cellStyle name="Output 2 8 2 13" xfId="3187"/>
    <cellStyle name="Output 2 8 2 13 2" xfId="6038"/>
    <cellStyle name="Output 2 8 2 13 2 2" xfId="25010"/>
    <cellStyle name="Output 2 8 2 13 2 3" xfId="35855"/>
    <cellStyle name="Output 2 8 2 13 2 4" xfId="15543"/>
    <cellStyle name="Output 2 8 2 13 3" xfId="8709"/>
    <cellStyle name="Output 2 8 2 13 3 2" xfId="27681"/>
    <cellStyle name="Output 2 8 2 13 3 3" xfId="38526"/>
    <cellStyle name="Output 2 8 2 13 3 4" xfId="17456"/>
    <cellStyle name="Output 2 8 2 13 4" xfId="11368"/>
    <cellStyle name="Output 2 8 2 13 4 2" xfId="30340"/>
    <cellStyle name="Output 2 8 2 13 4 3" xfId="41185"/>
    <cellStyle name="Output 2 8 2 13 4 4" xfId="19360"/>
    <cellStyle name="Output 2 8 2 13 5" xfId="22164"/>
    <cellStyle name="Output 2 8 2 13 6" xfId="33009"/>
    <cellStyle name="Output 2 8 2 13 7" xfId="13506"/>
    <cellStyle name="Output 2 8 2 14" xfId="3353"/>
    <cellStyle name="Output 2 8 2 14 2" xfId="22327"/>
    <cellStyle name="Output 2 8 2 14 3" xfId="33172"/>
    <cellStyle name="Output 2 8 2 14 4" xfId="13623"/>
    <cellStyle name="Output 2 8 2 15" xfId="3297"/>
    <cellStyle name="Output 2 8 2 15 2" xfId="22271"/>
    <cellStyle name="Output 2 8 2 15 3" xfId="33116"/>
    <cellStyle name="Output 2 8 2 15 4" xfId="13584"/>
    <cellStyle name="Output 2 8 2 16" xfId="498"/>
    <cellStyle name="Output 2 8 2 16 2" xfId="19531"/>
    <cellStyle name="Output 2 8 2 16 3" xfId="30376"/>
    <cellStyle name="Output 2 8 2 16 4" xfId="11577"/>
    <cellStyle name="Output 2 8 2 17" xfId="19484"/>
    <cellStyle name="Output 2 8 2 18" xfId="19392"/>
    <cellStyle name="Output 2 8 2 19" xfId="11533"/>
    <cellStyle name="Output 2 8 2 2" xfId="695"/>
    <cellStyle name="Output 2 8 2 2 10" xfId="19680"/>
    <cellStyle name="Output 2 8 2 2 11" xfId="30525"/>
    <cellStyle name="Output 2 8 2 2 12" xfId="11737"/>
    <cellStyle name="Output 2 8 2 2 2" xfId="1282"/>
    <cellStyle name="Output 2 8 2 2 2 2" xfId="4135"/>
    <cellStyle name="Output 2 8 2 2 2 2 2" xfId="23107"/>
    <cellStyle name="Output 2 8 2 2 2 2 3" xfId="33952"/>
    <cellStyle name="Output 2 8 2 2 2 2 4" xfId="14198"/>
    <cellStyle name="Output 2 8 2 2 2 3" xfId="6808"/>
    <cellStyle name="Output 2 8 2 2 2 3 2" xfId="25780"/>
    <cellStyle name="Output 2 8 2 2 2 3 3" xfId="36625"/>
    <cellStyle name="Output 2 8 2 2 2 3 4" xfId="16113"/>
    <cellStyle name="Output 2 8 2 2 2 4" xfId="9467"/>
    <cellStyle name="Output 2 8 2 2 2 4 2" xfId="28439"/>
    <cellStyle name="Output 2 8 2 2 2 4 3" xfId="39284"/>
    <cellStyle name="Output 2 8 2 2 2 4 4" xfId="18017"/>
    <cellStyle name="Output 2 8 2 2 2 5" xfId="20263"/>
    <cellStyle name="Output 2 8 2 2 2 6" xfId="31108"/>
    <cellStyle name="Output 2 8 2 2 2 7" xfId="12163"/>
    <cellStyle name="Output 2 8 2 2 3" xfId="1681"/>
    <cellStyle name="Output 2 8 2 2 3 2" xfId="4534"/>
    <cellStyle name="Output 2 8 2 2 3 2 2" xfId="23506"/>
    <cellStyle name="Output 2 8 2 2 3 2 3" xfId="34351"/>
    <cellStyle name="Output 2 8 2 2 3 2 4" xfId="14485"/>
    <cellStyle name="Output 2 8 2 2 3 3" xfId="7206"/>
    <cellStyle name="Output 2 8 2 2 3 3 2" xfId="26178"/>
    <cellStyle name="Output 2 8 2 2 3 3 3" xfId="37023"/>
    <cellStyle name="Output 2 8 2 2 3 3 4" xfId="16399"/>
    <cellStyle name="Output 2 8 2 2 3 4" xfId="9865"/>
    <cellStyle name="Output 2 8 2 2 3 4 2" xfId="28837"/>
    <cellStyle name="Output 2 8 2 2 3 4 3" xfId="39682"/>
    <cellStyle name="Output 2 8 2 2 3 4 4" xfId="18303"/>
    <cellStyle name="Output 2 8 2 2 3 5" xfId="20661"/>
    <cellStyle name="Output 2 8 2 2 3 6" xfId="31506"/>
    <cellStyle name="Output 2 8 2 2 3 7" xfId="12449"/>
    <cellStyle name="Output 2 8 2 2 4" xfId="2085"/>
    <cellStyle name="Output 2 8 2 2 4 2" xfId="4938"/>
    <cellStyle name="Output 2 8 2 2 4 2 2" xfId="23910"/>
    <cellStyle name="Output 2 8 2 2 4 2 3" xfId="34755"/>
    <cellStyle name="Output 2 8 2 2 4 2 4" xfId="14772"/>
    <cellStyle name="Output 2 8 2 2 4 3" xfId="7609"/>
    <cellStyle name="Output 2 8 2 2 4 3 2" xfId="26581"/>
    <cellStyle name="Output 2 8 2 2 4 3 3" xfId="37426"/>
    <cellStyle name="Output 2 8 2 2 4 3 4" xfId="16685"/>
    <cellStyle name="Output 2 8 2 2 4 4" xfId="10268"/>
    <cellStyle name="Output 2 8 2 2 4 4 2" xfId="29240"/>
    <cellStyle name="Output 2 8 2 2 4 4 3" xfId="40085"/>
    <cellStyle name="Output 2 8 2 2 4 4 4" xfId="18589"/>
    <cellStyle name="Output 2 8 2 2 4 5" xfId="21064"/>
    <cellStyle name="Output 2 8 2 2 4 6" xfId="31909"/>
    <cellStyle name="Output 2 8 2 2 4 7" xfId="12735"/>
    <cellStyle name="Output 2 8 2 2 5" xfId="2475"/>
    <cellStyle name="Output 2 8 2 2 5 2" xfId="5327"/>
    <cellStyle name="Output 2 8 2 2 5 2 2" xfId="24299"/>
    <cellStyle name="Output 2 8 2 2 5 2 3" xfId="35144"/>
    <cellStyle name="Output 2 8 2 2 5 2 4" xfId="15051"/>
    <cellStyle name="Output 2 8 2 2 5 3" xfId="7998"/>
    <cellStyle name="Output 2 8 2 2 5 3 2" xfId="26970"/>
    <cellStyle name="Output 2 8 2 2 5 3 3" xfId="37815"/>
    <cellStyle name="Output 2 8 2 2 5 3 4" xfId="16964"/>
    <cellStyle name="Output 2 8 2 2 5 4" xfId="10657"/>
    <cellStyle name="Output 2 8 2 2 5 4 2" xfId="29629"/>
    <cellStyle name="Output 2 8 2 2 5 4 3" xfId="40474"/>
    <cellStyle name="Output 2 8 2 2 5 4 4" xfId="18868"/>
    <cellStyle name="Output 2 8 2 2 5 5" xfId="21453"/>
    <cellStyle name="Output 2 8 2 2 5 6" xfId="32298"/>
    <cellStyle name="Output 2 8 2 2 5 7" xfId="13014"/>
    <cellStyle name="Output 2 8 2 2 6" xfId="2861"/>
    <cellStyle name="Output 2 8 2 2 6 2" xfId="5712"/>
    <cellStyle name="Output 2 8 2 2 6 2 2" xfId="24684"/>
    <cellStyle name="Output 2 8 2 2 6 2 3" xfId="35529"/>
    <cellStyle name="Output 2 8 2 2 6 2 4" xfId="15327"/>
    <cellStyle name="Output 2 8 2 2 6 3" xfId="8383"/>
    <cellStyle name="Output 2 8 2 2 6 3 2" xfId="27355"/>
    <cellStyle name="Output 2 8 2 2 6 3 3" xfId="38200"/>
    <cellStyle name="Output 2 8 2 2 6 3 4" xfId="17240"/>
    <cellStyle name="Output 2 8 2 2 6 4" xfId="11042"/>
    <cellStyle name="Output 2 8 2 2 6 4 2" xfId="30014"/>
    <cellStyle name="Output 2 8 2 2 6 4 3" xfId="40859"/>
    <cellStyle name="Output 2 8 2 2 6 4 4" xfId="19144"/>
    <cellStyle name="Output 2 8 2 2 6 5" xfId="21838"/>
    <cellStyle name="Output 2 8 2 2 6 6" xfId="32683"/>
    <cellStyle name="Output 2 8 2 2 6 7" xfId="13290"/>
    <cellStyle name="Output 2 8 2 2 7" xfId="3550"/>
    <cellStyle name="Output 2 8 2 2 7 2" xfId="22522"/>
    <cellStyle name="Output 2 8 2 2 7 3" xfId="33367"/>
    <cellStyle name="Output 2 8 2 2 7 4" xfId="13771"/>
    <cellStyle name="Output 2 8 2 2 8" xfId="6225"/>
    <cellStyle name="Output 2 8 2 2 8 2" xfId="25197"/>
    <cellStyle name="Output 2 8 2 2 8 3" xfId="36042"/>
    <cellStyle name="Output 2 8 2 2 8 4" xfId="15687"/>
    <cellStyle name="Output 2 8 2 2 9" xfId="8884"/>
    <cellStyle name="Output 2 8 2 2 9 2" xfId="27856"/>
    <cellStyle name="Output 2 8 2 2 9 3" xfId="38701"/>
    <cellStyle name="Output 2 8 2 2 9 4" xfId="17591"/>
    <cellStyle name="Output 2 8 2 3" xfId="755"/>
    <cellStyle name="Output 2 8 2 3 10" xfId="19740"/>
    <cellStyle name="Output 2 8 2 3 11" xfId="30585"/>
    <cellStyle name="Output 2 8 2 3 12" xfId="11777"/>
    <cellStyle name="Output 2 8 2 3 2" xfId="1342"/>
    <cellStyle name="Output 2 8 2 3 2 2" xfId="4195"/>
    <cellStyle name="Output 2 8 2 3 2 2 2" xfId="23167"/>
    <cellStyle name="Output 2 8 2 3 2 2 3" xfId="34012"/>
    <cellStyle name="Output 2 8 2 3 2 2 4" xfId="14238"/>
    <cellStyle name="Output 2 8 2 3 2 3" xfId="6868"/>
    <cellStyle name="Output 2 8 2 3 2 3 2" xfId="25840"/>
    <cellStyle name="Output 2 8 2 3 2 3 3" xfId="36685"/>
    <cellStyle name="Output 2 8 2 3 2 3 4" xfId="16153"/>
    <cellStyle name="Output 2 8 2 3 2 4" xfId="9527"/>
    <cellStyle name="Output 2 8 2 3 2 4 2" xfId="28499"/>
    <cellStyle name="Output 2 8 2 3 2 4 3" xfId="39344"/>
    <cellStyle name="Output 2 8 2 3 2 4 4" xfId="18057"/>
    <cellStyle name="Output 2 8 2 3 2 5" xfId="20323"/>
    <cellStyle name="Output 2 8 2 3 2 6" xfId="31168"/>
    <cellStyle name="Output 2 8 2 3 2 7" xfId="12203"/>
    <cellStyle name="Output 2 8 2 3 3" xfId="1741"/>
    <cellStyle name="Output 2 8 2 3 3 2" xfId="4594"/>
    <cellStyle name="Output 2 8 2 3 3 2 2" xfId="23566"/>
    <cellStyle name="Output 2 8 2 3 3 2 3" xfId="34411"/>
    <cellStyle name="Output 2 8 2 3 3 2 4" xfId="14525"/>
    <cellStyle name="Output 2 8 2 3 3 3" xfId="7266"/>
    <cellStyle name="Output 2 8 2 3 3 3 2" xfId="26238"/>
    <cellStyle name="Output 2 8 2 3 3 3 3" xfId="37083"/>
    <cellStyle name="Output 2 8 2 3 3 3 4" xfId="16439"/>
    <cellStyle name="Output 2 8 2 3 3 4" xfId="9925"/>
    <cellStyle name="Output 2 8 2 3 3 4 2" xfId="28897"/>
    <cellStyle name="Output 2 8 2 3 3 4 3" xfId="39742"/>
    <cellStyle name="Output 2 8 2 3 3 4 4" xfId="18343"/>
    <cellStyle name="Output 2 8 2 3 3 5" xfId="20721"/>
    <cellStyle name="Output 2 8 2 3 3 6" xfId="31566"/>
    <cellStyle name="Output 2 8 2 3 3 7" xfId="12489"/>
    <cellStyle name="Output 2 8 2 3 4" xfId="2145"/>
    <cellStyle name="Output 2 8 2 3 4 2" xfId="4998"/>
    <cellStyle name="Output 2 8 2 3 4 2 2" xfId="23970"/>
    <cellStyle name="Output 2 8 2 3 4 2 3" xfId="34815"/>
    <cellStyle name="Output 2 8 2 3 4 2 4" xfId="14812"/>
    <cellStyle name="Output 2 8 2 3 4 3" xfId="7669"/>
    <cellStyle name="Output 2 8 2 3 4 3 2" xfId="26641"/>
    <cellStyle name="Output 2 8 2 3 4 3 3" xfId="37486"/>
    <cellStyle name="Output 2 8 2 3 4 3 4" xfId="16725"/>
    <cellStyle name="Output 2 8 2 3 4 4" xfId="10328"/>
    <cellStyle name="Output 2 8 2 3 4 4 2" xfId="29300"/>
    <cellStyle name="Output 2 8 2 3 4 4 3" xfId="40145"/>
    <cellStyle name="Output 2 8 2 3 4 4 4" xfId="18629"/>
    <cellStyle name="Output 2 8 2 3 4 5" xfId="21124"/>
    <cellStyle name="Output 2 8 2 3 4 6" xfId="31969"/>
    <cellStyle name="Output 2 8 2 3 4 7" xfId="12775"/>
    <cellStyle name="Output 2 8 2 3 5" xfId="2535"/>
    <cellStyle name="Output 2 8 2 3 5 2" xfId="5387"/>
    <cellStyle name="Output 2 8 2 3 5 2 2" xfId="24359"/>
    <cellStyle name="Output 2 8 2 3 5 2 3" xfId="35204"/>
    <cellStyle name="Output 2 8 2 3 5 2 4" xfId="15091"/>
    <cellStyle name="Output 2 8 2 3 5 3" xfId="8058"/>
    <cellStyle name="Output 2 8 2 3 5 3 2" xfId="27030"/>
    <cellStyle name="Output 2 8 2 3 5 3 3" xfId="37875"/>
    <cellStyle name="Output 2 8 2 3 5 3 4" xfId="17004"/>
    <cellStyle name="Output 2 8 2 3 5 4" xfId="10717"/>
    <cellStyle name="Output 2 8 2 3 5 4 2" xfId="29689"/>
    <cellStyle name="Output 2 8 2 3 5 4 3" xfId="40534"/>
    <cellStyle name="Output 2 8 2 3 5 4 4" xfId="18908"/>
    <cellStyle name="Output 2 8 2 3 5 5" xfId="21513"/>
    <cellStyle name="Output 2 8 2 3 5 6" xfId="32358"/>
    <cellStyle name="Output 2 8 2 3 5 7" xfId="13054"/>
    <cellStyle name="Output 2 8 2 3 6" xfId="2921"/>
    <cellStyle name="Output 2 8 2 3 6 2" xfId="5772"/>
    <cellStyle name="Output 2 8 2 3 6 2 2" xfId="24744"/>
    <cellStyle name="Output 2 8 2 3 6 2 3" xfId="35589"/>
    <cellStyle name="Output 2 8 2 3 6 2 4" xfId="15367"/>
    <cellStyle name="Output 2 8 2 3 6 3" xfId="8443"/>
    <cellStyle name="Output 2 8 2 3 6 3 2" xfId="27415"/>
    <cellStyle name="Output 2 8 2 3 6 3 3" xfId="38260"/>
    <cellStyle name="Output 2 8 2 3 6 3 4" xfId="17280"/>
    <cellStyle name="Output 2 8 2 3 6 4" xfId="11102"/>
    <cellStyle name="Output 2 8 2 3 6 4 2" xfId="30074"/>
    <cellStyle name="Output 2 8 2 3 6 4 3" xfId="40919"/>
    <cellStyle name="Output 2 8 2 3 6 4 4" xfId="19184"/>
    <cellStyle name="Output 2 8 2 3 6 5" xfId="21898"/>
    <cellStyle name="Output 2 8 2 3 6 6" xfId="32743"/>
    <cellStyle name="Output 2 8 2 3 6 7" xfId="13330"/>
    <cellStyle name="Output 2 8 2 3 7" xfId="3610"/>
    <cellStyle name="Output 2 8 2 3 7 2" xfId="22582"/>
    <cellStyle name="Output 2 8 2 3 7 3" xfId="33427"/>
    <cellStyle name="Output 2 8 2 3 7 4" xfId="13811"/>
    <cellStyle name="Output 2 8 2 3 8" xfId="6285"/>
    <cellStyle name="Output 2 8 2 3 8 2" xfId="25257"/>
    <cellStyle name="Output 2 8 2 3 8 3" xfId="36102"/>
    <cellStyle name="Output 2 8 2 3 8 4" xfId="15727"/>
    <cellStyle name="Output 2 8 2 3 9" xfId="8944"/>
    <cellStyle name="Output 2 8 2 3 9 2" xfId="27916"/>
    <cellStyle name="Output 2 8 2 3 9 3" xfId="38761"/>
    <cellStyle name="Output 2 8 2 3 9 4" xfId="17631"/>
    <cellStyle name="Output 2 8 2 4" xfId="815"/>
    <cellStyle name="Output 2 8 2 4 10" xfId="19800"/>
    <cellStyle name="Output 2 8 2 4 11" xfId="30645"/>
    <cellStyle name="Output 2 8 2 4 12" xfId="11817"/>
    <cellStyle name="Output 2 8 2 4 2" xfId="1402"/>
    <cellStyle name="Output 2 8 2 4 2 2" xfId="4255"/>
    <cellStyle name="Output 2 8 2 4 2 2 2" xfId="23227"/>
    <cellStyle name="Output 2 8 2 4 2 2 3" xfId="34072"/>
    <cellStyle name="Output 2 8 2 4 2 2 4" xfId="14278"/>
    <cellStyle name="Output 2 8 2 4 2 3" xfId="6928"/>
    <cellStyle name="Output 2 8 2 4 2 3 2" xfId="25900"/>
    <cellStyle name="Output 2 8 2 4 2 3 3" xfId="36745"/>
    <cellStyle name="Output 2 8 2 4 2 3 4" xfId="16193"/>
    <cellStyle name="Output 2 8 2 4 2 4" xfId="9587"/>
    <cellStyle name="Output 2 8 2 4 2 4 2" xfId="28559"/>
    <cellStyle name="Output 2 8 2 4 2 4 3" xfId="39404"/>
    <cellStyle name="Output 2 8 2 4 2 4 4" xfId="18097"/>
    <cellStyle name="Output 2 8 2 4 2 5" xfId="20383"/>
    <cellStyle name="Output 2 8 2 4 2 6" xfId="31228"/>
    <cellStyle name="Output 2 8 2 4 2 7" xfId="12243"/>
    <cellStyle name="Output 2 8 2 4 3" xfId="1801"/>
    <cellStyle name="Output 2 8 2 4 3 2" xfId="4654"/>
    <cellStyle name="Output 2 8 2 4 3 2 2" xfId="23626"/>
    <cellStyle name="Output 2 8 2 4 3 2 3" xfId="34471"/>
    <cellStyle name="Output 2 8 2 4 3 2 4" xfId="14565"/>
    <cellStyle name="Output 2 8 2 4 3 3" xfId="7326"/>
    <cellStyle name="Output 2 8 2 4 3 3 2" xfId="26298"/>
    <cellStyle name="Output 2 8 2 4 3 3 3" xfId="37143"/>
    <cellStyle name="Output 2 8 2 4 3 3 4" xfId="16479"/>
    <cellStyle name="Output 2 8 2 4 3 4" xfId="9985"/>
    <cellStyle name="Output 2 8 2 4 3 4 2" xfId="28957"/>
    <cellStyle name="Output 2 8 2 4 3 4 3" xfId="39802"/>
    <cellStyle name="Output 2 8 2 4 3 4 4" xfId="18383"/>
    <cellStyle name="Output 2 8 2 4 3 5" xfId="20781"/>
    <cellStyle name="Output 2 8 2 4 3 6" xfId="31626"/>
    <cellStyle name="Output 2 8 2 4 3 7" xfId="12529"/>
    <cellStyle name="Output 2 8 2 4 4" xfId="2205"/>
    <cellStyle name="Output 2 8 2 4 4 2" xfId="5058"/>
    <cellStyle name="Output 2 8 2 4 4 2 2" xfId="24030"/>
    <cellStyle name="Output 2 8 2 4 4 2 3" xfId="34875"/>
    <cellStyle name="Output 2 8 2 4 4 2 4" xfId="14852"/>
    <cellStyle name="Output 2 8 2 4 4 3" xfId="7729"/>
    <cellStyle name="Output 2 8 2 4 4 3 2" xfId="26701"/>
    <cellStyle name="Output 2 8 2 4 4 3 3" xfId="37546"/>
    <cellStyle name="Output 2 8 2 4 4 3 4" xfId="16765"/>
    <cellStyle name="Output 2 8 2 4 4 4" xfId="10388"/>
    <cellStyle name="Output 2 8 2 4 4 4 2" xfId="29360"/>
    <cellStyle name="Output 2 8 2 4 4 4 3" xfId="40205"/>
    <cellStyle name="Output 2 8 2 4 4 4 4" xfId="18669"/>
    <cellStyle name="Output 2 8 2 4 4 5" xfId="21184"/>
    <cellStyle name="Output 2 8 2 4 4 6" xfId="32029"/>
    <cellStyle name="Output 2 8 2 4 4 7" xfId="12815"/>
    <cellStyle name="Output 2 8 2 4 5" xfId="2595"/>
    <cellStyle name="Output 2 8 2 4 5 2" xfId="5447"/>
    <cellStyle name="Output 2 8 2 4 5 2 2" xfId="24419"/>
    <cellStyle name="Output 2 8 2 4 5 2 3" xfId="35264"/>
    <cellStyle name="Output 2 8 2 4 5 2 4" xfId="15131"/>
    <cellStyle name="Output 2 8 2 4 5 3" xfId="8118"/>
    <cellStyle name="Output 2 8 2 4 5 3 2" xfId="27090"/>
    <cellStyle name="Output 2 8 2 4 5 3 3" xfId="37935"/>
    <cellStyle name="Output 2 8 2 4 5 3 4" xfId="17044"/>
    <cellStyle name="Output 2 8 2 4 5 4" xfId="10777"/>
    <cellStyle name="Output 2 8 2 4 5 4 2" xfId="29749"/>
    <cellStyle name="Output 2 8 2 4 5 4 3" xfId="40594"/>
    <cellStyle name="Output 2 8 2 4 5 4 4" xfId="18948"/>
    <cellStyle name="Output 2 8 2 4 5 5" xfId="21573"/>
    <cellStyle name="Output 2 8 2 4 5 6" xfId="32418"/>
    <cellStyle name="Output 2 8 2 4 5 7" xfId="13094"/>
    <cellStyle name="Output 2 8 2 4 6" xfId="2981"/>
    <cellStyle name="Output 2 8 2 4 6 2" xfId="5832"/>
    <cellStyle name="Output 2 8 2 4 6 2 2" xfId="24804"/>
    <cellStyle name="Output 2 8 2 4 6 2 3" xfId="35649"/>
    <cellStyle name="Output 2 8 2 4 6 2 4" xfId="15407"/>
    <cellStyle name="Output 2 8 2 4 6 3" xfId="8503"/>
    <cellStyle name="Output 2 8 2 4 6 3 2" xfId="27475"/>
    <cellStyle name="Output 2 8 2 4 6 3 3" xfId="38320"/>
    <cellStyle name="Output 2 8 2 4 6 3 4" xfId="17320"/>
    <cellStyle name="Output 2 8 2 4 6 4" xfId="11162"/>
    <cellStyle name="Output 2 8 2 4 6 4 2" xfId="30134"/>
    <cellStyle name="Output 2 8 2 4 6 4 3" xfId="40979"/>
    <cellStyle name="Output 2 8 2 4 6 4 4" xfId="19224"/>
    <cellStyle name="Output 2 8 2 4 6 5" xfId="21958"/>
    <cellStyle name="Output 2 8 2 4 6 6" xfId="32803"/>
    <cellStyle name="Output 2 8 2 4 6 7" xfId="13370"/>
    <cellStyle name="Output 2 8 2 4 7" xfId="3670"/>
    <cellStyle name="Output 2 8 2 4 7 2" xfId="22642"/>
    <cellStyle name="Output 2 8 2 4 7 3" xfId="33487"/>
    <cellStyle name="Output 2 8 2 4 7 4" xfId="13851"/>
    <cellStyle name="Output 2 8 2 4 8" xfId="6345"/>
    <cellStyle name="Output 2 8 2 4 8 2" xfId="25317"/>
    <cellStyle name="Output 2 8 2 4 8 3" xfId="36162"/>
    <cellStyle name="Output 2 8 2 4 8 4" xfId="15767"/>
    <cellStyle name="Output 2 8 2 4 9" xfId="9004"/>
    <cellStyle name="Output 2 8 2 4 9 2" xfId="27976"/>
    <cellStyle name="Output 2 8 2 4 9 3" xfId="38821"/>
    <cellStyle name="Output 2 8 2 4 9 4" xfId="17671"/>
    <cellStyle name="Output 2 8 2 5" xfId="874"/>
    <cellStyle name="Output 2 8 2 5 10" xfId="19859"/>
    <cellStyle name="Output 2 8 2 5 11" xfId="30704"/>
    <cellStyle name="Output 2 8 2 5 12" xfId="11856"/>
    <cellStyle name="Output 2 8 2 5 2" xfId="1461"/>
    <cellStyle name="Output 2 8 2 5 2 2" xfId="4314"/>
    <cellStyle name="Output 2 8 2 5 2 2 2" xfId="23286"/>
    <cellStyle name="Output 2 8 2 5 2 2 3" xfId="34131"/>
    <cellStyle name="Output 2 8 2 5 2 2 4" xfId="14317"/>
    <cellStyle name="Output 2 8 2 5 2 3" xfId="6987"/>
    <cellStyle name="Output 2 8 2 5 2 3 2" xfId="25959"/>
    <cellStyle name="Output 2 8 2 5 2 3 3" xfId="36804"/>
    <cellStyle name="Output 2 8 2 5 2 3 4" xfId="16232"/>
    <cellStyle name="Output 2 8 2 5 2 4" xfId="9646"/>
    <cellStyle name="Output 2 8 2 5 2 4 2" xfId="28618"/>
    <cellStyle name="Output 2 8 2 5 2 4 3" xfId="39463"/>
    <cellStyle name="Output 2 8 2 5 2 4 4" xfId="18136"/>
    <cellStyle name="Output 2 8 2 5 2 5" xfId="20442"/>
    <cellStyle name="Output 2 8 2 5 2 6" xfId="31287"/>
    <cellStyle name="Output 2 8 2 5 2 7" xfId="12282"/>
    <cellStyle name="Output 2 8 2 5 3" xfId="1860"/>
    <cellStyle name="Output 2 8 2 5 3 2" xfId="4713"/>
    <cellStyle name="Output 2 8 2 5 3 2 2" xfId="23685"/>
    <cellStyle name="Output 2 8 2 5 3 2 3" xfId="34530"/>
    <cellStyle name="Output 2 8 2 5 3 2 4" xfId="14604"/>
    <cellStyle name="Output 2 8 2 5 3 3" xfId="7385"/>
    <cellStyle name="Output 2 8 2 5 3 3 2" xfId="26357"/>
    <cellStyle name="Output 2 8 2 5 3 3 3" xfId="37202"/>
    <cellStyle name="Output 2 8 2 5 3 3 4" xfId="16518"/>
    <cellStyle name="Output 2 8 2 5 3 4" xfId="10044"/>
    <cellStyle name="Output 2 8 2 5 3 4 2" xfId="29016"/>
    <cellStyle name="Output 2 8 2 5 3 4 3" xfId="39861"/>
    <cellStyle name="Output 2 8 2 5 3 4 4" xfId="18422"/>
    <cellStyle name="Output 2 8 2 5 3 5" xfId="20840"/>
    <cellStyle name="Output 2 8 2 5 3 6" xfId="31685"/>
    <cellStyle name="Output 2 8 2 5 3 7" xfId="12568"/>
    <cellStyle name="Output 2 8 2 5 4" xfId="2264"/>
    <cellStyle name="Output 2 8 2 5 4 2" xfId="5117"/>
    <cellStyle name="Output 2 8 2 5 4 2 2" xfId="24089"/>
    <cellStyle name="Output 2 8 2 5 4 2 3" xfId="34934"/>
    <cellStyle name="Output 2 8 2 5 4 2 4" xfId="14891"/>
    <cellStyle name="Output 2 8 2 5 4 3" xfId="7788"/>
    <cellStyle name="Output 2 8 2 5 4 3 2" xfId="26760"/>
    <cellStyle name="Output 2 8 2 5 4 3 3" xfId="37605"/>
    <cellStyle name="Output 2 8 2 5 4 3 4" xfId="16804"/>
    <cellStyle name="Output 2 8 2 5 4 4" xfId="10447"/>
    <cellStyle name="Output 2 8 2 5 4 4 2" xfId="29419"/>
    <cellStyle name="Output 2 8 2 5 4 4 3" xfId="40264"/>
    <cellStyle name="Output 2 8 2 5 4 4 4" xfId="18708"/>
    <cellStyle name="Output 2 8 2 5 4 5" xfId="21243"/>
    <cellStyle name="Output 2 8 2 5 4 6" xfId="32088"/>
    <cellStyle name="Output 2 8 2 5 4 7" xfId="12854"/>
    <cellStyle name="Output 2 8 2 5 5" xfId="2654"/>
    <cellStyle name="Output 2 8 2 5 5 2" xfId="5506"/>
    <cellStyle name="Output 2 8 2 5 5 2 2" xfId="24478"/>
    <cellStyle name="Output 2 8 2 5 5 2 3" xfId="35323"/>
    <cellStyle name="Output 2 8 2 5 5 2 4" xfId="15170"/>
    <cellStyle name="Output 2 8 2 5 5 3" xfId="8177"/>
    <cellStyle name="Output 2 8 2 5 5 3 2" xfId="27149"/>
    <cellStyle name="Output 2 8 2 5 5 3 3" xfId="37994"/>
    <cellStyle name="Output 2 8 2 5 5 3 4" xfId="17083"/>
    <cellStyle name="Output 2 8 2 5 5 4" xfId="10836"/>
    <cellStyle name="Output 2 8 2 5 5 4 2" xfId="29808"/>
    <cellStyle name="Output 2 8 2 5 5 4 3" xfId="40653"/>
    <cellStyle name="Output 2 8 2 5 5 4 4" xfId="18987"/>
    <cellStyle name="Output 2 8 2 5 5 5" xfId="21632"/>
    <cellStyle name="Output 2 8 2 5 5 6" xfId="32477"/>
    <cellStyle name="Output 2 8 2 5 5 7" xfId="13133"/>
    <cellStyle name="Output 2 8 2 5 6" xfId="3040"/>
    <cellStyle name="Output 2 8 2 5 6 2" xfId="5891"/>
    <cellStyle name="Output 2 8 2 5 6 2 2" xfId="24863"/>
    <cellStyle name="Output 2 8 2 5 6 2 3" xfId="35708"/>
    <cellStyle name="Output 2 8 2 5 6 2 4" xfId="15446"/>
    <cellStyle name="Output 2 8 2 5 6 3" xfId="8562"/>
    <cellStyle name="Output 2 8 2 5 6 3 2" xfId="27534"/>
    <cellStyle name="Output 2 8 2 5 6 3 3" xfId="38379"/>
    <cellStyle name="Output 2 8 2 5 6 3 4" xfId="17359"/>
    <cellStyle name="Output 2 8 2 5 6 4" xfId="11221"/>
    <cellStyle name="Output 2 8 2 5 6 4 2" xfId="30193"/>
    <cellStyle name="Output 2 8 2 5 6 4 3" xfId="41038"/>
    <cellStyle name="Output 2 8 2 5 6 4 4" xfId="19263"/>
    <cellStyle name="Output 2 8 2 5 6 5" xfId="22017"/>
    <cellStyle name="Output 2 8 2 5 6 6" xfId="32862"/>
    <cellStyle name="Output 2 8 2 5 6 7" xfId="13409"/>
    <cellStyle name="Output 2 8 2 5 7" xfId="3729"/>
    <cellStyle name="Output 2 8 2 5 7 2" xfId="22701"/>
    <cellStyle name="Output 2 8 2 5 7 3" xfId="33546"/>
    <cellStyle name="Output 2 8 2 5 7 4" xfId="13890"/>
    <cellStyle name="Output 2 8 2 5 8" xfId="6404"/>
    <cellStyle name="Output 2 8 2 5 8 2" xfId="25376"/>
    <cellStyle name="Output 2 8 2 5 8 3" xfId="36221"/>
    <cellStyle name="Output 2 8 2 5 8 4" xfId="15806"/>
    <cellStyle name="Output 2 8 2 5 9" xfId="9063"/>
    <cellStyle name="Output 2 8 2 5 9 2" xfId="28035"/>
    <cellStyle name="Output 2 8 2 5 9 3" xfId="38880"/>
    <cellStyle name="Output 2 8 2 5 9 4" xfId="17710"/>
    <cellStyle name="Output 2 8 2 6" xfId="1096"/>
    <cellStyle name="Output 2 8 2 6 2" xfId="3949"/>
    <cellStyle name="Output 2 8 2 6 2 2" xfId="22921"/>
    <cellStyle name="Output 2 8 2 6 2 3" xfId="33766"/>
    <cellStyle name="Output 2 8 2 6 2 4" xfId="14052"/>
    <cellStyle name="Output 2 8 2 6 3" xfId="6623"/>
    <cellStyle name="Output 2 8 2 6 3 2" xfId="25595"/>
    <cellStyle name="Output 2 8 2 6 3 3" xfId="36440"/>
    <cellStyle name="Output 2 8 2 6 3 4" xfId="15968"/>
    <cellStyle name="Output 2 8 2 6 4" xfId="9282"/>
    <cellStyle name="Output 2 8 2 6 4 2" xfId="28254"/>
    <cellStyle name="Output 2 8 2 6 4 3" xfId="39099"/>
    <cellStyle name="Output 2 8 2 6 4 4" xfId="17872"/>
    <cellStyle name="Output 2 8 2 6 5" xfId="20078"/>
    <cellStyle name="Output 2 8 2 6 6" xfId="30923"/>
    <cellStyle name="Output 2 8 2 6 7" xfId="12018"/>
    <cellStyle name="Output 2 8 2 7" xfId="1495"/>
    <cellStyle name="Output 2 8 2 7 2" xfId="4348"/>
    <cellStyle name="Output 2 8 2 7 2 2" xfId="23320"/>
    <cellStyle name="Output 2 8 2 7 2 3" xfId="34165"/>
    <cellStyle name="Output 2 8 2 7 2 4" xfId="14341"/>
    <cellStyle name="Output 2 8 2 7 3" xfId="7021"/>
    <cellStyle name="Output 2 8 2 7 3 2" xfId="25993"/>
    <cellStyle name="Output 2 8 2 7 3 3" xfId="36838"/>
    <cellStyle name="Output 2 8 2 7 3 4" xfId="16256"/>
    <cellStyle name="Output 2 8 2 7 4" xfId="9680"/>
    <cellStyle name="Output 2 8 2 7 4 2" xfId="28652"/>
    <cellStyle name="Output 2 8 2 7 4 3" xfId="39497"/>
    <cellStyle name="Output 2 8 2 7 4 4" xfId="18160"/>
    <cellStyle name="Output 2 8 2 7 5" xfId="20476"/>
    <cellStyle name="Output 2 8 2 7 6" xfId="31321"/>
    <cellStyle name="Output 2 8 2 7 7" xfId="12306"/>
    <cellStyle name="Output 2 8 2 8" xfId="1903"/>
    <cellStyle name="Output 2 8 2 8 2" xfId="4756"/>
    <cellStyle name="Output 2 8 2 8 2 2" xfId="23728"/>
    <cellStyle name="Output 2 8 2 8 2 3" xfId="34573"/>
    <cellStyle name="Output 2 8 2 8 2 4" xfId="14632"/>
    <cellStyle name="Output 2 8 2 8 3" xfId="7428"/>
    <cellStyle name="Output 2 8 2 8 3 2" xfId="26400"/>
    <cellStyle name="Output 2 8 2 8 3 3" xfId="37245"/>
    <cellStyle name="Output 2 8 2 8 3 4" xfId="16546"/>
    <cellStyle name="Output 2 8 2 8 4" xfId="10087"/>
    <cellStyle name="Output 2 8 2 8 4 2" xfId="29059"/>
    <cellStyle name="Output 2 8 2 8 4 3" xfId="39904"/>
    <cellStyle name="Output 2 8 2 8 4 4" xfId="18450"/>
    <cellStyle name="Output 2 8 2 8 5" xfId="20883"/>
    <cellStyle name="Output 2 8 2 8 6" xfId="31728"/>
    <cellStyle name="Output 2 8 2 8 7" xfId="12596"/>
    <cellStyle name="Output 2 8 2 9" xfId="2297"/>
    <cellStyle name="Output 2 8 2 9 2" xfId="5150"/>
    <cellStyle name="Output 2 8 2 9 2 2" xfId="24122"/>
    <cellStyle name="Output 2 8 2 9 2 3" xfId="34967"/>
    <cellStyle name="Output 2 8 2 9 2 4" xfId="14914"/>
    <cellStyle name="Output 2 8 2 9 3" xfId="7821"/>
    <cellStyle name="Output 2 8 2 9 3 2" xfId="26793"/>
    <cellStyle name="Output 2 8 2 9 3 3" xfId="37638"/>
    <cellStyle name="Output 2 8 2 9 3 4" xfId="16827"/>
    <cellStyle name="Output 2 8 2 9 4" xfId="10480"/>
    <cellStyle name="Output 2 8 2 9 4 2" xfId="29452"/>
    <cellStyle name="Output 2 8 2 9 4 3" xfId="40297"/>
    <cellStyle name="Output 2 8 2 9 4 4" xfId="18731"/>
    <cellStyle name="Output 2 8 2 9 5" xfId="21276"/>
    <cellStyle name="Output 2 8 2 9 6" xfId="32121"/>
    <cellStyle name="Output 2 8 2 9 7" xfId="12877"/>
    <cellStyle name="Output 2 8 3" xfId="578"/>
    <cellStyle name="Output 2 8 3 10" xfId="19588"/>
    <cellStyle name="Output 2 8 3 11" xfId="30433"/>
    <cellStyle name="Output 2 8 3 12" xfId="11642"/>
    <cellStyle name="Output 2 8 3 2" xfId="1184"/>
    <cellStyle name="Output 2 8 3 2 2" xfId="4037"/>
    <cellStyle name="Output 2 8 3 2 2 2" xfId="23009"/>
    <cellStyle name="Output 2 8 3 2 2 3" xfId="33854"/>
    <cellStyle name="Output 2 8 3 2 2 4" xfId="14119"/>
    <cellStyle name="Output 2 8 3 2 3" xfId="6710"/>
    <cellStyle name="Output 2 8 3 2 3 2" xfId="25682"/>
    <cellStyle name="Output 2 8 3 2 3 3" xfId="36527"/>
    <cellStyle name="Output 2 8 3 2 3 4" xfId="16034"/>
    <cellStyle name="Output 2 8 3 2 4" xfId="9369"/>
    <cellStyle name="Output 2 8 3 2 4 2" xfId="28341"/>
    <cellStyle name="Output 2 8 3 2 4 3" xfId="39186"/>
    <cellStyle name="Output 2 8 3 2 4 4" xfId="17938"/>
    <cellStyle name="Output 2 8 3 2 5" xfId="20165"/>
    <cellStyle name="Output 2 8 3 2 6" xfId="31010"/>
    <cellStyle name="Output 2 8 3 2 7" xfId="12084"/>
    <cellStyle name="Output 2 8 3 3" xfId="1581"/>
    <cellStyle name="Output 2 8 3 3 2" xfId="4434"/>
    <cellStyle name="Output 2 8 3 3 2 2" xfId="23406"/>
    <cellStyle name="Output 2 8 3 3 2 3" xfId="34251"/>
    <cellStyle name="Output 2 8 3 3 2 4" xfId="14405"/>
    <cellStyle name="Output 2 8 3 3 3" xfId="7106"/>
    <cellStyle name="Output 2 8 3 3 3 2" xfId="26078"/>
    <cellStyle name="Output 2 8 3 3 3 3" xfId="36923"/>
    <cellStyle name="Output 2 8 3 3 3 4" xfId="16319"/>
    <cellStyle name="Output 2 8 3 3 4" xfId="9765"/>
    <cellStyle name="Output 2 8 3 3 4 2" xfId="28737"/>
    <cellStyle name="Output 2 8 3 3 4 3" xfId="39582"/>
    <cellStyle name="Output 2 8 3 3 4 4" xfId="18223"/>
    <cellStyle name="Output 2 8 3 3 5" xfId="20561"/>
    <cellStyle name="Output 2 8 3 3 6" xfId="31406"/>
    <cellStyle name="Output 2 8 3 3 7" xfId="12369"/>
    <cellStyle name="Output 2 8 3 4" xfId="1985"/>
    <cellStyle name="Output 2 8 3 4 2" xfId="4838"/>
    <cellStyle name="Output 2 8 3 4 2 2" xfId="23810"/>
    <cellStyle name="Output 2 8 3 4 2 3" xfId="34655"/>
    <cellStyle name="Output 2 8 3 4 2 4" xfId="14693"/>
    <cellStyle name="Output 2 8 3 4 3" xfId="7510"/>
    <cellStyle name="Output 2 8 3 4 3 2" xfId="26482"/>
    <cellStyle name="Output 2 8 3 4 3 3" xfId="37327"/>
    <cellStyle name="Output 2 8 3 4 3 4" xfId="16607"/>
    <cellStyle name="Output 2 8 3 4 4" xfId="10169"/>
    <cellStyle name="Output 2 8 3 4 4 2" xfId="29141"/>
    <cellStyle name="Output 2 8 3 4 4 3" xfId="39986"/>
    <cellStyle name="Output 2 8 3 4 4 4" xfId="18511"/>
    <cellStyle name="Output 2 8 3 4 5" xfId="20965"/>
    <cellStyle name="Output 2 8 3 4 6" xfId="31810"/>
    <cellStyle name="Output 2 8 3 4 7" xfId="12657"/>
    <cellStyle name="Output 2 8 3 5" xfId="2377"/>
    <cellStyle name="Output 2 8 3 5 2" xfId="5230"/>
    <cellStyle name="Output 2 8 3 5 2 2" xfId="24202"/>
    <cellStyle name="Output 2 8 3 5 2 3" xfId="35047"/>
    <cellStyle name="Output 2 8 3 5 2 4" xfId="14974"/>
    <cellStyle name="Output 2 8 3 5 3" xfId="7901"/>
    <cellStyle name="Output 2 8 3 5 3 2" xfId="26873"/>
    <cellStyle name="Output 2 8 3 5 3 3" xfId="37718"/>
    <cellStyle name="Output 2 8 3 5 3 4" xfId="16887"/>
    <cellStyle name="Output 2 8 3 5 4" xfId="10560"/>
    <cellStyle name="Output 2 8 3 5 4 2" xfId="29532"/>
    <cellStyle name="Output 2 8 3 5 4 3" xfId="40377"/>
    <cellStyle name="Output 2 8 3 5 4 4" xfId="18791"/>
    <cellStyle name="Output 2 8 3 5 5" xfId="21356"/>
    <cellStyle name="Output 2 8 3 5 6" xfId="32201"/>
    <cellStyle name="Output 2 8 3 5 7" xfId="12937"/>
    <cellStyle name="Output 2 8 3 6" xfId="2766"/>
    <cellStyle name="Output 2 8 3 6 2" xfId="5618"/>
    <cellStyle name="Output 2 8 3 6 2 2" xfId="24590"/>
    <cellStyle name="Output 2 8 3 6 2 3" xfId="35435"/>
    <cellStyle name="Output 2 8 3 6 2 4" xfId="15252"/>
    <cellStyle name="Output 2 8 3 6 3" xfId="8289"/>
    <cellStyle name="Output 2 8 3 6 3 2" xfId="27261"/>
    <cellStyle name="Output 2 8 3 6 3 3" xfId="38106"/>
    <cellStyle name="Output 2 8 3 6 3 4" xfId="17165"/>
    <cellStyle name="Output 2 8 3 6 4" xfId="10948"/>
    <cellStyle name="Output 2 8 3 6 4 2" xfId="29920"/>
    <cellStyle name="Output 2 8 3 6 4 3" xfId="40765"/>
    <cellStyle name="Output 2 8 3 6 4 4" xfId="19069"/>
    <cellStyle name="Output 2 8 3 6 5" xfId="21744"/>
    <cellStyle name="Output 2 8 3 6 6" xfId="32589"/>
    <cellStyle name="Output 2 8 3 6 7" xfId="13215"/>
    <cellStyle name="Output 2 8 3 7" xfId="3457"/>
    <cellStyle name="Output 2 8 3 7 2" xfId="22429"/>
    <cellStyle name="Output 2 8 3 7 3" xfId="33274"/>
    <cellStyle name="Output 2 8 3 7 4" xfId="13697"/>
    <cellStyle name="Output 2 8 3 8" xfId="6133"/>
    <cellStyle name="Output 2 8 3 8 2" xfId="25105"/>
    <cellStyle name="Output 2 8 3 8 3" xfId="35950"/>
    <cellStyle name="Output 2 8 3 8 4" xfId="15614"/>
    <cellStyle name="Output 2 8 3 9" xfId="8792"/>
    <cellStyle name="Output 2 8 3 9 2" xfId="27764"/>
    <cellStyle name="Output 2 8 3 9 3" xfId="38609"/>
    <cellStyle name="Output 2 8 3 9 4" xfId="17518"/>
    <cellStyle name="Output 2 8 4" xfId="11469"/>
    <cellStyle name="Output 2 9" xfId="388"/>
    <cellStyle name="Output 2 9 10" xfId="941"/>
    <cellStyle name="Output 2 9 10 2" xfId="3795"/>
    <cellStyle name="Output 2 9 10 2 2" xfId="22767"/>
    <cellStyle name="Output 2 9 10 2 3" xfId="33612"/>
    <cellStyle name="Output 2 9 10 2 4" xfId="13940"/>
    <cellStyle name="Output 2 9 10 3" xfId="6470"/>
    <cellStyle name="Output 2 9 10 3 2" xfId="25442"/>
    <cellStyle name="Output 2 9 10 3 3" xfId="36287"/>
    <cellStyle name="Output 2 9 10 3 4" xfId="15856"/>
    <cellStyle name="Output 2 9 10 4" xfId="9129"/>
    <cellStyle name="Output 2 9 10 4 2" xfId="28101"/>
    <cellStyle name="Output 2 9 10 4 3" xfId="38946"/>
    <cellStyle name="Output 2 9 10 4 4" xfId="17760"/>
    <cellStyle name="Output 2 9 10 5" xfId="19925"/>
    <cellStyle name="Output 2 9 10 6" xfId="30770"/>
    <cellStyle name="Output 2 9 10 7" xfId="11906"/>
    <cellStyle name="Output 2 9 11" xfId="1112"/>
    <cellStyle name="Output 2 9 11 2" xfId="3965"/>
    <cellStyle name="Output 2 9 11 2 2" xfId="22937"/>
    <cellStyle name="Output 2 9 11 2 3" xfId="33782"/>
    <cellStyle name="Output 2 9 11 2 4" xfId="14067"/>
    <cellStyle name="Output 2 9 11 3" xfId="6639"/>
    <cellStyle name="Output 2 9 11 3 2" xfId="25611"/>
    <cellStyle name="Output 2 9 11 3 3" xfId="36456"/>
    <cellStyle name="Output 2 9 11 3 4" xfId="15983"/>
    <cellStyle name="Output 2 9 11 4" xfId="9298"/>
    <cellStyle name="Output 2 9 11 4 2" xfId="28270"/>
    <cellStyle name="Output 2 9 11 4 3" xfId="39115"/>
    <cellStyle name="Output 2 9 11 4 4" xfId="17887"/>
    <cellStyle name="Output 2 9 11 5" xfId="20094"/>
    <cellStyle name="Output 2 9 11 6" xfId="30939"/>
    <cellStyle name="Output 2 9 11 7" xfId="12033"/>
    <cellStyle name="Output 2 9 12" xfId="3123"/>
    <cellStyle name="Output 2 9 12 2" xfId="5974"/>
    <cellStyle name="Output 2 9 12 2 2" xfId="24946"/>
    <cellStyle name="Output 2 9 12 2 3" xfId="35791"/>
    <cellStyle name="Output 2 9 12 2 4" xfId="15499"/>
    <cellStyle name="Output 2 9 12 3" xfId="8645"/>
    <cellStyle name="Output 2 9 12 3 2" xfId="27617"/>
    <cellStyle name="Output 2 9 12 3 3" xfId="38462"/>
    <cellStyle name="Output 2 9 12 3 4" xfId="17412"/>
    <cellStyle name="Output 2 9 12 4" xfId="11304"/>
    <cellStyle name="Output 2 9 12 4 2" xfId="30276"/>
    <cellStyle name="Output 2 9 12 4 3" xfId="41121"/>
    <cellStyle name="Output 2 9 12 4 4" xfId="19316"/>
    <cellStyle name="Output 2 9 12 5" xfId="22100"/>
    <cellStyle name="Output 2 9 12 6" xfId="32945"/>
    <cellStyle name="Output 2 9 12 7" xfId="13462"/>
    <cellStyle name="Output 2 9 13" xfId="3180"/>
    <cellStyle name="Output 2 9 13 2" xfId="6031"/>
    <cellStyle name="Output 2 9 13 2 2" xfId="25003"/>
    <cellStyle name="Output 2 9 13 2 3" xfId="35848"/>
    <cellStyle name="Output 2 9 13 2 4" xfId="15536"/>
    <cellStyle name="Output 2 9 13 3" xfId="8702"/>
    <cellStyle name="Output 2 9 13 3 2" xfId="27674"/>
    <cellStyle name="Output 2 9 13 3 3" xfId="38519"/>
    <cellStyle name="Output 2 9 13 3 4" xfId="17449"/>
    <cellStyle name="Output 2 9 13 4" xfId="11361"/>
    <cellStyle name="Output 2 9 13 4 2" xfId="30333"/>
    <cellStyle name="Output 2 9 13 4 3" xfId="41178"/>
    <cellStyle name="Output 2 9 13 4 4" xfId="19353"/>
    <cellStyle name="Output 2 9 13 5" xfId="22157"/>
    <cellStyle name="Output 2 9 13 6" xfId="33002"/>
    <cellStyle name="Output 2 9 13 7" xfId="13499"/>
    <cellStyle name="Output 2 9 14" xfId="3346"/>
    <cellStyle name="Output 2 9 14 2" xfId="22320"/>
    <cellStyle name="Output 2 9 14 3" xfId="33165"/>
    <cellStyle name="Output 2 9 14 4" xfId="13616"/>
    <cellStyle name="Output 2 9 15" xfId="3287"/>
    <cellStyle name="Output 2 9 15 2" xfId="22261"/>
    <cellStyle name="Output 2 9 15 3" xfId="33106"/>
    <cellStyle name="Output 2 9 15 4" xfId="13578"/>
    <cellStyle name="Output 2 9 16" xfId="3257"/>
    <cellStyle name="Output 2 9 16 2" xfId="22232"/>
    <cellStyle name="Output 2 9 16 3" xfId="33077"/>
    <cellStyle name="Output 2 9 16 4" xfId="13558"/>
    <cellStyle name="Output 2 9 17" xfId="19477"/>
    <cellStyle name="Output 2 9 18" xfId="19430"/>
    <cellStyle name="Output 2 9 19" xfId="11526"/>
    <cellStyle name="Output 2 9 2" xfId="688"/>
    <cellStyle name="Output 2 9 2 10" xfId="19673"/>
    <cellStyle name="Output 2 9 2 11" xfId="30518"/>
    <cellStyle name="Output 2 9 2 12" xfId="11730"/>
    <cellStyle name="Output 2 9 2 2" xfId="1275"/>
    <cellStyle name="Output 2 9 2 2 2" xfId="4128"/>
    <cellStyle name="Output 2 9 2 2 2 2" xfId="23100"/>
    <cellStyle name="Output 2 9 2 2 2 3" xfId="33945"/>
    <cellStyle name="Output 2 9 2 2 2 4" xfId="14191"/>
    <cellStyle name="Output 2 9 2 2 3" xfId="6801"/>
    <cellStyle name="Output 2 9 2 2 3 2" xfId="25773"/>
    <cellStyle name="Output 2 9 2 2 3 3" xfId="36618"/>
    <cellStyle name="Output 2 9 2 2 3 4" xfId="16106"/>
    <cellStyle name="Output 2 9 2 2 4" xfId="9460"/>
    <cellStyle name="Output 2 9 2 2 4 2" xfId="28432"/>
    <cellStyle name="Output 2 9 2 2 4 3" xfId="39277"/>
    <cellStyle name="Output 2 9 2 2 4 4" xfId="18010"/>
    <cellStyle name="Output 2 9 2 2 5" xfId="20256"/>
    <cellStyle name="Output 2 9 2 2 6" xfId="31101"/>
    <cellStyle name="Output 2 9 2 2 7" xfId="12156"/>
    <cellStyle name="Output 2 9 2 3" xfId="1674"/>
    <cellStyle name="Output 2 9 2 3 2" xfId="4527"/>
    <cellStyle name="Output 2 9 2 3 2 2" xfId="23499"/>
    <cellStyle name="Output 2 9 2 3 2 3" xfId="34344"/>
    <cellStyle name="Output 2 9 2 3 2 4" xfId="14478"/>
    <cellStyle name="Output 2 9 2 3 3" xfId="7199"/>
    <cellStyle name="Output 2 9 2 3 3 2" xfId="26171"/>
    <cellStyle name="Output 2 9 2 3 3 3" xfId="37016"/>
    <cellStyle name="Output 2 9 2 3 3 4" xfId="16392"/>
    <cellStyle name="Output 2 9 2 3 4" xfId="9858"/>
    <cellStyle name="Output 2 9 2 3 4 2" xfId="28830"/>
    <cellStyle name="Output 2 9 2 3 4 3" xfId="39675"/>
    <cellStyle name="Output 2 9 2 3 4 4" xfId="18296"/>
    <cellStyle name="Output 2 9 2 3 5" xfId="20654"/>
    <cellStyle name="Output 2 9 2 3 6" xfId="31499"/>
    <cellStyle name="Output 2 9 2 3 7" xfId="12442"/>
    <cellStyle name="Output 2 9 2 4" xfId="2078"/>
    <cellStyle name="Output 2 9 2 4 2" xfId="4931"/>
    <cellStyle name="Output 2 9 2 4 2 2" xfId="23903"/>
    <cellStyle name="Output 2 9 2 4 2 3" xfId="34748"/>
    <cellStyle name="Output 2 9 2 4 2 4" xfId="14765"/>
    <cellStyle name="Output 2 9 2 4 3" xfId="7602"/>
    <cellStyle name="Output 2 9 2 4 3 2" xfId="26574"/>
    <cellStyle name="Output 2 9 2 4 3 3" xfId="37419"/>
    <cellStyle name="Output 2 9 2 4 3 4" xfId="16678"/>
    <cellStyle name="Output 2 9 2 4 4" xfId="10261"/>
    <cellStyle name="Output 2 9 2 4 4 2" xfId="29233"/>
    <cellStyle name="Output 2 9 2 4 4 3" xfId="40078"/>
    <cellStyle name="Output 2 9 2 4 4 4" xfId="18582"/>
    <cellStyle name="Output 2 9 2 4 5" xfId="21057"/>
    <cellStyle name="Output 2 9 2 4 6" xfId="31902"/>
    <cellStyle name="Output 2 9 2 4 7" xfId="12728"/>
    <cellStyle name="Output 2 9 2 5" xfId="2468"/>
    <cellStyle name="Output 2 9 2 5 2" xfId="5320"/>
    <cellStyle name="Output 2 9 2 5 2 2" xfId="24292"/>
    <cellStyle name="Output 2 9 2 5 2 3" xfId="35137"/>
    <cellStyle name="Output 2 9 2 5 2 4" xfId="15044"/>
    <cellStyle name="Output 2 9 2 5 3" xfId="7991"/>
    <cellStyle name="Output 2 9 2 5 3 2" xfId="26963"/>
    <cellStyle name="Output 2 9 2 5 3 3" xfId="37808"/>
    <cellStyle name="Output 2 9 2 5 3 4" xfId="16957"/>
    <cellStyle name="Output 2 9 2 5 4" xfId="10650"/>
    <cellStyle name="Output 2 9 2 5 4 2" xfId="29622"/>
    <cellStyle name="Output 2 9 2 5 4 3" xfId="40467"/>
    <cellStyle name="Output 2 9 2 5 4 4" xfId="18861"/>
    <cellStyle name="Output 2 9 2 5 5" xfId="21446"/>
    <cellStyle name="Output 2 9 2 5 6" xfId="32291"/>
    <cellStyle name="Output 2 9 2 5 7" xfId="13007"/>
    <cellStyle name="Output 2 9 2 6" xfId="2854"/>
    <cellStyle name="Output 2 9 2 6 2" xfId="5705"/>
    <cellStyle name="Output 2 9 2 6 2 2" xfId="24677"/>
    <cellStyle name="Output 2 9 2 6 2 3" xfId="35522"/>
    <cellStyle name="Output 2 9 2 6 2 4" xfId="15320"/>
    <cellStyle name="Output 2 9 2 6 3" xfId="8376"/>
    <cellStyle name="Output 2 9 2 6 3 2" xfId="27348"/>
    <cellStyle name="Output 2 9 2 6 3 3" xfId="38193"/>
    <cellStyle name="Output 2 9 2 6 3 4" xfId="17233"/>
    <cellStyle name="Output 2 9 2 6 4" xfId="11035"/>
    <cellStyle name="Output 2 9 2 6 4 2" xfId="30007"/>
    <cellStyle name="Output 2 9 2 6 4 3" xfId="40852"/>
    <cellStyle name="Output 2 9 2 6 4 4" xfId="19137"/>
    <cellStyle name="Output 2 9 2 6 5" xfId="21831"/>
    <cellStyle name="Output 2 9 2 6 6" xfId="32676"/>
    <cellStyle name="Output 2 9 2 6 7" xfId="13283"/>
    <cellStyle name="Output 2 9 2 7" xfId="3543"/>
    <cellStyle name="Output 2 9 2 7 2" xfId="22515"/>
    <cellStyle name="Output 2 9 2 7 3" xfId="33360"/>
    <cellStyle name="Output 2 9 2 7 4" xfId="13764"/>
    <cellStyle name="Output 2 9 2 8" xfId="6218"/>
    <cellStyle name="Output 2 9 2 8 2" xfId="25190"/>
    <cellStyle name="Output 2 9 2 8 3" xfId="36035"/>
    <cellStyle name="Output 2 9 2 8 4" xfId="15680"/>
    <cellStyle name="Output 2 9 2 9" xfId="8877"/>
    <cellStyle name="Output 2 9 2 9 2" xfId="27849"/>
    <cellStyle name="Output 2 9 2 9 3" xfId="38694"/>
    <cellStyle name="Output 2 9 2 9 4" xfId="17584"/>
    <cellStyle name="Output 2 9 3" xfId="748"/>
    <cellStyle name="Output 2 9 3 10" xfId="19733"/>
    <cellStyle name="Output 2 9 3 11" xfId="30578"/>
    <cellStyle name="Output 2 9 3 12" xfId="11770"/>
    <cellStyle name="Output 2 9 3 2" xfId="1335"/>
    <cellStyle name="Output 2 9 3 2 2" xfId="4188"/>
    <cellStyle name="Output 2 9 3 2 2 2" xfId="23160"/>
    <cellStyle name="Output 2 9 3 2 2 3" xfId="34005"/>
    <cellStyle name="Output 2 9 3 2 2 4" xfId="14231"/>
    <cellStyle name="Output 2 9 3 2 3" xfId="6861"/>
    <cellStyle name="Output 2 9 3 2 3 2" xfId="25833"/>
    <cellStyle name="Output 2 9 3 2 3 3" xfId="36678"/>
    <cellStyle name="Output 2 9 3 2 3 4" xfId="16146"/>
    <cellStyle name="Output 2 9 3 2 4" xfId="9520"/>
    <cellStyle name="Output 2 9 3 2 4 2" xfId="28492"/>
    <cellStyle name="Output 2 9 3 2 4 3" xfId="39337"/>
    <cellStyle name="Output 2 9 3 2 4 4" xfId="18050"/>
    <cellStyle name="Output 2 9 3 2 5" xfId="20316"/>
    <cellStyle name="Output 2 9 3 2 6" xfId="31161"/>
    <cellStyle name="Output 2 9 3 2 7" xfId="12196"/>
    <cellStyle name="Output 2 9 3 3" xfId="1734"/>
    <cellStyle name="Output 2 9 3 3 2" xfId="4587"/>
    <cellStyle name="Output 2 9 3 3 2 2" xfId="23559"/>
    <cellStyle name="Output 2 9 3 3 2 3" xfId="34404"/>
    <cellStyle name="Output 2 9 3 3 2 4" xfId="14518"/>
    <cellStyle name="Output 2 9 3 3 3" xfId="7259"/>
    <cellStyle name="Output 2 9 3 3 3 2" xfId="26231"/>
    <cellStyle name="Output 2 9 3 3 3 3" xfId="37076"/>
    <cellStyle name="Output 2 9 3 3 3 4" xfId="16432"/>
    <cellStyle name="Output 2 9 3 3 4" xfId="9918"/>
    <cellStyle name="Output 2 9 3 3 4 2" xfId="28890"/>
    <cellStyle name="Output 2 9 3 3 4 3" xfId="39735"/>
    <cellStyle name="Output 2 9 3 3 4 4" xfId="18336"/>
    <cellStyle name="Output 2 9 3 3 5" xfId="20714"/>
    <cellStyle name="Output 2 9 3 3 6" xfId="31559"/>
    <cellStyle name="Output 2 9 3 3 7" xfId="12482"/>
    <cellStyle name="Output 2 9 3 4" xfId="2138"/>
    <cellStyle name="Output 2 9 3 4 2" xfId="4991"/>
    <cellStyle name="Output 2 9 3 4 2 2" xfId="23963"/>
    <cellStyle name="Output 2 9 3 4 2 3" xfId="34808"/>
    <cellStyle name="Output 2 9 3 4 2 4" xfId="14805"/>
    <cellStyle name="Output 2 9 3 4 3" xfId="7662"/>
    <cellStyle name="Output 2 9 3 4 3 2" xfId="26634"/>
    <cellStyle name="Output 2 9 3 4 3 3" xfId="37479"/>
    <cellStyle name="Output 2 9 3 4 3 4" xfId="16718"/>
    <cellStyle name="Output 2 9 3 4 4" xfId="10321"/>
    <cellStyle name="Output 2 9 3 4 4 2" xfId="29293"/>
    <cellStyle name="Output 2 9 3 4 4 3" xfId="40138"/>
    <cellStyle name="Output 2 9 3 4 4 4" xfId="18622"/>
    <cellStyle name="Output 2 9 3 4 5" xfId="21117"/>
    <cellStyle name="Output 2 9 3 4 6" xfId="31962"/>
    <cellStyle name="Output 2 9 3 4 7" xfId="12768"/>
    <cellStyle name="Output 2 9 3 5" xfId="2528"/>
    <cellStyle name="Output 2 9 3 5 2" xfId="5380"/>
    <cellStyle name="Output 2 9 3 5 2 2" xfId="24352"/>
    <cellStyle name="Output 2 9 3 5 2 3" xfId="35197"/>
    <cellStyle name="Output 2 9 3 5 2 4" xfId="15084"/>
    <cellStyle name="Output 2 9 3 5 3" xfId="8051"/>
    <cellStyle name="Output 2 9 3 5 3 2" xfId="27023"/>
    <cellStyle name="Output 2 9 3 5 3 3" xfId="37868"/>
    <cellStyle name="Output 2 9 3 5 3 4" xfId="16997"/>
    <cellStyle name="Output 2 9 3 5 4" xfId="10710"/>
    <cellStyle name="Output 2 9 3 5 4 2" xfId="29682"/>
    <cellStyle name="Output 2 9 3 5 4 3" xfId="40527"/>
    <cellStyle name="Output 2 9 3 5 4 4" xfId="18901"/>
    <cellStyle name="Output 2 9 3 5 5" xfId="21506"/>
    <cellStyle name="Output 2 9 3 5 6" xfId="32351"/>
    <cellStyle name="Output 2 9 3 5 7" xfId="13047"/>
    <cellStyle name="Output 2 9 3 6" xfId="2914"/>
    <cellStyle name="Output 2 9 3 6 2" xfId="5765"/>
    <cellStyle name="Output 2 9 3 6 2 2" xfId="24737"/>
    <cellStyle name="Output 2 9 3 6 2 3" xfId="35582"/>
    <cellStyle name="Output 2 9 3 6 2 4" xfId="15360"/>
    <cellStyle name="Output 2 9 3 6 3" xfId="8436"/>
    <cellStyle name="Output 2 9 3 6 3 2" xfId="27408"/>
    <cellStyle name="Output 2 9 3 6 3 3" xfId="38253"/>
    <cellStyle name="Output 2 9 3 6 3 4" xfId="17273"/>
    <cellStyle name="Output 2 9 3 6 4" xfId="11095"/>
    <cellStyle name="Output 2 9 3 6 4 2" xfId="30067"/>
    <cellStyle name="Output 2 9 3 6 4 3" xfId="40912"/>
    <cellStyle name="Output 2 9 3 6 4 4" xfId="19177"/>
    <cellStyle name="Output 2 9 3 6 5" xfId="21891"/>
    <cellStyle name="Output 2 9 3 6 6" xfId="32736"/>
    <cellStyle name="Output 2 9 3 6 7" xfId="13323"/>
    <cellStyle name="Output 2 9 3 7" xfId="3603"/>
    <cellStyle name="Output 2 9 3 7 2" xfId="22575"/>
    <cellStyle name="Output 2 9 3 7 3" xfId="33420"/>
    <cellStyle name="Output 2 9 3 7 4" xfId="13804"/>
    <cellStyle name="Output 2 9 3 8" xfId="6278"/>
    <cellStyle name="Output 2 9 3 8 2" xfId="25250"/>
    <cellStyle name="Output 2 9 3 8 3" xfId="36095"/>
    <cellStyle name="Output 2 9 3 8 4" xfId="15720"/>
    <cellStyle name="Output 2 9 3 9" xfId="8937"/>
    <cellStyle name="Output 2 9 3 9 2" xfId="27909"/>
    <cellStyle name="Output 2 9 3 9 3" xfId="38754"/>
    <cellStyle name="Output 2 9 3 9 4" xfId="17624"/>
    <cellStyle name="Output 2 9 4" xfId="808"/>
    <cellStyle name="Output 2 9 4 10" xfId="19793"/>
    <cellStyle name="Output 2 9 4 11" xfId="30638"/>
    <cellStyle name="Output 2 9 4 12" xfId="11810"/>
    <cellStyle name="Output 2 9 4 2" xfId="1395"/>
    <cellStyle name="Output 2 9 4 2 2" xfId="4248"/>
    <cellStyle name="Output 2 9 4 2 2 2" xfId="23220"/>
    <cellStyle name="Output 2 9 4 2 2 3" xfId="34065"/>
    <cellStyle name="Output 2 9 4 2 2 4" xfId="14271"/>
    <cellStyle name="Output 2 9 4 2 3" xfId="6921"/>
    <cellStyle name="Output 2 9 4 2 3 2" xfId="25893"/>
    <cellStyle name="Output 2 9 4 2 3 3" xfId="36738"/>
    <cellStyle name="Output 2 9 4 2 3 4" xfId="16186"/>
    <cellStyle name="Output 2 9 4 2 4" xfId="9580"/>
    <cellStyle name="Output 2 9 4 2 4 2" xfId="28552"/>
    <cellStyle name="Output 2 9 4 2 4 3" xfId="39397"/>
    <cellStyle name="Output 2 9 4 2 4 4" xfId="18090"/>
    <cellStyle name="Output 2 9 4 2 5" xfId="20376"/>
    <cellStyle name="Output 2 9 4 2 6" xfId="31221"/>
    <cellStyle name="Output 2 9 4 2 7" xfId="12236"/>
    <cellStyle name="Output 2 9 4 3" xfId="1794"/>
    <cellStyle name="Output 2 9 4 3 2" xfId="4647"/>
    <cellStyle name="Output 2 9 4 3 2 2" xfId="23619"/>
    <cellStyle name="Output 2 9 4 3 2 3" xfId="34464"/>
    <cellStyle name="Output 2 9 4 3 2 4" xfId="14558"/>
    <cellStyle name="Output 2 9 4 3 3" xfId="7319"/>
    <cellStyle name="Output 2 9 4 3 3 2" xfId="26291"/>
    <cellStyle name="Output 2 9 4 3 3 3" xfId="37136"/>
    <cellStyle name="Output 2 9 4 3 3 4" xfId="16472"/>
    <cellStyle name="Output 2 9 4 3 4" xfId="9978"/>
    <cellStyle name="Output 2 9 4 3 4 2" xfId="28950"/>
    <cellStyle name="Output 2 9 4 3 4 3" xfId="39795"/>
    <cellStyle name="Output 2 9 4 3 4 4" xfId="18376"/>
    <cellStyle name="Output 2 9 4 3 5" xfId="20774"/>
    <cellStyle name="Output 2 9 4 3 6" xfId="31619"/>
    <cellStyle name="Output 2 9 4 3 7" xfId="12522"/>
    <cellStyle name="Output 2 9 4 4" xfId="2198"/>
    <cellStyle name="Output 2 9 4 4 2" xfId="5051"/>
    <cellStyle name="Output 2 9 4 4 2 2" xfId="24023"/>
    <cellStyle name="Output 2 9 4 4 2 3" xfId="34868"/>
    <cellStyle name="Output 2 9 4 4 2 4" xfId="14845"/>
    <cellStyle name="Output 2 9 4 4 3" xfId="7722"/>
    <cellStyle name="Output 2 9 4 4 3 2" xfId="26694"/>
    <cellStyle name="Output 2 9 4 4 3 3" xfId="37539"/>
    <cellStyle name="Output 2 9 4 4 3 4" xfId="16758"/>
    <cellStyle name="Output 2 9 4 4 4" xfId="10381"/>
    <cellStyle name="Output 2 9 4 4 4 2" xfId="29353"/>
    <cellStyle name="Output 2 9 4 4 4 3" xfId="40198"/>
    <cellStyle name="Output 2 9 4 4 4 4" xfId="18662"/>
    <cellStyle name="Output 2 9 4 4 5" xfId="21177"/>
    <cellStyle name="Output 2 9 4 4 6" xfId="32022"/>
    <cellStyle name="Output 2 9 4 4 7" xfId="12808"/>
    <cellStyle name="Output 2 9 4 5" xfId="2588"/>
    <cellStyle name="Output 2 9 4 5 2" xfId="5440"/>
    <cellStyle name="Output 2 9 4 5 2 2" xfId="24412"/>
    <cellStyle name="Output 2 9 4 5 2 3" xfId="35257"/>
    <cellStyle name="Output 2 9 4 5 2 4" xfId="15124"/>
    <cellStyle name="Output 2 9 4 5 3" xfId="8111"/>
    <cellStyle name="Output 2 9 4 5 3 2" xfId="27083"/>
    <cellStyle name="Output 2 9 4 5 3 3" xfId="37928"/>
    <cellStyle name="Output 2 9 4 5 3 4" xfId="17037"/>
    <cellStyle name="Output 2 9 4 5 4" xfId="10770"/>
    <cellStyle name="Output 2 9 4 5 4 2" xfId="29742"/>
    <cellStyle name="Output 2 9 4 5 4 3" xfId="40587"/>
    <cellStyle name="Output 2 9 4 5 4 4" xfId="18941"/>
    <cellStyle name="Output 2 9 4 5 5" xfId="21566"/>
    <cellStyle name="Output 2 9 4 5 6" xfId="32411"/>
    <cellStyle name="Output 2 9 4 5 7" xfId="13087"/>
    <cellStyle name="Output 2 9 4 6" xfId="2974"/>
    <cellStyle name="Output 2 9 4 6 2" xfId="5825"/>
    <cellStyle name="Output 2 9 4 6 2 2" xfId="24797"/>
    <cellStyle name="Output 2 9 4 6 2 3" xfId="35642"/>
    <cellStyle name="Output 2 9 4 6 2 4" xfId="15400"/>
    <cellStyle name="Output 2 9 4 6 3" xfId="8496"/>
    <cellStyle name="Output 2 9 4 6 3 2" xfId="27468"/>
    <cellStyle name="Output 2 9 4 6 3 3" xfId="38313"/>
    <cellStyle name="Output 2 9 4 6 3 4" xfId="17313"/>
    <cellStyle name="Output 2 9 4 6 4" xfId="11155"/>
    <cellStyle name="Output 2 9 4 6 4 2" xfId="30127"/>
    <cellStyle name="Output 2 9 4 6 4 3" xfId="40972"/>
    <cellStyle name="Output 2 9 4 6 4 4" xfId="19217"/>
    <cellStyle name="Output 2 9 4 6 5" xfId="21951"/>
    <cellStyle name="Output 2 9 4 6 6" xfId="32796"/>
    <cellStyle name="Output 2 9 4 6 7" xfId="13363"/>
    <cellStyle name="Output 2 9 4 7" xfId="3663"/>
    <cellStyle name="Output 2 9 4 7 2" xfId="22635"/>
    <cellStyle name="Output 2 9 4 7 3" xfId="33480"/>
    <cellStyle name="Output 2 9 4 7 4" xfId="13844"/>
    <cellStyle name="Output 2 9 4 8" xfId="6338"/>
    <cellStyle name="Output 2 9 4 8 2" xfId="25310"/>
    <cellStyle name="Output 2 9 4 8 3" xfId="36155"/>
    <cellStyle name="Output 2 9 4 8 4" xfId="15760"/>
    <cellStyle name="Output 2 9 4 9" xfId="8997"/>
    <cellStyle name="Output 2 9 4 9 2" xfId="27969"/>
    <cellStyle name="Output 2 9 4 9 3" xfId="38814"/>
    <cellStyle name="Output 2 9 4 9 4" xfId="17664"/>
    <cellStyle name="Output 2 9 5" xfId="867"/>
    <cellStyle name="Output 2 9 5 10" xfId="19852"/>
    <cellStyle name="Output 2 9 5 11" xfId="30697"/>
    <cellStyle name="Output 2 9 5 12" xfId="11849"/>
    <cellStyle name="Output 2 9 5 2" xfId="1454"/>
    <cellStyle name="Output 2 9 5 2 2" xfId="4307"/>
    <cellStyle name="Output 2 9 5 2 2 2" xfId="23279"/>
    <cellStyle name="Output 2 9 5 2 2 3" xfId="34124"/>
    <cellStyle name="Output 2 9 5 2 2 4" xfId="14310"/>
    <cellStyle name="Output 2 9 5 2 3" xfId="6980"/>
    <cellStyle name="Output 2 9 5 2 3 2" xfId="25952"/>
    <cellStyle name="Output 2 9 5 2 3 3" xfId="36797"/>
    <cellStyle name="Output 2 9 5 2 3 4" xfId="16225"/>
    <cellStyle name="Output 2 9 5 2 4" xfId="9639"/>
    <cellStyle name="Output 2 9 5 2 4 2" xfId="28611"/>
    <cellStyle name="Output 2 9 5 2 4 3" xfId="39456"/>
    <cellStyle name="Output 2 9 5 2 4 4" xfId="18129"/>
    <cellStyle name="Output 2 9 5 2 5" xfId="20435"/>
    <cellStyle name="Output 2 9 5 2 6" xfId="31280"/>
    <cellStyle name="Output 2 9 5 2 7" xfId="12275"/>
    <cellStyle name="Output 2 9 5 3" xfId="1853"/>
    <cellStyle name="Output 2 9 5 3 2" xfId="4706"/>
    <cellStyle name="Output 2 9 5 3 2 2" xfId="23678"/>
    <cellStyle name="Output 2 9 5 3 2 3" xfId="34523"/>
    <cellStyle name="Output 2 9 5 3 2 4" xfId="14597"/>
    <cellStyle name="Output 2 9 5 3 3" xfId="7378"/>
    <cellStyle name="Output 2 9 5 3 3 2" xfId="26350"/>
    <cellStyle name="Output 2 9 5 3 3 3" xfId="37195"/>
    <cellStyle name="Output 2 9 5 3 3 4" xfId="16511"/>
    <cellStyle name="Output 2 9 5 3 4" xfId="10037"/>
    <cellStyle name="Output 2 9 5 3 4 2" xfId="29009"/>
    <cellStyle name="Output 2 9 5 3 4 3" xfId="39854"/>
    <cellStyle name="Output 2 9 5 3 4 4" xfId="18415"/>
    <cellStyle name="Output 2 9 5 3 5" xfId="20833"/>
    <cellStyle name="Output 2 9 5 3 6" xfId="31678"/>
    <cellStyle name="Output 2 9 5 3 7" xfId="12561"/>
    <cellStyle name="Output 2 9 5 4" xfId="2257"/>
    <cellStyle name="Output 2 9 5 4 2" xfId="5110"/>
    <cellStyle name="Output 2 9 5 4 2 2" xfId="24082"/>
    <cellStyle name="Output 2 9 5 4 2 3" xfId="34927"/>
    <cellStyle name="Output 2 9 5 4 2 4" xfId="14884"/>
    <cellStyle name="Output 2 9 5 4 3" xfId="7781"/>
    <cellStyle name="Output 2 9 5 4 3 2" xfId="26753"/>
    <cellStyle name="Output 2 9 5 4 3 3" xfId="37598"/>
    <cellStyle name="Output 2 9 5 4 3 4" xfId="16797"/>
    <cellStyle name="Output 2 9 5 4 4" xfId="10440"/>
    <cellStyle name="Output 2 9 5 4 4 2" xfId="29412"/>
    <cellStyle name="Output 2 9 5 4 4 3" xfId="40257"/>
    <cellStyle name="Output 2 9 5 4 4 4" xfId="18701"/>
    <cellStyle name="Output 2 9 5 4 5" xfId="21236"/>
    <cellStyle name="Output 2 9 5 4 6" xfId="32081"/>
    <cellStyle name="Output 2 9 5 4 7" xfId="12847"/>
    <cellStyle name="Output 2 9 5 5" xfId="2647"/>
    <cellStyle name="Output 2 9 5 5 2" xfId="5499"/>
    <cellStyle name="Output 2 9 5 5 2 2" xfId="24471"/>
    <cellStyle name="Output 2 9 5 5 2 3" xfId="35316"/>
    <cellStyle name="Output 2 9 5 5 2 4" xfId="15163"/>
    <cellStyle name="Output 2 9 5 5 3" xfId="8170"/>
    <cellStyle name="Output 2 9 5 5 3 2" xfId="27142"/>
    <cellStyle name="Output 2 9 5 5 3 3" xfId="37987"/>
    <cellStyle name="Output 2 9 5 5 3 4" xfId="17076"/>
    <cellStyle name="Output 2 9 5 5 4" xfId="10829"/>
    <cellStyle name="Output 2 9 5 5 4 2" xfId="29801"/>
    <cellStyle name="Output 2 9 5 5 4 3" xfId="40646"/>
    <cellStyle name="Output 2 9 5 5 4 4" xfId="18980"/>
    <cellStyle name="Output 2 9 5 5 5" xfId="21625"/>
    <cellStyle name="Output 2 9 5 5 6" xfId="32470"/>
    <cellStyle name="Output 2 9 5 5 7" xfId="13126"/>
    <cellStyle name="Output 2 9 5 6" xfId="3033"/>
    <cellStyle name="Output 2 9 5 6 2" xfId="5884"/>
    <cellStyle name="Output 2 9 5 6 2 2" xfId="24856"/>
    <cellStyle name="Output 2 9 5 6 2 3" xfId="35701"/>
    <cellStyle name="Output 2 9 5 6 2 4" xfId="15439"/>
    <cellStyle name="Output 2 9 5 6 3" xfId="8555"/>
    <cellStyle name="Output 2 9 5 6 3 2" xfId="27527"/>
    <cellStyle name="Output 2 9 5 6 3 3" xfId="38372"/>
    <cellStyle name="Output 2 9 5 6 3 4" xfId="17352"/>
    <cellStyle name="Output 2 9 5 6 4" xfId="11214"/>
    <cellStyle name="Output 2 9 5 6 4 2" xfId="30186"/>
    <cellStyle name="Output 2 9 5 6 4 3" xfId="41031"/>
    <cellStyle name="Output 2 9 5 6 4 4" xfId="19256"/>
    <cellStyle name="Output 2 9 5 6 5" xfId="22010"/>
    <cellStyle name="Output 2 9 5 6 6" xfId="32855"/>
    <cellStyle name="Output 2 9 5 6 7" xfId="13402"/>
    <cellStyle name="Output 2 9 5 7" xfId="3722"/>
    <cellStyle name="Output 2 9 5 7 2" xfId="22694"/>
    <cellStyle name="Output 2 9 5 7 3" xfId="33539"/>
    <cellStyle name="Output 2 9 5 7 4" xfId="13883"/>
    <cellStyle name="Output 2 9 5 8" xfId="6397"/>
    <cellStyle name="Output 2 9 5 8 2" xfId="25369"/>
    <cellStyle name="Output 2 9 5 8 3" xfId="36214"/>
    <cellStyle name="Output 2 9 5 8 4" xfId="15799"/>
    <cellStyle name="Output 2 9 5 9" xfId="9056"/>
    <cellStyle name="Output 2 9 5 9 2" xfId="28028"/>
    <cellStyle name="Output 2 9 5 9 3" xfId="38873"/>
    <cellStyle name="Output 2 9 5 9 4" xfId="17703"/>
    <cellStyle name="Output 2 9 6" xfId="1089"/>
    <cellStyle name="Output 2 9 6 2" xfId="3942"/>
    <cellStyle name="Output 2 9 6 2 2" xfId="22914"/>
    <cellStyle name="Output 2 9 6 2 3" xfId="33759"/>
    <cellStyle name="Output 2 9 6 2 4" xfId="14045"/>
    <cellStyle name="Output 2 9 6 3" xfId="6616"/>
    <cellStyle name="Output 2 9 6 3 2" xfId="25588"/>
    <cellStyle name="Output 2 9 6 3 3" xfId="36433"/>
    <cellStyle name="Output 2 9 6 3 4" xfId="15961"/>
    <cellStyle name="Output 2 9 6 4" xfId="9275"/>
    <cellStyle name="Output 2 9 6 4 2" xfId="28247"/>
    <cellStyle name="Output 2 9 6 4 3" xfId="39092"/>
    <cellStyle name="Output 2 9 6 4 4" xfId="17865"/>
    <cellStyle name="Output 2 9 6 5" xfId="20071"/>
    <cellStyle name="Output 2 9 6 6" xfId="30916"/>
    <cellStyle name="Output 2 9 6 7" xfId="12011"/>
    <cellStyle name="Output 2 9 7" xfId="905"/>
    <cellStyle name="Output 2 9 7 2" xfId="3760"/>
    <cellStyle name="Output 2 9 7 2 2" xfId="22732"/>
    <cellStyle name="Output 2 9 7 2 3" xfId="33577"/>
    <cellStyle name="Output 2 9 7 2 4" xfId="13911"/>
    <cellStyle name="Output 2 9 7 3" xfId="6435"/>
    <cellStyle name="Output 2 9 7 3 2" xfId="25407"/>
    <cellStyle name="Output 2 9 7 3 3" xfId="36252"/>
    <cellStyle name="Output 2 9 7 3 4" xfId="15827"/>
    <cellStyle name="Output 2 9 7 4" xfId="9094"/>
    <cellStyle name="Output 2 9 7 4 2" xfId="28066"/>
    <cellStyle name="Output 2 9 7 4 3" xfId="38911"/>
    <cellStyle name="Output 2 9 7 4 4" xfId="17731"/>
    <cellStyle name="Output 2 9 7 5" xfId="19890"/>
    <cellStyle name="Output 2 9 7 6" xfId="30735"/>
    <cellStyle name="Output 2 9 7 7" xfId="11877"/>
    <cellStyle name="Output 2 9 8" xfId="1896"/>
    <cellStyle name="Output 2 9 8 2" xfId="4749"/>
    <cellStyle name="Output 2 9 8 2 2" xfId="23721"/>
    <cellStyle name="Output 2 9 8 2 3" xfId="34566"/>
    <cellStyle name="Output 2 9 8 2 4" xfId="14625"/>
    <cellStyle name="Output 2 9 8 3" xfId="7421"/>
    <cellStyle name="Output 2 9 8 3 2" xfId="26393"/>
    <cellStyle name="Output 2 9 8 3 3" xfId="37238"/>
    <cellStyle name="Output 2 9 8 3 4" xfId="16539"/>
    <cellStyle name="Output 2 9 8 4" xfId="10080"/>
    <cellStyle name="Output 2 9 8 4 2" xfId="29052"/>
    <cellStyle name="Output 2 9 8 4 3" xfId="39897"/>
    <cellStyle name="Output 2 9 8 4 4" xfId="18443"/>
    <cellStyle name="Output 2 9 8 5" xfId="20876"/>
    <cellStyle name="Output 2 9 8 6" xfId="31721"/>
    <cellStyle name="Output 2 9 8 7" xfId="12589"/>
    <cellStyle name="Output 2 9 9" xfId="1115"/>
    <cellStyle name="Output 2 9 9 2" xfId="3968"/>
    <cellStyle name="Output 2 9 9 2 2" xfId="22940"/>
    <cellStyle name="Output 2 9 9 2 3" xfId="33785"/>
    <cellStyle name="Output 2 9 9 2 4" xfId="14068"/>
    <cellStyle name="Output 2 9 9 3" xfId="6642"/>
    <cellStyle name="Output 2 9 9 3 2" xfId="25614"/>
    <cellStyle name="Output 2 9 9 3 3" xfId="36459"/>
    <cellStyle name="Output 2 9 9 3 4" xfId="15984"/>
    <cellStyle name="Output 2 9 9 4" xfId="9301"/>
    <cellStyle name="Output 2 9 9 4 2" xfId="28273"/>
    <cellStyle name="Output 2 9 9 4 3" xfId="39118"/>
    <cellStyle name="Output 2 9 9 4 4" xfId="17888"/>
    <cellStyle name="Output 2 9 9 5" xfId="20097"/>
    <cellStyle name="Output 2 9 9 6" xfId="30942"/>
    <cellStyle name="Output 2 9 9 7" xfId="12034"/>
    <cellStyle name="Output 2_2012 AR ELEC BCR Eval Eval - 012913" xfId="145"/>
    <cellStyle name="Output 3" xfId="146"/>
    <cellStyle name="Output 3 2" xfId="396"/>
    <cellStyle name="Output 3 2 10" xfId="2688"/>
    <cellStyle name="Output 3 2 10 2" xfId="5540"/>
    <cellStyle name="Output 3 2 10 2 2" xfId="24512"/>
    <cellStyle name="Output 3 2 10 2 3" xfId="35357"/>
    <cellStyle name="Output 3 2 10 2 4" xfId="15194"/>
    <cellStyle name="Output 3 2 10 3" xfId="8211"/>
    <cellStyle name="Output 3 2 10 3 2" xfId="27183"/>
    <cellStyle name="Output 3 2 10 3 3" xfId="38028"/>
    <cellStyle name="Output 3 2 10 3 4" xfId="17107"/>
    <cellStyle name="Output 3 2 10 4" xfId="10870"/>
    <cellStyle name="Output 3 2 10 4 2" xfId="29842"/>
    <cellStyle name="Output 3 2 10 4 3" xfId="40687"/>
    <cellStyle name="Output 3 2 10 4 4" xfId="19011"/>
    <cellStyle name="Output 3 2 10 5" xfId="21666"/>
    <cellStyle name="Output 3 2 10 6" xfId="32511"/>
    <cellStyle name="Output 3 2 10 7" xfId="13157"/>
    <cellStyle name="Output 3 2 11" xfId="3074"/>
    <cellStyle name="Output 3 2 11 2" xfId="5925"/>
    <cellStyle name="Output 3 2 11 2 2" xfId="24897"/>
    <cellStyle name="Output 3 2 11 2 3" xfId="35742"/>
    <cellStyle name="Output 3 2 11 2 4" xfId="15470"/>
    <cellStyle name="Output 3 2 11 3" xfId="8596"/>
    <cellStyle name="Output 3 2 11 3 2" xfId="27568"/>
    <cellStyle name="Output 3 2 11 3 3" xfId="38413"/>
    <cellStyle name="Output 3 2 11 3 4" xfId="17383"/>
    <cellStyle name="Output 3 2 11 4" xfId="11255"/>
    <cellStyle name="Output 3 2 11 4 2" xfId="30227"/>
    <cellStyle name="Output 3 2 11 4 3" xfId="41072"/>
    <cellStyle name="Output 3 2 11 4 4" xfId="19287"/>
    <cellStyle name="Output 3 2 11 5" xfId="22051"/>
    <cellStyle name="Output 3 2 11 6" xfId="32896"/>
    <cellStyle name="Output 3 2 11 7" xfId="13433"/>
    <cellStyle name="Output 3 2 12" xfId="3131"/>
    <cellStyle name="Output 3 2 12 2" xfId="5982"/>
    <cellStyle name="Output 3 2 12 2 2" xfId="24954"/>
    <cellStyle name="Output 3 2 12 2 3" xfId="35799"/>
    <cellStyle name="Output 3 2 12 2 4" xfId="15507"/>
    <cellStyle name="Output 3 2 12 3" xfId="8653"/>
    <cellStyle name="Output 3 2 12 3 2" xfId="27625"/>
    <cellStyle name="Output 3 2 12 3 3" xfId="38470"/>
    <cellStyle name="Output 3 2 12 3 4" xfId="17420"/>
    <cellStyle name="Output 3 2 12 4" xfId="11312"/>
    <cellStyle name="Output 3 2 12 4 2" xfId="30284"/>
    <cellStyle name="Output 3 2 12 4 3" xfId="41129"/>
    <cellStyle name="Output 3 2 12 4 4" xfId="19324"/>
    <cellStyle name="Output 3 2 12 5" xfId="22108"/>
    <cellStyle name="Output 3 2 12 6" xfId="32953"/>
    <cellStyle name="Output 3 2 12 7" xfId="13470"/>
    <cellStyle name="Output 3 2 13" xfId="3188"/>
    <cellStyle name="Output 3 2 13 2" xfId="6039"/>
    <cellStyle name="Output 3 2 13 2 2" xfId="25011"/>
    <cellStyle name="Output 3 2 13 2 3" xfId="35856"/>
    <cellStyle name="Output 3 2 13 2 4" xfId="15544"/>
    <cellStyle name="Output 3 2 13 3" xfId="8710"/>
    <cellStyle name="Output 3 2 13 3 2" xfId="27682"/>
    <cellStyle name="Output 3 2 13 3 3" xfId="38527"/>
    <cellStyle name="Output 3 2 13 3 4" xfId="17457"/>
    <cellStyle name="Output 3 2 13 4" xfId="11369"/>
    <cellStyle name="Output 3 2 13 4 2" xfId="30341"/>
    <cellStyle name="Output 3 2 13 4 3" xfId="41186"/>
    <cellStyle name="Output 3 2 13 4 4" xfId="19361"/>
    <cellStyle name="Output 3 2 13 5" xfId="22165"/>
    <cellStyle name="Output 3 2 13 6" xfId="33010"/>
    <cellStyle name="Output 3 2 13 7" xfId="13507"/>
    <cellStyle name="Output 3 2 14" xfId="3354"/>
    <cellStyle name="Output 3 2 14 2" xfId="22328"/>
    <cellStyle name="Output 3 2 14 3" xfId="33173"/>
    <cellStyle name="Output 3 2 14 4" xfId="13624"/>
    <cellStyle name="Output 3 2 15" xfId="516"/>
    <cellStyle name="Output 3 2 15 2" xfId="19537"/>
    <cellStyle name="Output 3 2 15 3" xfId="30382"/>
    <cellStyle name="Output 3 2 15 4" xfId="11591"/>
    <cellStyle name="Output 3 2 16" xfId="6073"/>
    <cellStyle name="Output 3 2 16 2" xfId="25045"/>
    <cellStyle name="Output 3 2 16 3" xfId="35890"/>
    <cellStyle name="Output 3 2 16 4" xfId="15567"/>
    <cellStyle name="Output 3 2 17" xfId="19485"/>
    <cellStyle name="Output 3 2 18" xfId="19518"/>
    <cellStyle name="Output 3 2 19" xfId="11534"/>
    <cellStyle name="Output 3 2 2" xfId="696"/>
    <cellStyle name="Output 3 2 2 10" xfId="19681"/>
    <cellStyle name="Output 3 2 2 11" xfId="30526"/>
    <cellStyle name="Output 3 2 2 12" xfId="11738"/>
    <cellStyle name="Output 3 2 2 2" xfId="1283"/>
    <cellStyle name="Output 3 2 2 2 2" xfId="4136"/>
    <cellStyle name="Output 3 2 2 2 2 2" xfId="23108"/>
    <cellStyle name="Output 3 2 2 2 2 3" xfId="33953"/>
    <cellStyle name="Output 3 2 2 2 2 4" xfId="14199"/>
    <cellStyle name="Output 3 2 2 2 3" xfId="6809"/>
    <cellStyle name="Output 3 2 2 2 3 2" xfId="25781"/>
    <cellStyle name="Output 3 2 2 2 3 3" xfId="36626"/>
    <cellStyle name="Output 3 2 2 2 3 4" xfId="16114"/>
    <cellStyle name="Output 3 2 2 2 4" xfId="9468"/>
    <cellStyle name="Output 3 2 2 2 4 2" xfId="28440"/>
    <cellStyle name="Output 3 2 2 2 4 3" xfId="39285"/>
    <cellStyle name="Output 3 2 2 2 4 4" xfId="18018"/>
    <cellStyle name="Output 3 2 2 2 5" xfId="20264"/>
    <cellStyle name="Output 3 2 2 2 6" xfId="31109"/>
    <cellStyle name="Output 3 2 2 2 7" xfId="12164"/>
    <cellStyle name="Output 3 2 2 3" xfId="1682"/>
    <cellStyle name="Output 3 2 2 3 2" xfId="4535"/>
    <cellStyle name="Output 3 2 2 3 2 2" xfId="23507"/>
    <cellStyle name="Output 3 2 2 3 2 3" xfId="34352"/>
    <cellStyle name="Output 3 2 2 3 2 4" xfId="14486"/>
    <cellStyle name="Output 3 2 2 3 3" xfId="7207"/>
    <cellStyle name="Output 3 2 2 3 3 2" xfId="26179"/>
    <cellStyle name="Output 3 2 2 3 3 3" xfId="37024"/>
    <cellStyle name="Output 3 2 2 3 3 4" xfId="16400"/>
    <cellStyle name="Output 3 2 2 3 4" xfId="9866"/>
    <cellStyle name="Output 3 2 2 3 4 2" xfId="28838"/>
    <cellStyle name="Output 3 2 2 3 4 3" xfId="39683"/>
    <cellStyle name="Output 3 2 2 3 4 4" xfId="18304"/>
    <cellStyle name="Output 3 2 2 3 5" xfId="20662"/>
    <cellStyle name="Output 3 2 2 3 6" xfId="31507"/>
    <cellStyle name="Output 3 2 2 3 7" xfId="12450"/>
    <cellStyle name="Output 3 2 2 4" xfId="2086"/>
    <cellStyle name="Output 3 2 2 4 2" xfId="4939"/>
    <cellStyle name="Output 3 2 2 4 2 2" xfId="23911"/>
    <cellStyle name="Output 3 2 2 4 2 3" xfId="34756"/>
    <cellStyle name="Output 3 2 2 4 2 4" xfId="14773"/>
    <cellStyle name="Output 3 2 2 4 3" xfId="7610"/>
    <cellStyle name="Output 3 2 2 4 3 2" xfId="26582"/>
    <cellStyle name="Output 3 2 2 4 3 3" xfId="37427"/>
    <cellStyle name="Output 3 2 2 4 3 4" xfId="16686"/>
    <cellStyle name="Output 3 2 2 4 4" xfId="10269"/>
    <cellStyle name="Output 3 2 2 4 4 2" xfId="29241"/>
    <cellStyle name="Output 3 2 2 4 4 3" xfId="40086"/>
    <cellStyle name="Output 3 2 2 4 4 4" xfId="18590"/>
    <cellStyle name="Output 3 2 2 4 5" xfId="21065"/>
    <cellStyle name="Output 3 2 2 4 6" xfId="31910"/>
    <cellStyle name="Output 3 2 2 4 7" xfId="12736"/>
    <cellStyle name="Output 3 2 2 5" xfId="2476"/>
    <cellStyle name="Output 3 2 2 5 2" xfId="5328"/>
    <cellStyle name="Output 3 2 2 5 2 2" xfId="24300"/>
    <cellStyle name="Output 3 2 2 5 2 3" xfId="35145"/>
    <cellStyle name="Output 3 2 2 5 2 4" xfId="15052"/>
    <cellStyle name="Output 3 2 2 5 3" xfId="7999"/>
    <cellStyle name="Output 3 2 2 5 3 2" xfId="26971"/>
    <cellStyle name="Output 3 2 2 5 3 3" xfId="37816"/>
    <cellStyle name="Output 3 2 2 5 3 4" xfId="16965"/>
    <cellStyle name="Output 3 2 2 5 4" xfId="10658"/>
    <cellStyle name="Output 3 2 2 5 4 2" xfId="29630"/>
    <cellStyle name="Output 3 2 2 5 4 3" xfId="40475"/>
    <cellStyle name="Output 3 2 2 5 4 4" xfId="18869"/>
    <cellStyle name="Output 3 2 2 5 5" xfId="21454"/>
    <cellStyle name="Output 3 2 2 5 6" xfId="32299"/>
    <cellStyle name="Output 3 2 2 5 7" xfId="13015"/>
    <cellStyle name="Output 3 2 2 6" xfId="2862"/>
    <cellStyle name="Output 3 2 2 6 2" xfId="5713"/>
    <cellStyle name="Output 3 2 2 6 2 2" xfId="24685"/>
    <cellStyle name="Output 3 2 2 6 2 3" xfId="35530"/>
    <cellStyle name="Output 3 2 2 6 2 4" xfId="15328"/>
    <cellStyle name="Output 3 2 2 6 3" xfId="8384"/>
    <cellStyle name="Output 3 2 2 6 3 2" xfId="27356"/>
    <cellStyle name="Output 3 2 2 6 3 3" xfId="38201"/>
    <cellStyle name="Output 3 2 2 6 3 4" xfId="17241"/>
    <cellStyle name="Output 3 2 2 6 4" xfId="11043"/>
    <cellStyle name="Output 3 2 2 6 4 2" xfId="30015"/>
    <cellStyle name="Output 3 2 2 6 4 3" xfId="40860"/>
    <cellStyle name="Output 3 2 2 6 4 4" xfId="19145"/>
    <cellStyle name="Output 3 2 2 6 5" xfId="21839"/>
    <cellStyle name="Output 3 2 2 6 6" xfId="32684"/>
    <cellStyle name="Output 3 2 2 6 7" xfId="13291"/>
    <cellStyle name="Output 3 2 2 7" xfId="3551"/>
    <cellStyle name="Output 3 2 2 7 2" xfId="22523"/>
    <cellStyle name="Output 3 2 2 7 3" xfId="33368"/>
    <cellStyle name="Output 3 2 2 7 4" xfId="13772"/>
    <cellStyle name="Output 3 2 2 8" xfId="6226"/>
    <cellStyle name="Output 3 2 2 8 2" xfId="25198"/>
    <cellStyle name="Output 3 2 2 8 3" xfId="36043"/>
    <cellStyle name="Output 3 2 2 8 4" xfId="15688"/>
    <cellStyle name="Output 3 2 2 9" xfId="8885"/>
    <cellStyle name="Output 3 2 2 9 2" xfId="27857"/>
    <cellStyle name="Output 3 2 2 9 3" xfId="38702"/>
    <cellStyle name="Output 3 2 2 9 4" xfId="17592"/>
    <cellStyle name="Output 3 2 3" xfId="756"/>
    <cellStyle name="Output 3 2 3 10" xfId="19741"/>
    <cellStyle name="Output 3 2 3 11" xfId="30586"/>
    <cellStyle name="Output 3 2 3 12" xfId="11778"/>
    <cellStyle name="Output 3 2 3 2" xfId="1343"/>
    <cellStyle name="Output 3 2 3 2 2" xfId="4196"/>
    <cellStyle name="Output 3 2 3 2 2 2" xfId="23168"/>
    <cellStyle name="Output 3 2 3 2 2 3" xfId="34013"/>
    <cellStyle name="Output 3 2 3 2 2 4" xfId="14239"/>
    <cellStyle name="Output 3 2 3 2 3" xfId="6869"/>
    <cellStyle name="Output 3 2 3 2 3 2" xfId="25841"/>
    <cellStyle name="Output 3 2 3 2 3 3" xfId="36686"/>
    <cellStyle name="Output 3 2 3 2 3 4" xfId="16154"/>
    <cellStyle name="Output 3 2 3 2 4" xfId="9528"/>
    <cellStyle name="Output 3 2 3 2 4 2" xfId="28500"/>
    <cellStyle name="Output 3 2 3 2 4 3" xfId="39345"/>
    <cellStyle name="Output 3 2 3 2 4 4" xfId="18058"/>
    <cellStyle name="Output 3 2 3 2 5" xfId="20324"/>
    <cellStyle name="Output 3 2 3 2 6" xfId="31169"/>
    <cellStyle name="Output 3 2 3 2 7" xfId="12204"/>
    <cellStyle name="Output 3 2 3 3" xfId="1742"/>
    <cellStyle name="Output 3 2 3 3 2" xfId="4595"/>
    <cellStyle name="Output 3 2 3 3 2 2" xfId="23567"/>
    <cellStyle name="Output 3 2 3 3 2 3" xfId="34412"/>
    <cellStyle name="Output 3 2 3 3 2 4" xfId="14526"/>
    <cellStyle name="Output 3 2 3 3 3" xfId="7267"/>
    <cellStyle name="Output 3 2 3 3 3 2" xfId="26239"/>
    <cellStyle name="Output 3 2 3 3 3 3" xfId="37084"/>
    <cellStyle name="Output 3 2 3 3 3 4" xfId="16440"/>
    <cellStyle name="Output 3 2 3 3 4" xfId="9926"/>
    <cellStyle name="Output 3 2 3 3 4 2" xfId="28898"/>
    <cellStyle name="Output 3 2 3 3 4 3" xfId="39743"/>
    <cellStyle name="Output 3 2 3 3 4 4" xfId="18344"/>
    <cellStyle name="Output 3 2 3 3 5" xfId="20722"/>
    <cellStyle name="Output 3 2 3 3 6" xfId="31567"/>
    <cellStyle name="Output 3 2 3 3 7" xfId="12490"/>
    <cellStyle name="Output 3 2 3 4" xfId="2146"/>
    <cellStyle name="Output 3 2 3 4 2" xfId="4999"/>
    <cellStyle name="Output 3 2 3 4 2 2" xfId="23971"/>
    <cellStyle name="Output 3 2 3 4 2 3" xfId="34816"/>
    <cellStyle name="Output 3 2 3 4 2 4" xfId="14813"/>
    <cellStyle name="Output 3 2 3 4 3" xfId="7670"/>
    <cellStyle name="Output 3 2 3 4 3 2" xfId="26642"/>
    <cellStyle name="Output 3 2 3 4 3 3" xfId="37487"/>
    <cellStyle name="Output 3 2 3 4 3 4" xfId="16726"/>
    <cellStyle name="Output 3 2 3 4 4" xfId="10329"/>
    <cellStyle name="Output 3 2 3 4 4 2" xfId="29301"/>
    <cellStyle name="Output 3 2 3 4 4 3" xfId="40146"/>
    <cellStyle name="Output 3 2 3 4 4 4" xfId="18630"/>
    <cellStyle name="Output 3 2 3 4 5" xfId="21125"/>
    <cellStyle name="Output 3 2 3 4 6" xfId="31970"/>
    <cellStyle name="Output 3 2 3 4 7" xfId="12776"/>
    <cellStyle name="Output 3 2 3 5" xfId="2536"/>
    <cellStyle name="Output 3 2 3 5 2" xfId="5388"/>
    <cellStyle name="Output 3 2 3 5 2 2" xfId="24360"/>
    <cellStyle name="Output 3 2 3 5 2 3" xfId="35205"/>
    <cellStyle name="Output 3 2 3 5 2 4" xfId="15092"/>
    <cellStyle name="Output 3 2 3 5 3" xfId="8059"/>
    <cellStyle name="Output 3 2 3 5 3 2" xfId="27031"/>
    <cellStyle name="Output 3 2 3 5 3 3" xfId="37876"/>
    <cellStyle name="Output 3 2 3 5 3 4" xfId="17005"/>
    <cellStyle name="Output 3 2 3 5 4" xfId="10718"/>
    <cellStyle name="Output 3 2 3 5 4 2" xfId="29690"/>
    <cellStyle name="Output 3 2 3 5 4 3" xfId="40535"/>
    <cellStyle name="Output 3 2 3 5 4 4" xfId="18909"/>
    <cellStyle name="Output 3 2 3 5 5" xfId="21514"/>
    <cellStyle name="Output 3 2 3 5 6" xfId="32359"/>
    <cellStyle name="Output 3 2 3 5 7" xfId="13055"/>
    <cellStyle name="Output 3 2 3 6" xfId="2922"/>
    <cellStyle name="Output 3 2 3 6 2" xfId="5773"/>
    <cellStyle name="Output 3 2 3 6 2 2" xfId="24745"/>
    <cellStyle name="Output 3 2 3 6 2 3" xfId="35590"/>
    <cellStyle name="Output 3 2 3 6 2 4" xfId="15368"/>
    <cellStyle name="Output 3 2 3 6 3" xfId="8444"/>
    <cellStyle name="Output 3 2 3 6 3 2" xfId="27416"/>
    <cellStyle name="Output 3 2 3 6 3 3" xfId="38261"/>
    <cellStyle name="Output 3 2 3 6 3 4" xfId="17281"/>
    <cellStyle name="Output 3 2 3 6 4" xfId="11103"/>
    <cellStyle name="Output 3 2 3 6 4 2" xfId="30075"/>
    <cellStyle name="Output 3 2 3 6 4 3" xfId="40920"/>
    <cellStyle name="Output 3 2 3 6 4 4" xfId="19185"/>
    <cellStyle name="Output 3 2 3 6 5" xfId="21899"/>
    <cellStyle name="Output 3 2 3 6 6" xfId="32744"/>
    <cellStyle name="Output 3 2 3 6 7" xfId="13331"/>
    <cellStyle name="Output 3 2 3 7" xfId="3611"/>
    <cellStyle name="Output 3 2 3 7 2" xfId="22583"/>
    <cellStyle name="Output 3 2 3 7 3" xfId="33428"/>
    <cellStyle name="Output 3 2 3 7 4" xfId="13812"/>
    <cellStyle name="Output 3 2 3 8" xfId="6286"/>
    <cellStyle name="Output 3 2 3 8 2" xfId="25258"/>
    <cellStyle name="Output 3 2 3 8 3" xfId="36103"/>
    <cellStyle name="Output 3 2 3 8 4" xfId="15728"/>
    <cellStyle name="Output 3 2 3 9" xfId="8945"/>
    <cellStyle name="Output 3 2 3 9 2" xfId="27917"/>
    <cellStyle name="Output 3 2 3 9 3" xfId="38762"/>
    <cellStyle name="Output 3 2 3 9 4" xfId="17632"/>
    <cellStyle name="Output 3 2 4" xfId="816"/>
    <cellStyle name="Output 3 2 4 10" xfId="19801"/>
    <cellStyle name="Output 3 2 4 11" xfId="30646"/>
    <cellStyle name="Output 3 2 4 12" xfId="11818"/>
    <cellStyle name="Output 3 2 4 2" xfId="1403"/>
    <cellStyle name="Output 3 2 4 2 2" xfId="4256"/>
    <cellStyle name="Output 3 2 4 2 2 2" xfId="23228"/>
    <cellStyle name="Output 3 2 4 2 2 3" xfId="34073"/>
    <cellStyle name="Output 3 2 4 2 2 4" xfId="14279"/>
    <cellStyle name="Output 3 2 4 2 3" xfId="6929"/>
    <cellStyle name="Output 3 2 4 2 3 2" xfId="25901"/>
    <cellStyle name="Output 3 2 4 2 3 3" xfId="36746"/>
    <cellStyle name="Output 3 2 4 2 3 4" xfId="16194"/>
    <cellStyle name="Output 3 2 4 2 4" xfId="9588"/>
    <cellStyle name="Output 3 2 4 2 4 2" xfId="28560"/>
    <cellStyle name="Output 3 2 4 2 4 3" xfId="39405"/>
    <cellStyle name="Output 3 2 4 2 4 4" xfId="18098"/>
    <cellStyle name="Output 3 2 4 2 5" xfId="20384"/>
    <cellStyle name="Output 3 2 4 2 6" xfId="31229"/>
    <cellStyle name="Output 3 2 4 2 7" xfId="12244"/>
    <cellStyle name="Output 3 2 4 3" xfId="1802"/>
    <cellStyle name="Output 3 2 4 3 2" xfId="4655"/>
    <cellStyle name="Output 3 2 4 3 2 2" xfId="23627"/>
    <cellStyle name="Output 3 2 4 3 2 3" xfId="34472"/>
    <cellStyle name="Output 3 2 4 3 2 4" xfId="14566"/>
    <cellStyle name="Output 3 2 4 3 3" xfId="7327"/>
    <cellStyle name="Output 3 2 4 3 3 2" xfId="26299"/>
    <cellStyle name="Output 3 2 4 3 3 3" xfId="37144"/>
    <cellStyle name="Output 3 2 4 3 3 4" xfId="16480"/>
    <cellStyle name="Output 3 2 4 3 4" xfId="9986"/>
    <cellStyle name="Output 3 2 4 3 4 2" xfId="28958"/>
    <cellStyle name="Output 3 2 4 3 4 3" xfId="39803"/>
    <cellStyle name="Output 3 2 4 3 4 4" xfId="18384"/>
    <cellStyle name="Output 3 2 4 3 5" xfId="20782"/>
    <cellStyle name="Output 3 2 4 3 6" xfId="31627"/>
    <cellStyle name="Output 3 2 4 3 7" xfId="12530"/>
    <cellStyle name="Output 3 2 4 4" xfId="2206"/>
    <cellStyle name="Output 3 2 4 4 2" xfId="5059"/>
    <cellStyle name="Output 3 2 4 4 2 2" xfId="24031"/>
    <cellStyle name="Output 3 2 4 4 2 3" xfId="34876"/>
    <cellStyle name="Output 3 2 4 4 2 4" xfId="14853"/>
    <cellStyle name="Output 3 2 4 4 3" xfId="7730"/>
    <cellStyle name="Output 3 2 4 4 3 2" xfId="26702"/>
    <cellStyle name="Output 3 2 4 4 3 3" xfId="37547"/>
    <cellStyle name="Output 3 2 4 4 3 4" xfId="16766"/>
    <cellStyle name="Output 3 2 4 4 4" xfId="10389"/>
    <cellStyle name="Output 3 2 4 4 4 2" xfId="29361"/>
    <cellStyle name="Output 3 2 4 4 4 3" xfId="40206"/>
    <cellStyle name="Output 3 2 4 4 4 4" xfId="18670"/>
    <cellStyle name="Output 3 2 4 4 5" xfId="21185"/>
    <cellStyle name="Output 3 2 4 4 6" xfId="32030"/>
    <cellStyle name="Output 3 2 4 4 7" xfId="12816"/>
    <cellStyle name="Output 3 2 4 5" xfId="2596"/>
    <cellStyle name="Output 3 2 4 5 2" xfId="5448"/>
    <cellStyle name="Output 3 2 4 5 2 2" xfId="24420"/>
    <cellStyle name="Output 3 2 4 5 2 3" xfId="35265"/>
    <cellStyle name="Output 3 2 4 5 2 4" xfId="15132"/>
    <cellStyle name="Output 3 2 4 5 3" xfId="8119"/>
    <cellStyle name="Output 3 2 4 5 3 2" xfId="27091"/>
    <cellStyle name="Output 3 2 4 5 3 3" xfId="37936"/>
    <cellStyle name="Output 3 2 4 5 3 4" xfId="17045"/>
    <cellStyle name="Output 3 2 4 5 4" xfId="10778"/>
    <cellStyle name="Output 3 2 4 5 4 2" xfId="29750"/>
    <cellStyle name="Output 3 2 4 5 4 3" xfId="40595"/>
    <cellStyle name="Output 3 2 4 5 4 4" xfId="18949"/>
    <cellStyle name="Output 3 2 4 5 5" xfId="21574"/>
    <cellStyle name="Output 3 2 4 5 6" xfId="32419"/>
    <cellStyle name="Output 3 2 4 5 7" xfId="13095"/>
    <cellStyle name="Output 3 2 4 6" xfId="2982"/>
    <cellStyle name="Output 3 2 4 6 2" xfId="5833"/>
    <cellStyle name="Output 3 2 4 6 2 2" xfId="24805"/>
    <cellStyle name="Output 3 2 4 6 2 3" xfId="35650"/>
    <cellStyle name="Output 3 2 4 6 2 4" xfId="15408"/>
    <cellStyle name="Output 3 2 4 6 3" xfId="8504"/>
    <cellStyle name="Output 3 2 4 6 3 2" xfId="27476"/>
    <cellStyle name="Output 3 2 4 6 3 3" xfId="38321"/>
    <cellStyle name="Output 3 2 4 6 3 4" xfId="17321"/>
    <cellStyle name="Output 3 2 4 6 4" xfId="11163"/>
    <cellStyle name="Output 3 2 4 6 4 2" xfId="30135"/>
    <cellStyle name="Output 3 2 4 6 4 3" xfId="40980"/>
    <cellStyle name="Output 3 2 4 6 4 4" xfId="19225"/>
    <cellStyle name="Output 3 2 4 6 5" xfId="21959"/>
    <cellStyle name="Output 3 2 4 6 6" xfId="32804"/>
    <cellStyle name="Output 3 2 4 6 7" xfId="13371"/>
    <cellStyle name="Output 3 2 4 7" xfId="3671"/>
    <cellStyle name="Output 3 2 4 7 2" xfId="22643"/>
    <cellStyle name="Output 3 2 4 7 3" xfId="33488"/>
    <cellStyle name="Output 3 2 4 7 4" xfId="13852"/>
    <cellStyle name="Output 3 2 4 8" xfId="6346"/>
    <cellStyle name="Output 3 2 4 8 2" xfId="25318"/>
    <cellStyle name="Output 3 2 4 8 3" xfId="36163"/>
    <cellStyle name="Output 3 2 4 8 4" xfId="15768"/>
    <cellStyle name="Output 3 2 4 9" xfId="9005"/>
    <cellStyle name="Output 3 2 4 9 2" xfId="27977"/>
    <cellStyle name="Output 3 2 4 9 3" xfId="38822"/>
    <cellStyle name="Output 3 2 4 9 4" xfId="17672"/>
    <cellStyle name="Output 3 2 5" xfId="875"/>
    <cellStyle name="Output 3 2 5 10" xfId="19860"/>
    <cellStyle name="Output 3 2 5 11" xfId="30705"/>
    <cellStyle name="Output 3 2 5 12" xfId="11857"/>
    <cellStyle name="Output 3 2 5 2" xfId="1462"/>
    <cellStyle name="Output 3 2 5 2 2" xfId="4315"/>
    <cellStyle name="Output 3 2 5 2 2 2" xfId="23287"/>
    <cellStyle name="Output 3 2 5 2 2 3" xfId="34132"/>
    <cellStyle name="Output 3 2 5 2 2 4" xfId="14318"/>
    <cellStyle name="Output 3 2 5 2 3" xfId="6988"/>
    <cellStyle name="Output 3 2 5 2 3 2" xfId="25960"/>
    <cellStyle name="Output 3 2 5 2 3 3" xfId="36805"/>
    <cellStyle name="Output 3 2 5 2 3 4" xfId="16233"/>
    <cellStyle name="Output 3 2 5 2 4" xfId="9647"/>
    <cellStyle name="Output 3 2 5 2 4 2" xfId="28619"/>
    <cellStyle name="Output 3 2 5 2 4 3" xfId="39464"/>
    <cellStyle name="Output 3 2 5 2 4 4" xfId="18137"/>
    <cellStyle name="Output 3 2 5 2 5" xfId="20443"/>
    <cellStyle name="Output 3 2 5 2 6" xfId="31288"/>
    <cellStyle name="Output 3 2 5 2 7" xfId="12283"/>
    <cellStyle name="Output 3 2 5 3" xfId="1861"/>
    <cellStyle name="Output 3 2 5 3 2" xfId="4714"/>
    <cellStyle name="Output 3 2 5 3 2 2" xfId="23686"/>
    <cellStyle name="Output 3 2 5 3 2 3" xfId="34531"/>
    <cellStyle name="Output 3 2 5 3 2 4" xfId="14605"/>
    <cellStyle name="Output 3 2 5 3 3" xfId="7386"/>
    <cellStyle name="Output 3 2 5 3 3 2" xfId="26358"/>
    <cellStyle name="Output 3 2 5 3 3 3" xfId="37203"/>
    <cellStyle name="Output 3 2 5 3 3 4" xfId="16519"/>
    <cellStyle name="Output 3 2 5 3 4" xfId="10045"/>
    <cellStyle name="Output 3 2 5 3 4 2" xfId="29017"/>
    <cellStyle name="Output 3 2 5 3 4 3" xfId="39862"/>
    <cellStyle name="Output 3 2 5 3 4 4" xfId="18423"/>
    <cellStyle name="Output 3 2 5 3 5" xfId="20841"/>
    <cellStyle name="Output 3 2 5 3 6" xfId="31686"/>
    <cellStyle name="Output 3 2 5 3 7" xfId="12569"/>
    <cellStyle name="Output 3 2 5 4" xfId="2265"/>
    <cellStyle name="Output 3 2 5 4 2" xfId="5118"/>
    <cellStyle name="Output 3 2 5 4 2 2" xfId="24090"/>
    <cellStyle name="Output 3 2 5 4 2 3" xfId="34935"/>
    <cellStyle name="Output 3 2 5 4 2 4" xfId="14892"/>
    <cellStyle name="Output 3 2 5 4 3" xfId="7789"/>
    <cellStyle name="Output 3 2 5 4 3 2" xfId="26761"/>
    <cellStyle name="Output 3 2 5 4 3 3" xfId="37606"/>
    <cellStyle name="Output 3 2 5 4 3 4" xfId="16805"/>
    <cellStyle name="Output 3 2 5 4 4" xfId="10448"/>
    <cellStyle name="Output 3 2 5 4 4 2" xfId="29420"/>
    <cellStyle name="Output 3 2 5 4 4 3" xfId="40265"/>
    <cellStyle name="Output 3 2 5 4 4 4" xfId="18709"/>
    <cellStyle name="Output 3 2 5 4 5" xfId="21244"/>
    <cellStyle name="Output 3 2 5 4 6" xfId="32089"/>
    <cellStyle name="Output 3 2 5 4 7" xfId="12855"/>
    <cellStyle name="Output 3 2 5 5" xfId="2655"/>
    <cellStyle name="Output 3 2 5 5 2" xfId="5507"/>
    <cellStyle name="Output 3 2 5 5 2 2" xfId="24479"/>
    <cellStyle name="Output 3 2 5 5 2 3" xfId="35324"/>
    <cellStyle name="Output 3 2 5 5 2 4" xfId="15171"/>
    <cellStyle name="Output 3 2 5 5 3" xfId="8178"/>
    <cellStyle name="Output 3 2 5 5 3 2" xfId="27150"/>
    <cellStyle name="Output 3 2 5 5 3 3" xfId="37995"/>
    <cellStyle name="Output 3 2 5 5 3 4" xfId="17084"/>
    <cellStyle name="Output 3 2 5 5 4" xfId="10837"/>
    <cellStyle name="Output 3 2 5 5 4 2" xfId="29809"/>
    <cellStyle name="Output 3 2 5 5 4 3" xfId="40654"/>
    <cellStyle name="Output 3 2 5 5 4 4" xfId="18988"/>
    <cellStyle name="Output 3 2 5 5 5" xfId="21633"/>
    <cellStyle name="Output 3 2 5 5 6" xfId="32478"/>
    <cellStyle name="Output 3 2 5 5 7" xfId="13134"/>
    <cellStyle name="Output 3 2 5 6" xfId="3041"/>
    <cellStyle name="Output 3 2 5 6 2" xfId="5892"/>
    <cellStyle name="Output 3 2 5 6 2 2" xfId="24864"/>
    <cellStyle name="Output 3 2 5 6 2 3" xfId="35709"/>
    <cellStyle name="Output 3 2 5 6 2 4" xfId="15447"/>
    <cellStyle name="Output 3 2 5 6 3" xfId="8563"/>
    <cellStyle name="Output 3 2 5 6 3 2" xfId="27535"/>
    <cellStyle name="Output 3 2 5 6 3 3" xfId="38380"/>
    <cellStyle name="Output 3 2 5 6 3 4" xfId="17360"/>
    <cellStyle name="Output 3 2 5 6 4" xfId="11222"/>
    <cellStyle name="Output 3 2 5 6 4 2" xfId="30194"/>
    <cellStyle name="Output 3 2 5 6 4 3" xfId="41039"/>
    <cellStyle name="Output 3 2 5 6 4 4" xfId="19264"/>
    <cellStyle name="Output 3 2 5 6 5" xfId="22018"/>
    <cellStyle name="Output 3 2 5 6 6" xfId="32863"/>
    <cellStyle name="Output 3 2 5 6 7" xfId="13410"/>
    <cellStyle name="Output 3 2 5 7" xfId="3730"/>
    <cellStyle name="Output 3 2 5 7 2" xfId="22702"/>
    <cellStyle name="Output 3 2 5 7 3" xfId="33547"/>
    <cellStyle name="Output 3 2 5 7 4" xfId="13891"/>
    <cellStyle name="Output 3 2 5 8" xfId="6405"/>
    <cellStyle name="Output 3 2 5 8 2" xfId="25377"/>
    <cellStyle name="Output 3 2 5 8 3" xfId="36222"/>
    <cellStyle name="Output 3 2 5 8 4" xfId="15807"/>
    <cellStyle name="Output 3 2 5 9" xfId="9064"/>
    <cellStyle name="Output 3 2 5 9 2" xfId="28036"/>
    <cellStyle name="Output 3 2 5 9 3" xfId="38881"/>
    <cellStyle name="Output 3 2 5 9 4" xfId="17711"/>
    <cellStyle name="Output 3 2 6" xfId="1097"/>
    <cellStyle name="Output 3 2 6 2" xfId="3950"/>
    <cellStyle name="Output 3 2 6 2 2" xfId="22922"/>
    <cellStyle name="Output 3 2 6 2 3" xfId="33767"/>
    <cellStyle name="Output 3 2 6 2 4" xfId="14053"/>
    <cellStyle name="Output 3 2 6 3" xfId="6624"/>
    <cellStyle name="Output 3 2 6 3 2" xfId="25596"/>
    <cellStyle name="Output 3 2 6 3 3" xfId="36441"/>
    <cellStyle name="Output 3 2 6 3 4" xfId="15969"/>
    <cellStyle name="Output 3 2 6 4" xfId="9283"/>
    <cellStyle name="Output 3 2 6 4 2" xfId="28255"/>
    <cellStyle name="Output 3 2 6 4 3" xfId="39100"/>
    <cellStyle name="Output 3 2 6 4 4" xfId="17873"/>
    <cellStyle name="Output 3 2 6 5" xfId="20079"/>
    <cellStyle name="Output 3 2 6 6" xfId="30924"/>
    <cellStyle name="Output 3 2 6 7" xfId="12019"/>
    <cellStyle name="Output 3 2 7" xfId="1496"/>
    <cellStyle name="Output 3 2 7 2" xfId="4349"/>
    <cellStyle name="Output 3 2 7 2 2" xfId="23321"/>
    <cellStyle name="Output 3 2 7 2 3" xfId="34166"/>
    <cellStyle name="Output 3 2 7 2 4" xfId="14342"/>
    <cellStyle name="Output 3 2 7 3" xfId="7022"/>
    <cellStyle name="Output 3 2 7 3 2" xfId="25994"/>
    <cellStyle name="Output 3 2 7 3 3" xfId="36839"/>
    <cellStyle name="Output 3 2 7 3 4" xfId="16257"/>
    <cellStyle name="Output 3 2 7 4" xfId="9681"/>
    <cellStyle name="Output 3 2 7 4 2" xfId="28653"/>
    <cellStyle name="Output 3 2 7 4 3" xfId="39498"/>
    <cellStyle name="Output 3 2 7 4 4" xfId="18161"/>
    <cellStyle name="Output 3 2 7 5" xfId="20477"/>
    <cellStyle name="Output 3 2 7 6" xfId="31322"/>
    <cellStyle name="Output 3 2 7 7" xfId="12307"/>
    <cellStyle name="Output 3 2 8" xfId="1904"/>
    <cellStyle name="Output 3 2 8 2" xfId="4757"/>
    <cellStyle name="Output 3 2 8 2 2" xfId="23729"/>
    <cellStyle name="Output 3 2 8 2 3" xfId="34574"/>
    <cellStyle name="Output 3 2 8 2 4" xfId="14633"/>
    <cellStyle name="Output 3 2 8 3" xfId="7429"/>
    <cellStyle name="Output 3 2 8 3 2" xfId="26401"/>
    <cellStyle name="Output 3 2 8 3 3" xfId="37246"/>
    <cellStyle name="Output 3 2 8 3 4" xfId="16547"/>
    <cellStyle name="Output 3 2 8 4" xfId="10088"/>
    <cellStyle name="Output 3 2 8 4 2" xfId="29060"/>
    <cellStyle name="Output 3 2 8 4 3" xfId="39905"/>
    <cellStyle name="Output 3 2 8 4 4" xfId="18451"/>
    <cellStyle name="Output 3 2 8 5" xfId="20884"/>
    <cellStyle name="Output 3 2 8 6" xfId="31729"/>
    <cellStyle name="Output 3 2 8 7" xfId="12597"/>
    <cellStyle name="Output 3 2 9" xfId="2298"/>
    <cellStyle name="Output 3 2 9 2" xfId="5151"/>
    <cellStyle name="Output 3 2 9 2 2" xfId="24123"/>
    <cellStyle name="Output 3 2 9 2 3" xfId="34968"/>
    <cellStyle name="Output 3 2 9 2 4" xfId="14915"/>
    <cellStyle name="Output 3 2 9 3" xfId="7822"/>
    <cellStyle name="Output 3 2 9 3 2" xfId="26794"/>
    <cellStyle name="Output 3 2 9 3 3" xfId="37639"/>
    <cellStyle name="Output 3 2 9 3 4" xfId="16828"/>
    <cellStyle name="Output 3 2 9 4" xfId="10481"/>
    <cellStyle name="Output 3 2 9 4 2" xfId="29453"/>
    <cellStyle name="Output 3 2 9 4 3" xfId="40298"/>
    <cellStyle name="Output 3 2 9 4 4" xfId="18732"/>
    <cellStyle name="Output 3 2 9 5" xfId="21277"/>
    <cellStyle name="Output 3 2 9 6" xfId="32122"/>
    <cellStyle name="Output 3 2 9 7" xfId="12878"/>
    <cellStyle name="Output 3 3" xfId="579"/>
    <cellStyle name="Output 3 3 10" xfId="19589"/>
    <cellStyle name="Output 3 3 11" xfId="30434"/>
    <cellStyle name="Output 3 3 12" xfId="11643"/>
    <cellStyle name="Output 3 3 2" xfId="1185"/>
    <cellStyle name="Output 3 3 2 2" xfId="4038"/>
    <cellStyle name="Output 3 3 2 2 2" xfId="23010"/>
    <cellStyle name="Output 3 3 2 2 3" xfId="33855"/>
    <cellStyle name="Output 3 3 2 2 4" xfId="14120"/>
    <cellStyle name="Output 3 3 2 3" xfId="6711"/>
    <cellStyle name="Output 3 3 2 3 2" xfId="25683"/>
    <cellStyle name="Output 3 3 2 3 3" xfId="36528"/>
    <cellStyle name="Output 3 3 2 3 4" xfId="16035"/>
    <cellStyle name="Output 3 3 2 4" xfId="9370"/>
    <cellStyle name="Output 3 3 2 4 2" xfId="28342"/>
    <cellStyle name="Output 3 3 2 4 3" xfId="39187"/>
    <cellStyle name="Output 3 3 2 4 4" xfId="17939"/>
    <cellStyle name="Output 3 3 2 5" xfId="20166"/>
    <cellStyle name="Output 3 3 2 6" xfId="31011"/>
    <cellStyle name="Output 3 3 2 7" xfId="12085"/>
    <cellStyle name="Output 3 3 3" xfId="1582"/>
    <cellStyle name="Output 3 3 3 2" xfId="4435"/>
    <cellStyle name="Output 3 3 3 2 2" xfId="23407"/>
    <cellStyle name="Output 3 3 3 2 3" xfId="34252"/>
    <cellStyle name="Output 3 3 3 2 4" xfId="14406"/>
    <cellStyle name="Output 3 3 3 3" xfId="7107"/>
    <cellStyle name="Output 3 3 3 3 2" xfId="26079"/>
    <cellStyle name="Output 3 3 3 3 3" xfId="36924"/>
    <cellStyle name="Output 3 3 3 3 4" xfId="16320"/>
    <cellStyle name="Output 3 3 3 4" xfId="9766"/>
    <cellStyle name="Output 3 3 3 4 2" xfId="28738"/>
    <cellStyle name="Output 3 3 3 4 3" xfId="39583"/>
    <cellStyle name="Output 3 3 3 4 4" xfId="18224"/>
    <cellStyle name="Output 3 3 3 5" xfId="20562"/>
    <cellStyle name="Output 3 3 3 6" xfId="31407"/>
    <cellStyle name="Output 3 3 3 7" xfId="12370"/>
    <cellStyle name="Output 3 3 4" xfId="1986"/>
    <cellStyle name="Output 3 3 4 2" xfId="4839"/>
    <cellStyle name="Output 3 3 4 2 2" xfId="23811"/>
    <cellStyle name="Output 3 3 4 2 3" xfId="34656"/>
    <cellStyle name="Output 3 3 4 2 4" xfId="14694"/>
    <cellStyle name="Output 3 3 4 3" xfId="7511"/>
    <cellStyle name="Output 3 3 4 3 2" xfId="26483"/>
    <cellStyle name="Output 3 3 4 3 3" xfId="37328"/>
    <cellStyle name="Output 3 3 4 3 4" xfId="16608"/>
    <cellStyle name="Output 3 3 4 4" xfId="10170"/>
    <cellStyle name="Output 3 3 4 4 2" xfId="29142"/>
    <cellStyle name="Output 3 3 4 4 3" xfId="39987"/>
    <cellStyle name="Output 3 3 4 4 4" xfId="18512"/>
    <cellStyle name="Output 3 3 4 5" xfId="20966"/>
    <cellStyle name="Output 3 3 4 6" xfId="31811"/>
    <cellStyle name="Output 3 3 4 7" xfId="12658"/>
    <cellStyle name="Output 3 3 5" xfId="2378"/>
    <cellStyle name="Output 3 3 5 2" xfId="5231"/>
    <cellStyle name="Output 3 3 5 2 2" xfId="24203"/>
    <cellStyle name="Output 3 3 5 2 3" xfId="35048"/>
    <cellStyle name="Output 3 3 5 2 4" xfId="14975"/>
    <cellStyle name="Output 3 3 5 3" xfId="7902"/>
    <cellStyle name="Output 3 3 5 3 2" xfId="26874"/>
    <cellStyle name="Output 3 3 5 3 3" xfId="37719"/>
    <cellStyle name="Output 3 3 5 3 4" xfId="16888"/>
    <cellStyle name="Output 3 3 5 4" xfId="10561"/>
    <cellStyle name="Output 3 3 5 4 2" xfId="29533"/>
    <cellStyle name="Output 3 3 5 4 3" xfId="40378"/>
    <cellStyle name="Output 3 3 5 4 4" xfId="18792"/>
    <cellStyle name="Output 3 3 5 5" xfId="21357"/>
    <cellStyle name="Output 3 3 5 6" xfId="32202"/>
    <cellStyle name="Output 3 3 5 7" xfId="12938"/>
    <cellStyle name="Output 3 3 6" xfId="2767"/>
    <cellStyle name="Output 3 3 6 2" xfId="5619"/>
    <cellStyle name="Output 3 3 6 2 2" xfId="24591"/>
    <cellStyle name="Output 3 3 6 2 3" xfId="35436"/>
    <cellStyle name="Output 3 3 6 2 4" xfId="15253"/>
    <cellStyle name="Output 3 3 6 3" xfId="8290"/>
    <cellStyle name="Output 3 3 6 3 2" xfId="27262"/>
    <cellStyle name="Output 3 3 6 3 3" xfId="38107"/>
    <cellStyle name="Output 3 3 6 3 4" xfId="17166"/>
    <cellStyle name="Output 3 3 6 4" xfId="10949"/>
    <cellStyle name="Output 3 3 6 4 2" xfId="29921"/>
    <cellStyle name="Output 3 3 6 4 3" xfId="40766"/>
    <cellStyle name="Output 3 3 6 4 4" xfId="19070"/>
    <cellStyle name="Output 3 3 6 5" xfId="21745"/>
    <cellStyle name="Output 3 3 6 6" xfId="32590"/>
    <cellStyle name="Output 3 3 6 7" xfId="13216"/>
    <cellStyle name="Output 3 3 7" xfId="3458"/>
    <cellStyle name="Output 3 3 7 2" xfId="22430"/>
    <cellStyle name="Output 3 3 7 3" xfId="33275"/>
    <cellStyle name="Output 3 3 7 4" xfId="13698"/>
    <cellStyle name="Output 3 3 8" xfId="6134"/>
    <cellStyle name="Output 3 3 8 2" xfId="25106"/>
    <cellStyle name="Output 3 3 8 3" xfId="35951"/>
    <cellStyle name="Output 3 3 8 4" xfId="15615"/>
    <cellStyle name="Output 3 3 9" xfId="8793"/>
    <cellStyle name="Output 3 3 9 2" xfId="27765"/>
    <cellStyle name="Output 3 3 9 3" xfId="38610"/>
    <cellStyle name="Output 3 3 9 4" xfId="17519"/>
    <cellStyle name="Output 3 4" xfId="11470"/>
    <cellStyle name="Output 4" xfId="319"/>
    <cellStyle name="Output 4 2" xfId="431"/>
    <cellStyle name="Output 4 2 10" xfId="2713"/>
    <cellStyle name="Output 4 2 10 2" xfId="5565"/>
    <cellStyle name="Output 4 2 10 2 2" xfId="24537"/>
    <cellStyle name="Output 4 2 10 2 3" xfId="35382"/>
    <cellStyle name="Output 4 2 10 2 4" xfId="15209"/>
    <cellStyle name="Output 4 2 10 3" xfId="8236"/>
    <cellStyle name="Output 4 2 10 3 2" xfId="27208"/>
    <cellStyle name="Output 4 2 10 3 3" xfId="38053"/>
    <cellStyle name="Output 4 2 10 3 4" xfId="17122"/>
    <cellStyle name="Output 4 2 10 4" xfId="10895"/>
    <cellStyle name="Output 4 2 10 4 2" xfId="29867"/>
    <cellStyle name="Output 4 2 10 4 3" xfId="40712"/>
    <cellStyle name="Output 4 2 10 4 4" xfId="19026"/>
    <cellStyle name="Output 4 2 10 5" xfId="21691"/>
    <cellStyle name="Output 4 2 10 6" xfId="32536"/>
    <cellStyle name="Output 4 2 10 7" xfId="13172"/>
    <cellStyle name="Output 4 2 11" xfId="3098"/>
    <cellStyle name="Output 4 2 11 2" xfId="5949"/>
    <cellStyle name="Output 4 2 11 2 2" xfId="24921"/>
    <cellStyle name="Output 4 2 11 2 3" xfId="35766"/>
    <cellStyle name="Output 4 2 11 2 4" xfId="15484"/>
    <cellStyle name="Output 4 2 11 3" xfId="8620"/>
    <cellStyle name="Output 4 2 11 3 2" xfId="27592"/>
    <cellStyle name="Output 4 2 11 3 3" xfId="38437"/>
    <cellStyle name="Output 4 2 11 3 4" xfId="17397"/>
    <cellStyle name="Output 4 2 11 4" xfId="11279"/>
    <cellStyle name="Output 4 2 11 4 2" xfId="30251"/>
    <cellStyle name="Output 4 2 11 4 3" xfId="41096"/>
    <cellStyle name="Output 4 2 11 4 4" xfId="19301"/>
    <cellStyle name="Output 4 2 11 5" xfId="22075"/>
    <cellStyle name="Output 4 2 11 6" xfId="32920"/>
    <cellStyle name="Output 4 2 11 7" xfId="13447"/>
    <cellStyle name="Output 4 2 12" xfId="3155"/>
    <cellStyle name="Output 4 2 12 2" xfId="6006"/>
    <cellStyle name="Output 4 2 12 2 2" xfId="24978"/>
    <cellStyle name="Output 4 2 12 2 3" xfId="35823"/>
    <cellStyle name="Output 4 2 12 2 4" xfId="15521"/>
    <cellStyle name="Output 4 2 12 3" xfId="8677"/>
    <cellStyle name="Output 4 2 12 3 2" xfId="27649"/>
    <cellStyle name="Output 4 2 12 3 3" xfId="38494"/>
    <cellStyle name="Output 4 2 12 3 4" xfId="17434"/>
    <cellStyle name="Output 4 2 12 4" xfId="11336"/>
    <cellStyle name="Output 4 2 12 4 2" xfId="30308"/>
    <cellStyle name="Output 4 2 12 4 3" xfId="41153"/>
    <cellStyle name="Output 4 2 12 4 4" xfId="19338"/>
    <cellStyle name="Output 4 2 12 5" xfId="22132"/>
    <cellStyle name="Output 4 2 12 6" xfId="32977"/>
    <cellStyle name="Output 4 2 12 7" xfId="13484"/>
    <cellStyle name="Output 4 2 13" xfId="3212"/>
    <cellStyle name="Output 4 2 13 2" xfId="6063"/>
    <cellStyle name="Output 4 2 13 2 2" xfId="25035"/>
    <cellStyle name="Output 4 2 13 2 3" xfId="35880"/>
    <cellStyle name="Output 4 2 13 2 4" xfId="15558"/>
    <cellStyle name="Output 4 2 13 3" xfId="8734"/>
    <cellStyle name="Output 4 2 13 3 2" xfId="27706"/>
    <cellStyle name="Output 4 2 13 3 3" xfId="38551"/>
    <cellStyle name="Output 4 2 13 3 4" xfId="17471"/>
    <cellStyle name="Output 4 2 13 4" xfId="11393"/>
    <cellStyle name="Output 4 2 13 4 2" xfId="30365"/>
    <cellStyle name="Output 4 2 13 4 3" xfId="41210"/>
    <cellStyle name="Output 4 2 13 4 4" xfId="19375"/>
    <cellStyle name="Output 4 2 13 5" xfId="22189"/>
    <cellStyle name="Output 4 2 13 6" xfId="33034"/>
    <cellStyle name="Output 4 2 13 7" xfId="13521"/>
    <cellStyle name="Output 4 2 14" xfId="3381"/>
    <cellStyle name="Output 4 2 14 2" xfId="22355"/>
    <cellStyle name="Output 4 2 14 3" xfId="33200"/>
    <cellStyle name="Output 4 2 14 4" xfId="13638"/>
    <cellStyle name="Output 4 2 15" xfId="3295"/>
    <cellStyle name="Output 4 2 15 2" xfId="22269"/>
    <cellStyle name="Output 4 2 15 3" xfId="33114"/>
    <cellStyle name="Output 4 2 15 4" xfId="13583"/>
    <cellStyle name="Output 4 2 16" xfId="3323"/>
    <cellStyle name="Output 4 2 16 2" xfId="22297"/>
    <cellStyle name="Output 4 2 16 3" xfId="33142"/>
    <cellStyle name="Output 4 2 16 4" xfId="13604"/>
    <cellStyle name="Output 4 2 17" xfId="19509"/>
    <cellStyle name="Output 4 2 18" xfId="19410"/>
    <cellStyle name="Output 4 2 19" xfId="11551"/>
    <cellStyle name="Output 4 2 2" xfId="722"/>
    <cellStyle name="Output 4 2 2 10" xfId="19707"/>
    <cellStyle name="Output 4 2 2 11" xfId="30552"/>
    <cellStyle name="Output 4 2 2 12" xfId="11754"/>
    <cellStyle name="Output 4 2 2 2" xfId="1309"/>
    <cellStyle name="Output 4 2 2 2 2" xfId="4162"/>
    <cellStyle name="Output 4 2 2 2 2 2" xfId="23134"/>
    <cellStyle name="Output 4 2 2 2 2 3" xfId="33979"/>
    <cellStyle name="Output 4 2 2 2 2 4" xfId="14215"/>
    <cellStyle name="Output 4 2 2 2 3" xfId="6835"/>
    <cellStyle name="Output 4 2 2 2 3 2" xfId="25807"/>
    <cellStyle name="Output 4 2 2 2 3 3" xfId="36652"/>
    <cellStyle name="Output 4 2 2 2 3 4" xfId="16130"/>
    <cellStyle name="Output 4 2 2 2 4" xfId="9494"/>
    <cellStyle name="Output 4 2 2 2 4 2" xfId="28466"/>
    <cellStyle name="Output 4 2 2 2 4 3" xfId="39311"/>
    <cellStyle name="Output 4 2 2 2 4 4" xfId="18034"/>
    <cellStyle name="Output 4 2 2 2 5" xfId="20290"/>
    <cellStyle name="Output 4 2 2 2 6" xfId="31135"/>
    <cellStyle name="Output 4 2 2 2 7" xfId="12180"/>
    <cellStyle name="Output 4 2 2 3" xfId="1708"/>
    <cellStyle name="Output 4 2 2 3 2" xfId="4561"/>
    <cellStyle name="Output 4 2 2 3 2 2" xfId="23533"/>
    <cellStyle name="Output 4 2 2 3 2 3" xfId="34378"/>
    <cellStyle name="Output 4 2 2 3 2 4" xfId="14502"/>
    <cellStyle name="Output 4 2 2 3 3" xfId="7233"/>
    <cellStyle name="Output 4 2 2 3 3 2" xfId="26205"/>
    <cellStyle name="Output 4 2 2 3 3 3" xfId="37050"/>
    <cellStyle name="Output 4 2 2 3 3 4" xfId="16416"/>
    <cellStyle name="Output 4 2 2 3 4" xfId="9892"/>
    <cellStyle name="Output 4 2 2 3 4 2" xfId="28864"/>
    <cellStyle name="Output 4 2 2 3 4 3" xfId="39709"/>
    <cellStyle name="Output 4 2 2 3 4 4" xfId="18320"/>
    <cellStyle name="Output 4 2 2 3 5" xfId="20688"/>
    <cellStyle name="Output 4 2 2 3 6" xfId="31533"/>
    <cellStyle name="Output 4 2 2 3 7" xfId="12466"/>
    <cellStyle name="Output 4 2 2 4" xfId="2112"/>
    <cellStyle name="Output 4 2 2 4 2" xfId="4965"/>
    <cellStyle name="Output 4 2 2 4 2 2" xfId="23937"/>
    <cellStyle name="Output 4 2 2 4 2 3" xfId="34782"/>
    <cellStyle name="Output 4 2 2 4 2 4" xfId="14789"/>
    <cellStyle name="Output 4 2 2 4 3" xfId="7636"/>
    <cellStyle name="Output 4 2 2 4 3 2" xfId="26608"/>
    <cellStyle name="Output 4 2 2 4 3 3" xfId="37453"/>
    <cellStyle name="Output 4 2 2 4 3 4" xfId="16702"/>
    <cellStyle name="Output 4 2 2 4 4" xfId="10295"/>
    <cellStyle name="Output 4 2 2 4 4 2" xfId="29267"/>
    <cellStyle name="Output 4 2 2 4 4 3" xfId="40112"/>
    <cellStyle name="Output 4 2 2 4 4 4" xfId="18606"/>
    <cellStyle name="Output 4 2 2 4 5" xfId="21091"/>
    <cellStyle name="Output 4 2 2 4 6" xfId="31936"/>
    <cellStyle name="Output 4 2 2 4 7" xfId="12752"/>
    <cellStyle name="Output 4 2 2 5" xfId="2502"/>
    <cellStyle name="Output 4 2 2 5 2" xfId="5354"/>
    <cellStyle name="Output 4 2 2 5 2 2" xfId="24326"/>
    <cellStyle name="Output 4 2 2 5 2 3" xfId="35171"/>
    <cellStyle name="Output 4 2 2 5 2 4" xfId="15068"/>
    <cellStyle name="Output 4 2 2 5 3" xfId="8025"/>
    <cellStyle name="Output 4 2 2 5 3 2" xfId="26997"/>
    <cellStyle name="Output 4 2 2 5 3 3" xfId="37842"/>
    <cellStyle name="Output 4 2 2 5 3 4" xfId="16981"/>
    <cellStyle name="Output 4 2 2 5 4" xfId="10684"/>
    <cellStyle name="Output 4 2 2 5 4 2" xfId="29656"/>
    <cellStyle name="Output 4 2 2 5 4 3" xfId="40501"/>
    <cellStyle name="Output 4 2 2 5 4 4" xfId="18885"/>
    <cellStyle name="Output 4 2 2 5 5" xfId="21480"/>
    <cellStyle name="Output 4 2 2 5 6" xfId="32325"/>
    <cellStyle name="Output 4 2 2 5 7" xfId="13031"/>
    <cellStyle name="Output 4 2 2 6" xfId="2888"/>
    <cellStyle name="Output 4 2 2 6 2" xfId="5739"/>
    <cellStyle name="Output 4 2 2 6 2 2" xfId="24711"/>
    <cellStyle name="Output 4 2 2 6 2 3" xfId="35556"/>
    <cellStyle name="Output 4 2 2 6 2 4" xfId="15344"/>
    <cellStyle name="Output 4 2 2 6 3" xfId="8410"/>
    <cellStyle name="Output 4 2 2 6 3 2" xfId="27382"/>
    <cellStyle name="Output 4 2 2 6 3 3" xfId="38227"/>
    <cellStyle name="Output 4 2 2 6 3 4" xfId="17257"/>
    <cellStyle name="Output 4 2 2 6 4" xfId="11069"/>
    <cellStyle name="Output 4 2 2 6 4 2" xfId="30041"/>
    <cellStyle name="Output 4 2 2 6 4 3" xfId="40886"/>
    <cellStyle name="Output 4 2 2 6 4 4" xfId="19161"/>
    <cellStyle name="Output 4 2 2 6 5" xfId="21865"/>
    <cellStyle name="Output 4 2 2 6 6" xfId="32710"/>
    <cellStyle name="Output 4 2 2 6 7" xfId="13307"/>
    <cellStyle name="Output 4 2 2 7" xfId="3577"/>
    <cellStyle name="Output 4 2 2 7 2" xfId="22549"/>
    <cellStyle name="Output 4 2 2 7 3" xfId="33394"/>
    <cellStyle name="Output 4 2 2 7 4" xfId="13788"/>
    <cellStyle name="Output 4 2 2 8" xfId="6252"/>
    <cellStyle name="Output 4 2 2 8 2" xfId="25224"/>
    <cellStyle name="Output 4 2 2 8 3" xfId="36069"/>
    <cellStyle name="Output 4 2 2 8 4" xfId="15704"/>
    <cellStyle name="Output 4 2 2 9" xfId="8911"/>
    <cellStyle name="Output 4 2 2 9 2" xfId="27883"/>
    <cellStyle name="Output 4 2 2 9 3" xfId="38728"/>
    <cellStyle name="Output 4 2 2 9 4" xfId="17608"/>
    <cellStyle name="Output 4 2 3" xfId="781"/>
    <cellStyle name="Output 4 2 3 10" xfId="19766"/>
    <cellStyle name="Output 4 2 3 11" xfId="30611"/>
    <cellStyle name="Output 4 2 3 12" xfId="11793"/>
    <cellStyle name="Output 4 2 3 2" xfId="1368"/>
    <cellStyle name="Output 4 2 3 2 2" xfId="4221"/>
    <cellStyle name="Output 4 2 3 2 2 2" xfId="23193"/>
    <cellStyle name="Output 4 2 3 2 2 3" xfId="34038"/>
    <cellStyle name="Output 4 2 3 2 2 4" xfId="14254"/>
    <cellStyle name="Output 4 2 3 2 3" xfId="6894"/>
    <cellStyle name="Output 4 2 3 2 3 2" xfId="25866"/>
    <cellStyle name="Output 4 2 3 2 3 3" xfId="36711"/>
    <cellStyle name="Output 4 2 3 2 3 4" xfId="16169"/>
    <cellStyle name="Output 4 2 3 2 4" xfId="9553"/>
    <cellStyle name="Output 4 2 3 2 4 2" xfId="28525"/>
    <cellStyle name="Output 4 2 3 2 4 3" xfId="39370"/>
    <cellStyle name="Output 4 2 3 2 4 4" xfId="18073"/>
    <cellStyle name="Output 4 2 3 2 5" xfId="20349"/>
    <cellStyle name="Output 4 2 3 2 6" xfId="31194"/>
    <cellStyle name="Output 4 2 3 2 7" xfId="12219"/>
    <cellStyle name="Output 4 2 3 3" xfId="1767"/>
    <cellStyle name="Output 4 2 3 3 2" xfId="4620"/>
    <cellStyle name="Output 4 2 3 3 2 2" xfId="23592"/>
    <cellStyle name="Output 4 2 3 3 2 3" xfId="34437"/>
    <cellStyle name="Output 4 2 3 3 2 4" xfId="14541"/>
    <cellStyle name="Output 4 2 3 3 3" xfId="7292"/>
    <cellStyle name="Output 4 2 3 3 3 2" xfId="26264"/>
    <cellStyle name="Output 4 2 3 3 3 3" xfId="37109"/>
    <cellStyle name="Output 4 2 3 3 3 4" xfId="16455"/>
    <cellStyle name="Output 4 2 3 3 4" xfId="9951"/>
    <cellStyle name="Output 4 2 3 3 4 2" xfId="28923"/>
    <cellStyle name="Output 4 2 3 3 4 3" xfId="39768"/>
    <cellStyle name="Output 4 2 3 3 4 4" xfId="18359"/>
    <cellStyle name="Output 4 2 3 3 5" xfId="20747"/>
    <cellStyle name="Output 4 2 3 3 6" xfId="31592"/>
    <cellStyle name="Output 4 2 3 3 7" xfId="12505"/>
    <cellStyle name="Output 4 2 3 4" xfId="2171"/>
    <cellStyle name="Output 4 2 3 4 2" xfId="5024"/>
    <cellStyle name="Output 4 2 3 4 2 2" xfId="23996"/>
    <cellStyle name="Output 4 2 3 4 2 3" xfId="34841"/>
    <cellStyle name="Output 4 2 3 4 2 4" xfId="14828"/>
    <cellStyle name="Output 4 2 3 4 3" xfId="7695"/>
    <cellStyle name="Output 4 2 3 4 3 2" xfId="26667"/>
    <cellStyle name="Output 4 2 3 4 3 3" xfId="37512"/>
    <cellStyle name="Output 4 2 3 4 3 4" xfId="16741"/>
    <cellStyle name="Output 4 2 3 4 4" xfId="10354"/>
    <cellStyle name="Output 4 2 3 4 4 2" xfId="29326"/>
    <cellStyle name="Output 4 2 3 4 4 3" xfId="40171"/>
    <cellStyle name="Output 4 2 3 4 4 4" xfId="18645"/>
    <cellStyle name="Output 4 2 3 4 5" xfId="21150"/>
    <cellStyle name="Output 4 2 3 4 6" xfId="31995"/>
    <cellStyle name="Output 4 2 3 4 7" xfId="12791"/>
    <cellStyle name="Output 4 2 3 5" xfId="2561"/>
    <cellStyle name="Output 4 2 3 5 2" xfId="5413"/>
    <cellStyle name="Output 4 2 3 5 2 2" xfId="24385"/>
    <cellStyle name="Output 4 2 3 5 2 3" xfId="35230"/>
    <cellStyle name="Output 4 2 3 5 2 4" xfId="15107"/>
    <cellStyle name="Output 4 2 3 5 3" xfId="8084"/>
    <cellStyle name="Output 4 2 3 5 3 2" xfId="27056"/>
    <cellStyle name="Output 4 2 3 5 3 3" xfId="37901"/>
    <cellStyle name="Output 4 2 3 5 3 4" xfId="17020"/>
    <cellStyle name="Output 4 2 3 5 4" xfId="10743"/>
    <cellStyle name="Output 4 2 3 5 4 2" xfId="29715"/>
    <cellStyle name="Output 4 2 3 5 4 3" xfId="40560"/>
    <cellStyle name="Output 4 2 3 5 4 4" xfId="18924"/>
    <cellStyle name="Output 4 2 3 5 5" xfId="21539"/>
    <cellStyle name="Output 4 2 3 5 6" xfId="32384"/>
    <cellStyle name="Output 4 2 3 5 7" xfId="13070"/>
    <cellStyle name="Output 4 2 3 6" xfId="2947"/>
    <cellStyle name="Output 4 2 3 6 2" xfId="5798"/>
    <cellStyle name="Output 4 2 3 6 2 2" xfId="24770"/>
    <cellStyle name="Output 4 2 3 6 2 3" xfId="35615"/>
    <cellStyle name="Output 4 2 3 6 2 4" xfId="15383"/>
    <cellStyle name="Output 4 2 3 6 3" xfId="8469"/>
    <cellStyle name="Output 4 2 3 6 3 2" xfId="27441"/>
    <cellStyle name="Output 4 2 3 6 3 3" xfId="38286"/>
    <cellStyle name="Output 4 2 3 6 3 4" xfId="17296"/>
    <cellStyle name="Output 4 2 3 6 4" xfId="11128"/>
    <cellStyle name="Output 4 2 3 6 4 2" xfId="30100"/>
    <cellStyle name="Output 4 2 3 6 4 3" xfId="40945"/>
    <cellStyle name="Output 4 2 3 6 4 4" xfId="19200"/>
    <cellStyle name="Output 4 2 3 6 5" xfId="21924"/>
    <cellStyle name="Output 4 2 3 6 6" xfId="32769"/>
    <cellStyle name="Output 4 2 3 6 7" xfId="13346"/>
    <cellStyle name="Output 4 2 3 7" xfId="3636"/>
    <cellStyle name="Output 4 2 3 7 2" xfId="22608"/>
    <cellStyle name="Output 4 2 3 7 3" xfId="33453"/>
    <cellStyle name="Output 4 2 3 7 4" xfId="13827"/>
    <cellStyle name="Output 4 2 3 8" xfId="6311"/>
    <cellStyle name="Output 4 2 3 8 2" xfId="25283"/>
    <cellStyle name="Output 4 2 3 8 3" xfId="36128"/>
    <cellStyle name="Output 4 2 3 8 4" xfId="15743"/>
    <cellStyle name="Output 4 2 3 9" xfId="8970"/>
    <cellStyle name="Output 4 2 3 9 2" xfId="27942"/>
    <cellStyle name="Output 4 2 3 9 3" xfId="38787"/>
    <cellStyle name="Output 4 2 3 9 4" xfId="17647"/>
    <cellStyle name="Output 4 2 4" xfId="840"/>
    <cellStyle name="Output 4 2 4 10" xfId="19825"/>
    <cellStyle name="Output 4 2 4 11" xfId="30670"/>
    <cellStyle name="Output 4 2 4 12" xfId="11832"/>
    <cellStyle name="Output 4 2 4 2" xfId="1427"/>
    <cellStyle name="Output 4 2 4 2 2" xfId="4280"/>
    <cellStyle name="Output 4 2 4 2 2 2" xfId="23252"/>
    <cellStyle name="Output 4 2 4 2 2 3" xfId="34097"/>
    <cellStyle name="Output 4 2 4 2 2 4" xfId="14293"/>
    <cellStyle name="Output 4 2 4 2 3" xfId="6953"/>
    <cellStyle name="Output 4 2 4 2 3 2" xfId="25925"/>
    <cellStyle name="Output 4 2 4 2 3 3" xfId="36770"/>
    <cellStyle name="Output 4 2 4 2 3 4" xfId="16208"/>
    <cellStyle name="Output 4 2 4 2 4" xfId="9612"/>
    <cellStyle name="Output 4 2 4 2 4 2" xfId="28584"/>
    <cellStyle name="Output 4 2 4 2 4 3" xfId="39429"/>
    <cellStyle name="Output 4 2 4 2 4 4" xfId="18112"/>
    <cellStyle name="Output 4 2 4 2 5" xfId="20408"/>
    <cellStyle name="Output 4 2 4 2 6" xfId="31253"/>
    <cellStyle name="Output 4 2 4 2 7" xfId="12258"/>
    <cellStyle name="Output 4 2 4 3" xfId="1826"/>
    <cellStyle name="Output 4 2 4 3 2" xfId="4679"/>
    <cellStyle name="Output 4 2 4 3 2 2" xfId="23651"/>
    <cellStyle name="Output 4 2 4 3 2 3" xfId="34496"/>
    <cellStyle name="Output 4 2 4 3 2 4" xfId="14580"/>
    <cellStyle name="Output 4 2 4 3 3" xfId="7351"/>
    <cellStyle name="Output 4 2 4 3 3 2" xfId="26323"/>
    <cellStyle name="Output 4 2 4 3 3 3" xfId="37168"/>
    <cellStyle name="Output 4 2 4 3 3 4" xfId="16494"/>
    <cellStyle name="Output 4 2 4 3 4" xfId="10010"/>
    <cellStyle name="Output 4 2 4 3 4 2" xfId="28982"/>
    <cellStyle name="Output 4 2 4 3 4 3" xfId="39827"/>
    <cellStyle name="Output 4 2 4 3 4 4" xfId="18398"/>
    <cellStyle name="Output 4 2 4 3 5" xfId="20806"/>
    <cellStyle name="Output 4 2 4 3 6" xfId="31651"/>
    <cellStyle name="Output 4 2 4 3 7" xfId="12544"/>
    <cellStyle name="Output 4 2 4 4" xfId="2230"/>
    <cellStyle name="Output 4 2 4 4 2" xfId="5083"/>
    <cellStyle name="Output 4 2 4 4 2 2" xfId="24055"/>
    <cellStyle name="Output 4 2 4 4 2 3" xfId="34900"/>
    <cellStyle name="Output 4 2 4 4 2 4" xfId="14867"/>
    <cellStyle name="Output 4 2 4 4 3" xfId="7754"/>
    <cellStyle name="Output 4 2 4 4 3 2" xfId="26726"/>
    <cellStyle name="Output 4 2 4 4 3 3" xfId="37571"/>
    <cellStyle name="Output 4 2 4 4 3 4" xfId="16780"/>
    <cellStyle name="Output 4 2 4 4 4" xfId="10413"/>
    <cellStyle name="Output 4 2 4 4 4 2" xfId="29385"/>
    <cellStyle name="Output 4 2 4 4 4 3" xfId="40230"/>
    <cellStyle name="Output 4 2 4 4 4 4" xfId="18684"/>
    <cellStyle name="Output 4 2 4 4 5" xfId="21209"/>
    <cellStyle name="Output 4 2 4 4 6" xfId="32054"/>
    <cellStyle name="Output 4 2 4 4 7" xfId="12830"/>
    <cellStyle name="Output 4 2 4 5" xfId="2620"/>
    <cellStyle name="Output 4 2 4 5 2" xfId="5472"/>
    <cellStyle name="Output 4 2 4 5 2 2" xfId="24444"/>
    <cellStyle name="Output 4 2 4 5 2 3" xfId="35289"/>
    <cellStyle name="Output 4 2 4 5 2 4" xfId="15146"/>
    <cellStyle name="Output 4 2 4 5 3" xfId="8143"/>
    <cellStyle name="Output 4 2 4 5 3 2" xfId="27115"/>
    <cellStyle name="Output 4 2 4 5 3 3" xfId="37960"/>
    <cellStyle name="Output 4 2 4 5 3 4" xfId="17059"/>
    <cellStyle name="Output 4 2 4 5 4" xfId="10802"/>
    <cellStyle name="Output 4 2 4 5 4 2" xfId="29774"/>
    <cellStyle name="Output 4 2 4 5 4 3" xfId="40619"/>
    <cellStyle name="Output 4 2 4 5 4 4" xfId="18963"/>
    <cellStyle name="Output 4 2 4 5 5" xfId="21598"/>
    <cellStyle name="Output 4 2 4 5 6" xfId="32443"/>
    <cellStyle name="Output 4 2 4 5 7" xfId="13109"/>
    <cellStyle name="Output 4 2 4 6" xfId="3006"/>
    <cellStyle name="Output 4 2 4 6 2" xfId="5857"/>
    <cellStyle name="Output 4 2 4 6 2 2" xfId="24829"/>
    <cellStyle name="Output 4 2 4 6 2 3" xfId="35674"/>
    <cellStyle name="Output 4 2 4 6 2 4" xfId="15422"/>
    <cellStyle name="Output 4 2 4 6 3" xfId="8528"/>
    <cellStyle name="Output 4 2 4 6 3 2" xfId="27500"/>
    <cellStyle name="Output 4 2 4 6 3 3" xfId="38345"/>
    <cellStyle name="Output 4 2 4 6 3 4" xfId="17335"/>
    <cellStyle name="Output 4 2 4 6 4" xfId="11187"/>
    <cellStyle name="Output 4 2 4 6 4 2" xfId="30159"/>
    <cellStyle name="Output 4 2 4 6 4 3" xfId="41004"/>
    <cellStyle name="Output 4 2 4 6 4 4" xfId="19239"/>
    <cellStyle name="Output 4 2 4 6 5" xfId="21983"/>
    <cellStyle name="Output 4 2 4 6 6" xfId="32828"/>
    <cellStyle name="Output 4 2 4 6 7" xfId="13385"/>
    <cellStyle name="Output 4 2 4 7" xfId="3695"/>
    <cellStyle name="Output 4 2 4 7 2" xfId="22667"/>
    <cellStyle name="Output 4 2 4 7 3" xfId="33512"/>
    <cellStyle name="Output 4 2 4 7 4" xfId="13866"/>
    <cellStyle name="Output 4 2 4 8" xfId="6370"/>
    <cellStyle name="Output 4 2 4 8 2" xfId="25342"/>
    <cellStyle name="Output 4 2 4 8 3" xfId="36187"/>
    <cellStyle name="Output 4 2 4 8 4" xfId="15782"/>
    <cellStyle name="Output 4 2 4 9" xfId="9029"/>
    <cellStyle name="Output 4 2 4 9 2" xfId="28001"/>
    <cellStyle name="Output 4 2 4 9 3" xfId="38846"/>
    <cellStyle name="Output 4 2 4 9 4" xfId="17686"/>
    <cellStyle name="Output 4 2 5" xfId="899"/>
    <cellStyle name="Output 4 2 5 10" xfId="19884"/>
    <cellStyle name="Output 4 2 5 11" xfId="30729"/>
    <cellStyle name="Output 4 2 5 12" xfId="11871"/>
    <cellStyle name="Output 4 2 5 2" xfId="1486"/>
    <cellStyle name="Output 4 2 5 2 2" xfId="4339"/>
    <cellStyle name="Output 4 2 5 2 2 2" xfId="23311"/>
    <cellStyle name="Output 4 2 5 2 2 3" xfId="34156"/>
    <cellStyle name="Output 4 2 5 2 2 4" xfId="14332"/>
    <cellStyle name="Output 4 2 5 2 3" xfId="7012"/>
    <cellStyle name="Output 4 2 5 2 3 2" xfId="25984"/>
    <cellStyle name="Output 4 2 5 2 3 3" xfId="36829"/>
    <cellStyle name="Output 4 2 5 2 3 4" xfId="16247"/>
    <cellStyle name="Output 4 2 5 2 4" xfId="9671"/>
    <cellStyle name="Output 4 2 5 2 4 2" xfId="28643"/>
    <cellStyle name="Output 4 2 5 2 4 3" xfId="39488"/>
    <cellStyle name="Output 4 2 5 2 4 4" xfId="18151"/>
    <cellStyle name="Output 4 2 5 2 5" xfId="20467"/>
    <cellStyle name="Output 4 2 5 2 6" xfId="31312"/>
    <cellStyle name="Output 4 2 5 2 7" xfId="12297"/>
    <cellStyle name="Output 4 2 5 3" xfId="1885"/>
    <cellStyle name="Output 4 2 5 3 2" xfId="4738"/>
    <cellStyle name="Output 4 2 5 3 2 2" xfId="23710"/>
    <cellStyle name="Output 4 2 5 3 2 3" xfId="34555"/>
    <cellStyle name="Output 4 2 5 3 2 4" xfId="14619"/>
    <cellStyle name="Output 4 2 5 3 3" xfId="7410"/>
    <cellStyle name="Output 4 2 5 3 3 2" xfId="26382"/>
    <cellStyle name="Output 4 2 5 3 3 3" xfId="37227"/>
    <cellStyle name="Output 4 2 5 3 3 4" xfId="16533"/>
    <cellStyle name="Output 4 2 5 3 4" xfId="10069"/>
    <cellStyle name="Output 4 2 5 3 4 2" xfId="29041"/>
    <cellStyle name="Output 4 2 5 3 4 3" xfId="39886"/>
    <cellStyle name="Output 4 2 5 3 4 4" xfId="18437"/>
    <cellStyle name="Output 4 2 5 3 5" xfId="20865"/>
    <cellStyle name="Output 4 2 5 3 6" xfId="31710"/>
    <cellStyle name="Output 4 2 5 3 7" xfId="12583"/>
    <cellStyle name="Output 4 2 5 4" xfId="2289"/>
    <cellStyle name="Output 4 2 5 4 2" xfId="5142"/>
    <cellStyle name="Output 4 2 5 4 2 2" xfId="24114"/>
    <cellStyle name="Output 4 2 5 4 2 3" xfId="34959"/>
    <cellStyle name="Output 4 2 5 4 2 4" xfId="14906"/>
    <cellStyle name="Output 4 2 5 4 3" xfId="7813"/>
    <cellStyle name="Output 4 2 5 4 3 2" xfId="26785"/>
    <cellStyle name="Output 4 2 5 4 3 3" xfId="37630"/>
    <cellStyle name="Output 4 2 5 4 3 4" xfId="16819"/>
    <cellStyle name="Output 4 2 5 4 4" xfId="10472"/>
    <cellStyle name="Output 4 2 5 4 4 2" xfId="29444"/>
    <cellStyle name="Output 4 2 5 4 4 3" xfId="40289"/>
    <cellStyle name="Output 4 2 5 4 4 4" xfId="18723"/>
    <cellStyle name="Output 4 2 5 4 5" xfId="21268"/>
    <cellStyle name="Output 4 2 5 4 6" xfId="32113"/>
    <cellStyle name="Output 4 2 5 4 7" xfId="12869"/>
    <cellStyle name="Output 4 2 5 5" xfId="2679"/>
    <cellStyle name="Output 4 2 5 5 2" xfId="5531"/>
    <cellStyle name="Output 4 2 5 5 2 2" xfId="24503"/>
    <cellStyle name="Output 4 2 5 5 2 3" xfId="35348"/>
    <cellStyle name="Output 4 2 5 5 2 4" xfId="15185"/>
    <cellStyle name="Output 4 2 5 5 3" xfId="8202"/>
    <cellStyle name="Output 4 2 5 5 3 2" xfId="27174"/>
    <cellStyle name="Output 4 2 5 5 3 3" xfId="38019"/>
    <cellStyle name="Output 4 2 5 5 3 4" xfId="17098"/>
    <cellStyle name="Output 4 2 5 5 4" xfId="10861"/>
    <cellStyle name="Output 4 2 5 5 4 2" xfId="29833"/>
    <cellStyle name="Output 4 2 5 5 4 3" xfId="40678"/>
    <cellStyle name="Output 4 2 5 5 4 4" xfId="19002"/>
    <cellStyle name="Output 4 2 5 5 5" xfId="21657"/>
    <cellStyle name="Output 4 2 5 5 6" xfId="32502"/>
    <cellStyle name="Output 4 2 5 5 7" xfId="13148"/>
    <cellStyle name="Output 4 2 5 6" xfId="3065"/>
    <cellStyle name="Output 4 2 5 6 2" xfId="5916"/>
    <cellStyle name="Output 4 2 5 6 2 2" xfId="24888"/>
    <cellStyle name="Output 4 2 5 6 2 3" xfId="35733"/>
    <cellStyle name="Output 4 2 5 6 2 4" xfId="15461"/>
    <cellStyle name="Output 4 2 5 6 3" xfId="8587"/>
    <cellStyle name="Output 4 2 5 6 3 2" xfId="27559"/>
    <cellStyle name="Output 4 2 5 6 3 3" xfId="38404"/>
    <cellStyle name="Output 4 2 5 6 3 4" xfId="17374"/>
    <cellStyle name="Output 4 2 5 6 4" xfId="11246"/>
    <cellStyle name="Output 4 2 5 6 4 2" xfId="30218"/>
    <cellStyle name="Output 4 2 5 6 4 3" xfId="41063"/>
    <cellStyle name="Output 4 2 5 6 4 4" xfId="19278"/>
    <cellStyle name="Output 4 2 5 6 5" xfId="22042"/>
    <cellStyle name="Output 4 2 5 6 6" xfId="32887"/>
    <cellStyle name="Output 4 2 5 6 7" xfId="13424"/>
    <cellStyle name="Output 4 2 5 7" xfId="3754"/>
    <cellStyle name="Output 4 2 5 7 2" xfId="22726"/>
    <cellStyle name="Output 4 2 5 7 3" xfId="33571"/>
    <cellStyle name="Output 4 2 5 7 4" xfId="13905"/>
    <cellStyle name="Output 4 2 5 8" xfId="6429"/>
    <cellStyle name="Output 4 2 5 8 2" xfId="25401"/>
    <cellStyle name="Output 4 2 5 8 3" xfId="36246"/>
    <cellStyle name="Output 4 2 5 8 4" xfId="15821"/>
    <cellStyle name="Output 4 2 5 9" xfId="9088"/>
    <cellStyle name="Output 4 2 5 9 2" xfId="28060"/>
    <cellStyle name="Output 4 2 5 9 3" xfId="38905"/>
    <cellStyle name="Output 4 2 5 9 4" xfId="17725"/>
    <cellStyle name="Output 4 2 6" xfId="1129"/>
    <cellStyle name="Output 4 2 6 2" xfId="3982"/>
    <cellStyle name="Output 4 2 6 2 2" xfId="22954"/>
    <cellStyle name="Output 4 2 6 2 3" xfId="33799"/>
    <cellStyle name="Output 4 2 6 2 4" xfId="14074"/>
    <cellStyle name="Output 4 2 6 3" xfId="6655"/>
    <cellStyle name="Output 4 2 6 3 2" xfId="25627"/>
    <cellStyle name="Output 4 2 6 3 3" xfId="36472"/>
    <cellStyle name="Output 4 2 6 3 4" xfId="15989"/>
    <cellStyle name="Output 4 2 6 4" xfId="9314"/>
    <cellStyle name="Output 4 2 6 4 2" xfId="28286"/>
    <cellStyle name="Output 4 2 6 4 3" xfId="39131"/>
    <cellStyle name="Output 4 2 6 4 4" xfId="17893"/>
    <cellStyle name="Output 4 2 6 5" xfId="20110"/>
    <cellStyle name="Output 4 2 6 6" xfId="30955"/>
    <cellStyle name="Output 4 2 6 7" xfId="12039"/>
    <cellStyle name="Output 4 2 7" xfId="1525"/>
    <cellStyle name="Output 4 2 7 2" xfId="4378"/>
    <cellStyle name="Output 4 2 7 2 2" xfId="23350"/>
    <cellStyle name="Output 4 2 7 2 3" xfId="34195"/>
    <cellStyle name="Output 4 2 7 2 4" xfId="14360"/>
    <cellStyle name="Output 4 2 7 3" xfId="7051"/>
    <cellStyle name="Output 4 2 7 3 2" xfId="26023"/>
    <cellStyle name="Output 4 2 7 3 3" xfId="36868"/>
    <cellStyle name="Output 4 2 7 3 4" xfId="16275"/>
    <cellStyle name="Output 4 2 7 4" xfId="9710"/>
    <cellStyle name="Output 4 2 7 4 2" xfId="28682"/>
    <cellStyle name="Output 4 2 7 4 3" xfId="39527"/>
    <cellStyle name="Output 4 2 7 4 4" xfId="18179"/>
    <cellStyle name="Output 4 2 7 5" xfId="20506"/>
    <cellStyle name="Output 4 2 7 6" xfId="31351"/>
    <cellStyle name="Output 4 2 7 7" xfId="12325"/>
    <cellStyle name="Output 4 2 8" xfId="1931"/>
    <cellStyle name="Output 4 2 8 2" xfId="4784"/>
    <cellStyle name="Output 4 2 8 2 2" xfId="23756"/>
    <cellStyle name="Output 4 2 8 2 3" xfId="34601"/>
    <cellStyle name="Output 4 2 8 2 4" xfId="14649"/>
    <cellStyle name="Output 4 2 8 3" xfId="7456"/>
    <cellStyle name="Output 4 2 8 3 2" xfId="26428"/>
    <cellStyle name="Output 4 2 8 3 3" xfId="37273"/>
    <cellStyle name="Output 4 2 8 3 4" xfId="16563"/>
    <cellStyle name="Output 4 2 8 4" xfId="10115"/>
    <cellStyle name="Output 4 2 8 4 2" xfId="29087"/>
    <cellStyle name="Output 4 2 8 4 3" xfId="39932"/>
    <cellStyle name="Output 4 2 8 4 4" xfId="18467"/>
    <cellStyle name="Output 4 2 8 5" xfId="20911"/>
    <cellStyle name="Output 4 2 8 6" xfId="31756"/>
    <cellStyle name="Output 4 2 8 7" xfId="12613"/>
    <cellStyle name="Output 4 2 9" xfId="2324"/>
    <cellStyle name="Output 4 2 9 2" xfId="5177"/>
    <cellStyle name="Output 4 2 9 2 2" xfId="24149"/>
    <cellStyle name="Output 4 2 9 2 3" xfId="34994"/>
    <cellStyle name="Output 4 2 9 2 4" xfId="14931"/>
    <cellStyle name="Output 4 2 9 3" xfId="7848"/>
    <cellStyle name="Output 4 2 9 3 2" xfId="26820"/>
    <cellStyle name="Output 4 2 9 3 3" xfId="37665"/>
    <cellStyle name="Output 4 2 9 3 4" xfId="16844"/>
    <cellStyle name="Output 4 2 9 4" xfId="10507"/>
    <cellStyle name="Output 4 2 9 4 2" xfId="29479"/>
    <cellStyle name="Output 4 2 9 4 3" xfId="40324"/>
    <cellStyle name="Output 4 2 9 4 4" xfId="18748"/>
    <cellStyle name="Output 4 2 9 5" xfId="21303"/>
    <cellStyle name="Output 4 2 9 6" xfId="32148"/>
    <cellStyle name="Output 4 2 9 7" xfId="12894"/>
    <cellStyle name="Output 4 3" xfId="619"/>
    <cellStyle name="Output 4 3 10" xfId="19626"/>
    <cellStyle name="Output 4 3 11" xfId="30471"/>
    <cellStyle name="Output 4 3 12" xfId="11674"/>
    <cellStyle name="Output 4 3 2" xfId="1223"/>
    <cellStyle name="Output 4 3 2 2" xfId="4076"/>
    <cellStyle name="Output 4 3 2 2 2" xfId="23048"/>
    <cellStyle name="Output 4 3 2 2 3" xfId="33893"/>
    <cellStyle name="Output 4 3 2 2 4" xfId="14149"/>
    <cellStyle name="Output 4 3 2 3" xfId="6749"/>
    <cellStyle name="Output 4 3 2 3 2" xfId="25721"/>
    <cellStyle name="Output 4 3 2 3 3" xfId="36566"/>
    <cellStyle name="Output 4 3 2 3 4" xfId="16064"/>
    <cellStyle name="Output 4 3 2 4" xfId="9408"/>
    <cellStyle name="Output 4 3 2 4 2" xfId="28380"/>
    <cellStyle name="Output 4 3 2 4 3" xfId="39225"/>
    <cellStyle name="Output 4 3 2 4 4" xfId="17968"/>
    <cellStyle name="Output 4 3 2 5" xfId="20204"/>
    <cellStyle name="Output 4 3 2 6" xfId="31049"/>
    <cellStyle name="Output 4 3 2 7" xfId="12114"/>
    <cellStyle name="Output 4 3 3" xfId="1621"/>
    <cellStyle name="Output 4 3 3 2" xfId="4474"/>
    <cellStyle name="Output 4 3 3 2 2" xfId="23446"/>
    <cellStyle name="Output 4 3 3 2 3" xfId="34291"/>
    <cellStyle name="Output 4 3 3 2 4" xfId="14436"/>
    <cellStyle name="Output 4 3 3 3" xfId="7146"/>
    <cellStyle name="Output 4 3 3 3 2" xfId="26118"/>
    <cellStyle name="Output 4 3 3 3 3" xfId="36963"/>
    <cellStyle name="Output 4 3 3 3 4" xfId="16350"/>
    <cellStyle name="Output 4 3 3 4" xfId="9805"/>
    <cellStyle name="Output 4 3 3 4 2" xfId="28777"/>
    <cellStyle name="Output 4 3 3 4 3" xfId="39622"/>
    <cellStyle name="Output 4 3 3 4 4" xfId="18254"/>
    <cellStyle name="Output 4 3 3 5" xfId="20601"/>
    <cellStyle name="Output 4 3 3 6" xfId="31446"/>
    <cellStyle name="Output 4 3 3 7" xfId="12400"/>
    <cellStyle name="Output 4 3 4" xfId="2023"/>
    <cellStyle name="Output 4 3 4 2" xfId="4876"/>
    <cellStyle name="Output 4 3 4 2 2" xfId="23848"/>
    <cellStyle name="Output 4 3 4 2 3" xfId="34693"/>
    <cellStyle name="Output 4 3 4 2 4" xfId="14722"/>
    <cellStyle name="Output 4 3 4 3" xfId="7548"/>
    <cellStyle name="Output 4 3 4 3 2" xfId="26520"/>
    <cellStyle name="Output 4 3 4 3 3" xfId="37365"/>
    <cellStyle name="Output 4 3 4 3 4" xfId="16636"/>
    <cellStyle name="Output 4 3 4 4" xfId="10207"/>
    <cellStyle name="Output 4 3 4 4 2" xfId="29179"/>
    <cellStyle name="Output 4 3 4 4 3" xfId="40024"/>
    <cellStyle name="Output 4 3 4 4 4" xfId="18540"/>
    <cellStyle name="Output 4 3 4 5" xfId="21003"/>
    <cellStyle name="Output 4 3 4 6" xfId="31848"/>
    <cellStyle name="Output 4 3 4 7" xfId="12686"/>
    <cellStyle name="Output 4 3 5" xfId="2415"/>
    <cellStyle name="Output 4 3 5 2" xfId="5268"/>
    <cellStyle name="Output 4 3 5 2 2" xfId="24240"/>
    <cellStyle name="Output 4 3 5 2 3" xfId="35085"/>
    <cellStyle name="Output 4 3 5 2 4" xfId="15003"/>
    <cellStyle name="Output 4 3 5 3" xfId="7939"/>
    <cellStyle name="Output 4 3 5 3 2" xfId="26911"/>
    <cellStyle name="Output 4 3 5 3 3" xfId="37756"/>
    <cellStyle name="Output 4 3 5 3 4" xfId="16916"/>
    <cellStyle name="Output 4 3 5 4" xfId="10598"/>
    <cellStyle name="Output 4 3 5 4 2" xfId="29570"/>
    <cellStyle name="Output 4 3 5 4 3" xfId="40415"/>
    <cellStyle name="Output 4 3 5 4 4" xfId="18820"/>
    <cellStyle name="Output 4 3 5 5" xfId="21394"/>
    <cellStyle name="Output 4 3 5 6" xfId="32239"/>
    <cellStyle name="Output 4 3 5 7" xfId="12966"/>
    <cellStyle name="Output 4 3 6" xfId="2804"/>
    <cellStyle name="Output 4 3 6 2" xfId="5656"/>
    <cellStyle name="Output 4 3 6 2 2" xfId="24628"/>
    <cellStyle name="Output 4 3 6 2 3" xfId="35473"/>
    <cellStyle name="Output 4 3 6 2 4" xfId="15281"/>
    <cellStyle name="Output 4 3 6 3" xfId="8327"/>
    <cellStyle name="Output 4 3 6 3 2" xfId="27299"/>
    <cellStyle name="Output 4 3 6 3 3" xfId="38144"/>
    <cellStyle name="Output 4 3 6 3 4" xfId="17194"/>
    <cellStyle name="Output 4 3 6 4" xfId="10986"/>
    <cellStyle name="Output 4 3 6 4 2" xfId="29958"/>
    <cellStyle name="Output 4 3 6 4 3" xfId="40803"/>
    <cellStyle name="Output 4 3 6 4 4" xfId="19098"/>
    <cellStyle name="Output 4 3 6 5" xfId="21782"/>
    <cellStyle name="Output 4 3 6 6" xfId="32627"/>
    <cellStyle name="Output 4 3 6 7" xfId="13244"/>
    <cellStyle name="Output 4 3 7" xfId="3495"/>
    <cellStyle name="Output 4 3 7 2" xfId="22467"/>
    <cellStyle name="Output 4 3 7 3" xfId="33312"/>
    <cellStyle name="Output 4 3 7 4" xfId="13726"/>
    <cellStyle name="Output 4 3 8" xfId="6171"/>
    <cellStyle name="Output 4 3 8 2" xfId="25143"/>
    <cellStyle name="Output 4 3 8 3" xfId="35988"/>
    <cellStyle name="Output 4 3 8 4" xfId="15643"/>
    <cellStyle name="Output 4 3 9" xfId="8830"/>
    <cellStyle name="Output 4 3 9 2" xfId="27802"/>
    <cellStyle name="Output 4 3 9 3" xfId="38647"/>
    <cellStyle name="Output 4 3 9 4" xfId="17547"/>
    <cellStyle name="Output 4 4" xfId="11490"/>
    <cellStyle name="Output 5" xfId="320"/>
    <cellStyle name="Output 5 2" xfId="432"/>
    <cellStyle name="Output 5 2 10" xfId="2714"/>
    <cellStyle name="Output 5 2 10 2" xfId="5566"/>
    <cellStyle name="Output 5 2 10 2 2" xfId="24538"/>
    <cellStyle name="Output 5 2 10 2 3" xfId="35383"/>
    <cellStyle name="Output 5 2 10 2 4" xfId="15210"/>
    <cellStyle name="Output 5 2 10 3" xfId="8237"/>
    <cellStyle name="Output 5 2 10 3 2" xfId="27209"/>
    <cellStyle name="Output 5 2 10 3 3" xfId="38054"/>
    <cellStyle name="Output 5 2 10 3 4" xfId="17123"/>
    <cellStyle name="Output 5 2 10 4" xfId="10896"/>
    <cellStyle name="Output 5 2 10 4 2" xfId="29868"/>
    <cellStyle name="Output 5 2 10 4 3" xfId="40713"/>
    <cellStyle name="Output 5 2 10 4 4" xfId="19027"/>
    <cellStyle name="Output 5 2 10 5" xfId="21692"/>
    <cellStyle name="Output 5 2 10 6" xfId="32537"/>
    <cellStyle name="Output 5 2 10 7" xfId="13173"/>
    <cellStyle name="Output 5 2 11" xfId="3099"/>
    <cellStyle name="Output 5 2 11 2" xfId="5950"/>
    <cellStyle name="Output 5 2 11 2 2" xfId="24922"/>
    <cellStyle name="Output 5 2 11 2 3" xfId="35767"/>
    <cellStyle name="Output 5 2 11 2 4" xfId="15485"/>
    <cellStyle name="Output 5 2 11 3" xfId="8621"/>
    <cellStyle name="Output 5 2 11 3 2" xfId="27593"/>
    <cellStyle name="Output 5 2 11 3 3" xfId="38438"/>
    <cellStyle name="Output 5 2 11 3 4" xfId="17398"/>
    <cellStyle name="Output 5 2 11 4" xfId="11280"/>
    <cellStyle name="Output 5 2 11 4 2" xfId="30252"/>
    <cellStyle name="Output 5 2 11 4 3" xfId="41097"/>
    <cellStyle name="Output 5 2 11 4 4" xfId="19302"/>
    <cellStyle name="Output 5 2 11 5" xfId="22076"/>
    <cellStyle name="Output 5 2 11 6" xfId="32921"/>
    <cellStyle name="Output 5 2 11 7" xfId="13448"/>
    <cellStyle name="Output 5 2 12" xfId="3156"/>
    <cellStyle name="Output 5 2 12 2" xfId="6007"/>
    <cellStyle name="Output 5 2 12 2 2" xfId="24979"/>
    <cellStyle name="Output 5 2 12 2 3" xfId="35824"/>
    <cellStyle name="Output 5 2 12 2 4" xfId="15522"/>
    <cellStyle name="Output 5 2 12 3" xfId="8678"/>
    <cellStyle name="Output 5 2 12 3 2" xfId="27650"/>
    <cellStyle name="Output 5 2 12 3 3" xfId="38495"/>
    <cellStyle name="Output 5 2 12 3 4" xfId="17435"/>
    <cellStyle name="Output 5 2 12 4" xfId="11337"/>
    <cellStyle name="Output 5 2 12 4 2" xfId="30309"/>
    <cellStyle name="Output 5 2 12 4 3" xfId="41154"/>
    <cellStyle name="Output 5 2 12 4 4" xfId="19339"/>
    <cellStyle name="Output 5 2 12 5" xfId="22133"/>
    <cellStyle name="Output 5 2 12 6" xfId="32978"/>
    <cellStyle name="Output 5 2 12 7" xfId="13485"/>
    <cellStyle name="Output 5 2 13" xfId="3213"/>
    <cellStyle name="Output 5 2 13 2" xfId="6064"/>
    <cellStyle name="Output 5 2 13 2 2" xfId="25036"/>
    <cellStyle name="Output 5 2 13 2 3" xfId="35881"/>
    <cellStyle name="Output 5 2 13 2 4" xfId="15559"/>
    <cellStyle name="Output 5 2 13 3" xfId="8735"/>
    <cellStyle name="Output 5 2 13 3 2" xfId="27707"/>
    <cellStyle name="Output 5 2 13 3 3" xfId="38552"/>
    <cellStyle name="Output 5 2 13 3 4" xfId="17472"/>
    <cellStyle name="Output 5 2 13 4" xfId="11394"/>
    <cellStyle name="Output 5 2 13 4 2" xfId="30366"/>
    <cellStyle name="Output 5 2 13 4 3" xfId="41211"/>
    <cellStyle name="Output 5 2 13 4 4" xfId="19376"/>
    <cellStyle name="Output 5 2 13 5" xfId="22190"/>
    <cellStyle name="Output 5 2 13 6" xfId="33035"/>
    <cellStyle name="Output 5 2 13 7" xfId="13522"/>
    <cellStyle name="Output 5 2 14" xfId="3382"/>
    <cellStyle name="Output 5 2 14 2" xfId="22356"/>
    <cellStyle name="Output 5 2 14 3" xfId="33201"/>
    <cellStyle name="Output 5 2 14 4" xfId="13639"/>
    <cellStyle name="Output 5 2 15" xfId="3308"/>
    <cellStyle name="Output 5 2 15 2" xfId="22282"/>
    <cellStyle name="Output 5 2 15 3" xfId="33127"/>
    <cellStyle name="Output 5 2 15 4" xfId="13593"/>
    <cellStyle name="Output 5 2 16" xfId="6068"/>
    <cellStyle name="Output 5 2 16 2" xfId="25040"/>
    <cellStyle name="Output 5 2 16 3" xfId="35885"/>
    <cellStyle name="Output 5 2 16 4" xfId="15563"/>
    <cellStyle name="Output 5 2 17" xfId="19510"/>
    <cellStyle name="Output 5 2 18" xfId="19382"/>
    <cellStyle name="Output 5 2 19" xfId="11552"/>
    <cellStyle name="Output 5 2 2" xfId="723"/>
    <cellStyle name="Output 5 2 2 10" xfId="19708"/>
    <cellStyle name="Output 5 2 2 11" xfId="30553"/>
    <cellStyle name="Output 5 2 2 12" xfId="11755"/>
    <cellStyle name="Output 5 2 2 2" xfId="1310"/>
    <cellStyle name="Output 5 2 2 2 2" xfId="4163"/>
    <cellStyle name="Output 5 2 2 2 2 2" xfId="23135"/>
    <cellStyle name="Output 5 2 2 2 2 3" xfId="33980"/>
    <cellStyle name="Output 5 2 2 2 2 4" xfId="14216"/>
    <cellStyle name="Output 5 2 2 2 3" xfId="6836"/>
    <cellStyle name="Output 5 2 2 2 3 2" xfId="25808"/>
    <cellStyle name="Output 5 2 2 2 3 3" xfId="36653"/>
    <cellStyle name="Output 5 2 2 2 3 4" xfId="16131"/>
    <cellStyle name="Output 5 2 2 2 4" xfId="9495"/>
    <cellStyle name="Output 5 2 2 2 4 2" xfId="28467"/>
    <cellStyle name="Output 5 2 2 2 4 3" xfId="39312"/>
    <cellStyle name="Output 5 2 2 2 4 4" xfId="18035"/>
    <cellStyle name="Output 5 2 2 2 5" xfId="20291"/>
    <cellStyle name="Output 5 2 2 2 6" xfId="31136"/>
    <cellStyle name="Output 5 2 2 2 7" xfId="12181"/>
    <cellStyle name="Output 5 2 2 3" xfId="1709"/>
    <cellStyle name="Output 5 2 2 3 2" xfId="4562"/>
    <cellStyle name="Output 5 2 2 3 2 2" xfId="23534"/>
    <cellStyle name="Output 5 2 2 3 2 3" xfId="34379"/>
    <cellStyle name="Output 5 2 2 3 2 4" xfId="14503"/>
    <cellStyle name="Output 5 2 2 3 3" xfId="7234"/>
    <cellStyle name="Output 5 2 2 3 3 2" xfId="26206"/>
    <cellStyle name="Output 5 2 2 3 3 3" xfId="37051"/>
    <cellStyle name="Output 5 2 2 3 3 4" xfId="16417"/>
    <cellStyle name="Output 5 2 2 3 4" xfId="9893"/>
    <cellStyle name="Output 5 2 2 3 4 2" xfId="28865"/>
    <cellStyle name="Output 5 2 2 3 4 3" xfId="39710"/>
    <cellStyle name="Output 5 2 2 3 4 4" xfId="18321"/>
    <cellStyle name="Output 5 2 2 3 5" xfId="20689"/>
    <cellStyle name="Output 5 2 2 3 6" xfId="31534"/>
    <cellStyle name="Output 5 2 2 3 7" xfId="12467"/>
    <cellStyle name="Output 5 2 2 4" xfId="2113"/>
    <cellStyle name="Output 5 2 2 4 2" xfId="4966"/>
    <cellStyle name="Output 5 2 2 4 2 2" xfId="23938"/>
    <cellStyle name="Output 5 2 2 4 2 3" xfId="34783"/>
    <cellStyle name="Output 5 2 2 4 2 4" xfId="14790"/>
    <cellStyle name="Output 5 2 2 4 3" xfId="7637"/>
    <cellStyle name="Output 5 2 2 4 3 2" xfId="26609"/>
    <cellStyle name="Output 5 2 2 4 3 3" xfId="37454"/>
    <cellStyle name="Output 5 2 2 4 3 4" xfId="16703"/>
    <cellStyle name="Output 5 2 2 4 4" xfId="10296"/>
    <cellStyle name="Output 5 2 2 4 4 2" xfId="29268"/>
    <cellStyle name="Output 5 2 2 4 4 3" xfId="40113"/>
    <cellStyle name="Output 5 2 2 4 4 4" xfId="18607"/>
    <cellStyle name="Output 5 2 2 4 5" xfId="21092"/>
    <cellStyle name="Output 5 2 2 4 6" xfId="31937"/>
    <cellStyle name="Output 5 2 2 4 7" xfId="12753"/>
    <cellStyle name="Output 5 2 2 5" xfId="2503"/>
    <cellStyle name="Output 5 2 2 5 2" xfId="5355"/>
    <cellStyle name="Output 5 2 2 5 2 2" xfId="24327"/>
    <cellStyle name="Output 5 2 2 5 2 3" xfId="35172"/>
    <cellStyle name="Output 5 2 2 5 2 4" xfId="15069"/>
    <cellStyle name="Output 5 2 2 5 3" xfId="8026"/>
    <cellStyle name="Output 5 2 2 5 3 2" xfId="26998"/>
    <cellStyle name="Output 5 2 2 5 3 3" xfId="37843"/>
    <cellStyle name="Output 5 2 2 5 3 4" xfId="16982"/>
    <cellStyle name="Output 5 2 2 5 4" xfId="10685"/>
    <cellStyle name="Output 5 2 2 5 4 2" xfId="29657"/>
    <cellStyle name="Output 5 2 2 5 4 3" xfId="40502"/>
    <cellStyle name="Output 5 2 2 5 4 4" xfId="18886"/>
    <cellStyle name="Output 5 2 2 5 5" xfId="21481"/>
    <cellStyle name="Output 5 2 2 5 6" xfId="32326"/>
    <cellStyle name="Output 5 2 2 5 7" xfId="13032"/>
    <cellStyle name="Output 5 2 2 6" xfId="2889"/>
    <cellStyle name="Output 5 2 2 6 2" xfId="5740"/>
    <cellStyle name="Output 5 2 2 6 2 2" xfId="24712"/>
    <cellStyle name="Output 5 2 2 6 2 3" xfId="35557"/>
    <cellStyle name="Output 5 2 2 6 2 4" xfId="15345"/>
    <cellStyle name="Output 5 2 2 6 3" xfId="8411"/>
    <cellStyle name="Output 5 2 2 6 3 2" xfId="27383"/>
    <cellStyle name="Output 5 2 2 6 3 3" xfId="38228"/>
    <cellStyle name="Output 5 2 2 6 3 4" xfId="17258"/>
    <cellStyle name="Output 5 2 2 6 4" xfId="11070"/>
    <cellStyle name="Output 5 2 2 6 4 2" xfId="30042"/>
    <cellStyle name="Output 5 2 2 6 4 3" xfId="40887"/>
    <cellStyle name="Output 5 2 2 6 4 4" xfId="19162"/>
    <cellStyle name="Output 5 2 2 6 5" xfId="21866"/>
    <cellStyle name="Output 5 2 2 6 6" xfId="32711"/>
    <cellStyle name="Output 5 2 2 6 7" xfId="13308"/>
    <cellStyle name="Output 5 2 2 7" xfId="3578"/>
    <cellStyle name="Output 5 2 2 7 2" xfId="22550"/>
    <cellStyle name="Output 5 2 2 7 3" xfId="33395"/>
    <cellStyle name="Output 5 2 2 7 4" xfId="13789"/>
    <cellStyle name="Output 5 2 2 8" xfId="6253"/>
    <cellStyle name="Output 5 2 2 8 2" xfId="25225"/>
    <cellStyle name="Output 5 2 2 8 3" xfId="36070"/>
    <cellStyle name="Output 5 2 2 8 4" xfId="15705"/>
    <cellStyle name="Output 5 2 2 9" xfId="8912"/>
    <cellStyle name="Output 5 2 2 9 2" xfId="27884"/>
    <cellStyle name="Output 5 2 2 9 3" xfId="38729"/>
    <cellStyle name="Output 5 2 2 9 4" xfId="17609"/>
    <cellStyle name="Output 5 2 3" xfId="782"/>
    <cellStyle name="Output 5 2 3 10" xfId="19767"/>
    <cellStyle name="Output 5 2 3 11" xfId="30612"/>
    <cellStyle name="Output 5 2 3 12" xfId="11794"/>
    <cellStyle name="Output 5 2 3 2" xfId="1369"/>
    <cellStyle name="Output 5 2 3 2 2" xfId="4222"/>
    <cellStyle name="Output 5 2 3 2 2 2" xfId="23194"/>
    <cellStyle name="Output 5 2 3 2 2 3" xfId="34039"/>
    <cellStyle name="Output 5 2 3 2 2 4" xfId="14255"/>
    <cellStyle name="Output 5 2 3 2 3" xfId="6895"/>
    <cellStyle name="Output 5 2 3 2 3 2" xfId="25867"/>
    <cellStyle name="Output 5 2 3 2 3 3" xfId="36712"/>
    <cellStyle name="Output 5 2 3 2 3 4" xfId="16170"/>
    <cellStyle name="Output 5 2 3 2 4" xfId="9554"/>
    <cellStyle name="Output 5 2 3 2 4 2" xfId="28526"/>
    <cellStyle name="Output 5 2 3 2 4 3" xfId="39371"/>
    <cellStyle name="Output 5 2 3 2 4 4" xfId="18074"/>
    <cellStyle name="Output 5 2 3 2 5" xfId="20350"/>
    <cellStyle name="Output 5 2 3 2 6" xfId="31195"/>
    <cellStyle name="Output 5 2 3 2 7" xfId="12220"/>
    <cellStyle name="Output 5 2 3 3" xfId="1768"/>
    <cellStyle name="Output 5 2 3 3 2" xfId="4621"/>
    <cellStyle name="Output 5 2 3 3 2 2" xfId="23593"/>
    <cellStyle name="Output 5 2 3 3 2 3" xfId="34438"/>
    <cellStyle name="Output 5 2 3 3 2 4" xfId="14542"/>
    <cellStyle name="Output 5 2 3 3 3" xfId="7293"/>
    <cellStyle name="Output 5 2 3 3 3 2" xfId="26265"/>
    <cellStyle name="Output 5 2 3 3 3 3" xfId="37110"/>
    <cellStyle name="Output 5 2 3 3 3 4" xfId="16456"/>
    <cellStyle name="Output 5 2 3 3 4" xfId="9952"/>
    <cellStyle name="Output 5 2 3 3 4 2" xfId="28924"/>
    <cellStyle name="Output 5 2 3 3 4 3" xfId="39769"/>
    <cellStyle name="Output 5 2 3 3 4 4" xfId="18360"/>
    <cellStyle name="Output 5 2 3 3 5" xfId="20748"/>
    <cellStyle name="Output 5 2 3 3 6" xfId="31593"/>
    <cellStyle name="Output 5 2 3 3 7" xfId="12506"/>
    <cellStyle name="Output 5 2 3 4" xfId="2172"/>
    <cellStyle name="Output 5 2 3 4 2" xfId="5025"/>
    <cellStyle name="Output 5 2 3 4 2 2" xfId="23997"/>
    <cellStyle name="Output 5 2 3 4 2 3" xfId="34842"/>
    <cellStyle name="Output 5 2 3 4 2 4" xfId="14829"/>
    <cellStyle name="Output 5 2 3 4 3" xfId="7696"/>
    <cellStyle name="Output 5 2 3 4 3 2" xfId="26668"/>
    <cellStyle name="Output 5 2 3 4 3 3" xfId="37513"/>
    <cellStyle name="Output 5 2 3 4 3 4" xfId="16742"/>
    <cellStyle name="Output 5 2 3 4 4" xfId="10355"/>
    <cellStyle name="Output 5 2 3 4 4 2" xfId="29327"/>
    <cellStyle name="Output 5 2 3 4 4 3" xfId="40172"/>
    <cellStyle name="Output 5 2 3 4 4 4" xfId="18646"/>
    <cellStyle name="Output 5 2 3 4 5" xfId="21151"/>
    <cellStyle name="Output 5 2 3 4 6" xfId="31996"/>
    <cellStyle name="Output 5 2 3 4 7" xfId="12792"/>
    <cellStyle name="Output 5 2 3 5" xfId="2562"/>
    <cellStyle name="Output 5 2 3 5 2" xfId="5414"/>
    <cellStyle name="Output 5 2 3 5 2 2" xfId="24386"/>
    <cellStyle name="Output 5 2 3 5 2 3" xfId="35231"/>
    <cellStyle name="Output 5 2 3 5 2 4" xfId="15108"/>
    <cellStyle name="Output 5 2 3 5 3" xfId="8085"/>
    <cellStyle name="Output 5 2 3 5 3 2" xfId="27057"/>
    <cellStyle name="Output 5 2 3 5 3 3" xfId="37902"/>
    <cellStyle name="Output 5 2 3 5 3 4" xfId="17021"/>
    <cellStyle name="Output 5 2 3 5 4" xfId="10744"/>
    <cellStyle name="Output 5 2 3 5 4 2" xfId="29716"/>
    <cellStyle name="Output 5 2 3 5 4 3" xfId="40561"/>
    <cellStyle name="Output 5 2 3 5 4 4" xfId="18925"/>
    <cellStyle name="Output 5 2 3 5 5" xfId="21540"/>
    <cellStyle name="Output 5 2 3 5 6" xfId="32385"/>
    <cellStyle name="Output 5 2 3 5 7" xfId="13071"/>
    <cellStyle name="Output 5 2 3 6" xfId="2948"/>
    <cellStyle name="Output 5 2 3 6 2" xfId="5799"/>
    <cellStyle name="Output 5 2 3 6 2 2" xfId="24771"/>
    <cellStyle name="Output 5 2 3 6 2 3" xfId="35616"/>
    <cellStyle name="Output 5 2 3 6 2 4" xfId="15384"/>
    <cellStyle name="Output 5 2 3 6 3" xfId="8470"/>
    <cellStyle name="Output 5 2 3 6 3 2" xfId="27442"/>
    <cellStyle name="Output 5 2 3 6 3 3" xfId="38287"/>
    <cellStyle name="Output 5 2 3 6 3 4" xfId="17297"/>
    <cellStyle name="Output 5 2 3 6 4" xfId="11129"/>
    <cellStyle name="Output 5 2 3 6 4 2" xfId="30101"/>
    <cellStyle name="Output 5 2 3 6 4 3" xfId="40946"/>
    <cellStyle name="Output 5 2 3 6 4 4" xfId="19201"/>
    <cellStyle name="Output 5 2 3 6 5" xfId="21925"/>
    <cellStyle name="Output 5 2 3 6 6" xfId="32770"/>
    <cellStyle name="Output 5 2 3 6 7" xfId="13347"/>
    <cellStyle name="Output 5 2 3 7" xfId="3637"/>
    <cellStyle name="Output 5 2 3 7 2" xfId="22609"/>
    <cellStyle name="Output 5 2 3 7 3" xfId="33454"/>
    <cellStyle name="Output 5 2 3 7 4" xfId="13828"/>
    <cellStyle name="Output 5 2 3 8" xfId="6312"/>
    <cellStyle name="Output 5 2 3 8 2" xfId="25284"/>
    <cellStyle name="Output 5 2 3 8 3" xfId="36129"/>
    <cellStyle name="Output 5 2 3 8 4" xfId="15744"/>
    <cellStyle name="Output 5 2 3 9" xfId="8971"/>
    <cellStyle name="Output 5 2 3 9 2" xfId="27943"/>
    <cellStyle name="Output 5 2 3 9 3" xfId="38788"/>
    <cellStyle name="Output 5 2 3 9 4" xfId="17648"/>
    <cellStyle name="Output 5 2 4" xfId="841"/>
    <cellStyle name="Output 5 2 4 10" xfId="19826"/>
    <cellStyle name="Output 5 2 4 11" xfId="30671"/>
    <cellStyle name="Output 5 2 4 12" xfId="11833"/>
    <cellStyle name="Output 5 2 4 2" xfId="1428"/>
    <cellStyle name="Output 5 2 4 2 2" xfId="4281"/>
    <cellStyle name="Output 5 2 4 2 2 2" xfId="23253"/>
    <cellStyle name="Output 5 2 4 2 2 3" xfId="34098"/>
    <cellStyle name="Output 5 2 4 2 2 4" xfId="14294"/>
    <cellStyle name="Output 5 2 4 2 3" xfId="6954"/>
    <cellStyle name="Output 5 2 4 2 3 2" xfId="25926"/>
    <cellStyle name="Output 5 2 4 2 3 3" xfId="36771"/>
    <cellStyle name="Output 5 2 4 2 3 4" xfId="16209"/>
    <cellStyle name="Output 5 2 4 2 4" xfId="9613"/>
    <cellStyle name="Output 5 2 4 2 4 2" xfId="28585"/>
    <cellStyle name="Output 5 2 4 2 4 3" xfId="39430"/>
    <cellStyle name="Output 5 2 4 2 4 4" xfId="18113"/>
    <cellStyle name="Output 5 2 4 2 5" xfId="20409"/>
    <cellStyle name="Output 5 2 4 2 6" xfId="31254"/>
    <cellStyle name="Output 5 2 4 2 7" xfId="12259"/>
    <cellStyle name="Output 5 2 4 3" xfId="1827"/>
    <cellStyle name="Output 5 2 4 3 2" xfId="4680"/>
    <cellStyle name="Output 5 2 4 3 2 2" xfId="23652"/>
    <cellStyle name="Output 5 2 4 3 2 3" xfId="34497"/>
    <cellStyle name="Output 5 2 4 3 2 4" xfId="14581"/>
    <cellStyle name="Output 5 2 4 3 3" xfId="7352"/>
    <cellStyle name="Output 5 2 4 3 3 2" xfId="26324"/>
    <cellStyle name="Output 5 2 4 3 3 3" xfId="37169"/>
    <cellStyle name="Output 5 2 4 3 3 4" xfId="16495"/>
    <cellStyle name="Output 5 2 4 3 4" xfId="10011"/>
    <cellStyle name="Output 5 2 4 3 4 2" xfId="28983"/>
    <cellStyle name="Output 5 2 4 3 4 3" xfId="39828"/>
    <cellStyle name="Output 5 2 4 3 4 4" xfId="18399"/>
    <cellStyle name="Output 5 2 4 3 5" xfId="20807"/>
    <cellStyle name="Output 5 2 4 3 6" xfId="31652"/>
    <cellStyle name="Output 5 2 4 3 7" xfId="12545"/>
    <cellStyle name="Output 5 2 4 4" xfId="2231"/>
    <cellStyle name="Output 5 2 4 4 2" xfId="5084"/>
    <cellStyle name="Output 5 2 4 4 2 2" xfId="24056"/>
    <cellStyle name="Output 5 2 4 4 2 3" xfId="34901"/>
    <cellStyle name="Output 5 2 4 4 2 4" xfId="14868"/>
    <cellStyle name="Output 5 2 4 4 3" xfId="7755"/>
    <cellStyle name="Output 5 2 4 4 3 2" xfId="26727"/>
    <cellStyle name="Output 5 2 4 4 3 3" xfId="37572"/>
    <cellStyle name="Output 5 2 4 4 3 4" xfId="16781"/>
    <cellStyle name="Output 5 2 4 4 4" xfId="10414"/>
    <cellStyle name="Output 5 2 4 4 4 2" xfId="29386"/>
    <cellStyle name="Output 5 2 4 4 4 3" xfId="40231"/>
    <cellStyle name="Output 5 2 4 4 4 4" xfId="18685"/>
    <cellStyle name="Output 5 2 4 4 5" xfId="21210"/>
    <cellStyle name="Output 5 2 4 4 6" xfId="32055"/>
    <cellStyle name="Output 5 2 4 4 7" xfId="12831"/>
    <cellStyle name="Output 5 2 4 5" xfId="2621"/>
    <cellStyle name="Output 5 2 4 5 2" xfId="5473"/>
    <cellStyle name="Output 5 2 4 5 2 2" xfId="24445"/>
    <cellStyle name="Output 5 2 4 5 2 3" xfId="35290"/>
    <cellStyle name="Output 5 2 4 5 2 4" xfId="15147"/>
    <cellStyle name="Output 5 2 4 5 3" xfId="8144"/>
    <cellStyle name="Output 5 2 4 5 3 2" xfId="27116"/>
    <cellStyle name="Output 5 2 4 5 3 3" xfId="37961"/>
    <cellStyle name="Output 5 2 4 5 3 4" xfId="17060"/>
    <cellStyle name="Output 5 2 4 5 4" xfId="10803"/>
    <cellStyle name="Output 5 2 4 5 4 2" xfId="29775"/>
    <cellStyle name="Output 5 2 4 5 4 3" xfId="40620"/>
    <cellStyle name="Output 5 2 4 5 4 4" xfId="18964"/>
    <cellStyle name="Output 5 2 4 5 5" xfId="21599"/>
    <cellStyle name="Output 5 2 4 5 6" xfId="32444"/>
    <cellStyle name="Output 5 2 4 5 7" xfId="13110"/>
    <cellStyle name="Output 5 2 4 6" xfId="3007"/>
    <cellStyle name="Output 5 2 4 6 2" xfId="5858"/>
    <cellStyle name="Output 5 2 4 6 2 2" xfId="24830"/>
    <cellStyle name="Output 5 2 4 6 2 3" xfId="35675"/>
    <cellStyle name="Output 5 2 4 6 2 4" xfId="15423"/>
    <cellStyle name="Output 5 2 4 6 3" xfId="8529"/>
    <cellStyle name="Output 5 2 4 6 3 2" xfId="27501"/>
    <cellStyle name="Output 5 2 4 6 3 3" xfId="38346"/>
    <cellStyle name="Output 5 2 4 6 3 4" xfId="17336"/>
    <cellStyle name="Output 5 2 4 6 4" xfId="11188"/>
    <cellStyle name="Output 5 2 4 6 4 2" xfId="30160"/>
    <cellStyle name="Output 5 2 4 6 4 3" xfId="41005"/>
    <cellStyle name="Output 5 2 4 6 4 4" xfId="19240"/>
    <cellStyle name="Output 5 2 4 6 5" xfId="21984"/>
    <cellStyle name="Output 5 2 4 6 6" xfId="32829"/>
    <cellStyle name="Output 5 2 4 6 7" xfId="13386"/>
    <cellStyle name="Output 5 2 4 7" xfId="3696"/>
    <cellStyle name="Output 5 2 4 7 2" xfId="22668"/>
    <cellStyle name="Output 5 2 4 7 3" xfId="33513"/>
    <cellStyle name="Output 5 2 4 7 4" xfId="13867"/>
    <cellStyle name="Output 5 2 4 8" xfId="6371"/>
    <cellStyle name="Output 5 2 4 8 2" xfId="25343"/>
    <cellStyle name="Output 5 2 4 8 3" xfId="36188"/>
    <cellStyle name="Output 5 2 4 8 4" xfId="15783"/>
    <cellStyle name="Output 5 2 4 9" xfId="9030"/>
    <cellStyle name="Output 5 2 4 9 2" xfId="28002"/>
    <cellStyle name="Output 5 2 4 9 3" xfId="38847"/>
    <cellStyle name="Output 5 2 4 9 4" xfId="17687"/>
    <cellStyle name="Output 5 2 5" xfId="900"/>
    <cellStyle name="Output 5 2 5 10" xfId="19885"/>
    <cellStyle name="Output 5 2 5 11" xfId="30730"/>
    <cellStyle name="Output 5 2 5 12" xfId="11872"/>
    <cellStyle name="Output 5 2 5 2" xfId="1487"/>
    <cellStyle name="Output 5 2 5 2 2" xfId="4340"/>
    <cellStyle name="Output 5 2 5 2 2 2" xfId="23312"/>
    <cellStyle name="Output 5 2 5 2 2 3" xfId="34157"/>
    <cellStyle name="Output 5 2 5 2 2 4" xfId="14333"/>
    <cellStyle name="Output 5 2 5 2 3" xfId="7013"/>
    <cellStyle name="Output 5 2 5 2 3 2" xfId="25985"/>
    <cellStyle name="Output 5 2 5 2 3 3" xfId="36830"/>
    <cellStyle name="Output 5 2 5 2 3 4" xfId="16248"/>
    <cellStyle name="Output 5 2 5 2 4" xfId="9672"/>
    <cellStyle name="Output 5 2 5 2 4 2" xfId="28644"/>
    <cellStyle name="Output 5 2 5 2 4 3" xfId="39489"/>
    <cellStyle name="Output 5 2 5 2 4 4" xfId="18152"/>
    <cellStyle name="Output 5 2 5 2 5" xfId="20468"/>
    <cellStyle name="Output 5 2 5 2 6" xfId="31313"/>
    <cellStyle name="Output 5 2 5 2 7" xfId="12298"/>
    <cellStyle name="Output 5 2 5 3" xfId="1886"/>
    <cellStyle name="Output 5 2 5 3 2" xfId="4739"/>
    <cellStyle name="Output 5 2 5 3 2 2" xfId="23711"/>
    <cellStyle name="Output 5 2 5 3 2 3" xfId="34556"/>
    <cellStyle name="Output 5 2 5 3 2 4" xfId="14620"/>
    <cellStyle name="Output 5 2 5 3 3" xfId="7411"/>
    <cellStyle name="Output 5 2 5 3 3 2" xfId="26383"/>
    <cellStyle name="Output 5 2 5 3 3 3" xfId="37228"/>
    <cellStyle name="Output 5 2 5 3 3 4" xfId="16534"/>
    <cellStyle name="Output 5 2 5 3 4" xfId="10070"/>
    <cellStyle name="Output 5 2 5 3 4 2" xfId="29042"/>
    <cellStyle name="Output 5 2 5 3 4 3" xfId="39887"/>
    <cellStyle name="Output 5 2 5 3 4 4" xfId="18438"/>
    <cellStyle name="Output 5 2 5 3 5" xfId="20866"/>
    <cellStyle name="Output 5 2 5 3 6" xfId="31711"/>
    <cellStyle name="Output 5 2 5 3 7" xfId="12584"/>
    <cellStyle name="Output 5 2 5 4" xfId="2290"/>
    <cellStyle name="Output 5 2 5 4 2" xfId="5143"/>
    <cellStyle name="Output 5 2 5 4 2 2" xfId="24115"/>
    <cellStyle name="Output 5 2 5 4 2 3" xfId="34960"/>
    <cellStyle name="Output 5 2 5 4 2 4" xfId="14907"/>
    <cellStyle name="Output 5 2 5 4 3" xfId="7814"/>
    <cellStyle name="Output 5 2 5 4 3 2" xfId="26786"/>
    <cellStyle name="Output 5 2 5 4 3 3" xfId="37631"/>
    <cellStyle name="Output 5 2 5 4 3 4" xfId="16820"/>
    <cellStyle name="Output 5 2 5 4 4" xfId="10473"/>
    <cellStyle name="Output 5 2 5 4 4 2" xfId="29445"/>
    <cellStyle name="Output 5 2 5 4 4 3" xfId="40290"/>
    <cellStyle name="Output 5 2 5 4 4 4" xfId="18724"/>
    <cellStyle name="Output 5 2 5 4 5" xfId="21269"/>
    <cellStyle name="Output 5 2 5 4 6" xfId="32114"/>
    <cellStyle name="Output 5 2 5 4 7" xfId="12870"/>
    <cellStyle name="Output 5 2 5 5" xfId="2680"/>
    <cellStyle name="Output 5 2 5 5 2" xfId="5532"/>
    <cellStyle name="Output 5 2 5 5 2 2" xfId="24504"/>
    <cellStyle name="Output 5 2 5 5 2 3" xfId="35349"/>
    <cellStyle name="Output 5 2 5 5 2 4" xfId="15186"/>
    <cellStyle name="Output 5 2 5 5 3" xfId="8203"/>
    <cellStyle name="Output 5 2 5 5 3 2" xfId="27175"/>
    <cellStyle name="Output 5 2 5 5 3 3" xfId="38020"/>
    <cellStyle name="Output 5 2 5 5 3 4" xfId="17099"/>
    <cellStyle name="Output 5 2 5 5 4" xfId="10862"/>
    <cellStyle name="Output 5 2 5 5 4 2" xfId="29834"/>
    <cellStyle name="Output 5 2 5 5 4 3" xfId="40679"/>
    <cellStyle name="Output 5 2 5 5 4 4" xfId="19003"/>
    <cellStyle name="Output 5 2 5 5 5" xfId="21658"/>
    <cellStyle name="Output 5 2 5 5 6" xfId="32503"/>
    <cellStyle name="Output 5 2 5 5 7" xfId="13149"/>
    <cellStyle name="Output 5 2 5 6" xfId="3066"/>
    <cellStyle name="Output 5 2 5 6 2" xfId="5917"/>
    <cellStyle name="Output 5 2 5 6 2 2" xfId="24889"/>
    <cellStyle name="Output 5 2 5 6 2 3" xfId="35734"/>
    <cellStyle name="Output 5 2 5 6 2 4" xfId="15462"/>
    <cellStyle name="Output 5 2 5 6 3" xfId="8588"/>
    <cellStyle name="Output 5 2 5 6 3 2" xfId="27560"/>
    <cellStyle name="Output 5 2 5 6 3 3" xfId="38405"/>
    <cellStyle name="Output 5 2 5 6 3 4" xfId="17375"/>
    <cellStyle name="Output 5 2 5 6 4" xfId="11247"/>
    <cellStyle name="Output 5 2 5 6 4 2" xfId="30219"/>
    <cellStyle name="Output 5 2 5 6 4 3" xfId="41064"/>
    <cellStyle name="Output 5 2 5 6 4 4" xfId="19279"/>
    <cellStyle name="Output 5 2 5 6 5" xfId="22043"/>
    <cellStyle name="Output 5 2 5 6 6" xfId="32888"/>
    <cellStyle name="Output 5 2 5 6 7" xfId="13425"/>
    <cellStyle name="Output 5 2 5 7" xfId="3755"/>
    <cellStyle name="Output 5 2 5 7 2" xfId="22727"/>
    <cellStyle name="Output 5 2 5 7 3" xfId="33572"/>
    <cellStyle name="Output 5 2 5 7 4" xfId="13906"/>
    <cellStyle name="Output 5 2 5 8" xfId="6430"/>
    <cellStyle name="Output 5 2 5 8 2" xfId="25402"/>
    <cellStyle name="Output 5 2 5 8 3" xfId="36247"/>
    <cellStyle name="Output 5 2 5 8 4" xfId="15822"/>
    <cellStyle name="Output 5 2 5 9" xfId="9089"/>
    <cellStyle name="Output 5 2 5 9 2" xfId="28061"/>
    <cellStyle name="Output 5 2 5 9 3" xfId="38906"/>
    <cellStyle name="Output 5 2 5 9 4" xfId="17726"/>
    <cellStyle name="Output 5 2 6" xfId="1130"/>
    <cellStyle name="Output 5 2 6 2" xfId="3983"/>
    <cellStyle name="Output 5 2 6 2 2" xfId="22955"/>
    <cellStyle name="Output 5 2 6 2 3" xfId="33800"/>
    <cellStyle name="Output 5 2 6 2 4" xfId="14075"/>
    <cellStyle name="Output 5 2 6 3" xfId="6656"/>
    <cellStyle name="Output 5 2 6 3 2" xfId="25628"/>
    <cellStyle name="Output 5 2 6 3 3" xfId="36473"/>
    <cellStyle name="Output 5 2 6 3 4" xfId="15990"/>
    <cellStyle name="Output 5 2 6 4" xfId="9315"/>
    <cellStyle name="Output 5 2 6 4 2" xfId="28287"/>
    <cellStyle name="Output 5 2 6 4 3" xfId="39132"/>
    <cellStyle name="Output 5 2 6 4 4" xfId="17894"/>
    <cellStyle name="Output 5 2 6 5" xfId="20111"/>
    <cellStyle name="Output 5 2 6 6" xfId="30956"/>
    <cellStyle name="Output 5 2 6 7" xfId="12040"/>
    <cellStyle name="Output 5 2 7" xfId="1526"/>
    <cellStyle name="Output 5 2 7 2" xfId="4379"/>
    <cellStyle name="Output 5 2 7 2 2" xfId="23351"/>
    <cellStyle name="Output 5 2 7 2 3" xfId="34196"/>
    <cellStyle name="Output 5 2 7 2 4" xfId="14361"/>
    <cellStyle name="Output 5 2 7 3" xfId="7052"/>
    <cellStyle name="Output 5 2 7 3 2" xfId="26024"/>
    <cellStyle name="Output 5 2 7 3 3" xfId="36869"/>
    <cellStyle name="Output 5 2 7 3 4" xfId="16276"/>
    <cellStyle name="Output 5 2 7 4" xfId="9711"/>
    <cellStyle name="Output 5 2 7 4 2" xfId="28683"/>
    <cellStyle name="Output 5 2 7 4 3" xfId="39528"/>
    <cellStyle name="Output 5 2 7 4 4" xfId="18180"/>
    <cellStyle name="Output 5 2 7 5" xfId="20507"/>
    <cellStyle name="Output 5 2 7 6" xfId="31352"/>
    <cellStyle name="Output 5 2 7 7" xfId="12326"/>
    <cellStyle name="Output 5 2 8" xfId="1932"/>
    <cellStyle name="Output 5 2 8 2" xfId="4785"/>
    <cellStyle name="Output 5 2 8 2 2" xfId="23757"/>
    <cellStyle name="Output 5 2 8 2 3" xfId="34602"/>
    <cellStyle name="Output 5 2 8 2 4" xfId="14650"/>
    <cellStyle name="Output 5 2 8 3" xfId="7457"/>
    <cellStyle name="Output 5 2 8 3 2" xfId="26429"/>
    <cellStyle name="Output 5 2 8 3 3" xfId="37274"/>
    <cellStyle name="Output 5 2 8 3 4" xfId="16564"/>
    <cellStyle name="Output 5 2 8 4" xfId="10116"/>
    <cellStyle name="Output 5 2 8 4 2" xfId="29088"/>
    <cellStyle name="Output 5 2 8 4 3" xfId="39933"/>
    <cellStyle name="Output 5 2 8 4 4" xfId="18468"/>
    <cellStyle name="Output 5 2 8 5" xfId="20912"/>
    <cellStyle name="Output 5 2 8 6" xfId="31757"/>
    <cellStyle name="Output 5 2 8 7" xfId="12614"/>
    <cellStyle name="Output 5 2 9" xfId="2325"/>
    <cellStyle name="Output 5 2 9 2" xfId="5178"/>
    <cellStyle name="Output 5 2 9 2 2" xfId="24150"/>
    <cellStyle name="Output 5 2 9 2 3" xfId="34995"/>
    <cellStyle name="Output 5 2 9 2 4" xfId="14932"/>
    <cellStyle name="Output 5 2 9 3" xfId="7849"/>
    <cellStyle name="Output 5 2 9 3 2" xfId="26821"/>
    <cellStyle name="Output 5 2 9 3 3" xfId="37666"/>
    <cellStyle name="Output 5 2 9 3 4" xfId="16845"/>
    <cellStyle name="Output 5 2 9 4" xfId="10508"/>
    <cellStyle name="Output 5 2 9 4 2" xfId="29480"/>
    <cellStyle name="Output 5 2 9 4 3" xfId="40325"/>
    <cellStyle name="Output 5 2 9 4 4" xfId="18749"/>
    <cellStyle name="Output 5 2 9 5" xfId="21304"/>
    <cellStyle name="Output 5 2 9 6" xfId="32149"/>
    <cellStyle name="Output 5 2 9 7" xfId="12895"/>
    <cellStyle name="Output 5 3" xfId="620"/>
    <cellStyle name="Output 5 3 10" xfId="19627"/>
    <cellStyle name="Output 5 3 11" xfId="30472"/>
    <cellStyle name="Output 5 3 12" xfId="11675"/>
    <cellStyle name="Output 5 3 2" xfId="1224"/>
    <cellStyle name="Output 5 3 2 2" xfId="4077"/>
    <cellStyle name="Output 5 3 2 2 2" xfId="23049"/>
    <cellStyle name="Output 5 3 2 2 3" xfId="33894"/>
    <cellStyle name="Output 5 3 2 2 4" xfId="14150"/>
    <cellStyle name="Output 5 3 2 3" xfId="6750"/>
    <cellStyle name="Output 5 3 2 3 2" xfId="25722"/>
    <cellStyle name="Output 5 3 2 3 3" xfId="36567"/>
    <cellStyle name="Output 5 3 2 3 4" xfId="16065"/>
    <cellStyle name="Output 5 3 2 4" xfId="9409"/>
    <cellStyle name="Output 5 3 2 4 2" xfId="28381"/>
    <cellStyle name="Output 5 3 2 4 3" xfId="39226"/>
    <cellStyle name="Output 5 3 2 4 4" xfId="17969"/>
    <cellStyle name="Output 5 3 2 5" xfId="20205"/>
    <cellStyle name="Output 5 3 2 6" xfId="31050"/>
    <cellStyle name="Output 5 3 2 7" xfId="12115"/>
    <cellStyle name="Output 5 3 3" xfId="1622"/>
    <cellStyle name="Output 5 3 3 2" xfId="4475"/>
    <cellStyle name="Output 5 3 3 2 2" xfId="23447"/>
    <cellStyle name="Output 5 3 3 2 3" xfId="34292"/>
    <cellStyle name="Output 5 3 3 2 4" xfId="14437"/>
    <cellStyle name="Output 5 3 3 3" xfId="7147"/>
    <cellStyle name="Output 5 3 3 3 2" xfId="26119"/>
    <cellStyle name="Output 5 3 3 3 3" xfId="36964"/>
    <cellStyle name="Output 5 3 3 3 4" xfId="16351"/>
    <cellStyle name="Output 5 3 3 4" xfId="9806"/>
    <cellStyle name="Output 5 3 3 4 2" xfId="28778"/>
    <cellStyle name="Output 5 3 3 4 3" xfId="39623"/>
    <cellStyle name="Output 5 3 3 4 4" xfId="18255"/>
    <cellStyle name="Output 5 3 3 5" xfId="20602"/>
    <cellStyle name="Output 5 3 3 6" xfId="31447"/>
    <cellStyle name="Output 5 3 3 7" xfId="12401"/>
    <cellStyle name="Output 5 3 4" xfId="2024"/>
    <cellStyle name="Output 5 3 4 2" xfId="4877"/>
    <cellStyle name="Output 5 3 4 2 2" xfId="23849"/>
    <cellStyle name="Output 5 3 4 2 3" xfId="34694"/>
    <cellStyle name="Output 5 3 4 2 4" xfId="14723"/>
    <cellStyle name="Output 5 3 4 3" xfId="7549"/>
    <cellStyle name="Output 5 3 4 3 2" xfId="26521"/>
    <cellStyle name="Output 5 3 4 3 3" xfId="37366"/>
    <cellStyle name="Output 5 3 4 3 4" xfId="16637"/>
    <cellStyle name="Output 5 3 4 4" xfId="10208"/>
    <cellStyle name="Output 5 3 4 4 2" xfId="29180"/>
    <cellStyle name="Output 5 3 4 4 3" xfId="40025"/>
    <cellStyle name="Output 5 3 4 4 4" xfId="18541"/>
    <cellStyle name="Output 5 3 4 5" xfId="21004"/>
    <cellStyle name="Output 5 3 4 6" xfId="31849"/>
    <cellStyle name="Output 5 3 4 7" xfId="12687"/>
    <cellStyle name="Output 5 3 5" xfId="2416"/>
    <cellStyle name="Output 5 3 5 2" xfId="5269"/>
    <cellStyle name="Output 5 3 5 2 2" xfId="24241"/>
    <cellStyle name="Output 5 3 5 2 3" xfId="35086"/>
    <cellStyle name="Output 5 3 5 2 4" xfId="15004"/>
    <cellStyle name="Output 5 3 5 3" xfId="7940"/>
    <cellStyle name="Output 5 3 5 3 2" xfId="26912"/>
    <cellStyle name="Output 5 3 5 3 3" xfId="37757"/>
    <cellStyle name="Output 5 3 5 3 4" xfId="16917"/>
    <cellStyle name="Output 5 3 5 4" xfId="10599"/>
    <cellStyle name="Output 5 3 5 4 2" xfId="29571"/>
    <cellStyle name="Output 5 3 5 4 3" xfId="40416"/>
    <cellStyle name="Output 5 3 5 4 4" xfId="18821"/>
    <cellStyle name="Output 5 3 5 5" xfId="21395"/>
    <cellStyle name="Output 5 3 5 6" xfId="32240"/>
    <cellStyle name="Output 5 3 5 7" xfId="12967"/>
    <cellStyle name="Output 5 3 6" xfId="2805"/>
    <cellStyle name="Output 5 3 6 2" xfId="5657"/>
    <cellStyle name="Output 5 3 6 2 2" xfId="24629"/>
    <cellStyle name="Output 5 3 6 2 3" xfId="35474"/>
    <cellStyle name="Output 5 3 6 2 4" xfId="15282"/>
    <cellStyle name="Output 5 3 6 3" xfId="8328"/>
    <cellStyle name="Output 5 3 6 3 2" xfId="27300"/>
    <cellStyle name="Output 5 3 6 3 3" xfId="38145"/>
    <cellStyle name="Output 5 3 6 3 4" xfId="17195"/>
    <cellStyle name="Output 5 3 6 4" xfId="10987"/>
    <cellStyle name="Output 5 3 6 4 2" xfId="29959"/>
    <cellStyle name="Output 5 3 6 4 3" xfId="40804"/>
    <cellStyle name="Output 5 3 6 4 4" xfId="19099"/>
    <cellStyle name="Output 5 3 6 5" xfId="21783"/>
    <cellStyle name="Output 5 3 6 6" xfId="32628"/>
    <cellStyle name="Output 5 3 6 7" xfId="13245"/>
    <cellStyle name="Output 5 3 7" xfId="3496"/>
    <cellStyle name="Output 5 3 7 2" xfId="22468"/>
    <cellStyle name="Output 5 3 7 3" xfId="33313"/>
    <cellStyle name="Output 5 3 7 4" xfId="13727"/>
    <cellStyle name="Output 5 3 8" xfId="6172"/>
    <cellStyle name="Output 5 3 8 2" xfId="25144"/>
    <cellStyle name="Output 5 3 8 3" xfId="35989"/>
    <cellStyle name="Output 5 3 8 4" xfId="15644"/>
    <cellStyle name="Output 5 3 9" xfId="8831"/>
    <cellStyle name="Output 5 3 9 2" xfId="27803"/>
    <cellStyle name="Output 5 3 9 3" xfId="38648"/>
    <cellStyle name="Output 5 3 9 4" xfId="17548"/>
    <cellStyle name="Output 5 4" xfId="11491"/>
    <cellStyle name="Output 6" xfId="387"/>
    <cellStyle name="Output 6 10" xfId="991"/>
    <cellStyle name="Output 6 10 2" xfId="3844"/>
    <cellStyle name="Output 6 10 2 2" xfId="22816"/>
    <cellStyle name="Output 6 10 2 3" xfId="33661"/>
    <cellStyle name="Output 6 10 2 4" xfId="13977"/>
    <cellStyle name="Output 6 10 3" xfId="6519"/>
    <cellStyle name="Output 6 10 3 2" xfId="25491"/>
    <cellStyle name="Output 6 10 3 3" xfId="36336"/>
    <cellStyle name="Output 6 10 3 4" xfId="15893"/>
    <cellStyle name="Output 6 10 4" xfId="9178"/>
    <cellStyle name="Output 6 10 4 2" xfId="28150"/>
    <cellStyle name="Output 6 10 4 3" xfId="38995"/>
    <cellStyle name="Output 6 10 4 4" xfId="17797"/>
    <cellStyle name="Output 6 10 5" xfId="19974"/>
    <cellStyle name="Output 6 10 6" xfId="30819"/>
    <cellStyle name="Output 6 10 7" xfId="11943"/>
    <cellStyle name="Output 6 11" xfId="1637"/>
    <cellStyle name="Output 6 11 2" xfId="4490"/>
    <cellStyle name="Output 6 11 2 2" xfId="23462"/>
    <cellStyle name="Output 6 11 2 3" xfId="34307"/>
    <cellStyle name="Output 6 11 2 4" xfId="14452"/>
    <cellStyle name="Output 6 11 3" xfId="7162"/>
    <cellStyle name="Output 6 11 3 2" xfId="26134"/>
    <cellStyle name="Output 6 11 3 3" xfId="36979"/>
    <cellStyle name="Output 6 11 3 4" xfId="16366"/>
    <cellStyle name="Output 6 11 4" xfId="9821"/>
    <cellStyle name="Output 6 11 4 2" xfId="28793"/>
    <cellStyle name="Output 6 11 4 3" xfId="39638"/>
    <cellStyle name="Output 6 11 4 4" xfId="18270"/>
    <cellStyle name="Output 6 11 5" xfId="20617"/>
    <cellStyle name="Output 6 11 6" xfId="31462"/>
    <cellStyle name="Output 6 11 7" xfId="12416"/>
    <cellStyle name="Output 6 12" xfId="3122"/>
    <cellStyle name="Output 6 12 2" xfId="5973"/>
    <cellStyle name="Output 6 12 2 2" xfId="24945"/>
    <cellStyle name="Output 6 12 2 3" xfId="35790"/>
    <cellStyle name="Output 6 12 2 4" xfId="15498"/>
    <cellStyle name="Output 6 12 3" xfId="8644"/>
    <cellStyle name="Output 6 12 3 2" xfId="27616"/>
    <cellStyle name="Output 6 12 3 3" xfId="38461"/>
    <cellStyle name="Output 6 12 3 4" xfId="17411"/>
    <cellStyle name="Output 6 12 4" xfId="11303"/>
    <cellStyle name="Output 6 12 4 2" xfId="30275"/>
    <cellStyle name="Output 6 12 4 3" xfId="41120"/>
    <cellStyle name="Output 6 12 4 4" xfId="19315"/>
    <cellStyle name="Output 6 12 5" xfId="22099"/>
    <cellStyle name="Output 6 12 6" xfId="32944"/>
    <cellStyle name="Output 6 12 7" xfId="13461"/>
    <cellStyle name="Output 6 13" xfId="3179"/>
    <cellStyle name="Output 6 13 2" xfId="6030"/>
    <cellStyle name="Output 6 13 2 2" xfId="25002"/>
    <cellStyle name="Output 6 13 2 3" xfId="35847"/>
    <cellStyle name="Output 6 13 2 4" xfId="15535"/>
    <cellStyle name="Output 6 13 3" xfId="8701"/>
    <cellStyle name="Output 6 13 3 2" xfId="27673"/>
    <cellStyle name="Output 6 13 3 3" xfId="38518"/>
    <cellStyle name="Output 6 13 3 4" xfId="17448"/>
    <cellStyle name="Output 6 13 4" xfId="11360"/>
    <cellStyle name="Output 6 13 4 2" xfId="30332"/>
    <cellStyle name="Output 6 13 4 3" xfId="41177"/>
    <cellStyle name="Output 6 13 4 4" xfId="19352"/>
    <cellStyle name="Output 6 13 5" xfId="22156"/>
    <cellStyle name="Output 6 13 6" xfId="33001"/>
    <cellStyle name="Output 6 13 7" xfId="13498"/>
    <cellStyle name="Output 6 14" xfId="3345"/>
    <cellStyle name="Output 6 14 2" xfId="22319"/>
    <cellStyle name="Output 6 14 3" xfId="33164"/>
    <cellStyle name="Output 6 14 4" xfId="13615"/>
    <cellStyle name="Output 6 15" xfId="3393"/>
    <cellStyle name="Output 6 15 2" xfId="22365"/>
    <cellStyle name="Output 6 15 3" xfId="33210"/>
    <cellStyle name="Output 6 15 4" xfId="13647"/>
    <cellStyle name="Output 6 16" xfId="3500"/>
    <cellStyle name="Output 6 16 2" xfId="22472"/>
    <cellStyle name="Output 6 16 3" xfId="33317"/>
    <cellStyle name="Output 6 16 4" xfId="13731"/>
    <cellStyle name="Output 6 17" xfId="19476"/>
    <cellStyle name="Output 6 18" xfId="19431"/>
    <cellStyle name="Output 6 19" xfId="11525"/>
    <cellStyle name="Output 6 2" xfId="687"/>
    <cellStyle name="Output 6 2 10" xfId="19672"/>
    <cellStyle name="Output 6 2 11" xfId="30517"/>
    <cellStyle name="Output 6 2 12" xfId="11729"/>
    <cellStyle name="Output 6 2 2" xfId="1274"/>
    <cellStyle name="Output 6 2 2 2" xfId="4127"/>
    <cellStyle name="Output 6 2 2 2 2" xfId="23099"/>
    <cellStyle name="Output 6 2 2 2 3" xfId="33944"/>
    <cellStyle name="Output 6 2 2 2 4" xfId="14190"/>
    <cellStyle name="Output 6 2 2 3" xfId="6800"/>
    <cellStyle name="Output 6 2 2 3 2" xfId="25772"/>
    <cellStyle name="Output 6 2 2 3 3" xfId="36617"/>
    <cellStyle name="Output 6 2 2 3 4" xfId="16105"/>
    <cellStyle name="Output 6 2 2 4" xfId="9459"/>
    <cellStyle name="Output 6 2 2 4 2" xfId="28431"/>
    <cellStyle name="Output 6 2 2 4 3" xfId="39276"/>
    <cellStyle name="Output 6 2 2 4 4" xfId="18009"/>
    <cellStyle name="Output 6 2 2 5" xfId="20255"/>
    <cellStyle name="Output 6 2 2 6" xfId="31100"/>
    <cellStyle name="Output 6 2 2 7" xfId="12155"/>
    <cellStyle name="Output 6 2 3" xfId="1673"/>
    <cellStyle name="Output 6 2 3 2" xfId="4526"/>
    <cellStyle name="Output 6 2 3 2 2" xfId="23498"/>
    <cellStyle name="Output 6 2 3 2 3" xfId="34343"/>
    <cellStyle name="Output 6 2 3 2 4" xfId="14477"/>
    <cellStyle name="Output 6 2 3 3" xfId="7198"/>
    <cellStyle name="Output 6 2 3 3 2" xfId="26170"/>
    <cellStyle name="Output 6 2 3 3 3" xfId="37015"/>
    <cellStyle name="Output 6 2 3 3 4" xfId="16391"/>
    <cellStyle name="Output 6 2 3 4" xfId="9857"/>
    <cellStyle name="Output 6 2 3 4 2" xfId="28829"/>
    <cellStyle name="Output 6 2 3 4 3" xfId="39674"/>
    <cellStyle name="Output 6 2 3 4 4" xfId="18295"/>
    <cellStyle name="Output 6 2 3 5" xfId="20653"/>
    <cellStyle name="Output 6 2 3 6" xfId="31498"/>
    <cellStyle name="Output 6 2 3 7" xfId="12441"/>
    <cellStyle name="Output 6 2 4" xfId="2077"/>
    <cellStyle name="Output 6 2 4 2" xfId="4930"/>
    <cellStyle name="Output 6 2 4 2 2" xfId="23902"/>
    <cellStyle name="Output 6 2 4 2 3" xfId="34747"/>
    <cellStyle name="Output 6 2 4 2 4" xfId="14764"/>
    <cellStyle name="Output 6 2 4 3" xfId="7601"/>
    <cellStyle name="Output 6 2 4 3 2" xfId="26573"/>
    <cellStyle name="Output 6 2 4 3 3" xfId="37418"/>
    <cellStyle name="Output 6 2 4 3 4" xfId="16677"/>
    <cellStyle name="Output 6 2 4 4" xfId="10260"/>
    <cellStyle name="Output 6 2 4 4 2" xfId="29232"/>
    <cellStyle name="Output 6 2 4 4 3" xfId="40077"/>
    <cellStyle name="Output 6 2 4 4 4" xfId="18581"/>
    <cellStyle name="Output 6 2 4 5" xfId="21056"/>
    <cellStyle name="Output 6 2 4 6" xfId="31901"/>
    <cellStyle name="Output 6 2 4 7" xfId="12727"/>
    <cellStyle name="Output 6 2 5" xfId="2467"/>
    <cellStyle name="Output 6 2 5 2" xfId="5319"/>
    <cellStyle name="Output 6 2 5 2 2" xfId="24291"/>
    <cellStyle name="Output 6 2 5 2 3" xfId="35136"/>
    <cellStyle name="Output 6 2 5 2 4" xfId="15043"/>
    <cellStyle name="Output 6 2 5 3" xfId="7990"/>
    <cellStyle name="Output 6 2 5 3 2" xfId="26962"/>
    <cellStyle name="Output 6 2 5 3 3" xfId="37807"/>
    <cellStyle name="Output 6 2 5 3 4" xfId="16956"/>
    <cellStyle name="Output 6 2 5 4" xfId="10649"/>
    <cellStyle name="Output 6 2 5 4 2" xfId="29621"/>
    <cellStyle name="Output 6 2 5 4 3" xfId="40466"/>
    <cellStyle name="Output 6 2 5 4 4" xfId="18860"/>
    <cellStyle name="Output 6 2 5 5" xfId="21445"/>
    <cellStyle name="Output 6 2 5 6" xfId="32290"/>
    <cellStyle name="Output 6 2 5 7" xfId="13006"/>
    <cellStyle name="Output 6 2 6" xfId="2853"/>
    <cellStyle name="Output 6 2 6 2" xfId="5704"/>
    <cellStyle name="Output 6 2 6 2 2" xfId="24676"/>
    <cellStyle name="Output 6 2 6 2 3" xfId="35521"/>
    <cellStyle name="Output 6 2 6 2 4" xfId="15319"/>
    <cellStyle name="Output 6 2 6 3" xfId="8375"/>
    <cellStyle name="Output 6 2 6 3 2" xfId="27347"/>
    <cellStyle name="Output 6 2 6 3 3" xfId="38192"/>
    <cellStyle name="Output 6 2 6 3 4" xfId="17232"/>
    <cellStyle name="Output 6 2 6 4" xfId="11034"/>
    <cellStyle name="Output 6 2 6 4 2" xfId="30006"/>
    <cellStyle name="Output 6 2 6 4 3" xfId="40851"/>
    <cellStyle name="Output 6 2 6 4 4" xfId="19136"/>
    <cellStyle name="Output 6 2 6 5" xfId="21830"/>
    <cellStyle name="Output 6 2 6 6" xfId="32675"/>
    <cellStyle name="Output 6 2 6 7" xfId="13282"/>
    <cellStyle name="Output 6 2 7" xfId="3542"/>
    <cellStyle name="Output 6 2 7 2" xfId="22514"/>
    <cellStyle name="Output 6 2 7 3" xfId="33359"/>
    <cellStyle name="Output 6 2 7 4" xfId="13763"/>
    <cellStyle name="Output 6 2 8" xfId="6217"/>
    <cellStyle name="Output 6 2 8 2" xfId="25189"/>
    <cellStyle name="Output 6 2 8 3" xfId="36034"/>
    <cellStyle name="Output 6 2 8 4" xfId="15679"/>
    <cellStyle name="Output 6 2 9" xfId="8876"/>
    <cellStyle name="Output 6 2 9 2" xfId="27848"/>
    <cellStyle name="Output 6 2 9 3" xfId="38693"/>
    <cellStyle name="Output 6 2 9 4" xfId="17583"/>
    <cellStyle name="Output 6 3" xfId="747"/>
    <cellStyle name="Output 6 3 10" xfId="19732"/>
    <cellStyle name="Output 6 3 11" xfId="30577"/>
    <cellStyle name="Output 6 3 12" xfId="11769"/>
    <cellStyle name="Output 6 3 2" xfId="1334"/>
    <cellStyle name="Output 6 3 2 2" xfId="4187"/>
    <cellStyle name="Output 6 3 2 2 2" xfId="23159"/>
    <cellStyle name="Output 6 3 2 2 3" xfId="34004"/>
    <cellStyle name="Output 6 3 2 2 4" xfId="14230"/>
    <cellStyle name="Output 6 3 2 3" xfId="6860"/>
    <cellStyle name="Output 6 3 2 3 2" xfId="25832"/>
    <cellStyle name="Output 6 3 2 3 3" xfId="36677"/>
    <cellStyle name="Output 6 3 2 3 4" xfId="16145"/>
    <cellStyle name="Output 6 3 2 4" xfId="9519"/>
    <cellStyle name="Output 6 3 2 4 2" xfId="28491"/>
    <cellStyle name="Output 6 3 2 4 3" xfId="39336"/>
    <cellStyle name="Output 6 3 2 4 4" xfId="18049"/>
    <cellStyle name="Output 6 3 2 5" xfId="20315"/>
    <cellStyle name="Output 6 3 2 6" xfId="31160"/>
    <cellStyle name="Output 6 3 2 7" xfId="12195"/>
    <cellStyle name="Output 6 3 3" xfId="1733"/>
    <cellStyle name="Output 6 3 3 2" xfId="4586"/>
    <cellStyle name="Output 6 3 3 2 2" xfId="23558"/>
    <cellStyle name="Output 6 3 3 2 3" xfId="34403"/>
    <cellStyle name="Output 6 3 3 2 4" xfId="14517"/>
    <cellStyle name="Output 6 3 3 3" xfId="7258"/>
    <cellStyle name="Output 6 3 3 3 2" xfId="26230"/>
    <cellStyle name="Output 6 3 3 3 3" xfId="37075"/>
    <cellStyle name="Output 6 3 3 3 4" xfId="16431"/>
    <cellStyle name="Output 6 3 3 4" xfId="9917"/>
    <cellStyle name="Output 6 3 3 4 2" xfId="28889"/>
    <cellStyle name="Output 6 3 3 4 3" xfId="39734"/>
    <cellStyle name="Output 6 3 3 4 4" xfId="18335"/>
    <cellStyle name="Output 6 3 3 5" xfId="20713"/>
    <cellStyle name="Output 6 3 3 6" xfId="31558"/>
    <cellStyle name="Output 6 3 3 7" xfId="12481"/>
    <cellStyle name="Output 6 3 4" xfId="2137"/>
    <cellStyle name="Output 6 3 4 2" xfId="4990"/>
    <cellStyle name="Output 6 3 4 2 2" xfId="23962"/>
    <cellStyle name="Output 6 3 4 2 3" xfId="34807"/>
    <cellStyle name="Output 6 3 4 2 4" xfId="14804"/>
    <cellStyle name="Output 6 3 4 3" xfId="7661"/>
    <cellStyle name="Output 6 3 4 3 2" xfId="26633"/>
    <cellStyle name="Output 6 3 4 3 3" xfId="37478"/>
    <cellStyle name="Output 6 3 4 3 4" xfId="16717"/>
    <cellStyle name="Output 6 3 4 4" xfId="10320"/>
    <cellStyle name="Output 6 3 4 4 2" xfId="29292"/>
    <cellStyle name="Output 6 3 4 4 3" xfId="40137"/>
    <cellStyle name="Output 6 3 4 4 4" xfId="18621"/>
    <cellStyle name="Output 6 3 4 5" xfId="21116"/>
    <cellStyle name="Output 6 3 4 6" xfId="31961"/>
    <cellStyle name="Output 6 3 4 7" xfId="12767"/>
    <cellStyle name="Output 6 3 5" xfId="2527"/>
    <cellStyle name="Output 6 3 5 2" xfId="5379"/>
    <cellStyle name="Output 6 3 5 2 2" xfId="24351"/>
    <cellStyle name="Output 6 3 5 2 3" xfId="35196"/>
    <cellStyle name="Output 6 3 5 2 4" xfId="15083"/>
    <cellStyle name="Output 6 3 5 3" xfId="8050"/>
    <cellStyle name="Output 6 3 5 3 2" xfId="27022"/>
    <cellStyle name="Output 6 3 5 3 3" xfId="37867"/>
    <cellStyle name="Output 6 3 5 3 4" xfId="16996"/>
    <cellStyle name="Output 6 3 5 4" xfId="10709"/>
    <cellStyle name="Output 6 3 5 4 2" xfId="29681"/>
    <cellStyle name="Output 6 3 5 4 3" xfId="40526"/>
    <cellStyle name="Output 6 3 5 4 4" xfId="18900"/>
    <cellStyle name="Output 6 3 5 5" xfId="21505"/>
    <cellStyle name="Output 6 3 5 6" xfId="32350"/>
    <cellStyle name="Output 6 3 5 7" xfId="13046"/>
    <cellStyle name="Output 6 3 6" xfId="2913"/>
    <cellStyle name="Output 6 3 6 2" xfId="5764"/>
    <cellStyle name="Output 6 3 6 2 2" xfId="24736"/>
    <cellStyle name="Output 6 3 6 2 3" xfId="35581"/>
    <cellStyle name="Output 6 3 6 2 4" xfId="15359"/>
    <cellStyle name="Output 6 3 6 3" xfId="8435"/>
    <cellStyle name="Output 6 3 6 3 2" xfId="27407"/>
    <cellStyle name="Output 6 3 6 3 3" xfId="38252"/>
    <cellStyle name="Output 6 3 6 3 4" xfId="17272"/>
    <cellStyle name="Output 6 3 6 4" xfId="11094"/>
    <cellStyle name="Output 6 3 6 4 2" xfId="30066"/>
    <cellStyle name="Output 6 3 6 4 3" xfId="40911"/>
    <cellStyle name="Output 6 3 6 4 4" xfId="19176"/>
    <cellStyle name="Output 6 3 6 5" xfId="21890"/>
    <cellStyle name="Output 6 3 6 6" xfId="32735"/>
    <cellStyle name="Output 6 3 6 7" xfId="13322"/>
    <cellStyle name="Output 6 3 7" xfId="3602"/>
    <cellStyle name="Output 6 3 7 2" xfId="22574"/>
    <cellStyle name="Output 6 3 7 3" xfId="33419"/>
    <cellStyle name="Output 6 3 7 4" xfId="13803"/>
    <cellStyle name="Output 6 3 8" xfId="6277"/>
    <cellStyle name="Output 6 3 8 2" xfId="25249"/>
    <cellStyle name="Output 6 3 8 3" xfId="36094"/>
    <cellStyle name="Output 6 3 8 4" xfId="15719"/>
    <cellStyle name="Output 6 3 9" xfId="8936"/>
    <cellStyle name="Output 6 3 9 2" xfId="27908"/>
    <cellStyle name="Output 6 3 9 3" xfId="38753"/>
    <cellStyle name="Output 6 3 9 4" xfId="17623"/>
    <cellStyle name="Output 6 4" xfId="807"/>
    <cellStyle name="Output 6 4 10" xfId="19792"/>
    <cellStyle name="Output 6 4 11" xfId="30637"/>
    <cellStyle name="Output 6 4 12" xfId="11809"/>
    <cellStyle name="Output 6 4 2" xfId="1394"/>
    <cellStyle name="Output 6 4 2 2" xfId="4247"/>
    <cellStyle name="Output 6 4 2 2 2" xfId="23219"/>
    <cellStyle name="Output 6 4 2 2 3" xfId="34064"/>
    <cellStyle name="Output 6 4 2 2 4" xfId="14270"/>
    <cellStyle name="Output 6 4 2 3" xfId="6920"/>
    <cellStyle name="Output 6 4 2 3 2" xfId="25892"/>
    <cellStyle name="Output 6 4 2 3 3" xfId="36737"/>
    <cellStyle name="Output 6 4 2 3 4" xfId="16185"/>
    <cellStyle name="Output 6 4 2 4" xfId="9579"/>
    <cellStyle name="Output 6 4 2 4 2" xfId="28551"/>
    <cellStyle name="Output 6 4 2 4 3" xfId="39396"/>
    <cellStyle name="Output 6 4 2 4 4" xfId="18089"/>
    <cellStyle name="Output 6 4 2 5" xfId="20375"/>
    <cellStyle name="Output 6 4 2 6" xfId="31220"/>
    <cellStyle name="Output 6 4 2 7" xfId="12235"/>
    <cellStyle name="Output 6 4 3" xfId="1793"/>
    <cellStyle name="Output 6 4 3 2" xfId="4646"/>
    <cellStyle name="Output 6 4 3 2 2" xfId="23618"/>
    <cellStyle name="Output 6 4 3 2 3" xfId="34463"/>
    <cellStyle name="Output 6 4 3 2 4" xfId="14557"/>
    <cellStyle name="Output 6 4 3 3" xfId="7318"/>
    <cellStyle name="Output 6 4 3 3 2" xfId="26290"/>
    <cellStyle name="Output 6 4 3 3 3" xfId="37135"/>
    <cellStyle name="Output 6 4 3 3 4" xfId="16471"/>
    <cellStyle name="Output 6 4 3 4" xfId="9977"/>
    <cellStyle name="Output 6 4 3 4 2" xfId="28949"/>
    <cellStyle name="Output 6 4 3 4 3" xfId="39794"/>
    <cellStyle name="Output 6 4 3 4 4" xfId="18375"/>
    <cellStyle name="Output 6 4 3 5" xfId="20773"/>
    <cellStyle name="Output 6 4 3 6" xfId="31618"/>
    <cellStyle name="Output 6 4 3 7" xfId="12521"/>
    <cellStyle name="Output 6 4 4" xfId="2197"/>
    <cellStyle name="Output 6 4 4 2" xfId="5050"/>
    <cellStyle name="Output 6 4 4 2 2" xfId="24022"/>
    <cellStyle name="Output 6 4 4 2 3" xfId="34867"/>
    <cellStyle name="Output 6 4 4 2 4" xfId="14844"/>
    <cellStyle name="Output 6 4 4 3" xfId="7721"/>
    <cellStyle name="Output 6 4 4 3 2" xfId="26693"/>
    <cellStyle name="Output 6 4 4 3 3" xfId="37538"/>
    <cellStyle name="Output 6 4 4 3 4" xfId="16757"/>
    <cellStyle name="Output 6 4 4 4" xfId="10380"/>
    <cellStyle name="Output 6 4 4 4 2" xfId="29352"/>
    <cellStyle name="Output 6 4 4 4 3" xfId="40197"/>
    <cellStyle name="Output 6 4 4 4 4" xfId="18661"/>
    <cellStyle name="Output 6 4 4 5" xfId="21176"/>
    <cellStyle name="Output 6 4 4 6" xfId="32021"/>
    <cellStyle name="Output 6 4 4 7" xfId="12807"/>
    <cellStyle name="Output 6 4 5" xfId="2587"/>
    <cellStyle name="Output 6 4 5 2" xfId="5439"/>
    <cellStyle name="Output 6 4 5 2 2" xfId="24411"/>
    <cellStyle name="Output 6 4 5 2 3" xfId="35256"/>
    <cellStyle name="Output 6 4 5 2 4" xfId="15123"/>
    <cellStyle name="Output 6 4 5 3" xfId="8110"/>
    <cellStyle name="Output 6 4 5 3 2" xfId="27082"/>
    <cellStyle name="Output 6 4 5 3 3" xfId="37927"/>
    <cellStyle name="Output 6 4 5 3 4" xfId="17036"/>
    <cellStyle name="Output 6 4 5 4" xfId="10769"/>
    <cellStyle name="Output 6 4 5 4 2" xfId="29741"/>
    <cellStyle name="Output 6 4 5 4 3" xfId="40586"/>
    <cellStyle name="Output 6 4 5 4 4" xfId="18940"/>
    <cellStyle name="Output 6 4 5 5" xfId="21565"/>
    <cellStyle name="Output 6 4 5 6" xfId="32410"/>
    <cellStyle name="Output 6 4 5 7" xfId="13086"/>
    <cellStyle name="Output 6 4 6" xfId="2973"/>
    <cellStyle name="Output 6 4 6 2" xfId="5824"/>
    <cellStyle name="Output 6 4 6 2 2" xfId="24796"/>
    <cellStyle name="Output 6 4 6 2 3" xfId="35641"/>
    <cellStyle name="Output 6 4 6 2 4" xfId="15399"/>
    <cellStyle name="Output 6 4 6 3" xfId="8495"/>
    <cellStyle name="Output 6 4 6 3 2" xfId="27467"/>
    <cellStyle name="Output 6 4 6 3 3" xfId="38312"/>
    <cellStyle name="Output 6 4 6 3 4" xfId="17312"/>
    <cellStyle name="Output 6 4 6 4" xfId="11154"/>
    <cellStyle name="Output 6 4 6 4 2" xfId="30126"/>
    <cellStyle name="Output 6 4 6 4 3" xfId="40971"/>
    <cellStyle name="Output 6 4 6 4 4" xfId="19216"/>
    <cellStyle name="Output 6 4 6 5" xfId="21950"/>
    <cellStyle name="Output 6 4 6 6" xfId="32795"/>
    <cellStyle name="Output 6 4 6 7" xfId="13362"/>
    <cellStyle name="Output 6 4 7" xfId="3662"/>
    <cellStyle name="Output 6 4 7 2" xfId="22634"/>
    <cellStyle name="Output 6 4 7 3" xfId="33479"/>
    <cellStyle name="Output 6 4 7 4" xfId="13843"/>
    <cellStyle name="Output 6 4 8" xfId="6337"/>
    <cellStyle name="Output 6 4 8 2" xfId="25309"/>
    <cellStyle name="Output 6 4 8 3" xfId="36154"/>
    <cellStyle name="Output 6 4 8 4" xfId="15759"/>
    <cellStyle name="Output 6 4 9" xfId="8996"/>
    <cellStyle name="Output 6 4 9 2" xfId="27968"/>
    <cellStyle name="Output 6 4 9 3" xfId="38813"/>
    <cellStyle name="Output 6 4 9 4" xfId="17663"/>
    <cellStyle name="Output 6 5" xfId="866"/>
    <cellStyle name="Output 6 5 10" xfId="19851"/>
    <cellStyle name="Output 6 5 11" xfId="30696"/>
    <cellStyle name="Output 6 5 12" xfId="11848"/>
    <cellStyle name="Output 6 5 2" xfId="1453"/>
    <cellStyle name="Output 6 5 2 2" xfId="4306"/>
    <cellStyle name="Output 6 5 2 2 2" xfId="23278"/>
    <cellStyle name="Output 6 5 2 2 3" xfId="34123"/>
    <cellStyle name="Output 6 5 2 2 4" xfId="14309"/>
    <cellStyle name="Output 6 5 2 3" xfId="6979"/>
    <cellStyle name="Output 6 5 2 3 2" xfId="25951"/>
    <cellStyle name="Output 6 5 2 3 3" xfId="36796"/>
    <cellStyle name="Output 6 5 2 3 4" xfId="16224"/>
    <cellStyle name="Output 6 5 2 4" xfId="9638"/>
    <cellStyle name="Output 6 5 2 4 2" xfId="28610"/>
    <cellStyle name="Output 6 5 2 4 3" xfId="39455"/>
    <cellStyle name="Output 6 5 2 4 4" xfId="18128"/>
    <cellStyle name="Output 6 5 2 5" xfId="20434"/>
    <cellStyle name="Output 6 5 2 6" xfId="31279"/>
    <cellStyle name="Output 6 5 2 7" xfId="12274"/>
    <cellStyle name="Output 6 5 3" xfId="1852"/>
    <cellStyle name="Output 6 5 3 2" xfId="4705"/>
    <cellStyle name="Output 6 5 3 2 2" xfId="23677"/>
    <cellStyle name="Output 6 5 3 2 3" xfId="34522"/>
    <cellStyle name="Output 6 5 3 2 4" xfId="14596"/>
    <cellStyle name="Output 6 5 3 3" xfId="7377"/>
    <cellStyle name="Output 6 5 3 3 2" xfId="26349"/>
    <cellStyle name="Output 6 5 3 3 3" xfId="37194"/>
    <cellStyle name="Output 6 5 3 3 4" xfId="16510"/>
    <cellStyle name="Output 6 5 3 4" xfId="10036"/>
    <cellStyle name="Output 6 5 3 4 2" xfId="29008"/>
    <cellStyle name="Output 6 5 3 4 3" xfId="39853"/>
    <cellStyle name="Output 6 5 3 4 4" xfId="18414"/>
    <cellStyle name="Output 6 5 3 5" xfId="20832"/>
    <cellStyle name="Output 6 5 3 6" xfId="31677"/>
    <cellStyle name="Output 6 5 3 7" xfId="12560"/>
    <cellStyle name="Output 6 5 4" xfId="2256"/>
    <cellStyle name="Output 6 5 4 2" xfId="5109"/>
    <cellStyle name="Output 6 5 4 2 2" xfId="24081"/>
    <cellStyle name="Output 6 5 4 2 3" xfId="34926"/>
    <cellStyle name="Output 6 5 4 2 4" xfId="14883"/>
    <cellStyle name="Output 6 5 4 3" xfId="7780"/>
    <cellStyle name="Output 6 5 4 3 2" xfId="26752"/>
    <cellStyle name="Output 6 5 4 3 3" xfId="37597"/>
    <cellStyle name="Output 6 5 4 3 4" xfId="16796"/>
    <cellStyle name="Output 6 5 4 4" xfId="10439"/>
    <cellStyle name="Output 6 5 4 4 2" xfId="29411"/>
    <cellStyle name="Output 6 5 4 4 3" xfId="40256"/>
    <cellStyle name="Output 6 5 4 4 4" xfId="18700"/>
    <cellStyle name="Output 6 5 4 5" xfId="21235"/>
    <cellStyle name="Output 6 5 4 6" xfId="32080"/>
    <cellStyle name="Output 6 5 4 7" xfId="12846"/>
    <cellStyle name="Output 6 5 5" xfId="2646"/>
    <cellStyle name="Output 6 5 5 2" xfId="5498"/>
    <cellStyle name="Output 6 5 5 2 2" xfId="24470"/>
    <cellStyle name="Output 6 5 5 2 3" xfId="35315"/>
    <cellStyle name="Output 6 5 5 2 4" xfId="15162"/>
    <cellStyle name="Output 6 5 5 3" xfId="8169"/>
    <cellStyle name="Output 6 5 5 3 2" xfId="27141"/>
    <cellStyle name="Output 6 5 5 3 3" xfId="37986"/>
    <cellStyle name="Output 6 5 5 3 4" xfId="17075"/>
    <cellStyle name="Output 6 5 5 4" xfId="10828"/>
    <cellStyle name="Output 6 5 5 4 2" xfId="29800"/>
    <cellStyle name="Output 6 5 5 4 3" xfId="40645"/>
    <cellStyle name="Output 6 5 5 4 4" xfId="18979"/>
    <cellStyle name="Output 6 5 5 5" xfId="21624"/>
    <cellStyle name="Output 6 5 5 6" xfId="32469"/>
    <cellStyle name="Output 6 5 5 7" xfId="13125"/>
    <cellStyle name="Output 6 5 6" xfId="3032"/>
    <cellStyle name="Output 6 5 6 2" xfId="5883"/>
    <cellStyle name="Output 6 5 6 2 2" xfId="24855"/>
    <cellStyle name="Output 6 5 6 2 3" xfId="35700"/>
    <cellStyle name="Output 6 5 6 2 4" xfId="15438"/>
    <cellStyle name="Output 6 5 6 3" xfId="8554"/>
    <cellStyle name="Output 6 5 6 3 2" xfId="27526"/>
    <cellStyle name="Output 6 5 6 3 3" xfId="38371"/>
    <cellStyle name="Output 6 5 6 3 4" xfId="17351"/>
    <cellStyle name="Output 6 5 6 4" xfId="11213"/>
    <cellStyle name="Output 6 5 6 4 2" xfId="30185"/>
    <cellStyle name="Output 6 5 6 4 3" xfId="41030"/>
    <cellStyle name="Output 6 5 6 4 4" xfId="19255"/>
    <cellStyle name="Output 6 5 6 5" xfId="22009"/>
    <cellStyle name="Output 6 5 6 6" xfId="32854"/>
    <cellStyle name="Output 6 5 6 7" xfId="13401"/>
    <cellStyle name="Output 6 5 7" xfId="3721"/>
    <cellStyle name="Output 6 5 7 2" xfId="22693"/>
    <cellStyle name="Output 6 5 7 3" xfId="33538"/>
    <cellStyle name="Output 6 5 7 4" xfId="13882"/>
    <cellStyle name="Output 6 5 8" xfId="6396"/>
    <cellStyle name="Output 6 5 8 2" xfId="25368"/>
    <cellStyle name="Output 6 5 8 3" xfId="36213"/>
    <cellStyle name="Output 6 5 8 4" xfId="15798"/>
    <cellStyle name="Output 6 5 9" xfId="9055"/>
    <cellStyle name="Output 6 5 9 2" xfId="28027"/>
    <cellStyle name="Output 6 5 9 3" xfId="38872"/>
    <cellStyle name="Output 6 5 9 4" xfId="17702"/>
    <cellStyle name="Output 6 6" xfId="1088"/>
    <cellStyle name="Output 6 6 2" xfId="3941"/>
    <cellStyle name="Output 6 6 2 2" xfId="22913"/>
    <cellStyle name="Output 6 6 2 3" xfId="33758"/>
    <cellStyle name="Output 6 6 2 4" xfId="14044"/>
    <cellStyle name="Output 6 6 3" xfId="6615"/>
    <cellStyle name="Output 6 6 3 2" xfId="25587"/>
    <cellStyle name="Output 6 6 3 3" xfId="36432"/>
    <cellStyle name="Output 6 6 3 4" xfId="15960"/>
    <cellStyle name="Output 6 6 4" xfId="9274"/>
    <cellStyle name="Output 6 6 4 2" xfId="28246"/>
    <cellStyle name="Output 6 6 4 3" xfId="39091"/>
    <cellStyle name="Output 6 6 4 4" xfId="17864"/>
    <cellStyle name="Output 6 6 5" xfId="20070"/>
    <cellStyle name="Output 6 6 6" xfId="30915"/>
    <cellStyle name="Output 6 6 7" xfId="12010"/>
    <cellStyle name="Output 6 7" xfId="1049"/>
    <cellStyle name="Output 6 7 2" xfId="3902"/>
    <cellStyle name="Output 6 7 2 2" xfId="22874"/>
    <cellStyle name="Output 6 7 2 3" xfId="33719"/>
    <cellStyle name="Output 6 7 2 4" xfId="14018"/>
    <cellStyle name="Output 6 7 3" xfId="6576"/>
    <cellStyle name="Output 6 7 3 2" xfId="25548"/>
    <cellStyle name="Output 6 7 3 3" xfId="36393"/>
    <cellStyle name="Output 6 7 3 4" xfId="15934"/>
    <cellStyle name="Output 6 7 4" xfId="9235"/>
    <cellStyle name="Output 6 7 4 2" xfId="28207"/>
    <cellStyle name="Output 6 7 4 3" xfId="39052"/>
    <cellStyle name="Output 6 7 4 4" xfId="17838"/>
    <cellStyle name="Output 6 7 5" xfId="20031"/>
    <cellStyle name="Output 6 7 6" xfId="30876"/>
    <cellStyle name="Output 6 7 7" xfId="11984"/>
    <cellStyle name="Output 6 8" xfId="1895"/>
    <cellStyle name="Output 6 8 2" xfId="4748"/>
    <cellStyle name="Output 6 8 2 2" xfId="23720"/>
    <cellStyle name="Output 6 8 2 3" xfId="34565"/>
    <cellStyle name="Output 6 8 2 4" xfId="14624"/>
    <cellStyle name="Output 6 8 3" xfId="7420"/>
    <cellStyle name="Output 6 8 3 2" xfId="26392"/>
    <cellStyle name="Output 6 8 3 3" xfId="37237"/>
    <cellStyle name="Output 6 8 3 4" xfId="16538"/>
    <cellStyle name="Output 6 8 4" xfId="10079"/>
    <cellStyle name="Output 6 8 4 2" xfId="29051"/>
    <cellStyle name="Output 6 8 4 3" xfId="39896"/>
    <cellStyle name="Output 6 8 4 4" xfId="18442"/>
    <cellStyle name="Output 6 8 5" xfId="20875"/>
    <cellStyle name="Output 6 8 6" xfId="31720"/>
    <cellStyle name="Output 6 8 7" xfId="12588"/>
    <cellStyle name="Output 6 9" xfId="1032"/>
    <cellStyle name="Output 6 9 2" xfId="3885"/>
    <cellStyle name="Output 6 9 2 2" xfId="22857"/>
    <cellStyle name="Output 6 9 2 3" xfId="33702"/>
    <cellStyle name="Output 6 9 2 4" xfId="14005"/>
    <cellStyle name="Output 6 9 3" xfId="6559"/>
    <cellStyle name="Output 6 9 3 2" xfId="25531"/>
    <cellStyle name="Output 6 9 3 3" xfId="36376"/>
    <cellStyle name="Output 6 9 3 4" xfId="15921"/>
    <cellStyle name="Output 6 9 4" xfId="9218"/>
    <cellStyle name="Output 6 9 4 2" xfId="28190"/>
    <cellStyle name="Output 6 9 4 3" xfId="39035"/>
    <cellStyle name="Output 6 9 4 4" xfId="17825"/>
    <cellStyle name="Output 6 9 5" xfId="20014"/>
    <cellStyle name="Output 6 9 6" xfId="30859"/>
    <cellStyle name="Output 6 9 7" xfId="11971"/>
    <cellStyle name="Output 7" xfId="570"/>
    <cellStyle name="Output 7 10" xfId="19580"/>
    <cellStyle name="Output 7 11" xfId="30425"/>
    <cellStyle name="Output 7 12" xfId="11634"/>
    <cellStyle name="Output 7 2" xfId="1176"/>
    <cellStyle name="Output 7 2 2" xfId="4029"/>
    <cellStyle name="Output 7 2 2 2" xfId="23001"/>
    <cellStyle name="Output 7 2 2 3" xfId="33846"/>
    <cellStyle name="Output 7 2 2 4" xfId="14111"/>
    <cellStyle name="Output 7 2 3" xfId="6702"/>
    <cellStyle name="Output 7 2 3 2" xfId="25674"/>
    <cellStyle name="Output 7 2 3 3" xfId="36519"/>
    <cellStyle name="Output 7 2 3 4" xfId="16026"/>
    <cellStyle name="Output 7 2 4" xfId="9361"/>
    <cellStyle name="Output 7 2 4 2" xfId="28333"/>
    <cellStyle name="Output 7 2 4 3" xfId="39178"/>
    <cellStyle name="Output 7 2 4 4" xfId="17930"/>
    <cellStyle name="Output 7 2 5" xfId="20157"/>
    <cellStyle name="Output 7 2 6" xfId="31002"/>
    <cellStyle name="Output 7 2 7" xfId="12076"/>
    <cellStyle name="Output 7 3" xfId="1573"/>
    <cellStyle name="Output 7 3 2" xfId="4426"/>
    <cellStyle name="Output 7 3 2 2" xfId="23398"/>
    <cellStyle name="Output 7 3 2 3" xfId="34243"/>
    <cellStyle name="Output 7 3 2 4" xfId="14397"/>
    <cellStyle name="Output 7 3 3" xfId="7098"/>
    <cellStyle name="Output 7 3 3 2" xfId="26070"/>
    <cellStyle name="Output 7 3 3 3" xfId="36915"/>
    <cellStyle name="Output 7 3 3 4" xfId="16311"/>
    <cellStyle name="Output 7 3 4" xfId="9757"/>
    <cellStyle name="Output 7 3 4 2" xfId="28729"/>
    <cellStyle name="Output 7 3 4 3" xfId="39574"/>
    <cellStyle name="Output 7 3 4 4" xfId="18215"/>
    <cellStyle name="Output 7 3 5" xfId="20553"/>
    <cellStyle name="Output 7 3 6" xfId="31398"/>
    <cellStyle name="Output 7 3 7" xfId="12361"/>
    <cellStyle name="Output 7 4" xfId="1977"/>
    <cellStyle name="Output 7 4 2" xfId="4830"/>
    <cellStyle name="Output 7 4 2 2" xfId="23802"/>
    <cellStyle name="Output 7 4 2 3" xfId="34647"/>
    <cellStyle name="Output 7 4 2 4" xfId="14685"/>
    <cellStyle name="Output 7 4 3" xfId="7502"/>
    <cellStyle name="Output 7 4 3 2" xfId="26474"/>
    <cellStyle name="Output 7 4 3 3" xfId="37319"/>
    <cellStyle name="Output 7 4 3 4" xfId="16599"/>
    <cellStyle name="Output 7 4 4" xfId="10161"/>
    <cellStyle name="Output 7 4 4 2" xfId="29133"/>
    <cellStyle name="Output 7 4 4 3" xfId="39978"/>
    <cellStyle name="Output 7 4 4 4" xfId="18503"/>
    <cellStyle name="Output 7 4 5" xfId="20957"/>
    <cellStyle name="Output 7 4 6" xfId="31802"/>
    <cellStyle name="Output 7 4 7" xfId="12649"/>
    <cellStyle name="Output 7 5" xfId="2369"/>
    <cellStyle name="Output 7 5 2" xfId="5222"/>
    <cellStyle name="Output 7 5 2 2" xfId="24194"/>
    <cellStyle name="Output 7 5 2 3" xfId="35039"/>
    <cellStyle name="Output 7 5 2 4" xfId="14966"/>
    <cellStyle name="Output 7 5 3" xfId="7893"/>
    <cellStyle name="Output 7 5 3 2" xfId="26865"/>
    <cellStyle name="Output 7 5 3 3" xfId="37710"/>
    <cellStyle name="Output 7 5 3 4" xfId="16879"/>
    <cellStyle name="Output 7 5 4" xfId="10552"/>
    <cellStyle name="Output 7 5 4 2" xfId="29524"/>
    <cellStyle name="Output 7 5 4 3" xfId="40369"/>
    <cellStyle name="Output 7 5 4 4" xfId="18783"/>
    <cellStyle name="Output 7 5 5" xfId="21348"/>
    <cellStyle name="Output 7 5 6" xfId="32193"/>
    <cellStyle name="Output 7 5 7" xfId="12929"/>
    <cellStyle name="Output 7 6" xfId="2758"/>
    <cellStyle name="Output 7 6 2" xfId="5610"/>
    <cellStyle name="Output 7 6 2 2" xfId="24582"/>
    <cellStyle name="Output 7 6 2 3" xfId="35427"/>
    <cellStyle name="Output 7 6 2 4" xfId="15244"/>
    <cellStyle name="Output 7 6 3" xfId="8281"/>
    <cellStyle name="Output 7 6 3 2" xfId="27253"/>
    <cellStyle name="Output 7 6 3 3" xfId="38098"/>
    <cellStyle name="Output 7 6 3 4" xfId="17157"/>
    <cellStyle name="Output 7 6 4" xfId="10940"/>
    <cellStyle name="Output 7 6 4 2" xfId="29912"/>
    <cellStyle name="Output 7 6 4 3" xfId="40757"/>
    <cellStyle name="Output 7 6 4 4" xfId="19061"/>
    <cellStyle name="Output 7 6 5" xfId="21736"/>
    <cellStyle name="Output 7 6 6" xfId="32581"/>
    <cellStyle name="Output 7 6 7" xfId="13207"/>
    <cellStyle name="Output 7 7" xfId="3449"/>
    <cellStyle name="Output 7 7 2" xfId="22421"/>
    <cellStyle name="Output 7 7 3" xfId="33266"/>
    <cellStyle name="Output 7 7 4" xfId="13689"/>
    <cellStyle name="Output 7 8" xfId="6125"/>
    <cellStyle name="Output 7 8 2" xfId="25097"/>
    <cellStyle name="Output 7 8 3" xfId="35942"/>
    <cellStyle name="Output 7 8 4" xfId="15606"/>
    <cellStyle name="Output 7 9" xfId="8784"/>
    <cellStyle name="Output 7 9 2" xfId="27756"/>
    <cellStyle name="Output 7 9 3" xfId="38601"/>
    <cellStyle name="Output 7 9 4" xfId="17510"/>
    <cellStyle name="Output 8" xfId="489"/>
    <cellStyle name="Output 8 2" xfId="3405"/>
    <cellStyle name="Output 8 2 2" xfId="22377"/>
    <cellStyle name="Output 8 2 3" xfId="33222"/>
    <cellStyle name="Output 8 2 4" xfId="13657"/>
    <cellStyle name="Output 8 3" xfId="6083"/>
    <cellStyle name="Output 8 3 2" xfId="25055"/>
    <cellStyle name="Output 8 3 3" xfId="35900"/>
    <cellStyle name="Output 8 3 4" xfId="15574"/>
    <cellStyle name="Output 8 4" xfId="8742"/>
    <cellStyle name="Output 8 4 2" xfId="27714"/>
    <cellStyle name="Output 8 4 3" xfId="38559"/>
    <cellStyle name="Output 8 4 4" xfId="17478"/>
    <cellStyle name="Output 8 5" xfId="19528"/>
    <cellStyle name="Output 8 6" xfId="30373"/>
    <cellStyle name="Output 8 7" xfId="11571"/>
    <cellStyle name="Output 9" xfId="11461"/>
    <cellStyle name="Percent" xfId="147" builtinId="5"/>
    <cellStyle name="Percent 10" xfId="490"/>
    <cellStyle name="Percent 11" xfId="447"/>
    <cellStyle name="Percent 11 2" xfId="11567"/>
    <cellStyle name="Percent 12" xfId="11471"/>
    <cellStyle name="Percent 13" xfId="41224"/>
    <cellStyle name="Percent 14" xfId="41232"/>
    <cellStyle name="Percent 15" xfId="41240"/>
    <cellStyle name="Percent 16" xfId="41512"/>
    <cellStyle name="Percent 17" xfId="42478"/>
    <cellStyle name="Percent 18" xfId="42483"/>
    <cellStyle name="Percent 2" xfId="148"/>
    <cellStyle name="Percent 2 10" xfId="41478"/>
    <cellStyle name="Percent 2 10 2" xfId="42399"/>
    <cellStyle name="Percent 2 11" xfId="42400"/>
    <cellStyle name="Percent 2 11 2" xfId="42401"/>
    <cellStyle name="Percent 2 12" xfId="42402"/>
    <cellStyle name="Percent 2 12 2" xfId="42403"/>
    <cellStyle name="Percent 2 13" xfId="42404"/>
    <cellStyle name="Percent 2 2" xfId="41222"/>
    <cellStyle name="Percent 2 2 2" xfId="41479"/>
    <cellStyle name="Percent 2 2 3" xfId="41480"/>
    <cellStyle name="Percent 2 2 3 2" xfId="41644"/>
    <cellStyle name="Percent 2 2 3 2 2" xfId="42405"/>
    <cellStyle name="Percent 2 2 3 2 3" xfId="42619"/>
    <cellStyle name="Percent 2 2 3 3" xfId="42406"/>
    <cellStyle name="Percent 2 2 3 3 2" xfId="42407"/>
    <cellStyle name="Percent 2 2 3 4" xfId="42408"/>
    <cellStyle name="Percent 2 2 4" xfId="41481"/>
    <cellStyle name="Percent 2 2 4 2" xfId="41645"/>
    <cellStyle name="Percent 2 2 4 2 2" xfId="42409"/>
    <cellStyle name="Percent 2 2 4 2 3" xfId="42620"/>
    <cellStyle name="Percent 2 2 4 3" xfId="42410"/>
    <cellStyle name="Percent 2 2 4 3 2" xfId="42411"/>
    <cellStyle name="Percent 2 2 4 4" xfId="42412"/>
    <cellStyle name="Percent 2 2 5" xfId="41482"/>
    <cellStyle name="Percent 2 2 5 2" xfId="41646"/>
    <cellStyle name="Percent 2 2 5 2 2" xfId="42413"/>
    <cellStyle name="Percent 2 2 5 2 3" xfId="42621"/>
    <cellStyle name="Percent 2 2 5 3" xfId="42414"/>
    <cellStyle name="Percent 2 2 5 3 2" xfId="42415"/>
    <cellStyle name="Percent 2 2 5 4" xfId="42416"/>
    <cellStyle name="Percent 2 2 6" xfId="41483"/>
    <cellStyle name="Percent 2 2 6 2" xfId="41647"/>
    <cellStyle name="Percent 2 2 6 2 2" xfId="42417"/>
    <cellStyle name="Percent 2 2 6 3" xfId="42418"/>
    <cellStyle name="Percent 2 2 6 3 2" xfId="42419"/>
    <cellStyle name="Percent 2 2 6 4" xfId="42420"/>
    <cellStyle name="Percent 2 2 7" xfId="42622"/>
    <cellStyle name="Percent 2 2 7 2" xfId="42623"/>
    <cellStyle name="Percent 2 2 8" xfId="42624"/>
    <cellStyle name="Percent 2 2 9" xfId="42625"/>
    <cellStyle name="Percent 2 3" xfId="41233"/>
    <cellStyle name="Percent 2 3 2" xfId="41484"/>
    <cellStyle name="Percent 2 3 2 2" xfId="41648"/>
    <cellStyle name="Percent 2 3 2 2 2" xfId="42421"/>
    <cellStyle name="Percent 2 3 2 3" xfId="42422"/>
    <cellStyle name="Percent 2 3 2 3 2" xfId="42423"/>
    <cellStyle name="Percent 2 3 2 4" xfId="42424"/>
    <cellStyle name="Percent 2 3 3" xfId="41485"/>
    <cellStyle name="Percent 2 3 3 2" xfId="41649"/>
    <cellStyle name="Percent 2 3 3 2 2" xfId="42425"/>
    <cellStyle name="Percent 2 3 3 3" xfId="42426"/>
    <cellStyle name="Percent 2 3 3 3 2" xfId="42427"/>
    <cellStyle name="Percent 2 3 3 4" xfId="42428"/>
    <cellStyle name="Percent 2 3 4" xfId="41650"/>
    <cellStyle name="Percent 2 3 4 2" xfId="42429"/>
    <cellStyle name="Percent 2 3 5" xfId="42430"/>
    <cellStyle name="Percent 2 3 5 2" xfId="42431"/>
    <cellStyle name="Percent 2 3 6" xfId="42432"/>
    <cellStyle name="Percent 2 4" xfId="41486"/>
    <cellStyle name="Percent 2 4 2" xfId="41651"/>
    <cellStyle name="Percent 2 4 2 2" xfId="42433"/>
    <cellStyle name="Percent 2 4 2 3" xfId="42626"/>
    <cellStyle name="Percent 2 4 3" xfId="42434"/>
    <cellStyle name="Percent 2 4 3 2" xfId="42435"/>
    <cellStyle name="Percent 2 4 4" xfId="42436"/>
    <cellStyle name="Percent 2 4 5" xfId="42627"/>
    <cellStyle name="Percent 2 5" xfId="41487"/>
    <cellStyle name="Percent 2 5 2" xfId="41652"/>
    <cellStyle name="Percent 2 5 2 2" xfId="42437"/>
    <cellStyle name="Percent 2 5 2 3" xfId="42628"/>
    <cellStyle name="Percent 2 5 3" xfId="42438"/>
    <cellStyle name="Percent 2 5 3 2" xfId="42439"/>
    <cellStyle name="Percent 2 5 4" xfId="42440"/>
    <cellStyle name="Percent 2 5 5" xfId="42629"/>
    <cellStyle name="Percent 2 6" xfId="41488"/>
    <cellStyle name="Percent 2 6 2" xfId="41653"/>
    <cellStyle name="Percent 2 6 2 2" xfId="42441"/>
    <cellStyle name="Percent 2 6 2 3" xfId="42630"/>
    <cellStyle name="Percent 2 6 3" xfId="42442"/>
    <cellStyle name="Percent 2 6 3 2" xfId="42443"/>
    <cellStyle name="Percent 2 6 4" xfId="42444"/>
    <cellStyle name="Percent 2 7" xfId="41489"/>
    <cellStyle name="Percent 2 7 2" xfId="41654"/>
    <cellStyle name="Percent 2 7 2 2" xfId="42445"/>
    <cellStyle name="Percent 2 7 3" xfId="42446"/>
    <cellStyle name="Percent 2 7 3 2" xfId="42447"/>
    <cellStyle name="Percent 2 7 4" xfId="42448"/>
    <cellStyle name="Percent 2 8" xfId="41490"/>
    <cellStyle name="Percent 2 8 2" xfId="41655"/>
    <cellStyle name="Percent 2 8 2 2" xfId="42449"/>
    <cellStyle name="Percent 2 8 3" xfId="42450"/>
    <cellStyle name="Percent 2 8 3 2" xfId="42451"/>
    <cellStyle name="Percent 2 8 4" xfId="42452"/>
    <cellStyle name="Percent 2 9" xfId="41491"/>
    <cellStyle name="Percent 2 9 2" xfId="41656"/>
    <cellStyle name="Percent 2 9 2 2" xfId="42453"/>
    <cellStyle name="Percent 2 9 3" xfId="42454"/>
    <cellStyle name="Percent 2 9 3 2" xfId="42455"/>
    <cellStyle name="Percent 2 9 4" xfId="42456"/>
    <cellStyle name="Percent 3" xfId="149"/>
    <cellStyle name="Percent 3 2" xfId="41492"/>
    <cellStyle name="Percent 3 3" xfId="41493"/>
    <cellStyle name="Percent 3 3 2" xfId="42631"/>
    <cellStyle name="Percent 3 3 3" xfId="42632"/>
    <cellStyle name="Percent 3 4" xfId="42633"/>
    <cellStyle name="Percent 4" xfId="150"/>
    <cellStyle name="Percent 4 2" xfId="197"/>
    <cellStyle name="Percent 4 2 2" xfId="41494"/>
    <cellStyle name="Percent 4 2 2 2" xfId="42457"/>
    <cellStyle name="Percent 4 2 3" xfId="42458"/>
    <cellStyle name="Percent 4 2 3 2" xfId="42459"/>
    <cellStyle name="Percent 4 2 4" xfId="42460"/>
    <cellStyle name="Percent 4 3" xfId="198"/>
    <cellStyle name="Percent 4 3 2" xfId="42461"/>
    <cellStyle name="Percent 4 4" xfId="199"/>
    <cellStyle name="Percent 4 4 2" xfId="42462"/>
    <cellStyle name="Percent 4 5" xfId="41495"/>
    <cellStyle name="Percent 4 5 2" xfId="42463"/>
    <cellStyle name="Percent 4 6" xfId="42464"/>
    <cellStyle name="Percent 5" xfId="151"/>
    <cellStyle name="Percent 5 2" xfId="41496"/>
    <cellStyle name="Percent 6" xfId="321"/>
    <cellStyle name="Percent 6 2" xfId="41497"/>
    <cellStyle name="Percent 6 2 2" xfId="42465"/>
    <cellStyle name="Percent 6 3" xfId="42466"/>
    <cellStyle name="Percent 6 3 2" xfId="42467"/>
    <cellStyle name="Percent 6 4" xfId="42468"/>
    <cellStyle name="Percent 6 5" xfId="42481"/>
    <cellStyle name="Percent 7" xfId="322"/>
    <cellStyle name="Percent 7 2" xfId="41498"/>
    <cellStyle name="Percent 7 2 2" xfId="42469"/>
    <cellStyle name="Percent 7 3" xfId="42470"/>
    <cellStyle name="Percent 7 3 2" xfId="42471"/>
    <cellStyle name="Percent 7 4" xfId="42472"/>
    <cellStyle name="Percent 8" xfId="323"/>
    <cellStyle name="Percent 8 2" xfId="41499"/>
    <cellStyle name="Percent 8 2 2" xfId="42473"/>
    <cellStyle name="Percent 8 3" xfId="42474"/>
    <cellStyle name="Percent 8 3 2" xfId="42475"/>
    <cellStyle name="Percent 8 4" xfId="42476"/>
    <cellStyle name="Percent 9" xfId="397"/>
    <cellStyle name="Percent 9 2" xfId="635"/>
    <cellStyle name="Percent 9 3" xfId="515"/>
    <cellStyle name="Percent 9 4" xfId="41500"/>
    <cellStyle name="PillarHeading" xfId="41501"/>
    <cellStyle name="PSChar" xfId="41502"/>
    <cellStyle name="PSDate" xfId="41503"/>
    <cellStyle name="PSDec" xfId="41504"/>
    <cellStyle name="PSHeading" xfId="41505"/>
    <cellStyle name="PSHeading 2" xfId="41506"/>
    <cellStyle name="Style 1" xfId="41507"/>
    <cellStyle name="Title" xfId="152" builtinId="15" customBuiltin="1"/>
    <cellStyle name="Title 2" xfId="153"/>
    <cellStyle name="Title 3" xfId="324"/>
    <cellStyle name="Title 4" xfId="325"/>
    <cellStyle name="Title 5" xfId="491"/>
    <cellStyle name="Title 6" xfId="11472"/>
    <cellStyle name="Total" xfId="154" builtinId="25" customBuiltin="1"/>
    <cellStyle name="Total 10" xfId="11473"/>
    <cellStyle name="Total 2" xfId="155"/>
    <cellStyle name="Total 2 10" xfId="581"/>
    <cellStyle name="Total 2 10 10" xfId="19591"/>
    <cellStyle name="Total 2 10 11" xfId="30436"/>
    <cellStyle name="Total 2 10 12" xfId="11645"/>
    <cellStyle name="Total 2 10 2" xfId="1187"/>
    <cellStyle name="Total 2 10 2 2" xfId="4040"/>
    <cellStyle name="Total 2 10 2 2 2" xfId="23012"/>
    <cellStyle name="Total 2 10 2 2 3" xfId="33857"/>
    <cellStyle name="Total 2 10 2 2 4" xfId="14122"/>
    <cellStyle name="Total 2 10 2 3" xfId="6713"/>
    <cellStyle name="Total 2 10 2 3 2" xfId="25685"/>
    <cellStyle name="Total 2 10 2 3 3" xfId="36530"/>
    <cellStyle name="Total 2 10 2 3 4" xfId="16037"/>
    <cellStyle name="Total 2 10 2 4" xfId="9372"/>
    <cellStyle name="Total 2 10 2 4 2" xfId="28344"/>
    <cellStyle name="Total 2 10 2 4 3" xfId="39189"/>
    <cellStyle name="Total 2 10 2 4 4" xfId="17941"/>
    <cellStyle name="Total 2 10 2 5" xfId="20168"/>
    <cellStyle name="Total 2 10 2 6" xfId="31013"/>
    <cellStyle name="Total 2 10 2 7" xfId="12087"/>
    <cellStyle name="Total 2 10 3" xfId="1584"/>
    <cellStyle name="Total 2 10 3 2" xfId="4437"/>
    <cellStyle name="Total 2 10 3 2 2" xfId="23409"/>
    <cellStyle name="Total 2 10 3 2 3" xfId="34254"/>
    <cellStyle name="Total 2 10 3 2 4" xfId="14408"/>
    <cellStyle name="Total 2 10 3 3" xfId="7109"/>
    <cellStyle name="Total 2 10 3 3 2" xfId="26081"/>
    <cellStyle name="Total 2 10 3 3 3" xfId="36926"/>
    <cellStyle name="Total 2 10 3 3 4" xfId="16322"/>
    <cellStyle name="Total 2 10 3 4" xfId="9768"/>
    <cellStyle name="Total 2 10 3 4 2" xfId="28740"/>
    <cellStyle name="Total 2 10 3 4 3" xfId="39585"/>
    <cellStyle name="Total 2 10 3 4 4" xfId="18226"/>
    <cellStyle name="Total 2 10 3 5" xfId="20564"/>
    <cellStyle name="Total 2 10 3 6" xfId="31409"/>
    <cellStyle name="Total 2 10 3 7" xfId="12372"/>
    <cellStyle name="Total 2 10 4" xfId="1988"/>
    <cellStyle name="Total 2 10 4 2" xfId="4841"/>
    <cellStyle name="Total 2 10 4 2 2" xfId="23813"/>
    <cellStyle name="Total 2 10 4 2 3" xfId="34658"/>
    <cellStyle name="Total 2 10 4 2 4" xfId="14696"/>
    <cellStyle name="Total 2 10 4 3" xfId="7513"/>
    <cellStyle name="Total 2 10 4 3 2" xfId="26485"/>
    <cellStyle name="Total 2 10 4 3 3" xfId="37330"/>
    <cellStyle name="Total 2 10 4 3 4" xfId="16610"/>
    <cellStyle name="Total 2 10 4 4" xfId="10172"/>
    <cellStyle name="Total 2 10 4 4 2" xfId="29144"/>
    <cellStyle name="Total 2 10 4 4 3" xfId="39989"/>
    <cellStyle name="Total 2 10 4 4 4" xfId="18514"/>
    <cellStyle name="Total 2 10 4 5" xfId="20968"/>
    <cellStyle name="Total 2 10 4 6" xfId="31813"/>
    <cellStyle name="Total 2 10 4 7" xfId="12660"/>
    <cellStyle name="Total 2 10 5" xfId="2380"/>
    <cellStyle name="Total 2 10 5 2" xfId="5233"/>
    <cellStyle name="Total 2 10 5 2 2" xfId="24205"/>
    <cellStyle name="Total 2 10 5 2 3" xfId="35050"/>
    <cellStyle name="Total 2 10 5 2 4" xfId="14977"/>
    <cellStyle name="Total 2 10 5 3" xfId="7904"/>
    <cellStyle name="Total 2 10 5 3 2" xfId="26876"/>
    <cellStyle name="Total 2 10 5 3 3" xfId="37721"/>
    <cellStyle name="Total 2 10 5 3 4" xfId="16890"/>
    <cellStyle name="Total 2 10 5 4" xfId="10563"/>
    <cellStyle name="Total 2 10 5 4 2" xfId="29535"/>
    <cellStyle name="Total 2 10 5 4 3" xfId="40380"/>
    <cellStyle name="Total 2 10 5 4 4" xfId="18794"/>
    <cellStyle name="Total 2 10 5 5" xfId="21359"/>
    <cellStyle name="Total 2 10 5 6" xfId="32204"/>
    <cellStyle name="Total 2 10 5 7" xfId="12940"/>
    <cellStyle name="Total 2 10 6" xfId="2769"/>
    <cellStyle name="Total 2 10 6 2" xfId="5621"/>
    <cellStyle name="Total 2 10 6 2 2" xfId="24593"/>
    <cellStyle name="Total 2 10 6 2 3" xfId="35438"/>
    <cellStyle name="Total 2 10 6 2 4" xfId="15255"/>
    <cellStyle name="Total 2 10 6 3" xfId="8292"/>
    <cellStyle name="Total 2 10 6 3 2" xfId="27264"/>
    <cellStyle name="Total 2 10 6 3 3" xfId="38109"/>
    <cellStyle name="Total 2 10 6 3 4" xfId="17168"/>
    <cellStyle name="Total 2 10 6 4" xfId="10951"/>
    <cellStyle name="Total 2 10 6 4 2" xfId="29923"/>
    <cellStyle name="Total 2 10 6 4 3" xfId="40768"/>
    <cellStyle name="Total 2 10 6 4 4" xfId="19072"/>
    <cellStyle name="Total 2 10 6 5" xfId="21747"/>
    <cellStyle name="Total 2 10 6 6" xfId="32592"/>
    <cellStyle name="Total 2 10 6 7" xfId="13218"/>
    <cellStyle name="Total 2 10 7" xfId="3460"/>
    <cellStyle name="Total 2 10 7 2" xfId="22432"/>
    <cellStyle name="Total 2 10 7 3" xfId="33277"/>
    <cellStyle name="Total 2 10 7 4" xfId="13700"/>
    <cellStyle name="Total 2 10 8" xfId="6136"/>
    <cellStyle name="Total 2 10 8 2" xfId="25108"/>
    <cellStyle name="Total 2 10 8 3" xfId="35953"/>
    <cellStyle name="Total 2 10 8 4" xfId="15617"/>
    <cellStyle name="Total 2 10 9" xfId="8795"/>
    <cellStyle name="Total 2 10 9 2" xfId="27767"/>
    <cellStyle name="Total 2 10 9 3" xfId="38612"/>
    <cellStyle name="Total 2 10 9 4" xfId="17521"/>
    <cellStyle name="Total 2 11" xfId="11474"/>
    <cellStyle name="Total 2 2" xfId="156"/>
    <cellStyle name="Total 2 2 2" xfId="400"/>
    <cellStyle name="Total 2 2 2 10" xfId="2691"/>
    <cellStyle name="Total 2 2 2 10 2" xfId="5543"/>
    <cellStyle name="Total 2 2 2 10 2 2" xfId="24515"/>
    <cellStyle name="Total 2 2 2 10 2 3" xfId="35360"/>
    <cellStyle name="Total 2 2 2 10 2 4" xfId="15197"/>
    <cellStyle name="Total 2 2 2 10 3" xfId="8214"/>
    <cellStyle name="Total 2 2 2 10 3 2" xfId="27186"/>
    <cellStyle name="Total 2 2 2 10 3 3" xfId="38031"/>
    <cellStyle name="Total 2 2 2 10 3 4" xfId="17110"/>
    <cellStyle name="Total 2 2 2 10 4" xfId="10873"/>
    <cellStyle name="Total 2 2 2 10 4 2" xfId="29845"/>
    <cellStyle name="Total 2 2 2 10 4 3" xfId="40690"/>
    <cellStyle name="Total 2 2 2 10 4 4" xfId="19014"/>
    <cellStyle name="Total 2 2 2 10 5" xfId="21669"/>
    <cellStyle name="Total 2 2 2 10 6" xfId="32514"/>
    <cellStyle name="Total 2 2 2 10 7" xfId="13160"/>
    <cellStyle name="Total 2 2 2 11" xfId="3077"/>
    <cellStyle name="Total 2 2 2 11 2" xfId="5928"/>
    <cellStyle name="Total 2 2 2 11 2 2" xfId="24900"/>
    <cellStyle name="Total 2 2 2 11 2 3" xfId="35745"/>
    <cellStyle name="Total 2 2 2 11 2 4" xfId="15473"/>
    <cellStyle name="Total 2 2 2 11 3" xfId="8599"/>
    <cellStyle name="Total 2 2 2 11 3 2" xfId="27571"/>
    <cellStyle name="Total 2 2 2 11 3 3" xfId="38416"/>
    <cellStyle name="Total 2 2 2 11 3 4" xfId="17386"/>
    <cellStyle name="Total 2 2 2 11 4" xfId="11258"/>
    <cellStyle name="Total 2 2 2 11 4 2" xfId="30230"/>
    <cellStyle name="Total 2 2 2 11 4 3" xfId="41075"/>
    <cellStyle name="Total 2 2 2 11 4 4" xfId="19290"/>
    <cellStyle name="Total 2 2 2 11 5" xfId="22054"/>
    <cellStyle name="Total 2 2 2 11 6" xfId="32899"/>
    <cellStyle name="Total 2 2 2 11 7" xfId="13436"/>
    <cellStyle name="Total 2 2 2 12" xfId="3134"/>
    <cellStyle name="Total 2 2 2 12 2" xfId="5985"/>
    <cellStyle name="Total 2 2 2 12 2 2" xfId="24957"/>
    <cellStyle name="Total 2 2 2 12 2 3" xfId="35802"/>
    <cellStyle name="Total 2 2 2 12 2 4" xfId="15510"/>
    <cellStyle name="Total 2 2 2 12 3" xfId="8656"/>
    <cellStyle name="Total 2 2 2 12 3 2" xfId="27628"/>
    <cellStyle name="Total 2 2 2 12 3 3" xfId="38473"/>
    <cellStyle name="Total 2 2 2 12 3 4" xfId="17423"/>
    <cellStyle name="Total 2 2 2 12 4" xfId="11315"/>
    <cellStyle name="Total 2 2 2 12 4 2" xfId="30287"/>
    <cellStyle name="Total 2 2 2 12 4 3" xfId="41132"/>
    <cellStyle name="Total 2 2 2 12 4 4" xfId="19327"/>
    <cellStyle name="Total 2 2 2 12 5" xfId="22111"/>
    <cellStyle name="Total 2 2 2 12 6" xfId="32956"/>
    <cellStyle name="Total 2 2 2 12 7" xfId="13473"/>
    <cellStyle name="Total 2 2 2 13" xfId="3191"/>
    <cellStyle name="Total 2 2 2 13 2" xfId="6042"/>
    <cellStyle name="Total 2 2 2 13 2 2" xfId="25014"/>
    <cellStyle name="Total 2 2 2 13 2 3" xfId="35859"/>
    <cellStyle name="Total 2 2 2 13 2 4" xfId="15547"/>
    <cellStyle name="Total 2 2 2 13 3" xfId="8713"/>
    <cellStyle name="Total 2 2 2 13 3 2" xfId="27685"/>
    <cellStyle name="Total 2 2 2 13 3 3" xfId="38530"/>
    <cellStyle name="Total 2 2 2 13 3 4" xfId="17460"/>
    <cellStyle name="Total 2 2 2 13 4" xfId="11372"/>
    <cellStyle name="Total 2 2 2 13 4 2" xfId="30344"/>
    <cellStyle name="Total 2 2 2 13 4 3" xfId="41189"/>
    <cellStyle name="Total 2 2 2 13 4 4" xfId="19364"/>
    <cellStyle name="Total 2 2 2 13 5" xfId="22168"/>
    <cellStyle name="Total 2 2 2 13 6" xfId="33013"/>
    <cellStyle name="Total 2 2 2 13 7" xfId="13510"/>
    <cellStyle name="Total 2 2 2 14" xfId="3358"/>
    <cellStyle name="Total 2 2 2 14 2" xfId="22332"/>
    <cellStyle name="Total 2 2 2 14 3" xfId="33177"/>
    <cellStyle name="Total 2 2 2 14 4" xfId="13627"/>
    <cellStyle name="Total 2 2 2 15" xfId="3310"/>
    <cellStyle name="Total 2 2 2 15 2" xfId="22284"/>
    <cellStyle name="Total 2 2 2 15 3" xfId="33129"/>
    <cellStyle name="Total 2 2 2 15 4" xfId="13594"/>
    <cellStyle name="Total 2 2 2 16" xfId="3250"/>
    <cellStyle name="Total 2 2 2 16 2" xfId="22226"/>
    <cellStyle name="Total 2 2 2 16 3" xfId="33071"/>
    <cellStyle name="Total 2 2 2 16 4" xfId="13552"/>
    <cellStyle name="Total 2 2 2 17" xfId="19488"/>
    <cellStyle name="Total 2 2 2 18" xfId="19391"/>
    <cellStyle name="Total 2 2 2 19" xfId="11537"/>
    <cellStyle name="Total 2 2 2 2" xfId="699"/>
    <cellStyle name="Total 2 2 2 2 10" xfId="19684"/>
    <cellStyle name="Total 2 2 2 2 11" xfId="30529"/>
    <cellStyle name="Total 2 2 2 2 12" xfId="11741"/>
    <cellStyle name="Total 2 2 2 2 2" xfId="1286"/>
    <cellStyle name="Total 2 2 2 2 2 2" xfId="4139"/>
    <cellStyle name="Total 2 2 2 2 2 2 2" xfId="23111"/>
    <cellStyle name="Total 2 2 2 2 2 2 3" xfId="33956"/>
    <cellStyle name="Total 2 2 2 2 2 2 4" xfId="14202"/>
    <cellStyle name="Total 2 2 2 2 2 3" xfId="6812"/>
    <cellStyle name="Total 2 2 2 2 2 3 2" xfId="25784"/>
    <cellStyle name="Total 2 2 2 2 2 3 3" xfId="36629"/>
    <cellStyle name="Total 2 2 2 2 2 3 4" xfId="16117"/>
    <cellStyle name="Total 2 2 2 2 2 4" xfId="9471"/>
    <cellStyle name="Total 2 2 2 2 2 4 2" xfId="28443"/>
    <cellStyle name="Total 2 2 2 2 2 4 3" xfId="39288"/>
    <cellStyle name="Total 2 2 2 2 2 4 4" xfId="18021"/>
    <cellStyle name="Total 2 2 2 2 2 5" xfId="20267"/>
    <cellStyle name="Total 2 2 2 2 2 6" xfId="31112"/>
    <cellStyle name="Total 2 2 2 2 2 7" xfId="12167"/>
    <cellStyle name="Total 2 2 2 2 3" xfId="1685"/>
    <cellStyle name="Total 2 2 2 2 3 2" xfId="4538"/>
    <cellStyle name="Total 2 2 2 2 3 2 2" xfId="23510"/>
    <cellStyle name="Total 2 2 2 2 3 2 3" xfId="34355"/>
    <cellStyle name="Total 2 2 2 2 3 2 4" xfId="14489"/>
    <cellStyle name="Total 2 2 2 2 3 3" xfId="7210"/>
    <cellStyle name="Total 2 2 2 2 3 3 2" xfId="26182"/>
    <cellStyle name="Total 2 2 2 2 3 3 3" xfId="37027"/>
    <cellStyle name="Total 2 2 2 2 3 3 4" xfId="16403"/>
    <cellStyle name="Total 2 2 2 2 3 4" xfId="9869"/>
    <cellStyle name="Total 2 2 2 2 3 4 2" xfId="28841"/>
    <cellStyle name="Total 2 2 2 2 3 4 3" xfId="39686"/>
    <cellStyle name="Total 2 2 2 2 3 4 4" xfId="18307"/>
    <cellStyle name="Total 2 2 2 2 3 5" xfId="20665"/>
    <cellStyle name="Total 2 2 2 2 3 6" xfId="31510"/>
    <cellStyle name="Total 2 2 2 2 3 7" xfId="12453"/>
    <cellStyle name="Total 2 2 2 2 4" xfId="2089"/>
    <cellStyle name="Total 2 2 2 2 4 2" xfId="4942"/>
    <cellStyle name="Total 2 2 2 2 4 2 2" xfId="23914"/>
    <cellStyle name="Total 2 2 2 2 4 2 3" xfId="34759"/>
    <cellStyle name="Total 2 2 2 2 4 2 4" xfId="14776"/>
    <cellStyle name="Total 2 2 2 2 4 3" xfId="7613"/>
    <cellStyle name="Total 2 2 2 2 4 3 2" xfId="26585"/>
    <cellStyle name="Total 2 2 2 2 4 3 3" xfId="37430"/>
    <cellStyle name="Total 2 2 2 2 4 3 4" xfId="16689"/>
    <cellStyle name="Total 2 2 2 2 4 4" xfId="10272"/>
    <cellStyle name="Total 2 2 2 2 4 4 2" xfId="29244"/>
    <cellStyle name="Total 2 2 2 2 4 4 3" xfId="40089"/>
    <cellStyle name="Total 2 2 2 2 4 4 4" xfId="18593"/>
    <cellStyle name="Total 2 2 2 2 4 5" xfId="21068"/>
    <cellStyle name="Total 2 2 2 2 4 6" xfId="31913"/>
    <cellStyle name="Total 2 2 2 2 4 7" xfId="12739"/>
    <cellStyle name="Total 2 2 2 2 5" xfId="2479"/>
    <cellStyle name="Total 2 2 2 2 5 2" xfId="5331"/>
    <cellStyle name="Total 2 2 2 2 5 2 2" xfId="24303"/>
    <cellStyle name="Total 2 2 2 2 5 2 3" xfId="35148"/>
    <cellStyle name="Total 2 2 2 2 5 2 4" xfId="15055"/>
    <cellStyle name="Total 2 2 2 2 5 3" xfId="8002"/>
    <cellStyle name="Total 2 2 2 2 5 3 2" xfId="26974"/>
    <cellStyle name="Total 2 2 2 2 5 3 3" xfId="37819"/>
    <cellStyle name="Total 2 2 2 2 5 3 4" xfId="16968"/>
    <cellStyle name="Total 2 2 2 2 5 4" xfId="10661"/>
    <cellStyle name="Total 2 2 2 2 5 4 2" xfId="29633"/>
    <cellStyle name="Total 2 2 2 2 5 4 3" xfId="40478"/>
    <cellStyle name="Total 2 2 2 2 5 4 4" xfId="18872"/>
    <cellStyle name="Total 2 2 2 2 5 5" xfId="21457"/>
    <cellStyle name="Total 2 2 2 2 5 6" xfId="32302"/>
    <cellStyle name="Total 2 2 2 2 5 7" xfId="13018"/>
    <cellStyle name="Total 2 2 2 2 6" xfId="2865"/>
    <cellStyle name="Total 2 2 2 2 6 2" xfId="5716"/>
    <cellStyle name="Total 2 2 2 2 6 2 2" xfId="24688"/>
    <cellStyle name="Total 2 2 2 2 6 2 3" xfId="35533"/>
    <cellStyle name="Total 2 2 2 2 6 2 4" xfId="15331"/>
    <cellStyle name="Total 2 2 2 2 6 3" xfId="8387"/>
    <cellStyle name="Total 2 2 2 2 6 3 2" xfId="27359"/>
    <cellStyle name="Total 2 2 2 2 6 3 3" xfId="38204"/>
    <cellStyle name="Total 2 2 2 2 6 3 4" xfId="17244"/>
    <cellStyle name="Total 2 2 2 2 6 4" xfId="11046"/>
    <cellStyle name="Total 2 2 2 2 6 4 2" xfId="30018"/>
    <cellStyle name="Total 2 2 2 2 6 4 3" xfId="40863"/>
    <cellStyle name="Total 2 2 2 2 6 4 4" xfId="19148"/>
    <cellStyle name="Total 2 2 2 2 6 5" xfId="21842"/>
    <cellStyle name="Total 2 2 2 2 6 6" xfId="32687"/>
    <cellStyle name="Total 2 2 2 2 6 7" xfId="13294"/>
    <cellStyle name="Total 2 2 2 2 7" xfId="3554"/>
    <cellStyle name="Total 2 2 2 2 7 2" xfId="22526"/>
    <cellStyle name="Total 2 2 2 2 7 3" xfId="33371"/>
    <cellStyle name="Total 2 2 2 2 7 4" xfId="13775"/>
    <cellStyle name="Total 2 2 2 2 8" xfId="6229"/>
    <cellStyle name="Total 2 2 2 2 8 2" xfId="25201"/>
    <cellStyle name="Total 2 2 2 2 8 3" xfId="36046"/>
    <cellStyle name="Total 2 2 2 2 8 4" xfId="15691"/>
    <cellStyle name="Total 2 2 2 2 9" xfId="8888"/>
    <cellStyle name="Total 2 2 2 2 9 2" xfId="27860"/>
    <cellStyle name="Total 2 2 2 2 9 3" xfId="38705"/>
    <cellStyle name="Total 2 2 2 2 9 4" xfId="17595"/>
    <cellStyle name="Total 2 2 2 3" xfId="759"/>
    <cellStyle name="Total 2 2 2 3 10" xfId="19744"/>
    <cellStyle name="Total 2 2 2 3 11" xfId="30589"/>
    <cellStyle name="Total 2 2 2 3 12" xfId="11781"/>
    <cellStyle name="Total 2 2 2 3 2" xfId="1346"/>
    <cellStyle name="Total 2 2 2 3 2 2" xfId="4199"/>
    <cellStyle name="Total 2 2 2 3 2 2 2" xfId="23171"/>
    <cellStyle name="Total 2 2 2 3 2 2 3" xfId="34016"/>
    <cellStyle name="Total 2 2 2 3 2 2 4" xfId="14242"/>
    <cellStyle name="Total 2 2 2 3 2 3" xfId="6872"/>
    <cellStyle name="Total 2 2 2 3 2 3 2" xfId="25844"/>
    <cellStyle name="Total 2 2 2 3 2 3 3" xfId="36689"/>
    <cellStyle name="Total 2 2 2 3 2 3 4" xfId="16157"/>
    <cellStyle name="Total 2 2 2 3 2 4" xfId="9531"/>
    <cellStyle name="Total 2 2 2 3 2 4 2" xfId="28503"/>
    <cellStyle name="Total 2 2 2 3 2 4 3" xfId="39348"/>
    <cellStyle name="Total 2 2 2 3 2 4 4" xfId="18061"/>
    <cellStyle name="Total 2 2 2 3 2 5" xfId="20327"/>
    <cellStyle name="Total 2 2 2 3 2 6" xfId="31172"/>
    <cellStyle name="Total 2 2 2 3 2 7" xfId="12207"/>
    <cellStyle name="Total 2 2 2 3 3" xfId="1745"/>
    <cellStyle name="Total 2 2 2 3 3 2" xfId="4598"/>
    <cellStyle name="Total 2 2 2 3 3 2 2" xfId="23570"/>
    <cellStyle name="Total 2 2 2 3 3 2 3" xfId="34415"/>
    <cellStyle name="Total 2 2 2 3 3 2 4" xfId="14529"/>
    <cellStyle name="Total 2 2 2 3 3 3" xfId="7270"/>
    <cellStyle name="Total 2 2 2 3 3 3 2" xfId="26242"/>
    <cellStyle name="Total 2 2 2 3 3 3 3" xfId="37087"/>
    <cellStyle name="Total 2 2 2 3 3 3 4" xfId="16443"/>
    <cellStyle name="Total 2 2 2 3 3 4" xfId="9929"/>
    <cellStyle name="Total 2 2 2 3 3 4 2" xfId="28901"/>
    <cellStyle name="Total 2 2 2 3 3 4 3" xfId="39746"/>
    <cellStyle name="Total 2 2 2 3 3 4 4" xfId="18347"/>
    <cellStyle name="Total 2 2 2 3 3 5" xfId="20725"/>
    <cellStyle name="Total 2 2 2 3 3 6" xfId="31570"/>
    <cellStyle name="Total 2 2 2 3 3 7" xfId="12493"/>
    <cellStyle name="Total 2 2 2 3 4" xfId="2149"/>
    <cellStyle name="Total 2 2 2 3 4 2" xfId="5002"/>
    <cellStyle name="Total 2 2 2 3 4 2 2" xfId="23974"/>
    <cellStyle name="Total 2 2 2 3 4 2 3" xfId="34819"/>
    <cellStyle name="Total 2 2 2 3 4 2 4" xfId="14816"/>
    <cellStyle name="Total 2 2 2 3 4 3" xfId="7673"/>
    <cellStyle name="Total 2 2 2 3 4 3 2" xfId="26645"/>
    <cellStyle name="Total 2 2 2 3 4 3 3" xfId="37490"/>
    <cellStyle name="Total 2 2 2 3 4 3 4" xfId="16729"/>
    <cellStyle name="Total 2 2 2 3 4 4" xfId="10332"/>
    <cellStyle name="Total 2 2 2 3 4 4 2" xfId="29304"/>
    <cellStyle name="Total 2 2 2 3 4 4 3" xfId="40149"/>
    <cellStyle name="Total 2 2 2 3 4 4 4" xfId="18633"/>
    <cellStyle name="Total 2 2 2 3 4 5" xfId="21128"/>
    <cellStyle name="Total 2 2 2 3 4 6" xfId="31973"/>
    <cellStyle name="Total 2 2 2 3 4 7" xfId="12779"/>
    <cellStyle name="Total 2 2 2 3 5" xfId="2539"/>
    <cellStyle name="Total 2 2 2 3 5 2" xfId="5391"/>
    <cellStyle name="Total 2 2 2 3 5 2 2" xfId="24363"/>
    <cellStyle name="Total 2 2 2 3 5 2 3" xfId="35208"/>
    <cellStyle name="Total 2 2 2 3 5 2 4" xfId="15095"/>
    <cellStyle name="Total 2 2 2 3 5 3" xfId="8062"/>
    <cellStyle name="Total 2 2 2 3 5 3 2" xfId="27034"/>
    <cellStyle name="Total 2 2 2 3 5 3 3" xfId="37879"/>
    <cellStyle name="Total 2 2 2 3 5 3 4" xfId="17008"/>
    <cellStyle name="Total 2 2 2 3 5 4" xfId="10721"/>
    <cellStyle name="Total 2 2 2 3 5 4 2" xfId="29693"/>
    <cellStyle name="Total 2 2 2 3 5 4 3" xfId="40538"/>
    <cellStyle name="Total 2 2 2 3 5 4 4" xfId="18912"/>
    <cellStyle name="Total 2 2 2 3 5 5" xfId="21517"/>
    <cellStyle name="Total 2 2 2 3 5 6" xfId="32362"/>
    <cellStyle name="Total 2 2 2 3 5 7" xfId="13058"/>
    <cellStyle name="Total 2 2 2 3 6" xfId="2925"/>
    <cellStyle name="Total 2 2 2 3 6 2" xfId="5776"/>
    <cellStyle name="Total 2 2 2 3 6 2 2" xfId="24748"/>
    <cellStyle name="Total 2 2 2 3 6 2 3" xfId="35593"/>
    <cellStyle name="Total 2 2 2 3 6 2 4" xfId="15371"/>
    <cellStyle name="Total 2 2 2 3 6 3" xfId="8447"/>
    <cellStyle name="Total 2 2 2 3 6 3 2" xfId="27419"/>
    <cellStyle name="Total 2 2 2 3 6 3 3" xfId="38264"/>
    <cellStyle name="Total 2 2 2 3 6 3 4" xfId="17284"/>
    <cellStyle name="Total 2 2 2 3 6 4" xfId="11106"/>
    <cellStyle name="Total 2 2 2 3 6 4 2" xfId="30078"/>
    <cellStyle name="Total 2 2 2 3 6 4 3" xfId="40923"/>
    <cellStyle name="Total 2 2 2 3 6 4 4" xfId="19188"/>
    <cellStyle name="Total 2 2 2 3 6 5" xfId="21902"/>
    <cellStyle name="Total 2 2 2 3 6 6" xfId="32747"/>
    <cellStyle name="Total 2 2 2 3 6 7" xfId="13334"/>
    <cellStyle name="Total 2 2 2 3 7" xfId="3614"/>
    <cellStyle name="Total 2 2 2 3 7 2" xfId="22586"/>
    <cellStyle name="Total 2 2 2 3 7 3" xfId="33431"/>
    <cellStyle name="Total 2 2 2 3 7 4" xfId="13815"/>
    <cellStyle name="Total 2 2 2 3 8" xfId="6289"/>
    <cellStyle name="Total 2 2 2 3 8 2" xfId="25261"/>
    <cellStyle name="Total 2 2 2 3 8 3" xfId="36106"/>
    <cellStyle name="Total 2 2 2 3 8 4" xfId="15731"/>
    <cellStyle name="Total 2 2 2 3 9" xfId="8948"/>
    <cellStyle name="Total 2 2 2 3 9 2" xfId="27920"/>
    <cellStyle name="Total 2 2 2 3 9 3" xfId="38765"/>
    <cellStyle name="Total 2 2 2 3 9 4" xfId="17635"/>
    <cellStyle name="Total 2 2 2 4" xfId="819"/>
    <cellStyle name="Total 2 2 2 4 10" xfId="19804"/>
    <cellStyle name="Total 2 2 2 4 11" xfId="30649"/>
    <cellStyle name="Total 2 2 2 4 12" xfId="11821"/>
    <cellStyle name="Total 2 2 2 4 2" xfId="1406"/>
    <cellStyle name="Total 2 2 2 4 2 2" xfId="4259"/>
    <cellStyle name="Total 2 2 2 4 2 2 2" xfId="23231"/>
    <cellStyle name="Total 2 2 2 4 2 2 3" xfId="34076"/>
    <cellStyle name="Total 2 2 2 4 2 2 4" xfId="14282"/>
    <cellStyle name="Total 2 2 2 4 2 3" xfId="6932"/>
    <cellStyle name="Total 2 2 2 4 2 3 2" xfId="25904"/>
    <cellStyle name="Total 2 2 2 4 2 3 3" xfId="36749"/>
    <cellStyle name="Total 2 2 2 4 2 3 4" xfId="16197"/>
    <cellStyle name="Total 2 2 2 4 2 4" xfId="9591"/>
    <cellStyle name="Total 2 2 2 4 2 4 2" xfId="28563"/>
    <cellStyle name="Total 2 2 2 4 2 4 3" xfId="39408"/>
    <cellStyle name="Total 2 2 2 4 2 4 4" xfId="18101"/>
    <cellStyle name="Total 2 2 2 4 2 5" xfId="20387"/>
    <cellStyle name="Total 2 2 2 4 2 6" xfId="31232"/>
    <cellStyle name="Total 2 2 2 4 2 7" xfId="12247"/>
    <cellStyle name="Total 2 2 2 4 3" xfId="1805"/>
    <cellStyle name="Total 2 2 2 4 3 2" xfId="4658"/>
    <cellStyle name="Total 2 2 2 4 3 2 2" xfId="23630"/>
    <cellStyle name="Total 2 2 2 4 3 2 3" xfId="34475"/>
    <cellStyle name="Total 2 2 2 4 3 2 4" xfId="14569"/>
    <cellStyle name="Total 2 2 2 4 3 3" xfId="7330"/>
    <cellStyle name="Total 2 2 2 4 3 3 2" xfId="26302"/>
    <cellStyle name="Total 2 2 2 4 3 3 3" xfId="37147"/>
    <cellStyle name="Total 2 2 2 4 3 3 4" xfId="16483"/>
    <cellStyle name="Total 2 2 2 4 3 4" xfId="9989"/>
    <cellStyle name="Total 2 2 2 4 3 4 2" xfId="28961"/>
    <cellStyle name="Total 2 2 2 4 3 4 3" xfId="39806"/>
    <cellStyle name="Total 2 2 2 4 3 4 4" xfId="18387"/>
    <cellStyle name="Total 2 2 2 4 3 5" xfId="20785"/>
    <cellStyle name="Total 2 2 2 4 3 6" xfId="31630"/>
    <cellStyle name="Total 2 2 2 4 3 7" xfId="12533"/>
    <cellStyle name="Total 2 2 2 4 4" xfId="2209"/>
    <cellStyle name="Total 2 2 2 4 4 2" xfId="5062"/>
    <cellStyle name="Total 2 2 2 4 4 2 2" xfId="24034"/>
    <cellStyle name="Total 2 2 2 4 4 2 3" xfId="34879"/>
    <cellStyle name="Total 2 2 2 4 4 2 4" xfId="14856"/>
    <cellStyle name="Total 2 2 2 4 4 3" xfId="7733"/>
    <cellStyle name="Total 2 2 2 4 4 3 2" xfId="26705"/>
    <cellStyle name="Total 2 2 2 4 4 3 3" xfId="37550"/>
    <cellStyle name="Total 2 2 2 4 4 3 4" xfId="16769"/>
    <cellStyle name="Total 2 2 2 4 4 4" xfId="10392"/>
    <cellStyle name="Total 2 2 2 4 4 4 2" xfId="29364"/>
    <cellStyle name="Total 2 2 2 4 4 4 3" xfId="40209"/>
    <cellStyle name="Total 2 2 2 4 4 4 4" xfId="18673"/>
    <cellStyle name="Total 2 2 2 4 4 5" xfId="21188"/>
    <cellStyle name="Total 2 2 2 4 4 6" xfId="32033"/>
    <cellStyle name="Total 2 2 2 4 4 7" xfId="12819"/>
    <cellStyle name="Total 2 2 2 4 5" xfId="2599"/>
    <cellStyle name="Total 2 2 2 4 5 2" xfId="5451"/>
    <cellStyle name="Total 2 2 2 4 5 2 2" xfId="24423"/>
    <cellStyle name="Total 2 2 2 4 5 2 3" xfId="35268"/>
    <cellStyle name="Total 2 2 2 4 5 2 4" xfId="15135"/>
    <cellStyle name="Total 2 2 2 4 5 3" xfId="8122"/>
    <cellStyle name="Total 2 2 2 4 5 3 2" xfId="27094"/>
    <cellStyle name="Total 2 2 2 4 5 3 3" xfId="37939"/>
    <cellStyle name="Total 2 2 2 4 5 3 4" xfId="17048"/>
    <cellStyle name="Total 2 2 2 4 5 4" xfId="10781"/>
    <cellStyle name="Total 2 2 2 4 5 4 2" xfId="29753"/>
    <cellStyle name="Total 2 2 2 4 5 4 3" xfId="40598"/>
    <cellStyle name="Total 2 2 2 4 5 4 4" xfId="18952"/>
    <cellStyle name="Total 2 2 2 4 5 5" xfId="21577"/>
    <cellStyle name="Total 2 2 2 4 5 6" xfId="32422"/>
    <cellStyle name="Total 2 2 2 4 5 7" xfId="13098"/>
    <cellStyle name="Total 2 2 2 4 6" xfId="2985"/>
    <cellStyle name="Total 2 2 2 4 6 2" xfId="5836"/>
    <cellStyle name="Total 2 2 2 4 6 2 2" xfId="24808"/>
    <cellStyle name="Total 2 2 2 4 6 2 3" xfId="35653"/>
    <cellStyle name="Total 2 2 2 4 6 2 4" xfId="15411"/>
    <cellStyle name="Total 2 2 2 4 6 3" xfId="8507"/>
    <cellStyle name="Total 2 2 2 4 6 3 2" xfId="27479"/>
    <cellStyle name="Total 2 2 2 4 6 3 3" xfId="38324"/>
    <cellStyle name="Total 2 2 2 4 6 3 4" xfId="17324"/>
    <cellStyle name="Total 2 2 2 4 6 4" xfId="11166"/>
    <cellStyle name="Total 2 2 2 4 6 4 2" xfId="30138"/>
    <cellStyle name="Total 2 2 2 4 6 4 3" xfId="40983"/>
    <cellStyle name="Total 2 2 2 4 6 4 4" xfId="19228"/>
    <cellStyle name="Total 2 2 2 4 6 5" xfId="21962"/>
    <cellStyle name="Total 2 2 2 4 6 6" xfId="32807"/>
    <cellStyle name="Total 2 2 2 4 6 7" xfId="13374"/>
    <cellStyle name="Total 2 2 2 4 7" xfId="3674"/>
    <cellStyle name="Total 2 2 2 4 7 2" xfId="22646"/>
    <cellStyle name="Total 2 2 2 4 7 3" xfId="33491"/>
    <cellStyle name="Total 2 2 2 4 7 4" xfId="13855"/>
    <cellStyle name="Total 2 2 2 4 8" xfId="6349"/>
    <cellStyle name="Total 2 2 2 4 8 2" xfId="25321"/>
    <cellStyle name="Total 2 2 2 4 8 3" xfId="36166"/>
    <cellStyle name="Total 2 2 2 4 8 4" xfId="15771"/>
    <cellStyle name="Total 2 2 2 4 9" xfId="9008"/>
    <cellStyle name="Total 2 2 2 4 9 2" xfId="27980"/>
    <cellStyle name="Total 2 2 2 4 9 3" xfId="38825"/>
    <cellStyle name="Total 2 2 2 4 9 4" xfId="17675"/>
    <cellStyle name="Total 2 2 2 5" xfId="878"/>
    <cellStyle name="Total 2 2 2 5 10" xfId="19863"/>
    <cellStyle name="Total 2 2 2 5 11" xfId="30708"/>
    <cellStyle name="Total 2 2 2 5 12" xfId="11860"/>
    <cellStyle name="Total 2 2 2 5 2" xfId="1465"/>
    <cellStyle name="Total 2 2 2 5 2 2" xfId="4318"/>
    <cellStyle name="Total 2 2 2 5 2 2 2" xfId="23290"/>
    <cellStyle name="Total 2 2 2 5 2 2 3" xfId="34135"/>
    <cellStyle name="Total 2 2 2 5 2 2 4" xfId="14321"/>
    <cellStyle name="Total 2 2 2 5 2 3" xfId="6991"/>
    <cellStyle name="Total 2 2 2 5 2 3 2" xfId="25963"/>
    <cellStyle name="Total 2 2 2 5 2 3 3" xfId="36808"/>
    <cellStyle name="Total 2 2 2 5 2 3 4" xfId="16236"/>
    <cellStyle name="Total 2 2 2 5 2 4" xfId="9650"/>
    <cellStyle name="Total 2 2 2 5 2 4 2" xfId="28622"/>
    <cellStyle name="Total 2 2 2 5 2 4 3" xfId="39467"/>
    <cellStyle name="Total 2 2 2 5 2 4 4" xfId="18140"/>
    <cellStyle name="Total 2 2 2 5 2 5" xfId="20446"/>
    <cellStyle name="Total 2 2 2 5 2 6" xfId="31291"/>
    <cellStyle name="Total 2 2 2 5 2 7" xfId="12286"/>
    <cellStyle name="Total 2 2 2 5 3" xfId="1864"/>
    <cellStyle name="Total 2 2 2 5 3 2" xfId="4717"/>
    <cellStyle name="Total 2 2 2 5 3 2 2" xfId="23689"/>
    <cellStyle name="Total 2 2 2 5 3 2 3" xfId="34534"/>
    <cellStyle name="Total 2 2 2 5 3 2 4" xfId="14608"/>
    <cellStyle name="Total 2 2 2 5 3 3" xfId="7389"/>
    <cellStyle name="Total 2 2 2 5 3 3 2" xfId="26361"/>
    <cellStyle name="Total 2 2 2 5 3 3 3" xfId="37206"/>
    <cellStyle name="Total 2 2 2 5 3 3 4" xfId="16522"/>
    <cellStyle name="Total 2 2 2 5 3 4" xfId="10048"/>
    <cellStyle name="Total 2 2 2 5 3 4 2" xfId="29020"/>
    <cellStyle name="Total 2 2 2 5 3 4 3" xfId="39865"/>
    <cellStyle name="Total 2 2 2 5 3 4 4" xfId="18426"/>
    <cellStyle name="Total 2 2 2 5 3 5" xfId="20844"/>
    <cellStyle name="Total 2 2 2 5 3 6" xfId="31689"/>
    <cellStyle name="Total 2 2 2 5 3 7" xfId="12572"/>
    <cellStyle name="Total 2 2 2 5 4" xfId="2268"/>
    <cellStyle name="Total 2 2 2 5 4 2" xfId="5121"/>
    <cellStyle name="Total 2 2 2 5 4 2 2" xfId="24093"/>
    <cellStyle name="Total 2 2 2 5 4 2 3" xfId="34938"/>
    <cellStyle name="Total 2 2 2 5 4 2 4" xfId="14895"/>
    <cellStyle name="Total 2 2 2 5 4 3" xfId="7792"/>
    <cellStyle name="Total 2 2 2 5 4 3 2" xfId="26764"/>
    <cellStyle name="Total 2 2 2 5 4 3 3" xfId="37609"/>
    <cellStyle name="Total 2 2 2 5 4 3 4" xfId="16808"/>
    <cellStyle name="Total 2 2 2 5 4 4" xfId="10451"/>
    <cellStyle name="Total 2 2 2 5 4 4 2" xfId="29423"/>
    <cellStyle name="Total 2 2 2 5 4 4 3" xfId="40268"/>
    <cellStyle name="Total 2 2 2 5 4 4 4" xfId="18712"/>
    <cellStyle name="Total 2 2 2 5 4 5" xfId="21247"/>
    <cellStyle name="Total 2 2 2 5 4 6" xfId="32092"/>
    <cellStyle name="Total 2 2 2 5 4 7" xfId="12858"/>
    <cellStyle name="Total 2 2 2 5 5" xfId="2658"/>
    <cellStyle name="Total 2 2 2 5 5 2" xfId="5510"/>
    <cellStyle name="Total 2 2 2 5 5 2 2" xfId="24482"/>
    <cellStyle name="Total 2 2 2 5 5 2 3" xfId="35327"/>
    <cellStyle name="Total 2 2 2 5 5 2 4" xfId="15174"/>
    <cellStyle name="Total 2 2 2 5 5 3" xfId="8181"/>
    <cellStyle name="Total 2 2 2 5 5 3 2" xfId="27153"/>
    <cellStyle name="Total 2 2 2 5 5 3 3" xfId="37998"/>
    <cellStyle name="Total 2 2 2 5 5 3 4" xfId="17087"/>
    <cellStyle name="Total 2 2 2 5 5 4" xfId="10840"/>
    <cellStyle name="Total 2 2 2 5 5 4 2" xfId="29812"/>
    <cellStyle name="Total 2 2 2 5 5 4 3" xfId="40657"/>
    <cellStyle name="Total 2 2 2 5 5 4 4" xfId="18991"/>
    <cellStyle name="Total 2 2 2 5 5 5" xfId="21636"/>
    <cellStyle name="Total 2 2 2 5 5 6" xfId="32481"/>
    <cellStyle name="Total 2 2 2 5 5 7" xfId="13137"/>
    <cellStyle name="Total 2 2 2 5 6" xfId="3044"/>
    <cellStyle name="Total 2 2 2 5 6 2" xfId="5895"/>
    <cellStyle name="Total 2 2 2 5 6 2 2" xfId="24867"/>
    <cellStyle name="Total 2 2 2 5 6 2 3" xfId="35712"/>
    <cellStyle name="Total 2 2 2 5 6 2 4" xfId="15450"/>
    <cellStyle name="Total 2 2 2 5 6 3" xfId="8566"/>
    <cellStyle name="Total 2 2 2 5 6 3 2" xfId="27538"/>
    <cellStyle name="Total 2 2 2 5 6 3 3" xfId="38383"/>
    <cellStyle name="Total 2 2 2 5 6 3 4" xfId="17363"/>
    <cellStyle name="Total 2 2 2 5 6 4" xfId="11225"/>
    <cellStyle name="Total 2 2 2 5 6 4 2" xfId="30197"/>
    <cellStyle name="Total 2 2 2 5 6 4 3" xfId="41042"/>
    <cellStyle name="Total 2 2 2 5 6 4 4" xfId="19267"/>
    <cellStyle name="Total 2 2 2 5 6 5" xfId="22021"/>
    <cellStyle name="Total 2 2 2 5 6 6" xfId="32866"/>
    <cellStyle name="Total 2 2 2 5 6 7" xfId="13413"/>
    <cellStyle name="Total 2 2 2 5 7" xfId="3733"/>
    <cellStyle name="Total 2 2 2 5 7 2" xfId="22705"/>
    <cellStyle name="Total 2 2 2 5 7 3" xfId="33550"/>
    <cellStyle name="Total 2 2 2 5 7 4" xfId="13894"/>
    <cellStyle name="Total 2 2 2 5 8" xfId="6408"/>
    <cellStyle name="Total 2 2 2 5 8 2" xfId="25380"/>
    <cellStyle name="Total 2 2 2 5 8 3" xfId="36225"/>
    <cellStyle name="Total 2 2 2 5 8 4" xfId="15810"/>
    <cellStyle name="Total 2 2 2 5 9" xfId="9067"/>
    <cellStyle name="Total 2 2 2 5 9 2" xfId="28039"/>
    <cellStyle name="Total 2 2 2 5 9 3" xfId="38884"/>
    <cellStyle name="Total 2 2 2 5 9 4" xfId="17714"/>
    <cellStyle name="Total 2 2 2 6" xfId="1100"/>
    <cellStyle name="Total 2 2 2 6 2" xfId="3953"/>
    <cellStyle name="Total 2 2 2 6 2 2" xfId="22925"/>
    <cellStyle name="Total 2 2 2 6 2 3" xfId="33770"/>
    <cellStyle name="Total 2 2 2 6 2 4" xfId="14056"/>
    <cellStyle name="Total 2 2 2 6 3" xfId="6627"/>
    <cellStyle name="Total 2 2 2 6 3 2" xfId="25599"/>
    <cellStyle name="Total 2 2 2 6 3 3" xfId="36444"/>
    <cellStyle name="Total 2 2 2 6 3 4" xfId="15972"/>
    <cellStyle name="Total 2 2 2 6 4" xfId="9286"/>
    <cellStyle name="Total 2 2 2 6 4 2" xfId="28258"/>
    <cellStyle name="Total 2 2 2 6 4 3" xfId="39103"/>
    <cellStyle name="Total 2 2 2 6 4 4" xfId="17876"/>
    <cellStyle name="Total 2 2 2 6 5" xfId="20082"/>
    <cellStyle name="Total 2 2 2 6 6" xfId="30927"/>
    <cellStyle name="Total 2 2 2 6 7" xfId="12022"/>
    <cellStyle name="Total 2 2 2 7" xfId="1500"/>
    <cellStyle name="Total 2 2 2 7 2" xfId="4353"/>
    <cellStyle name="Total 2 2 2 7 2 2" xfId="23325"/>
    <cellStyle name="Total 2 2 2 7 2 3" xfId="34170"/>
    <cellStyle name="Total 2 2 2 7 2 4" xfId="14346"/>
    <cellStyle name="Total 2 2 2 7 3" xfId="7026"/>
    <cellStyle name="Total 2 2 2 7 3 2" xfId="25998"/>
    <cellStyle name="Total 2 2 2 7 3 3" xfId="36843"/>
    <cellStyle name="Total 2 2 2 7 3 4" xfId="16261"/>
    <cellStyle name="Total 2 2 2 7 4" xfId="9685"/>
    <cellStyle name="Total 2 2 2 7 4 2" xfId="28657"/>
    <cellStyle name="Total 2 2 2 7 4 3" xfId="39502"/>
    <cellStyle name="Total 2 2 2 7 4 4" xfId="18165"/>
    <cellStyle name="Total 2 2 2 7 5" xfId="20481"/>
    <cellStyle name="Total 2 2 2 7 6" xfId="31326"/>
    <cellStyle name="Total 2 2 2 7 7" xfId="12311"/>
    <cellStyle name="Total 2 2 2 8" xfId="1908"/>
    <cellStyle name="Total 2 2 2 8 2" xfId="4761"/>
    <cellStyle name="Total 2 2 2 8 2 2" xfId="23733"/>
    <cellStyle name="Total 2 2 2 8 2 3" xfId="34578"/>
    <cellStyle name="Total 2 2 2 8 2 4" xfId="14637"/>
    <cellStyle name="Total 2 2 2 8 3" xfId="7433"/>
    <cellStyle name="Total 2 2 2 8 3 2" xfId="26405"/>
    <cellStyle name="Total 2 2 2 8 3 3" xfId="37250"/>
    <cellStyle name="Total 2 2 2 8 3 4" xfId="16551"/>
    <cellStyle name="Total 2 2 2 8 4" xfId="10092"/>
    <cellStyle name="Total 2 2 2 8 4 2" xfId="29064"/>
    <cellStyle name="Total 2 2 2 8 4 3" xfId="39909"/>
    <cellStyle name="Total 2 2 2 8 4 4" xfId="18455"/>
    <cellStyle name="Total 2 2 2 8 5" xfId="20888"/>
    <cellStyle name="Total 2 2 2 8 6" xfId="31733"/>
    <cellStyle name="Total 2 2 2 8 7" xfId="12601"/>
    <cellStyle name="Total 2 2 2 9" xfId="2302"/>
    <cellStyle name="Total 2 2 2 9 2" xfId="5155"/>
    <cellStyle name="Total 2 2 2 9 2 2" xfId="24127"/>
    <cellStyle name="Total 2 2 2 9 2 3" xfId="34972"/>
    <cellStyle name="Total 2 2 2 9 2 4" xfId="14919"/>
    <cellStyle name="Total 2 2 2 9 3" xfId="7826"/>
    <cellStyle name="Total 2 2 2 9 3 2" xfId="26798"/>
    <cellStyle name="Total 2 2 2 9 3 3" xfId="37643"/>
    <cellStyle name="Total 2 2 2 9 3 4" xfId="16832"/>
    <cellStyle name="Total 2 2 2 9 4" xfId="10485"/>
    <cellStyle name="Total 2 2 2 9 4 2" xfId="29457"/>
    <cellStyle name="Total 2 2 2 9 4 3" xfId="40302"/>
    <cellStyle name="Total 2 2 2 9 4 4" xfId="18736"/>
    <cellStyle name="Total 2 2 2 9 5" xfId="21281"/>
    <cellStyle name="Total 2 2 2 9 6" xfId="32126"/>
    <cellStyle name="Total 2 2 2 9 7" xfId="12882"/>
    <cellStyle name="Total 2 2 3" xfId="582"/>
    <cellStyle name="Total 2 2 3 10" xfId="19592"/>
    <cellStyle name="Total 2 2 3 11" xfId="30437"/>
    <cellStyle name="Total 2 2 3 12" xfId="11646"/>
    <cellStyle name="Total 2 2 3 2" xfId="1188"/>
    <cellStyle name="Total 2 2 3 2 2" xfId="4041"/>
    <cellStyle name="Total 2 2 3 2 2 2" xfId="23013"/>
    <cellStyle name="Total 2 2 3 2 2 3" xfId="33858"/>
    <cellStyle name="Total 2 2 3 2 2 4" xfId="14123"/>
    <cellStyle name="Total 2 2 3 2 3" xfId="6714"/>
    <cellStyle name="Total 2 2 3 2 3 2" xfId="25686"/>
    <cellStyle name="Total 2 2 3 2 3 3" xfId="36531"/>
    <cellStyle name="Total 2 2 3 2 3 4" xfId="16038"/>
    <cellStyle name="Total 2 2 3 2 4" xfId="9373"/>
    <cellStyle name="Total 2 2 3 2 4 2" xfId="28345"/>
    <cellStyle name="Total 2 2 3 2 4 3" xfId="39190"/>
    <cellStyle name="Total 2 2 3 2 4 4" xfId="17942"/>
    <cellStyle name="Total 2 2 3 2 5" xfId="20169"/>
    <cellStyle name="Total 2 2 3 2 6" xfId="31014"/>
    <cellStyle name="Total 2 2 3 2 7" xfId="12088"/>
    <cellStyle name="Total 2 2 3 3" xfId="1585"/>
    <cellStyle name="Total 2 2 3 3 2" xfId="4438"/>
    <cellStyle name="Total 2 2 3 3 2 2" xfId="23410"/>
    <cellStyle name="Total 2 2 3 3 2 3" xfId="34255"/>
    <cellStyle name="Total 2 2 3 3 2 4" xfId="14409"/>
    <cellStyle name="Total 2 2 3 3 3" xfId="7110"/>
    <cellStyle name="Total 2 2 3 3 3 2" xfId="26082"/>
    <cellStyle name="Total 2 2 3 3 3 3" xfId="36927"/>
    <cellStyle name="Total 2 2 3 3 3 4" xfId="16323"/>
    <cellStyle name="Total 2 2 3 3 4" xfId="9769"/>
    <cellStyle name="Total 2 2 3 3 4 2" xfId="28741"/>
    <cellStyle name="Total 2 2 3 3 4 3" xfId="39586"/>
    <cellStyle name="Total 2 2 3 3 4 4" xfId="18227"/>
    <cellStyle name="Total 2 2 3 3 5" xfId="20565"/>
    <cellStyle name="Total 2 2 3 3 6" xfId="31410"/>
    <cellStyle name="Total 2 2 3 3 7" xfId="12373"/>
    <cellStyle name="Total 2 2 3 4" xfId="1989"/>
    <cellStyle name="Total 2 2 3 4 2" xfId="4842"/>
    <cellStyle name="Total 2 2 3 4 2 2" xfId="23814"/>
    <cellStyle name="Total 2 2 3 4 2 3" xfId="34659"/>
    <cellStyle name="Total 2 2 3 4 2 4" xfId="14697"/>
    <cellStyle name="Total 2 2 3 4 3" xfId="7514"/>
    <cellStyle name="Total 2 2 3 4 3 2" xfId="26486"/>
    <cellStyle name="Total 2 2 3 4 3 3" xfId="37331"/>
    <cellStyle name="Total 2 2 3 4 3 4" xfId="16611"/>
    <cellStyle name="Total 2 2 3 4 4" xfId="10173"/>
    <cellStyle name="Total 2 2 3 4 4 2" xfId="29145"/>
    <cellStyle name="Total 2 2 3 4 4 3" xfId="39990"/>
    <cellStyle name="Total 2 2 3 4 4 4" xfId="18515"/>
    <cellStyle name="Total 2 2 3 4 5" xfId="20969"/>
    <cellStyle name="Total 2 2 3 4 6" xfId="31814"/>
    <cellStyle name="Total 2 2 3 4 7" xfId="12661"/>
    <cellStyle name="Total 2 2 3 5" xfId="2381"/>
    <cellStyle name="Total 2 2 3 5 2" xfId="5234"/>
    <cellStyle name="Total 2 2 3 5 2 2" xfId="24206"/>
    <cellStyle name="Total 2 2 3 5 2 3" xfId="35051"/>
    <cellStyle name="Total 2 2 3 5 2 4" xfId="14978"/>
    <cellStyle name="Total 2 2 3 5 3" xfId="7905"/>
    <cellStyle name="Total 2 2 3 5 3 2" xfId="26877"/>
    <cellStyle name="Total 2 2 3 5 3 3" xfId="37722"/>
    <cellStyle name="Total 2 2 3 5 3 4" xfId="16891"/>
    <cellStyle name="Total 2 2 3 5 4" xfId="10564"/>
    <cellStyle name="Total 2 2 3 5 4 2" xfId="29536"/>
    <cellStyle name="Total 2 2 3 5 4 3" xfId="40381"/>
    <cellStyle name="Total 2 2 3 5 4 4" xfId="18795"/>
    <cellStyle name="Total 2 2 3 5 5" xfId="21360"/>
    <cellStyle name="Total 2 2 3 5 6" xfId="32205"/>
    <cellStyle name="Total 2 2 3 5 7" xfId="12941"/>
    <cellStyle name="Total 2 2 3 6" xfId="2770"/>
    <cellStyle name="Total 2 2 3 6 2" xfId="5622"/>
    <cellStyle name="Total 2 2 3 6 2 2" xfId="24594"/>
    <cellStyle name="Total 2 2 3 6 2 3" xfId="35439"/>
    <cellStyle name="Total 2 2 3 6 2 4" xfId="15256"/>
    <cellStyle name="Total 2 2 3 6 3" xfId="8293"/>
    <cellStyle name="Total 2 2 3 6 3 2" xfId="27265"/>
    <cellStyle name="Total 2 2 3 6 3 3" xfId="38110"/>
    <cellStyle name="Total 2 2 3 6 3 4" xfId="17169"/>
    <cellStyle name="Total 2 2 3 6 4" xfId="10952"/>
    <cellStyle name="Total 2 2 3 6 4 2" xfId="29924"/>
    <cellStyle name="Total 2 2 3 6 4 3" xfId="40769"/>
    <cellStyle name="Total 2 2 3 6 4 4" xfId="19073"/>
    <cellStyle name="Total 2 2 3 6 5" xfId="21748"/>
    <cellStyle name="Total 2 2 3 6 6" xfId="32593"/>
    <cellStyle name="Total 2 2 3 6 7" xfId="13219"/>
    <cellStyle name="Total 2 2 3 7" xfId="3461"/>
    <cellStyle name="Total 2 2 3 7 2" xfId="22433"/>
    <cellStyle name="Total 2 2 3 7 3" xfId="33278"/>
    <cellStyle name="Total 2 2 3 7 4" xfId="13701"/>
    <cellStyle name="Total 2 2 3 8" xfId="6137"/>
    <cellStyle name="Total 2 2 3 8 2" xfId="25109"/>
    <cellStyle name="Total 2 2 3 8 3" xfId="35954"/>
    <cellStyle name="Total 2 2 3 8 4" xfId="15618"/>
    <cellStyle name="Total 2 2 3 9" xfId="8796"/>
    <cellStyle name="Total 2 2 3 9 2" xfId="27768"/>
    <cellStyle name="Total 2 2 3 9 3" xfId="38613"/>
    <cellStyle name="Total 2 2 3 9 4" xfId="17522"/>
    <cellStyle name="Total 2 2 4" xfId="11475"/>
    <cellStyle name="Total 2 3" xfId="157"/>
    <cellStyle name="Total 2 3 2" xfId="401"/>
    <cellStyle name="Total 2 3 2 10" xfId="2692"/>
    <cellStyle name="Total 2 3 2 10 2" xfId="5544"/>
    <cellStyle name="Total 2 3 2 10 2 2" xfId="24516"/>
    <cellStyle name="Total 2 3 2 10 2 3" xfId="35361"/>
    <cellStyle name="Total 2 3 2 10 2 4" xfId="15198"/>
    <cellStyle name="Total 2 3 2 10 3" xfId="8215"/>
    <cellStyle name="Total 2 3 2 10 3 2" xfId="27187"/>
    <cellStyle name="Total 2 3 2 10 3 3" xfId="38032"/>
    <cellStyle name="Total 2 3 2 10 3 4" xfId="17111"/>
    <cellStyle name="Total 2 3 2 10 4" xfId="10874"/>
    <cellStyle name="Total 2 3 2 10 4 2" xfId="29846"/>
    <cellStyle name="Total 2 3 2 10 4 3" xfId="40691"/>
    <cellStyle name="Total 2 3 2 10 4 4" xfId="19015"/>
    <cellStyle name="Total 2 3 2 10 5" xfId="21670"/>
    <cellStyle name="Total 2 3 2 10 6" xfId="32515"/>
    <cellStyle name="Total 2 3 2 10 7" xfId="13161"/>
    <cellStyle name="Total 2 3 2 11" xfId="3078"/>
    <cellStyle name="Total 2 3 2 11 2" xfId="5929"/>
    <cellStyle name="Total 2 3 2 11 2 2" xfId="24901"/>
    <cellStyle name="Total 2 3 2 11 2 3" xfId="35746"/>
    <cellStyle name="Total 2 3 2 11 2 4" xfId="15474"/>
    <cellStyle name="Total 2 3 2 11 3" xfId="8600"/>
    <cellStyle name="Total 2 3 2 11 3 2" xfId="27572"/>
    <cellStyle name="Total 2 3 2 11 3 3" xfId="38417"/>
    <cellStyle name="Total 2 3 2 11 3 4" xfId="17387"/>
    <cellStyle name="Total 2 3 2 11 4" xfId="11259"/>
    <cellStyle name="Total 2 3 2 11 4 2" xfId="30231"/>
    <cellStyle name="Total 2 3 2 11 4 3" xfId="41076"/>
    <cellStyle name="Total 2 3 2 11 4 4" xfId="19291"/>
    <cellStyle name="Total 2 3 2 11 5" xfId="22055"/>
    <cellStyle name="Total 2 3 2 11 6" xfId="32900"/>
    <cellStyle name="Total 2 3 2 11 7" xfId="13437"/>
    <cellStyle name="Total 2 3 2 12" xfId="3135"/>
    <cellStyle name="Total 2 3 2 12 2" xfId="5986"/>
    <cellStyle name="Total 2 3 2 12 2 2" xfId="24958"/>
    <cellStyle name="Total 2 3 2 12 2 3" xfId="35803"/>
    <cellStyle name="Total 2 3 2 12 2 4" xfId="15511"/>
    <cellStyle name="Total 2 3 2 12 3" xfId="8657"/>
    <cellStyle name="Total 2 3 2 12 3 2" xfId="27629"/>
    <cellStyle name="Total 2 3 2 12 3 3" xfId="38474"/>
    <cellStyle name="Total 2 3 2 12 3 4" xfId="17424"/>
    <cellStyle name="Total 2 3 2 12 4" xfId="11316"/>
    <cellStyle name="Total 2 3 2 12 4 2" xfId="30288"/>
    <cellStyle name="Total 2 3 2 12 4 3" xfId="41133"/>
    <cellStyle name="Total 2 3 2 12 4 4" xfId="19328"/>
    <cellStyle name="Total 2 3 2 12 5" xfId="22112"/>
    <cellStyle name="Total 2 3 2 12 6" xfId="32957"/>
    <cellStyle name="Total 2 3 2 12 7" xfId="13474"/>
    <cellStyle name="Total 2 3 2 13" xfId="3192"/>
    <cellStyle name="Total 2 3 2 13 2" xfId="6043"/>
    <cellStyle name="Total 2 3 2 13 2 2" xfId="25015"/>
    <cellStyle name="Total 2 3 2 13 2 3" xfId="35860"/>
    <cellStyle name="Total 2 3 2 13 2 4" xfId="15548"/>
    <cellStyle name="Total 2 3 2 13 3" xfId="8714"/>
    <cellStyle name="Total 2 3 2 13 3 2" xfId="27686"/>
    <cellStyle name="Total 2 3 2 13 3 3" xfId="38531"/>
    <cellStyle name="Total 2 3 2 13 3 4" xfId="17461"/>
    <cellStyle name="Total 2 3 2 13 4" xfId="11373"/>
    <cellStyle name="Total 2 3 2 13 4 2" xfId="30345"/>
    <cellStyle name="Total 2 3 2 13 4 3" xfId="41190"/>
    <cellStyle name="Total 2 3 2 13 4 4" xfId="19365"/>
    <cellStyle name="Total 2 3 2 13 5" xfId="22169"/>
    <cellStyle name="Total 2 3 2 13 6" xfId="33014"/>
    <cellStyle name="Total 2 3 2 13 7" xfId="13511"/>
    <cellStyle name="Total 2 3 2 14" xfId="3359"/>
    <cellStyle name="Total 2 3 2 14 2" xfId="22333"/>
    <cellStyle name="Total 2 3 2 14 3" xfId="33178"/>
    <cellStyle name="Total 2 3 2 14 4" xfId="13628"/>
    <cellStyle name="Total 2 3 2 15" xfId="3391"/>
    <cellStyle name="Total 2 3 2 15 2" xfId="22363"/>
    <cellStyle name="Total 2 3 2 15 3" xfId="33208"/>
    <cellStyle name="Total 2 3 2 15 4" xfId="13645"/>
    <cellStyle name="Total 2 3 2 16" xfId="3317"/>
    <cellStyle name="Total 2 3 2 16 2" xfId="22291"/>
    <cellStyle name="Total 2 3 2 16 3" xfId="33136"/>
    <cellStyle name="Total 2 3 2 16 4" xfId="13600"/>
    <cellStyle name="Total 2 3 2 17" xfId="19489"/>
    <cellStyle name="Total 2 3 2 18" xfId="19390"/>
    <cellStyle name="Total 2 3 2 19" xfId="11538"/>
    <cellStyle name="Total 2 3 2 2" xfId="700"/>
    <cellStyle name="Total 2 3 2 2 10" xfId="19685"/>
    <cellStyle name="Total 2 3 2 2 11" xfId="30530"/>
    <cellStyle name="Total 2 3 2 2 12" xfId="11742"/>
    <cellStyle name="Total 2 3 2 2 2" xfId="1287"/>
    <cellStyle name="Total 2 3 2 2 2 2" xfId="4140"/>
    <cellStyle name="Total 2 3 2 2 2 2 2" xfId="23112"/>
    <cellStyle name="Total 2 3 2 2 2 2 3" xfId="33957"/>
    <cellStyle name="Total 2 3 2 2 2 2 4" xfId="14203"/>
    <cellStyle name="Total 2 3 2 2 2 3" xfId="6813"/>
    <cellStyle name="Total 2 3 2 2 2 3 2" xfId="25785"/>
    <cellStyle name="Total 2 3 2 2 2 3 3" xfId="36630"/>
    <cellStyle name="Total 2 3 2 2 2 3 4" xfId="16118"/>
    <cellStyle name="Total 2 3 2 2 2 4" xfId="9472"/>
    <cellStyle name="Total 2 3 2 2 2 4 2" xfId="28444"/>
    <cellStyle name="Total 2 3 2 2 2 4 3" xfId="39289"/>
    <cellStyle name="Total 2 3 2 2 2 4 4" xfId="18022"/>
    <cellStyle name="Total 2 3 2 2 2 5" xfId="20268"/>
    <cellStyle name="Total 2 3 2 2 2 6" xfId="31113"/>
    <cellStyle name="Total 2 3 2 2 2 7" xfId="12168"/>
    <cellStyle name="Total 2 3 2 2 3" xfId="1686"/>
    <cellStyle name="Total 2 3 2 2 3 2" xfId="4539"/>
    <cellStyle name="Total 2 3 2 2 3 2 2" xfId="23511"/>
    <cellStyle name="Total 2 3 2 2 3 2 3" xfId="34356"/>
    <cellStyle name="Total 2 3 2 2 3 2 4" xfId="14490"/>
    <cellStyle name="Total 2 3 2 2 3 3" xfId="7211"/>
    <cellStyle name="Total 2 3 2 2 3 3 2" xfId="26183"/>
    <cellStyle name="Total 2 3 2 2 3 3 3" xfId="37028"/>
    <cellStyle name="Total 2 3 2 2 3 3 4" xfId="16404"/>
    <cellStyle name="Total 2 3 2 2 3 4" xfId="9870"/>
    <cellStyle name="Total 2 3 2 2 3 4 2" xfId="28842"/>
    <cellStyle name="Total 2 3 2 2 3 4 3" xfId="39687"/>
    <cellStyle name="Total 2 3 2 2 3 4 4" xfId="18308"/>
    <cellStyle name="Total 2 3 2 2 3 5" xfId="20666"/>
    <cellStyle name="Total 2 3 2 2 3 6" xfId="31511"/>
    <cellStyle name="Total 2 3 2 2 3 7" xfId="12454"/>
    <cellStyle name="Total 2 3 2 2 4" xfId="2090"/>
    <cellStyle name="Total 2 3 2 2 4 2" xfId="4943"/>
    <cellStyle name="Total 2 3 2 2 4 2 2" xfId="23915"/>
    <cellStyle name="Total 2 3 2 2 4 2 3" xfId="34760"/>
    <cellStyle name="Total 2 3 2 2 4 2 4" xfId="14777"/>
    <cellStyle name="Total 2 3 2 2 4 3" xfId="7614"/>
    <cellStyle name="Total 2 3 2 2 4 3 2" xfId="26586"/>
    <cellStyle name="Total 2 3 2 2 4 3 3" xfId="37431"/>
    <cellStyle name="Total 2 3 2 2 4 3 4" xfId="16690"/>
    <cellStyle name="Total 2 3 2 2 4 4" xfId="10273"/>
    <cellStyle name="Total 2 3 2 2 4 4 2" xfId="29245"/>
    <cellStyle name="Total 2 3 2 2 4 4 3" xfId="40090"/>
    <cellStyle name="Total 2 3 2 2 4 4 4" xfId="18594"/>
    <cellStyle name="Total 2 3 2 2 4 5" xfId="21069"/>
    <cellStyle name="Total 2 3 2 2 4 6" xfId="31914"/>
    <cellStyle name="Total 2 3 2 2 4 7" xfId="12740"/>
    <cellStyle name="Total 2 3 2 2 5" xfId="2480"/>
    <cellStyle name="Total 2 3 2 2 5 2" xfId="5332"/>
    <cellStyle name="Total 2 3 2 2 5 2 2" xfId="24304"/>
    <cellStyle name="Total 2 3 2 2 5 2 3" xfId="35149"/>
    <cellStyle name="Total 2 3 2 2 5 2 4" xfId="15056"/>
    <cellStyle name="Total 2 3 2 2 5 3" xfId="8003"/>
    <cellStyle name="Total 2 3 2 2 5 3 2" xfId="26975"/>
    <cellStyle name="Total 2 3 2 2 5 3 3" xfId="37820"/>
    <cellStyle name="Total 2 3 2 2 5 3 4" xfId="16969"/>
    <cellStyle name="Total 2 3 2 2 5 4" xfId="10662"/>
    <cellStyle name="Total 2 3 2 2 5 4 2" xfId="29634"/>
    <cellStyle name="Total 2 3 2 2 5 4 3" xfId="40479"/>
    <cellStyle name="Total 2 3 2 2 5 4 4" xfId="18873"/>
    <cellStyle name="Total 2 3 2 2 5 5" xfId="21458"/>
    <cellStyle name="Total 2 3 2 2 5 6" xfId="32303"/>
    <cellStyle name="Total 2 3 2 2 5 7" xfId="13019"/>
    <cellStyle name="Total 2 3 2 2 6" xfId="2866"/>
    <cellStyle name="Total 2 3 2 2 6 2" xfId="5717"/>
    <cellStyle name="Total 2 3 2 2 6 2 2" xfId="24689"/>
    <cellStyle name="Total 2 3 2 2 6 2 3" xfId="35534"/>
    <cellStyle name="Total 2 3 2 2 6 2 4" xfId="15332"/>
    <cellStyle name="Total 2 3 2 2 6 3" xfId="8388"/>
    <cellStyle name="Total 2 3 2 2 6 3 2" xfId="27360"/>
    <cellStyle name="Total 2 3 2 2 6 3 3" xfId="38205"/>
    <cellStyle name="Total 2 3 2 2 6 3 4" xfId="17245"/>
    <cellStyle name="Total 2 3 2 2 6 4" xfId="11047"/>
    <cellStyle name="Total 2 3 2 2 6 4 2" xfId="30019"/>
    <cellStyle name="Total 2 3 2 2 6 4 3" xfId="40864"/>
    <cellStyle name="Total 2 3 2 2 6 4 4" xfId="19149"/>
    <cellStyle name="Total 2 3 2 2 6 5" xfId="21843"/>
    <cellStyle name="Total 2 3 2 2 6 6" xfId="32688"/>
    <cellStyle name="Total 2 3 2 2 6 7" xfId="13295"/>
    <cellStyle name="Total 2 3 2 2 7" xfId="3555"/>
    <cellStyle name="Total 2 3 2 2 7 2" xfId="22527"/>
    <cellStyle name="Total 2 3 2 2 7 3" xfId="33372"/>
    <cellStyle name="Total 2 3 2 2 7 4" xfId="13776"/>
    <cellStyle name="Total 2 3 2 2 8" xfId="6230"/>
    <cellStyle name="Total 2 3 2 2 8 2" xfId="25202"/>
    <cellStyle name="Total 2 3 2 2 8 3" xfId="36047"/>
    <cellStyle name="Total 2 3 2 2 8 4" xfId="15692"/>
    <cellStyle name="Total 2 3 2 2 9" xfId="8889"/>
    <cellStyle name="Total 2 3 2 2 9 2" xfId="27861"/>
    <cellStyle name="Total 2 3 2 2 9 3" xfId="38706"/>
    <cellStyle name="Total 2 3 2 2 9 4" xfId="17596"/>
    <cellStyle name="Total 2 3 2 3" xfId="760"/>
    <cellStyle name="Total 2 3 2 3 10" xfId="19745"/>
    <cellStyle name="Total 2 3 2 3 11" xfId="30590"/>
    <cellStyle name="Total 2 3 2 3 12" xfId="11782"/>
    <cellStyle name="Total 2 3 2 3 2" xfId="1347"/>
    <cellStyle name="Total 2 3 2 3 2 2" xfId="4200"/>
    <cellStyle name="Total 2 3 2 3 2 2 2" xfId="23172"/>
    <cellStyle name="Total 2 3 2 3 2 2 3" xfId="34017"/>
    <cellStyle name="Total 2 3 2 3 2 2 4" xfId="14243"/>
    <cellStyle name="Total 2 3 2 3 2 3" xfId="6873"/>
    <cellStyle name="Total 2 3 2 3 2 3 2" xfId="25845"/>
    <cellStyle name="Total 2 3 2 3 2 3 3" xfId="36690"/>
    <cellStyle name="Total 2 3 2 3 2 3 4" xfId="16158"/>
    <cellStyle name="Total 2 3 2 3 2 4" xfId="9532"/>
    <cellStyle name="Total 2 3 2 3 2 4 2" xfId="28504"/>
    <cellStyle name="Total 2 3 2 3 2 4 3" xfId="39349"/>
    <cellStyle name="Total 2 3 2 3 2 4 4" xfId="18062"/>
    <cellStyle name="Total 2 3 2 3 2 5" xfId="20328"/>
    <cellStyle name="Total 2 3 2 3 2 6" xfId="31173"/>
    <cellStyle name="Total 2 3 2 3 2 7" xfId="12208"/>
    <cellStyle name="Total 2 3 2 3 3" xfId="1746"/>
    <cellStyle name="Total 2 3 2 3 3 2" xfId="4599"/>
    <cellStyle name="Total 2 3 2 3 3 2 2" xfId="23571"/>
    <cellStyle name="Total 2 3 2 3 3 2 3" xfId="34416"/>
    <cellStyle name="Total 2 3 2 3 3 2 4" xfId="14530"/>
    <cellStyle name="Total 2 3 2 3 3 3" xfId="7271"/>
    <cellStyle name="Total 2 3 2 3 3 3 2" xfId="26243"/>
    <cellStyle name="Total 2 3 2 3 3 3 3" xfId="37088"/>
    <cellStyle name="Total 2 3 2 3 3 3 4" xfId="16444"/>
    <cellStyle name="Total 2 3 2 3 3 4" xfId="9930"/>
    <cellStyle name="Total 2 3 2 3 3 4 2" xfId="28902"/>
    <cellStyle name="Total 2 3 2 3 3 4 3" xfId="39747"/>
    <cellStyle name="Total 2 3 2 3 3 4 4" xfId="18348"/>
    <cellStyle name="Total 2 3 2 3 3 5" xfId="20726"/>
    <cellStyle name="Total 2 3 2 3 3 6" xfId="31571"/>
    <cellStyle name="Total 2 3 2 3 3 7" xfId="12494"/>
    <cellStyle name="Total 2 3 2 3 4" xfId="2150"/>
    <cellStyle name="Total 2 3 2 3 4 2" xfId="5003"/>
    <cellStyle name="Total 2 3 2 3 4 2 2" xfId="23975"/>
    <cellStyle name="Total 2 3 2 3 4 2 3" xfId="34820"/>
    <cellStyle name="Total 2 3 2 3 4 2 4" xfId="14817"/>
    <cellStyle name="Total 2 3 2 3 4 3" xfId="7674"/>
    <cellStyle name="Total 2 3 2 3 4 3 2" xfId="26646"/>
    <cellStyle name="Total 2 3 2 3 4 3 3" xfId="37491"/>
    <cellStyle name="Total 2 3 2 3 4 3 4" xfId="16730"/>
    <cellStyle name="Total 2 3 2 3 4 4" xfId="10333"/>
    <cellStyle name="Total 2 3 2 3 4 4 2" xfId="29305"/>
    <cellStyle name="Total 2 3 2 3 4 4 3" xfId="40150"/>
    <cellStyle name="Total 2 3 2 3 4 4 4" xfId="18634"/>
    <cellStyle name="Total 2 3 2 3 4 5" xfId="21129"/>
    <cellStyle name="Total 2 3 2 3 4 6" xfId="31974"/>
    <cellStyle name="Total 2 3 2 3 4 7" xfId="12780"/>
    <cellStyle name="Total 2 3 2 3 5" xfId="2540"/>
    <cellStyle name="Total 2 3 2 3 5 2" xfId="5392"/>
    <cellStyle name="Total 2 3 2 3 5 2 2" xfId="24364"/>
    <cellStyle name="Total 2 3 2 3 5 2 3" xfId="35209"/>
    <cellStyle name="Total 2 3 2 3 5 2 4" xfId="15096"/>
    <cellStyle name="Total 2 3 2 3 5 3" xfId="8063"/>
    <cellStyle name="Total 2 3 2 3 5 3 2" xfId="27035"/>
    <cellStyle name="Total 2 3 2 3 5 3 3" xfId="37880"/>
    <cellStyle name="Total 2 3 2 3 5 3 4" xfId="17009"/>
    <cellStyle name="Total 2 3 2 3 5 4" xfId="10722"/>
    <cellStyle name="Total 2 3 2 3 5 4 2" xfId="29694"/>
    <cellStyle name="Total 2 3 2 3 5 4 3" xfId="40539"/>
    <cellStyle name="Total 2 3 2 3 5 4 4" xfId="18913"/>
    <cellStyle name="Total 2 3 2 3 5 5" xfId="21518"/>
    <cellStyle name="Total 2 3 2 3 5 6" xfId="32363"/>
    <cellStyle name="Total 2 3 2 3 5 7" xfId="13059"/>
    <cellStyle name="Total 2 3 2 3 6" xfId="2926"/>
    <cellStyle name="Total 2 3 2 3 6 2" xfId="5777"/>
    <cellStyle name="Total 2 3 2 3 6 2 2" xfId="24749"/>
    <cellStyle name="Total 2 3 2 3 6 2 3" xfId="35594"/>
    <cellStyle name="Total 2 3 2 3 6 2 4" xfId="15372"/>
    <cellStyle name="Total 2 3 2 3 6 3" xfId="8448"/>
    <cellStyle name="Total 2 3 2 3 6 3 2" xfId="27420"/>
    <cellStyle name="Total 2 3 2 3 6 3 3" xfId="38265"/>
    <cellStyle name="Total 2 3 2 3 6 3 4" xfId="17285"/>
    <cellStyle name="Total 2 3 2 3 6 4" xfId="11107"/>
    <cellStyle name="Total 2 3 2 3 6 4 2" xfId="30079"/>
    <cellStyle name="Total 2 3 2 3 6 4 3" xfId="40924"/>
    <cellStyle name="Total 2 3 2 3 6 4 4" xfId="19189"/>
    <cellStyle name="Total 2 3 2 3 6 5" xfId="21903"/>
    <cellStyle name="Total 2 3 2 3 6 6" xfId="32748"/>
    <cellStyle name="Total 2 3 2 3 6 7" xfId="13335"/>
    <cellStyle name="Total 2 3 2 3 7" xfId="3615"/>
    <cellStyle name="Total 2 3 2 3 7 2" xfId="22587"/>
    <cellStyle name="Total 2 3 2 3 7 3" xfId="33432"/>
    <cellStyle name="Total 2 3 2 3 7 4" xfId="13816"/>
    <cellStyle name="Total 2 3 2 3 8" xfId="6290"/>
    <cellStyle name="Total 2 3 2 3 8 2" xfId="25262"/>
    <cellStyle name="Total 2 3 2 3 8 3" xfId="36107"/>
    <cellStyle name="Total 2 3 2 3 8 4" xfId="15732"/>
    <cellStyle name="Total 2 3 2 3 9" xfId="8949"/>
    <cellStyle name="Total 2 3 2 3 9 2" xfId="27921"/>
    <cellStyle name="Total 2 3 2 3 9 3" xfId="38766"/>
    <cellStyle name="Total 2 3 2 3 9 4" xfId="17636"/>
    <cellStyle name="Total 2 3 2 4" xfId="820"/>
    <cellStyle name="Total 2 3 2 4 10" xfId="19805"/>
    <cellStyle name="Total 2 3 2 4 11" xfId="30650"/>
    <cellStyle name="Total 2 3 2 4 12" xfId="11822"/>
    <cellStyle name="Total 2 3 2 4 2" xfId="1407"/>
    <cellStyle name="Total 2 3 2 4 2 2" xfId="4260"/>
    <cellStyle name="Total 2 3 2 4 2 2 2" xfId="23232"/>
    <cellStyle name="Total 2 3 2 4 2 2 3" xfId="34077"/>
    <cellStyle name="Total 2 3 2 4 2 2 4" xfId="14283"/>
    <cellStyle name="Total 2 3 2 4 2 3" xfId="6933"/>
    <cellStyle name="Total 2 3 2 4 2 3 2" xfId="25905"/>
    <cellStyle name="Total 2 3 2 4 2 3 3" xfId="36750"/>
    <cellStyle name="Total 2 3 2 4 2 3 4" xfId="16198"/>
    <cellStyle name="Total 2 3 2 4 2 4" xfId="9592"/>
    <cellStyle name="Total 2 3 2 4 2 4 2" xfId="28564"/>
    <cellStyle name="Total 2 3 2 4 2 4 3" xfId="39409"/>
    <cellStyle name="Total 2 3 2 4 2 4 4" xfId="18102"/>
    <cellStyle name="Total 2 3 2 4 2 5" xfId="20388"/>
    <cellStyle name="Total 2 3 2 4 2 6" xfId="31233"/>
    <cellStyle name="Total 2 3 2 4 2 7" xfId="12248"/>
    <cellStyle name="Total 2 3 2 4 3" xfId="1806"/>
    <cellStyle name="Total 2 3 2 4 3 2" xfId="4659"/>
    <cellStyle name="Total 2 3 2 4 3 2 2" xfId="23631"/>
    <cellStyle name="Total 2 3 2 4 3 2 3" xfId="34476"/>
    <cellStyle name="Total 2 3 2 4 3 2 4" xfId="14570"/>
    <cellStyle name="Total 2 3 2 4 3 3" xfId="7331"/>
    <cellStyle name="Total 2 3 2 4 3 3 2" xfId="26303"/>
    <cellStyle name="Total 2 3 2 4 3 3 3" xfId="37148"/>
    <cellStyle name="Total 2 3 2 4 3 3 4" xfId="16484"/>
    <cellStyle name="Total 2 3 2 4 3 4" xfId="9990"/>
    <cellStyle name="Total 2 3 2 4 3 4 2" xfId="28962"/>
    <cellStyle name="Total 2 3 2 4 3 4 3" xfId="39807"/>
    <cellStyle name="Total 2 3 2 4 3 4 4" xfId="18388"/>
    <cellStyle name="Total 2 3 2 4 3 5" xfId="20786"/>
    <cellStyle name="Total 2 3 2 4 3 6" xfId="31631"/>
    <cellStyle name="Total 2 3 2 4 3 7" xfId="12534"/>
    <cellStyle name="Total 2 3 2 4 4" xfId="2210"/>
    <cellStyle name="Total 2 3 2 4 4 2" xfId="5063"/>
    <cellStyle name="Total 2 3 2 4 4 2 2" xfId="24035"/>
    <cellStyle name="Total 2 3 2 4 4 2 3" xfId="34880"/>
    <cellStyle name="Total 2 3 2 4 4 2 4" xfId="14857"/>
    <cellStyle name="Total 2 3 2 4 4 3" xfId="7734"/>
    <cellStyle name="Total 2 3 2 4 4 3 2" xfId="26706"/>
    <cellStyle name="Total 2 3 2 4 4 3 3" xfId="37551"/>
    <cellStyle name="Total 2 3 2 4 4 3 4" xfId="16770"/>
    <cellStyle name="Total 2 3 2 4 4 4" xfId="10393"/>
    <cellStyle name="Total 2 3 2 4 4 4 2" xfId="29365"/>
    <cellStyle name="Total 2 3 2 4 4 4 3" xfId="40210"/>
    <cellStyle name="Total 2 3 2 4 4 4 4" xfId="18674"/>
    <cellStyle name="Total 2 3 2 4 4 5" xfId="21189"/>
    <cellStyle name="Total 2 3 2 4 4 6" xfId="32034"/>
    <cellStyle name="Total 2 3 2 4 4 7" xfId="12820"/>
    <cellStyle name="Total 2 3 2 4 5" xfId="2600"/>
    <cellStyle name="Total 2 3 2 4 5 2" xfId="5452"/>
    <cellStyle name="Total 2 3 2 4 5 2 2" xfId="24424"/>
    <cellStyle name="Total 2 3 2 4 5 2 3" xfId="35269"/>
    <cellStyle name="Total 2 3 2 4 5 2 4" xfId="15136"/>
    <cellStyle name="Total 2 3 2 4 5 3" xfId="8123"/>
    <cellStyle name="Total 2 3 2 4 5 3 2" xfId="27095"/>
    <cellStyle name="Total 2 3 2 4 5 3 3" xfId="37940"/>
    <cellStyle name="Total 2 3 2 4 5 3 4" xfId="17049"/>
    <cellStyle name="Total 2 3 2 4 5 4" xfId="10782"/>
    <cellStyle name="Total 2 3 2 4 5 4 2" xfId="29754"/>
    <cellStyle name="Total 2 3 2 4 5 4 3" xfId="40599"/>
    <cellStyle name="Total 2 3 2 4 5 4 4" xfId="18953"/>
    <cellStyle name="Total 2 3 2 4 5 5" xfId="21578"/>
    <cellStyle name="Total 2 3 2 4 5 6" xfId="32423"/>
    <cellStyle name="Total 2 3 2 4 5 7" xfId="13099"/>
    <cellStyle name="Total 2 3 2 4 6" xfId="2986"/>
    <cellStyle name="Total 2 3 2 4 6 2" xfId="5837"/>
    <cellStyle name="Total 2 3 2 4 6 2 2" xfId="24809"/>
    <cellStyle name="Total 2 3 2 4 6 2 3" xfId="35654"/>
    <cellStyle name="Total 2 3 2 4 6 2 4" xfId="15412"/>
    <cellStyle name="Total 2 3 2 4 6 3" xfId="8508"/>
    <cellStyle name="Total 2 3 2 4 6 3 2" xfId="27480"/>
    <cellStyle name="Total 2 3 2 4 6 3 3" xfId="38325"/>
    <cellStyle name="Total 2 3 2 4 6 3 4" xfId="17325"/>
    <cellStyle name="Total 2 3 2 4 6 4" xfId="11167"/>
    <cellStyle name="Total 2 3 2 4 6 4 2" xfId="30139"/>
    <cellStyle name="Total 2 3 2 4 6 4 3" xfId="40984"/>
    <cellStyle name="Total 2 3 2 4 6 4 4" xfId="19229"/>
    <cellStyle name="Total 2 3 2 4 6 5" xfId="21963"/>
    <cellStyle name="Total 2 3 2 4 6 6" xfId="32808"/>
    <cellStyle name="Total 2 3 2 4 6 7" xfId="13375"/>
    <cellStyle name="Total 2 3 2 4 7" xfId="3675"/>
    <cellStyle name="Total 2 3 2 4 7 2" xfId="22647"/>
    <cellStyle name="Total 2 3 2 4 7 3" xfId="33492"/>
    <cellStyle name="Total 2 3 2 4 7 4" xfId="13856"/>
    <cellStyle name="Total 2 3 2 4 8" xfId="6350"/>
    <cellStyle name="Total 2 3 2 4 8 2" xfId="25322"/>
    <cellStyle name="Total 2 3 2 4 8 3" xfId="36167"/>
    <cellStyle name="Total 2 3 2 4 8 4" xfId="15772"/>
    <cellStyle name="Total 2 3 2 4 9" xfId="9009"/>
    <cellStyle name="Total 2 3 2 4 9 2" xfId="27981"/>
    <cellStyle name="Total 2 3 2 4 9 3" xfId="38826"/>
    <cellStyle name="Total 2 3 2 4 9 4" xfId="17676"/>
    <cellStyle name="Total 2 3 2 5" xfId="879"/>
    <cellStyle name="Total 2 3 2 5 10" xfId="19864"/>
    <cellStyle name="Total 2 3 2 5 11" xfId="30709"/>
    <cellStyle name="Total 2 3 2 5 12" xfId="11861"/>
    <cellStyle name="Total 2 3 2 5 2" xfId="1466"/>
    <cellStyle name="Total 2 3 2 5 2 2" xfId="4319"/>
    <cellStyle name="Total 2 3 2 5 2 2 2" xfId="23291"/>
    <cellStyle name="Total 2 3 2 5 2 2 3" xfId="34136"/>
    <cellStyle name="Total 2 3 2 5 2 2 4" xfId="14322"/>
    <cellStyle name="Total 2 3 2 5 2 3" xfId="6992"/>
    <cellStyle name="Total 2 3 2 5 2 3 2" xfId="25964"/>
    <cellStyle name="Total 2 3 2 5 2 3 3" xfId="36809"/>
    <cellStyle name="Total 2 3 2 5 2 3 4" xfId="16237"/>
    <cellStyle name="Total 2 3 2 5 2 4" xfId="9651"/>
    <cellStyle name="Total 2 3 2 5 2 4 2" xfId="28623"/>
    <cellStyle name="Total 2 3 2 5 2 4 3" xfId="39468"/>
    <cellStyle name="Total 2 3 2 5 2 4 4" xfId="18141"/>
    <cellStyle name="Total 2 3 2 5 2 5" xfId="20447"/>
    <cellStyle name="Total 2 3 2 5 2 6" xfId="31292"/>
    <cellStyle name="Total 2 3 2 5 2 7" xfId="12287"/>
    <cellStyle name="Total 2 3 2 5 3" xfId="1865"/>
    <cellStyle name="Total 2 3 2 5 3 2" xfId="4718"/>
    <cellStyle name="Total 2 3 2 5 3 2 2" xfId="23690"/>
    <cellStyle name="Total 2 3 2 5 3 2 3" xfId="34535"/>
    <cellStyle name="Total 2 3 2 5 3 2 4" xfId="14609"/>
    <cellStyle name="Total 2 3 2 5 3 3" xfId="7390"/>
    <cellStyle name="Total 2 3 2 5 3 3 2" xfId="26362"/>
    <cellStyle name="Total 2 3 2 5 3 3 3" xfId="37207"/>
    <cellStyle name="Total 2 3 2 5 3 3 4" xfId="16523"/>
    <cellStyle name="Total 2 3 2 5 3 4" xfId="10049"/>
    <cellStyle name="Total 2 3 2 5 3 4 2" xfId="29021"/>
    <cellStyle name="Total 2 3 2 5 3 4 3" xfId="39866"/>
    <cellStyle name="Total 2 3 2 5 3 4 4" xfId="18427"/>
    <cellStyle name="Total 2 3 2 5 3 5" xfId="20845"/>
    <cellStyle name="Total 2 3 2 5 3 6" xfId="31690"/>
    <cellStyle name="Total 2 3 2 5 3 7" xfId="12573"/>
    <cellStyle name="Total 2 3 2 5 4" xfId="2269"/>
    <cellStyle name="Total 2 3 2 5 4 2" xfId="5122"/>
    <cellStyle name="Total 2 3 2 5 4 2 2" xfId="24094"/>
    <cellStyle name="Total 2 3 2 5 4 2 3" xfId="34939"/>
    <cellStyle name="Total 2 3 2 5 4 2 4" xfId="14896"/>
    <cellStyle name="Total 2 3 2 5 4 3" xfId="7793"/>
    <cellStyle name="Total 2 3 2 5 4 3 2" xfId="26765"/>
    <cellStyle name="Total 2 3 2 5 4 3 3" xfId="37610"/>
    <cellStyle name="Total 2 3 2 5 4 3 4" xfId="16809"/>
    <cellStyle name="Total 2 3 2 5 4 4" xfId="10452"/>
    <cellStyle name="Total 2 3 2 5 4 4 2" xfId="29424"/>
    <cellStyle name="Total 2 3 2 5 4 4 3" xfId="40269"/>
    <cellStyle name="Total 2 3 2 5 4 4 4" xfId="18713"/>
    <cellStyle name="Total 2 3 2 5 4 5" xfId="21248"/>
    <cellStyle name="Total 2 3 2 5 4 6" xfId="32093"/>
    <cellStyle name="Total 2 3 2 5 4 7" xfId="12859"/>
    <cellStyle name="Total 2 3 2 5 5" xfId="2659"/>
    <cellStyle name="Total 2 3 2 5 5 2" xfId="5511"/>
    <cellStyle name="Total 2 3 2 5 5 2 2" xfId="24483"/>
    <cellStyle name="Total 2 3 2 5 5 2 3" xfId="35328"/>
    <cellStyle name="Total 2 3 2 5 5 2 4" xfId="15175"/>
    <cellStyle name="Total 2 3 2 5 5 3" xfId="8182"/>
    <cellStyle name="Total 2 3 2 5 5 3 2" xfId="27154"/>
    <cellStyle name="Total 2 3 2 5 5 3 3" xfId="37999"/>
    <cellStyle name="Total 2 3 2 5 5 3 4" xfId="17088"/>
    <cellStyle name="Total 2 3 2 5 5 4" xfId="10841"/>
    <cellStyle name="Total 2 3 2 5 5 4 2" xfId="29813"/>
    <cellStyle name="Total 2 3 2 5 5 4 3" xfId="40658"/>
    <cellStyle name="Total 2 3 2 5 5 4 4" xfId="18992"/>
    <cellStyle name="Total 2 3 2 5 5 5" xfId="21637"/>
    <cellStyle name="Total 2 3 2 5 5 6" xfId="32482"/>
    <cellStyle name="Total 2 3 2 5 5 7" xfId="13138"/>
    <cellStyle name="Total 2 3 2 5 6" xfId="3045"/>
    <cellStyle name="Total 2 3 2 5 6 2" xfId="5896"/>
    <cellStyle name="Total 2 3 2 5 6 2 2" xfId="24868"/>
    <cellStyle name="Total 2 3 2 5 6 2 3" xfId="35713"/>
    <cellStyle name="Total 2 3 2 5 6 2 4" xfId="15451"/>
    <cellStyle name="Total 2 3 2 5 6 3" xfId="8567"/>
    <cellStyle name="Total 2 3 2 5 6 3 2" xfId="27539"/>
    <cellStyle name="Total 2 3 2 5 6 3 3" xfId="38384"/>
    <cellStyle name="Total 2 3 2 5 6 3 4" xfId="17364"/>
    <cellStyle name="Total 2 3 2 5 6 4" xfId="11226"/>
    <cellStyle name="Total 2 3 2 5 6 4 2" xfId="30198"/>
    <cellStyle name="Total 2 3 2 5 6 4 3" xfId="41043"/>
    <cellStyle name="Total 2 3 2 5 6 4 4" xfId="19268"/>
    <cellStyle name="Total 2 3 2 5 6 5" xfId="22022"/>
    <cellStyle name="Total 2 3 2 5 6 6" xfId="32867"/>
    <cellStyle name="Total 2 3 2 5 6 7" xfId="13414"/>
    <cellStyle name="Total 2 3 2 5 7" xfId="3734"/>
    <cellStyle name="Total 2 3 2 5 7 2" xfId="22706"/>
    <cellStyle name="Total 2 3 2 5 7 3" xfId="33551"/>
    <cellStyle name="Total 2 3 2 5 7 4" xfId="13895"/>
    <cellStyle name="Total 2 3 2 5 8" xfId="6409"/>
    <cellStyle name="Total 2 3 2 5 8 2" xfId="25381"/>
    <cellStyle name="Total 2 3 2 5 8 3" xfId="36226"/>
    <cellStyle name="Total 2 3 2 5 8 4" xfId="15811"/>
    <cellStyle name="Total 2 3 2 5 9" xfId="9068"/>
    <cellStyle name="Total 2 3 2 5 9 2" xfId="28040"/>
    <cellStyle name="Total 2 3 2 5 9 3" xfId="38885"/>
    <cellStyle name="Total 2 3 2 5 9 4" xfId="17715"/>
    <cellStyle name="Total 2 3 2 6" xfId="1101"/>
    <cellStyle name="Total 2 3 2 6 2" xfId="3954"/>
    <cellStyle name="Total 2 3 2 6 2 2" xfId="22926"/>
    <cellStyle name="Total 2 3 2 6 2 3" xfId="33771"/>
    <cellStyle name="Total 2 3 2 6 2 4" xfId="14057"/>
    <cellStyle name="Total 2 3 2 6 3" xfId="6628"/>
    <cellStyle name="Total 2 3 2 6 3 2" xfId="25600"/>
    <cellStyle name="Total 2 3 2 6 3 3" xfId="36445"/>
    <cellStyle name="Total 2 3 2 6 3 4" xfId="15973"/>
    <cellStyle name="Total 2 3 2 6 4" xfId="9287"/>
    <cellStyle name="Total 2 3 2 6 4 2" xfId="28259"/>
    <cellStyle name="Total 2 3 2 6 4 3" xfId="39104"/>
    <cellStyle name="Total 2 3 2 6 4 4" xfId="17877"/>
    <cellStyle name="Total 2 3 2 6 5" xfId="20083"/>
    <cellStyle name="Total 2 3 2 6 6" xfId="30928"/>
    <cellStyle name="Total 2 3 2 6 7" xfId="12023"/>
    <cellStyle name="Total 2 3 2 7" xfId="1501"/>
    <cellStyle name="Total 2 3 2 7 2" xfId="4354"/>
    <cellStyle name="Total 2 3 2 7 2 2" xfId="23326"/>
    <cellStyle name="Total 2 3 2 7 2 3" xfId="34171"/>
    <cellStyle name="Total 2 3 2 7 2 4" xfId="14347"/>
    <cellStyle name="Total 2 3 2 7 3" xfId="7027"/>
    <cellStyle name="Total 2 3 2 7 3 2" xfId="25999"/>
    <cellStyle name="Total 2 3 2 7 3 3" xfId="36844"/>
    <cellStyle name="Total 2 3 2 7 3 4" xfId="16262"/>
    <cellStyle name="Total 2 3 2 7 4" xfId="9686"/>
    <cellStyle name="Total 2 3 2 7 4 2" xfId="28658"/>
    <cellStyle name="Total 2 3 2 7 4 3" xfId="39503"/>
    <cellStyle name="Total 2 3 2 7 4 4" xfId="18166"/>
    <cellStyle name="Total 2 3 2 7 5" xfId="20482"/>
    <cellStyle name="Total 2 3 2 7 6" xfId="31327"/>
    <cellStyle name="Total 2 3 2 7 7" xfId="12312"/>
    <cellStyle name="Total 2 3 2 8" xfId="1909"/>
    <cellStyle name="Total 2 3 2 8 2" xfId="4762"/>
    <cellStyle name="Total 2 3 2 8 2 2" xfId="23734"/>
    <cellStyle name="Total 2 3 2 8 2 3" xfId="34579"/>
    <cellStyle name="Total 2 3 2 8 2 4" xfId="14638"/>
    <cellStyle name="Total 2 3 2 8 3" xfId="7434"/>
    <cellStyle name="Total 2 3 2 8 3 2" xfId="26406"/>
    <cellStyle name="Total 2 3 2 8 3 3" xfId="37251"/>
    <cellStyle name="Total 2 3 2 8 3 4" xfId="16552"/>
    <cellStyle name="Total 2 3 2 8 4" xfId="10093"/>
    <cellStyle name="Total 2 3 2 8 4 2" xfId="29065"/>
    <cellStyle name="Total 2 3 2 8 4 3" xfId="39910"/>
    <cellStyle name="Total 2 3 2 8 4 4" xfId="18456"/>
    <cellStyle name="Total 2 3 2 8 5" xfId="20889"/>
    <cellStyle name="Total 2 3 2 8 6" xfId="31734"/>
    <cellStyle name="Total 2 3 2 8 7" xfId="12602"/>
    <cellStyle name="Total 2 3 2 9" xfId="2303"/>
    <cellStyle name="Total 2 3 2 9 2" xfId="5156"/>
    <cellStyle name="Total 2 3 2 9 2 2" xfId="24128"/>
    <cellStyle name="Total 2 3 2 9 2 3" xfId="34973"/>
    <cellStyle name="Total 2 3 2 9 2 4" xfId="14920"/>
    <cellStyle name="Total 2 3 2 9 3" xfId="7827"/>
    <cellStyle name="Total 2 3 2 9 3 2" xfId="26799"/>
    <cellStyle name="Total 2 3 2 9 3 3" xfId="37644"/>
    <cellStyle name="Total 2 3 2 9 3 4" xfId="16833"/>
    <cellStyle name="Total 2 3 2 9 4" xfId="10486"/>
    <cellStyle name="Total 2 3 2 9 4 2" xfId="29458"/>
    <cellStyle name="Total 2 3 2 9 4 3" xfId="40303"/>
    <cellStyle name="Total 2 3 2 9 4 4" xfId="18737"/>
    <cellStyle name="Total 2 3 2 9 5" xfId="21282"/>
    <cellStyle name="Total 2 3 2 9 6" xfId="32127"/>
    <cellStyle name="Total 2 3 2 9 7" xfId="12883"/>
    <cellStyle name="Total 2 3 3" xfId="583"/>
    <cellStyle name="Total 2 3 3 10" xfId="19593"/>
    <cellStyle name="Total 2 3 3 11" xfId="30438"/>
    <cellStyle name="Total 2 3 3 12" xfId="11647"/>
    <cellStyle name="Total 2 3 3 2" xfId="1189"/>
    <cellStyle name="Total 2 3 3 2 2" xfId="4042"/>
    <cellStyle name="Total 2 3 3 2 2 2" xfId="23014"/>
    <cellStyle name="Total 2 3 3 2 2 3" xfId="33859"/>
    <cellStyle name="Total 2 3 3 2 2 4" xfId="14124"/>
    <cellStyle name="Total 2 3 3 2 3" xfId="6715"/>
    <cellStyle name="Total 2 3 3 2 3 2" xfId="25687"/>
    <cellStyle name="Total 2 3 3 2 3 3" xfId="36532"/>
    <cellStyle name="Total 2 3 3 2 3 4" xfId="16039"/>
    <cellStyle name="Total 2 3 3 2 4" xfId="9374"/>
    <cellStyle name="Total 2 3 3 2 4 2" xfId="28346"/>
    <cellStyle name="Total 2 3 3 2 4 3" xfId="39191"/>
    <cellStyle name="Total 2 3 3 2 4 4" xfId="17943"/>
    <cellStyle name="Total 2 3 3 2 5" xfId="20170"/>
    <cellStyle name="Total 2 3 3 2 6" xfId="31015"/>
    <cellStyle name="Total 2 3 3 2 7" xfId="12089"/>
    <cellStyle name="Total 2 3 3 3" xfId="1586"/>
    <cellStyle name="Total 2 3 3 3 2" xfId="4439"/>
    <cellStyle name="Total 2 3 3 3 2 2" xfId="23411"/>
    <cellStyle name="Total 2 3 3 3 2 3" xfId="34256"/>
    <cellStyle name="Total 2 3 3 3 2 4" xfId="14410"/>
    <cellStyle name="Total 2 3 3 3 3" xfId="7111"/>
    <cellStyle name="Total 2 3 3 3 3 2" xfId="26083"/>
    <cellStyle name="Total 2 3 3 3 3 3" xfId="36928"/>
    <cellStyle name="Total 2 3 3 3 3 4" xfId="16324"/>
    <cellStyle name="Total 2 3 3 3 4" xfId="9770"/>
    <cellStyle name="Total 2 3 3 3 4 2" xfId="28742"/>
    <cellStyle name="Total 2 3 3 3 4 3" xfId="39587"/>
    <cellStyle name="Total 2 3 3 3 4 4" xfId="18228"/>
    <cellStyle name="Total 2 3 3 3 5" xfId="20566"/>
    <cellStyle name="Total 2 3 3 3 6" xfId="31411"/>
    <cellStyle name="Total 2 3 3 3 7" xfId="12374"/>
    <cellStyle name="Total 2 3 3 4" xfId="1990"/>
    <cellStyle name="Total 2 3 3 4 2" xfId="4843"/>
    <cellStyle name="Total 2 3 3 4 2 2" xfId="23815"/>
    <cellStyle name="Total 2 3 3 4 2 3" xfId="34660"/>
    <cellStyle name="Total 2 3 3 4 2 4" xfId="14698"/>
    <cellStyle name="Total 2 3 3 4 3" xfId="7515"/>
    <cellStyle name="Total 2 3 3 4 3 2" xfId="26487"/>
    <cellStyle name="Total 2 3 3 4 3 3" xfId="37332"/>
    <cellStyle name="Total 2 3 3 4 3 4" xfId="16612"/>
    <cellStyle name="Total 2 3 3 4 4" xfId="10174"/>
    <cellStyle name="Total 2 3 3 4 4 2" xfId="29146"/>
    <cellStyle name="Total 2 3 3 4 4 3" xfId="39991"/>
    <cellStyle name="Total 2 3 3 4 4 4" xfId="18516"/>
    <cellStyle name="Total 2 3 3 4 5" xfId="20970"/>
    <cellStyle name="Total 2 3 3 4 6" xfId="31815"/>
    <cellStyle name="Total 2 3 3 4 7" xfId="12662"/>
    <cellStyle name="Total 2 3 3 5" xfId="2382"/>
    <cellStyle name="Total 2 3 3 5 2" xfId="5235"/>
    <cellStyle name="Total 2 3 3 5 2 2" xfId="24207"/>
    <cellStyle name="Total 2 3 3 5 2 3" xfId="35052"/>
    <cellStyle name="Total 2 3 3 5 2 4" xfId="14979"/>
    <cellStyle name="Total 2 3 3 5 3" xfId="7906"/>
    <cellStyle name="Total 2 3 3 5 3 2" xfId="26878"/>
    <cellStyle name="Total 2 3 3 5 3 3" xfId="37723"/>
    <cellStyle name="Total 2 3 3 5 3 4" xfId="16892"/>
    <cellStyle name="Total 2 3 3 5 4" xfId="10565"/>
    <cellStyle name="Total 2 3 3 5 4 2" xfId="29537"/>
    <cellStyle name="Total 2 3 3 5 4 3" xfId="40382"/>
    <cellStyle name="Total 2 3 3 5 4 4" xfId="18796"/>
    <cellStyle name="Total 2 3 3 5 5" xfId="21361"/>
    <cellStyle name="Total 2 3 3 5 6" xfId="32206"/>
    <cellStyle name="Total 2 3 3 5 7" xfId="12942"/>
    <cellStyle name="Total 2 3 3 6" xfId="2771"/>
    <cellStyle name="Total 2 3 3 6 2" xfId="5623"/>
    <cellStyle name="Total 2 3 3 6 2 2" xfId="24595"/>
    <cellStyle name="Total 2 3 3 6 2 3" xfId="35440"/>
    <cellStyle name="Total 2 3 3 6 2 4" xfId="15257"/>
    <cellStyle name="Total 2 3 3 6 3" xfId="8294"/>
    <cellStyle name="Total 2 3 3 6 3 2" xfId="27266"/>
    <cellStyle name="Total 2 3 3 6 3 3" xfId="38111"/>
    <cellStyle name="Total 2 3 3 6 3 4" xfId="17170"/>
    <cellStyle name="Total 2 3 3 6 4" xfId="10953"/>
    <cellStyle name="Total 2 3 3 6 4 2" xfId="29925"/>
    <cellStyle name="Total 2 3 3 6 4 3" xfId="40770"/>
    <cellStyle name="Total 2 3 3 6 4 4" xfId="19074"/>
    <cellStyle name="Total 2 3 3 6 5" xfId="21749"/>
    <cellStyle name="Total 2 3 3 6 6" xfId="32594"/>
    <cellStyle name="Total 2 3 3 6 7" xfId="13220"/>
    <cellStyle name="Total 2 3 3 7" xfId="3462"/>
    <cellStyle name="Total 2 3 3 7 2" xfId="22434"/>
    <cellStyle name="Total 2 3 3 7 3" xfId="33279"/>
    <cellStyle name="Total 2 3 3 7 4" xfId="13702"/>
    <cellStyle name="Total 2 3 3 8" xfId="6138"/>
    <cellStyle name="Total 2 3 3 8 2" xfId="25110"/>
    <cellStyle name="Total 2 3 3 8 3" xfId="35955"/>
    <cellStyle name="Total 2 3 3 8 4" xfId="15619"/>
    <cellStyle name="Total 2 3 3 9" xfId="8797"/>
    <cellStyle name="Total 2 3 3 9 2" xfId="27769"/>
    <cellStyle name="Total 2 3 3 9 3" xfId="38614"/>
    <cellStyle name="Total 2 3 3 9 4" xfId="17523"/>
    <cellStyle name="Total 2 3 4" xfId="11476"/>
    <cellStyle name="Total 2 4" xfId="158"/>
    <cellStyle name="Total 2 4 2" xfId="402"/>
    <cellStyle name="Total 2 4 2 10" xfId="2693"/>
    <cellStyle name="Total 2 4 2 10 2" xfId="5545"/>
    <cellStyle name="Total 2 4 2 10 2 2" xfId="24517"/>
    <cellStyle name="Total 2 4 2 10 2 3" xfId="35362"/>
    <cellStyle name="Total 2 4 2 10 2 4" xfId="15199"/>
    <cellStyle name="Total 2 4 2 10 3" xfId="8216"/>
    <cellStyle name="Total 2 4 2 10 3 2" xfId="27188"/>
    <cellStyle name="Total 2 4 2 10 3 3" xfId="38033"/>
    <cellStyle name="Total 2 4 2 10 3 4" xfId="17112"/>
    <cellStyle name="Total 2 4 2 10 4" xfId="10875"/>
    <cellStyle name="Total 2 4 2 10 4 2" xfId="29847"/>
    <cellStyle name="Total 2 4 2 10 4 3" xfId="40692"/>
    <cellStyle name="Total 2 4 2 10 4 4" xfId="19016"/>
    <cellStyle name="Total 2 4 2 10 5" xfId="21671"/>
    <cellStyle name="Total 2 4 2 10 6" xfId="32516"/>
    <cellStyle name="Total 2 4 2 10 7" xfId="13162"/>
    <cellStyle name="Total 2 4 2 11" xfId="3079"/>
    <cellStyle name="Total 2 4 2 11 2" xfId="5930"/>
    <cellStyle name="Total 2 4 2 11 2 2" xfId="24902"/>
    <cellStyle name="Total 2 4 2 11 2 3" xfId="35747"/>
    <cellStyle name="Total 2 4 2 11 2 4" xfId="15475"/>
    <cellStyle name="Total 2 4 2 11 3" xfId="8601"/>
    <cellStyle name="Total 2 4 2 11 3 2" xfId="27573"/>
    <cellStyle name="Total 2 4 2 11 3 3" xfId="38418"/>
    <cellStyle name="Total 2 4 2 11 3 4" xfId="17388"/>
    <cellStyle name="Total 2 4 2 11 4" xfId="11260"/>
    <cellStyle name="Total 2 4 2 11 4 2" xfId="30232"/>
    <cellStyle name="Total 2 4 2 11 4 3" xfId="41077"/>
    <cellStyle name="Total 2 4 2 11 4 4" xfId="19292"/>
    <cellStyle name="Total 2 4 2 11 5" xfId="22056"/>
    <cellStyle name="Total 2 4 2 11 6" xfId="32901"/>
    <cellStyle name="Total 2 4 2 11 7" xfId="13438"/>
    <cellStyle name="Total 2 4 2 12" xfId="3136"/>
    <cellStyle name="Total 2 4 2 12 2" xfId="5987"/>
    <cellStyle name="Total 2 4 2 12 2 2" xfId="24959"/>
    <cellStyle name="Total 2 4 2 12 2 3" xfId="35804"/>
    <cellStyle name="Total 2 4 2 12 2 4" xfId="15512"/>
    <cellStyle name="Total 2 4 2 12 3" xfId="8658"/>
    <cellStyle name="Total 2 4 2 12 3 2" xfId="27630"/>
    <cellStyle name="Total 2 4 2 12 3 3" xfId="38475"/>
    <cellStyle name="Total 2 4 2 12 3 4" xfId="17425"/>
    <cellStyle name="Total 2 4 2 12 4" xfId="11317"/>
    <cellStyle name="Total 2 4 2 12 4 2" xfId="30289"/>
    <cellStyle name="Total 2 4 2 12 4 3" xfId="41134"/>
    <cellStyle name="Total 2 4 2 12 4 4" xfId="19329"/>
    <cellStyle name="Total 2 4 2 12 5" xfId="22113"/>
    <cellStyle name="Total 2 4 2 12 6" xfId="32958"/>
    <cellStyle name="Total 2 4 2 12 7" xfId="13475"/>
    <cellStyle name="Total 2 4 2 13" xfId="3193"/>
    <cellStyle name="Total 2 4 2 13 2" xfId="6044"/>
    <cellStyle name="Total 2 4 2 13 2 2" xfId="25016"/>
    <cellStyle name="Total 2 4 2 13 2 3" xfId="35861"/>
    <cellStyle name="Total 2 4 2 13 2 4" xfId="15549"/>
    <cellStyle name="Total 2 4 2 13 3" xfId="8715"/>
    <cellStyle name="Total 2 4 2 13 3 2" xfId="27687"/>
    <cellStyle name="Total 2 4 2 13 3 3" xfId="38532"/>
    <cellStyle name="Total 2 4 2 13 3 4" xfId="17462"/>
    <cellStyle name="Total 2 4 2 13 4" xfId="11374"/>
    <cellStyle name="Total 2 4 2 13 4 2" xfId="30346"/>
    <cellStyle name="Total 2 4 2 13 4 3" xfId="41191"/>
    <cellStyle name="Total 2 4 2 13 4 4" xfId="19366"/>
    <cellStyle name="Total 2 4 2 13 5" xfId="22170"/>
    <cellStyle name="Total 2 4 2 13 6" xfId="33015"/>
    <cellStyle name="Total 2 4 2 13 7" xfId="13512"/>
    <cellStyle name="Total 2 4 2 14" xfId="3360"/>
    <cellStyle name="Total 2 4 2 14 2" xfId="22334"/>
    <cellStyle name="Total 2 4 2 14 3" xfId="33179"/>
    <cellStyle name="Total 2 4 2 14 4" xfId="13629"/>
    <cellStyle name="Total 2 4 2 15" xfId="3284"/>
    <cellStyle name="Total 2 4 2 15 2" xfId="22258"/>
    <cellStyle name="Total 2 4 2 15 3" xfId="33103"/>
    <cellStyle name="Total 2 4 2 15 4" xfId="13577"/>
    <cellStyle name="Total 2 4 2 16" xfId="6072"/>
    <cellStyle name="Total 2 4 2 16 2" xfId="25044"/>
    <cellStyle name="Total 2 4 2 16 3" xfId="35889"/>
    <cellStyle name="Total 2 4 2 16 4" xfId="15566"/>
    <cellStyle name="Total 2 4 2 17" xfId="19490"/>
    <cellStyle name="Total 2 4 2 18" xfId="19517"/>
    <cellStyle name="Total 2 4 2 19" xfId="11539"/>
    <cellStyle name="Total 2 4 2 2" xfId="701"/>
    <cellStyle name="Total 2 4 2 2 10" xfId="19686"/>
    <cellStyle name="Total 2 4 2 2 11" xfId="30531"/>
    <cellStyle name="Total 2 4 2 2 12" xfId="11743"/>
    <cellStyle name="Total 2 4 2 2 2" xfId="1288"/>
    <cellStyle name="Total 2 4 2 2 2 2" xfId="4141"/>
    <cellStyle name="Total 2 4 2 2 2 2 2" xfId="23113"/>
    <cellStyle name="Total 2 4 2 2 2 2 3" xfId="33958"/>
    <cellStyle name="Total 2 4 2 2 2 2 4" xfId="14204"/>
    <cellStyle name="Total 2 4 2 2 2 3" xfId="6814"/>
    <cellStyle name="Total 2 4 2 2 2 3 2" xfId="25786"/>
    <cellStyle name="Total 2 4 2 2 2 3 3" xfId="36631"/>
    <cellStyle name="Total 2 4 2 2 2 3 4" xfId="16119"/>
    <cellStyle name="Total 2 4 2 2 2 4" xfId="9473"/>
    <cellStyle name="Total 2 4 2 2 2 4 2" xfId="28445"/>
    <cellStyle name="Total 2 4 2 2 2 4 3" xfId="39290"/>
    <cellStyle name="Total 2 4 2 2 2 4 4" xfId="18023"/>
    <cellStyle name="Total 2 4 2 2 2 5" xfId="20269"/>
    <cellStyle name="Total 2 4 2 2 2 6" xfId="31114"/>
    <cellStyle name="Total 2 4 2 2 2 7" xfId="12169"/>
    <cellStyle name="Total 2 4 2 2 3" xfId="1687"/>
    <cellStyle name="Total 2 4 2 2 3 2" xfId="4540"/>
    <cellStyle name="Total 2 4 2 2 3 2 2" xfId="23512"/>
    <cellStyle name="Total 2 4 2 2 3 2 3" xfId="34357"/>
    <cellStyle name="Total 2 4 2 2 3 2 4" xfId="14491"/>
    <cellStyle name="Total 2 4 2 2 3 3" xfId="7212"/>
    <cellStyle name="Total 2 4 2 2 3 3 2" xfId="26184"/>
    <cellStyle name="Total 2 4 2 2 3 3 3" xfId="37029"/>
    <cellStyle name="Total 2 4 2 2 3 3 4" xfId="16405"/>
    <cellStyle name="Total 2 4 2 2 3 4" xfId="9871"/>
    <cellStyle name="Total 2 4 2 2 3 4 2" xfId="28843"/>
    <cellStyle name="Total 2 4 2 2 3 4 3" xfId="39688"/>
    <cellStyle name="Total 2 4 2 2 3 4 4" xfId="18309"/>
    <cellStyle name="Total 2 4 2 2 3 5" xfId="20667"/>
    <cellStyle name="Total 2 4 2 2 3 6" xfId="31512"/>
    <cellStyle name="Total 2 4 2 2 3 7" xfId="12455"/>
    <cellStyle name="Total 2 4 2 2 4" xfId="2091"/>
    <cellStyle name="Total 2 4 2 2 4 2" xfId="4944"/>
    <cellStyle name="Total 2 4 2 2 4 2 2" xfId="23916"/>
    <cellStyle name="Total 2 4 2 2 4 2 3" xfId="34761"/>
    <cellStyle name="Total 2 4 2 2 4 2 4" xfId="14778"/>
    <cellStyle name="Total 2 4 2 2 4 3" xfId="7615"/>
    <cellStyle name="Total 2 4 2 2 4 3 2" xfId="26587"/>
    <cellStyle name="Total 2 4 2 2 4 3 3" xfId="37432"/>
    <cellStyle name="Total 2 4 2 2 4 3 4" xfId="16691"/>
    <cellStyle name="Total 2 4 2 2 4 4" xfId="10274"/>
    <cellStyle name="Total 2 4 2 2 4 4 2" xfId="29246"/>
    <cellStyle name="Total 2 4 2 2 4 4 3" xfId="40091"/>
    <cellStyle name="Total 2 4 2 2 4 4 4" xfId="18595"/>
    <cellStyle name="Total 2 4 2 2 4 5" xfId="21070"/>
    <cellStyle name="Total 2 4 2 2 4 6" xfId="31915"/>
    <cellStyle name="Total 2 4 2 2 4 7" xfId="12741"/>
    <cellStyle name="Total 2 4 2 2 5" xfId="2481"/>
    <cellStyle name="Total 2 4 2 2 5 2" xfId="5333"/>
    <cellStyle name="Total 2 4 2 2 5 2 2" xfId="24305"/>
    <cellStyle name="Total 2 4 2 2 5 2 3" xfId="35150"/>
    <cellStyle name="Total 2 4 2 2 5 2 4" xfId="15057"/>
    <cellStyle name="Total 2 4 2 2 5 3" xfId="8004"/>
    <cellStyle name="Total 2 4 2 2 5 3 2" xfId="26976"/>
    <cellStyle name="Total 2 4 2 2 5 3 3" xfId="37821"/>
    <cellStyle name="Total 2 4 2 2 5 3 4" xfId="16970"/>
    <cellStyle name="Total 2 4 2 2 5 4" xfId="10663"/>
    <cellStyle name="Total 2 4 2 2 5 4 2" xfId="29635"/>
    <cellStyle name="Total 2 4 2 2 5 4 3" xfId="40480"/>
    <cellStyle name="Total 2 4 2 2 5 4 4" xfId="18874"/>
    <cellStyle name="Total 2 4 2 2 5 5" xfId="21459"/>
    <cellStyle name="Total 2 4 2 2 5 6" xfId="32304"/>
    <cellStyle name="Total 2 4 2 2 5 7" xfId="13020"/>
    <cellStyle name="Total 2 4 2 2 6" xfId="2867"/>
    <cellStyle name="Total 2 4 2 2 6 2" xfId="5718"/>
    <cellStyle name="Total 2 4 2 2 6 2 2" xfId="24690"/>
    <cellStyle name="Total 2 4 2 2 6 2 3" xfId="35535"/>
    <cellStyle name="Total 2 4 2 2 6 2 4" xfId="15333"/>
    <cellStyle name="Total 2 4 2 2 6 3" xfId="8389"/>
    <cellStyle name="Total 2 4 2 2 6 3 2" xfId="27361"/>
    <cellStyle name="Total 2 4 2 2 6 3 3" xfId="38206"/>
    <cellStyle name="Total 2 4 2 2 6 3 4" xfId="17246"/>
    <cellStyle name="Total 2 4 2 2 6 4" xfId="11048"/>
    <cellStyle name="Total 2 4 2 2 6 4 2" xfId="30020"/>
    <cellStyle name="Total 2 4 2 2 6 4 3" xfId="40865"/>
    <cellStyle name="Total 2 4 2 2 6 4 4" xfId="19150"/>
    <cellStyle name="Total 2 4 2 2 6 5" xfId="21844"/>
    <cellStyle name="Total 2 4 2 2 6 6" xfId="32689"/>
    <cellStyle name="Total 2 4 2 2 6 7" xfId="13296"/>
    <cellStyle name="Total 2 4 2 2 7" xfId="3556"/>
    <cellStyle name="Total 2 4 2 2 7 2" xfId="22528"/>
    <cellStyle name="Total 2 4 2 2 7 3" xfId="33373"/>
    <cellStyle name="Total 2 4 2 2 7 4" xfId="13777"/>
    <cellStyle name="Total 2 4 2 2 8" xfId="6231"/>
    <cellStyle name="Total 2 4 2 2 8 2" xfId="25203"/>
    <cellStyle name="Total 2 4 2 2 8 3" xfId="36048"/>
    <cellStyle name="Total 2 4 2 2 8 4" xfId="15693"/>
    <cellStyle name="Total 2 4 2 2 9" xfId="8890"/>
    <cellStyle name="Total 2 4 2 2 9 2" xfId="27862"/>
    <cellStyle name="Total 2 4 2 2 9 3" xfId="38707"/>
    <cellStyle name="Total 2 4 2 2 9 4" xfId="17597"/>
    <cellStyle name="Total 2 4 2 3" xfId="761"/>
    <cellStyle name="Total 2 4 2 3 10" xfId="19746"/>
    <cellStyle name="Total 2 4 2 3 11" xfId="30591"/>
    <cellStyle name="Total 2 4 2 3 12" xfId="11783"/>
    <cellStyle name="Total 2 4 2 3 2" xfId="1348"/>
    <cellStyle name="Total 2 4 2 3 2 2" xfId="4201"/>
    <cellStyle name="Total 2 4 2 3 2 2 2" xfId="23173"/>
    <cellStyle name="Total 2 4 2 3 2 2 3" xfId="34018"/>
    <cellStyle name="Total 2 4 2 3 2 2 4" xfId="14244"/>
    <cellStyle name="Total 2 4 2 3 2 3" xfId="6874"/>
    <cellStyle name="Total 2 4 2 3 2 3 2" xfId="25846"/>
    <cellStyle name="Total 2 4 2 3 2 3 3" xfId="36691"/>
    <cellStyle name="Total 2 4 2 3 2 3 4" xfId="16159"/>
    <cellStyle name="Total 2 4 2 3 2 4" xfId="9533"/>
    <cellStyle name="Total 2 4 2 3 2 4 2" xfId="28505"/>
    <cellStyle name="Total 2 4 2 3 2 4 3" xfId="39350"/>
    <cellStyle name="Total 2 4 2 3 2 4 4" xfId="18063"/>
    <cellStyle name="Total 2 4 2 3 2 5" xfId="20329"/>
    <cellStyle name="Total 2 4 2 3 2 6" xfId="31174"/>
    <cellStyle name="Total 2 4 2 3 2 7" xfId="12209"/>
    <cellStyle name="Total 2 4 2 3 3" xfId="1747"/>
    <cellStyle name="Total 2 4 2 3 3 2" xfId="4600"/>
    <cellStyle name="Total 2 4 2 3 3 2 2" xfId="23572"/>
    <cellStyle name="Total 2 4 2 3 3 2 3" xfId="34417"/>
    <cellStyle name="Total 2 4 2 3 3 2 4" xfId="14531"/>
    <cellStyle name="Total 2 4 2 3 3 3" xfId="7272"/>
    <cellStyle name="Total 2 4 2 3 3 3 2" xfId="26244"/>
    <cellStyle name="Total 2 4 2 3 3 3 3" xfId="37089"/>
    <cellStyle name="Total 2 4 2 3 3 3 4" xfId="16445"/>
    <cellStyle name="Total 2 4 2 3 3 4" xfId="9931"/>
    <cellStyle name="Total 2 4 2 3 3 4 2" xfId="28903"/>
    <cellStyle name="Total 2 4 2 3 3 4 3" xfId="39748"/>
    <cellStyle name="Total 2 4 2 3 3 4 4" xfId="18349"/>
    <cellStyle name="Total 2 4 2 3 3 5" xfId="20727"/>
    <cellStyle name="Total 2 4 2 3 3 6" xfId="31572"/>
    <cellStyle name="Total 2 4 2 3 3 7" xfId="12495"/>
    <cellStyle name="Total 2 4 2 3 4" xfId="2151"/>
    <cellStyle name="Total 2 4 2 3 4 2" xfId="5004"/>
    <cellStyle name="Total 2 4 2 3 4 2 2" xfId="23976"/>
    <cellStyle name="Total 2 4 2 3 4 2 3" xfId="34821"/>
    <cellStyle name="Total 2 4 2 3 4 2 4" xfId="14818"/>
    <cellStyle name="Total 2 4 2 3 4 3" xfId="7675"/>
    <cellStyle name="Total 2 4 2 3 4 3 2" xfId="26647"/>
    <cellStyle name="Total 2 4 2 3 4 3 3" xfId="37492"/>
    <cellStyle name="Total 2 4 2 3 4 3 4" xfId="16731"/>
    <cellStyle name="Total 2 4 2 3 4 4" xfId="10334"/>
    <cellStyle name="Total 2 4 2 3 4 4 2" xfId="29306"/>
    <cellStyle name="Total 2 4 2 3 4 4 3" xfId="40151"/>
    <cellStyle name="Total 2 4 2 3 4 4 4" xfId="18635"/>
    <cellStyle name="Total 2 4 2 3 4 5" xfId="21130"/>
    <cellStyle name="Total 2 4 2 3 4 6" xfId="31975"/>
    <cellStyle name="Total 2 4 2 3 4 7" xfId="12781"/>
    <cellStyle name="Total 2 4 2 3 5" xfId="2541"/>
    <cellStyle name="Total 2 4 2 3 5 2" xfId="5393"/>
    <cellStyle name="Total 2 4 2 3 5 2 2" xfId="24365"/>
    <cellStyle name="Total 2 4 2 3 5 2 3" xfId="35210"/>
    <cellStyle name="Total 2 4 2 3 5 2 4" xfId="15097"/>
    <cellStyle name="Total 2 4 2 3 5 3" xfId="8064"/>
    <cellStyle name="Total 2 4 2 3 5 3 2" xfId="27036"/>
    <cellStyle name="Total 2 4 2 3 5 3 3" xfId="37881"/>
    <cellStyle name="Total 2 4 2 3 5 3 4" xfId="17010"/>
    <cellStyle name="Total 2 4 2 3 5 4" xfId="10723"/>
    <cellStyle name="Total 2 4 2 3 5 4 2" xfId="29695"/>
    <cellStyle name="Total 2 4 2 3 5 4 3" xfId="40540"/>
    <cellStyle name="Total 2 4 2 3 5 4 4" xfId="18914"/>
    <cellStyle name="Total 2 4 2 3 5 5" xfId="21519"/>
    <cellStyle name="Total 2 4 2 3 5 6" xfId="32364"/>
    <cellStyle name="Total 2 4 2 3 5 7" xfId="13060"/>
    <cellStyle name="Total 2 4 2 3 6" xfId="2927"/>
    <cellStyle name="Total 2 4 2 3 6 2" xfId="5778"/>
    <cellStyle name="Total 2 4 2 3 6 2 2" xfId="24750"/>
    <cellStyle name="Total 2 4 2 3 6 2 3" xfId="35595"/>
    <cellStyle name="Total 2 4 2 3 6 2 4" xfId="15373"/>
    <cellStyle name="Total 2 4 2 3 6 3" xfId="8449"/>
    <cellStyle name="Total 2 4 2 3 6 3 2" xfId="27421"/>
    <cellStyle name="Total 2 4 2 3 6 3 3" xfId="38266"/>
    <cellStyle name="Total 2 4 2 3 6 3 4" xfId="17286"/>
    <cellStyle name="Total 2 4 2 3 6 4" xfId="11108"/>
    <cellStyle name="Total 2 4 2 3 6 4 2" xfId="30080"/>
    <cellStyle name="Total 2 4 2 3 6 4 3" xfId="40925"/>
    <cellStyle name="Total 2 4 2 3 6 4 4" xfId="19190"/>
    <cellStyle name="Total 2 4 2 3 6 5" xfId="21904"/>
    <cellStyle name="Total 2 4 2 3 6 6" xfId="32749"/>
    <cellStyle name="Total 2 4 2 3 6 7" xfId="13336"/>
    <cellStyle name="Total 2 4 2 3 7" xfId="3616"/>
    <cellStyle name="Total 2 4 2 3 7 2" xfId="22588"/>
    <cellStyle name="Total 2 4 2 3 7 3" xfId="33433"/>
    <cellStyle name="Total 2 4 2 3 7 4" xfId="13817"/>
    <cellStyle name="Total 2 4 2 3 8" xfId="6291"/>
    <cellStyle name="Total 2 4 2 3 8 2" xfId="25263"/>
    <cellStyle name="Total 2 4 2 3 8 3" xfId="36108"/>
    <cellStyle name="Total 2 4 2 3 8 4" xfId="15733"/>
    <cellStyle name="Total 2 4 2 3 9" xfId="8950"/>
    <cellStyle name="Total 2 4 2 3 9 2" xfId="27922"/>
    <cellStyle name="Total 2 4 2 3 9 3" xfId="38767"/>
    <cellStyle name="Total 2 4 2 3 9 4" xfId="17637"/>
    <cellStyle name="Total 2 4 2 4" xfId="821"/>
    <cellStyle name="Total 2 4 2 4 10" xfId="19806"/>
    <cellStyle name="Total 2 4 2 4 11" xfId="30651"/>
    <cellStyle name="Total 2 4 2 4 12" xfId="11823"/>
    <cellStyle name="Total 2 4 2 4 2" xfId="1408"/>
    <cellStyle name="Total 2 4 2 4 2 2" xfId="4261"/>
    <cellStyle name="Total 2 4 2 4 2 2 2" xfId="23233"/>
    <cellStyle name="Total 2 4 2 4 2 2 3" xfId="34078"/>
    <cellStyle name="Total 2 4 2 4 2 2 4" xfId="14284"/>
    <cellStyle name="Total 2 4 2 4 2 3" xfId="6934"/>
    <cellStyle name="Total 2 4 2 4 2 3 2" xfId="25906"/>
    <cellStyle name="Total 2 4 2 4 2 3 3" xfId="36751"/>
    <cellStyle name="Total 2 4 2 4 2 3 4" xfId="16199"/>
    <cellStyle name="Total 2 4 2 4 2 4" xfId="9593"/>
    <cellStyle name="Total 2 4 2 4 2 4 2" xfId="28565"/>
    <cellStyle name="Total 2 4 2 4 2 4 3" xfId="39410"/>
    <cellStyle name="Total 2 4 2 4 2 4 4" xfId="18103"/>
    <cellStyle name="Total 2 4 2 4 2 5" xfId="20389"/>
    <cellStyle name="Total 2 4 2 4 2 6" xfId="31234"/>
    <cellStyle name="Total 2 4 2 4 2 7" xfId="12249"/>
    <cellStyle name="Total 2 4 2 4 3" xfId="1807"/>
    <cellStyle name="Total 2 4 2 4 3 2" xfId="4660"/>
    <cellStyle name="Total 2 4 2 4 3 2 2" xfId="23632"/>
    <cellStyle name="Total 2 4 2 4 3 2 3" xfId="34477"/>
    <cellStyle name="Total 2 4 2 4 3 2 4" xfId="14571"/>
    <cellStyle name="Total 2 4 2 4 3 3" xfId="7332"/>
    <cellStyle name="Total 2 4 2 4 3 3 2" xfId="26304"/>
    <cellStyle name="Total 2 4 2 4 3 3 3" xfId="37149"/>
    <cellStyle name="Total 2 4 2 4 3 3 4" xfId="16485"/>
    <cellStyle name="Total 2 4 2 4 3 4" xfId="9991"/>
    <cellStyle name="Total 2 4 2 4 3 4 2" xfId="28963"/>
    <cellStyle name="Total 2 4 2 4 3 4 3" xfId="39808"/>
    <cellStyle name="Total 2 4 2 4 3 4 4" xfId="18389"/>
    <cellStyle name="Total 2 4 2 4 3 5" xfId="20787"/>
    <cellStyle name="Total 2 4 2 4 3 6" xfId="31632"/>
    <cellStyle name="Total 2 4 2 4 3 7" xfId="12535"/>
    <cellStyle name="Total 2 4 2 4 4" xfId="2211"/>
    <cellStyle name="Total 2 4 2 4 4 2" xfId="5064"/>
    <cellStyle name="Total 2 4 2 4 4 2 2" xfId="24036"/>
    <cellStyle name="Total 2 4 2 4 4 2 3" xfId="34881"/>
    <cellStyle name="Total 2 4 2 4 4 2 4" xfId="14858"/>
    <cellStyle name="Total 2 4 2 4 4 3" xfId="7735"/>
    <cellStyle name="Total 2 4 2 4 4 3 2" xfId="26707"/>
    <cellStyle name="Total 2 4 2 4 4 3 3" xfId="37552"/>
    <cellStyle name="Total 2 4 2 4 4 3 4" xfId="16771"/>
    <cellStyle name="Total 2 4 2 4 4 4" xfId="10394"/>
    <cellStyle name="Total 2 4 2 4 4 4 2" xfId="29366"/>
    <cellStyle name="Total 2 4 2 4 4 4 3" xfId="40211"/>
    <cellStyle name="Total 2 4 2 4 4 4 4" xfId="18675"/>
    <cellStyle name="Total 2 4 2 4 4 5" xfId="21190"/>
    <cellStyle name="Total 2 4 2 4 4 6" xfId="32035"/>
    <cellStyle name="Total 2 4 2 4 4 7" xfId="12821"/>
    <cellStyle name="Total 2 4 2 4 5" xfId="2601"/>
    <cellStyle name="Total 2 4 2 4 5 2" xfId="5453"/>
    <cellStyle name="Total 2 4 2 4 5 2 2" xfId="24425"/>
    <cellStyle name="Total 2 4 2 4 5 2 3" xfId="35270"/>
    <cellStyle name="Total 2 4 2 4 5 2 4" xfId="15137"/>
    <cellStyle name="Total 2 4 2 4 5 3" xfId="8124"/>
    <cellStyle name="Total 2 4 2 4 5 3 2" xfId="27096"/>
    <cellStyle name="Total 2 4 2 4 5 3 3" xfId="37941"/>
    <cellStyle name="Total 2 4 2 4 5 3 4" xfId="17050"/>
    <cellStyle name="Total 2 4 2 4 5 4" xfId="10783"/>
    <cellStyle name="Total 2 4 2 4 5 4 2" xfId="29755"/>
    <cellStyle name="Total 2 4 2 4 5 4 3" xfId="40600"/>
    <cellStyle name="Total 2 4 2 4 5 4 4" xfId="18954"/>
    <cellStyle name="Total 2 4 2 4 5 5" xfId="21579"/>
    <cellStyle name="Total 2 4 2 4 5 6" xfId="32424"/>
    <cellStyle name="Total 2 4 2 4 5 7" xfId="13100"/>
    <cellStyle name="Total 2 4 2 4 6" xfId="2987"/>
    <cellStyle name="Total 2 4 2 4 6 2" xfId="5838"/>
    <cellStyle name="Total 2 4 2 4 6 2 2" xfId="24810"/>
    <cellStyle name="Total 2 4 2 4 6 2 3" xfId="35655"/>
    <cellStyle name="Total 2 4 2 4 6 2 4" xfId="15413"/>
    <cellStyle name="Total 2 4 2 4 6 3" xfId="8509"/>
    <cellStyle name="Total 2 4 2 4 6 3 2" xfId="27481"/>
    <cellStyle name="Total 2 4 2 4 6 3 3" xfId="38326"/>
    <cellStyle name="Total 2 4 2 4 6 3 4" xfId="17326"/>
    <cellStyle name="Total 2 4 2 4 6 4" xfId="11168"/>
    <cellStyle name="Total 2 4 2 4 6 4 2" xfId="30140"/>
    <cellStyle name="Total 2 4 2 4 6 4 3" xfId="40985"/>
    <cellStyle name="Total 2 4 2 4 6 4 4" xfId="19230"/>
    <cellStyle name="Total 2 4 2 4 6 5" xfId="21964"/>
    <cellStyle name="Total 2 4 2 4 6 6" xfId="32809"/>
    <cellStyle name="Total 2 4 2 4 6 7" xfId="13376"/>
    <cellStyle name="Total 2 4 2 4 7" xfId="3676"/>
    <cellStyle name="Total 2 4 2 4 7 2" xfId="22648"/>
    <cellStyle name="Total 2 4 2 4 7 3" xfId="33493"/>
    <cellStyle name="Total 2 4 2 4 7 4" xfId="13857"/>
    <cellStyle name="Total 2 4 2 4 8" xfId="6351"/>
    <cellStyle name="Total 2 4 2 4 8 2" xfId="25323"/>
    <cellStyle name="Total 2 4 2 4 8 3" xfId="36168"/>
    <cellStyle name="Total 2 4 2 4 8 4" xfId="15773"/>
    <cellStyle name="Total 2 4 2 4 9" xfId="9010"/>
    <cellStyle name="Total 2 4 2 4 9 2" xfId="27982"/>
    <cellStyle name="Total 2 4 2 4 9 3" xfId="38827"/>
    <cellStyle name="Total 2 4 2 4 9 4" xfId="17677"/>
    <cellStyle name="Total 2 4 2 5" xfId="880"/>
    <cellStyle name="Total 2 4 2 5 10" xfId="19865"/>
    <cellStyle name="Total 2 4 2 5 11" xfId="30710"/>
    <cellStyle name="Total 2 4 2 5 12" xfId="11862"/>
    <cellStyle name="Total 2 4 2 5 2" xfId="1467"/>
    <cellStyle name="Total 2 4 2 5 2 2" xfId="4320"/>
    <cellStyle name="Total 2 4 2 5 2 2 2" xfId="23292"/>
    <cellStyle name="Total 2 4 2 5 2 2 3" xfId="34137"/>
    <cellStyle name="Total 2 4 2 5 2 2 4" xfId="14323"/>
    <cellStyle name="Total 2 4 2 5 2 3" xfId="6993"/>
    <cellStyle name="Total 2 4 2 5 2 3 2" xfId="25965"/>
    <cellStyle name="Total 2 4 2 5 2 3 3" xfId="36810"/>
    <cellStyle name="Total 2 4 2 5 2 3 4" xfId="16238"/>
    <cellStyle name="Total 2 4 2 5 2 4" xfId="9652"/>
    <cellStyle name="Total 2 4 2 5 2 4 2" xfId="28624"/>
    <cellStyle name="Total 2 4 2 5 2 4 3" xfId="39469"/>
    <cellStyle name="Total 2 4 2 5 2 4 4" xfId="18142"/>
    <cellStyle name="Total 2 4 2 5 2 5" xfId="20448"/>
    <cellStyle name="Total 2 4 2 5 2 6" xfId="31293"/>
    <cellStyle name="Total 2 4 2 5 2 7" xfId="12288"/>
    <cellStyle name="Total 2 4 2 5 3" xfId="1866"/>
    <cellStyle name="Total 2 4 2 5 3 2" xfId="4719"/>
    <cellStyle name="Total 2 4 2 5 3 2 2" xfId="23691"/>
    <cellStyle name="Total 2 4 2 5 3 2 3" xfId="34536"/>
    <cellStyle name="Total 2 4 2 5 3 2 4" xfId="14610"/>
    <cellStyle name="Total 2 4 2 5 3 3" xfId="7391"/>
    <cellStyle name="Total 2 4 2 5 3 3 2" xfId="26363"/>
    <cellStyle name="Total 2 4 2 5 3 3 3" xfId="37208"/>
    <cellStyle name="Total 2 4 2 5 3 3 4" xfId="16524"/>
    <cellStyle name="Total 2 4 2 5 3 4" xfId="10050"/>
    <cellStyle name="Total 2 4 2 5 3 4 2" xfId="29022"/>
    <cellStyle name="Total 2 4 2 5 3 4 3" xfId="39867"/>
    <cellStyle name="Total 2 4 2 5 3 4 4" xfId="18428"/>
    <cellStyle name="Total 2 4 2 5 3 5" xfId="20846"/>
    <cellStyle name="Total 2 4 2 5 3 6" xfId="31691"/>
    <cellStyle name="Total 2 4 2 5 3 7" xfId="12574"/>
    <cellStyle name="Total 2 4 2 5 4" xfId="2270"/>
    <cellStyle name="Total 2 4 2 5 4 2" xfId="5123"/>
    <cellStyle name="Total 2 4 2 5 4 2 2" xfId="24095"/>
    <cellStyle name="Total 2 4 2 5 4 2 3" xfId="34940"/>
    <cellStyle name="Total 2 4 2 5 4 2 4" xfId="14897"/>
    <cellStyle name="Total 2 4 2 5 4 3" xfId="7794"/>
    <cellStyle name="Total 2 4 2 5 4 3 2" xfId="26766"/>
    <cellStyle name="Total 2 4 2 5 4 3 3" xfId="37611"/>
    <cellStyle name="Total 2 4 2 5 4 3 4" xfId="16810"/>
    <cellStyle name="Total 2 4 2 5 4 4" xfId="10453"/>
    <cellStyle name="Total 2 4 2 5 4 4 2" xfId="29425"/>
    <cellStyle name="Total 2 4 2 5 4 4 3" xfId="40270"/>
    <cellStyle name="Total 2 4 2 5 4 4 4" xfId="18714"/>
    <cellStyle name="Total 2 4 2 5 4 5" xfId="21249"/>
    <cellStyle name="Total 2 4 2 5 4 6" xfId="32094"/>
    <cellStyle name="Total 2 4 2 5 4 7" xfId="12860"/>
    <cellStyle name="Total 2 4 2 5 5" xfId="2660"/>
    <cellStyle name="Total 2 4 2 5 5 2" xfId="5512"/>
    <cellStyle name="Total 2 4 2 5 5 2 2" xfId="24484"/>
    <cellStyle name="Total 2 4 2 5 5 2 3" xfId="35329"/>
    <cellStyle name="Total 2 4 2 5 5 2 4" xfId="15176"/>
    <cellStyle name="Total 2 4 2 5 5 3" xfId="8183"/>
    <cellStyle name="Total 2 4 2 5 5 3 2" xfId="27155"/>
    <cellStyle name="Total 2 4 2 5 5 3 3" xfId="38000"/>
    <cellStyle name="Total 2 4 2 5 5 3 4" xfId="17089"/>
    <cellStyle name="Total 2 4 2 5 5 4" xfId="10842"/>
    <cellStyle name="Total 2 4 2 5 5 4 2" xfId="29814"/>
    <cellStyle name="Total 2 4 2 5 5 4 3" xfId="40659"/>
    <cellStyle name="Total 2 4 2 5 5 4 4" xfId="18993"/>
    <cellStyle name="Total 2 4 2 5 5 5" xfId="21638"/>
    <cellStyle name="Total 2 4 2 5 5 6" xfId="32483"/>
    <cellStyle name="Total 2 4 2 5 5 7" xfId="13139"/>
    <cellStyle name="Total 2 4 2 5 6" xfId="3046"/>
    <cellStyle name="Total 2 4 2 5 6 2" xfId="5897"/>
    <cellStyle name="Total 2 4 2 5 6 2 2" xfId="24869"/>
    <cellStyle name="Total 2 4 2 5 6 2 3" xfId="35714"/>
    <cellStyle name="Total 2 4 2 5 6 2 4" xfId="15452"/>
    <cellStyle name="Total 2 4 2 5 6 3" xfId="8568"/>
    <cellStyle name="Total 2 4 2 5 6 3 2" xfId="27540"/>
    <cellStyle name="Total 2 4 2 5 6 3 3" xfId="38385"/>
    <cellStyle name="Total 2 4 2 5 6 3 4" xfId="17365"/>
    <cellStyle name="Total 2 4 2 5 6 4" xfId="11227"/>
    <cellStyle name="Total 2 4 2 5 6 4 2" xfId="30199"/>
    <cellStyle name="Total 2 4 2 5 6 4 3" xfId="41044"/>
    <cellStyle name="Total 2 4 2 5 6 4 4" xfId="19269"/>
    <cellStyle name="Total 2 4 2 5 6 5" xfId="22023"/>
    <cellStyle name="Total 2 4 2 5 6 6" xfId="32868"/>
    <cellStyle name="Total 2 4 2 5 6 7" xfId="13415"/>
    <cellStyle name="Total 2 4 2 5 7" xfId="3735"/>
    <cellStyle name="Total 2 4 2 5 7 2" xfId="22707"/>
    <cellStyle name="Total 2 4 2 5 7 3" xfId="33552"/>
    <cellStyle name="Total 2 4 2 5 7 4" xfId="13896"/>
    <cellStyle name="Total 2 4 2 5 8" xfId="6410"/>
    <cellStyle name="Total 2 4 2 5 8 2" xfId="25382"/>
    <cellStyle name="Total 2 4 2 5 8 3" xfId="36227"/>
    <cellStyle name="Total 2 4 2 5 8 4" xfId="15812"/>
    <cellStyle name="Total 2 4 2 5 9" xfId="9069"/>
    <cellStyle name="Total 2 4 2 5 9 2" xfId="28041"/>
    <cellStyle name="Total 2 4 2 5 9 3" xfId="38886"/>
    <cellStyle name="Total 2 4 2 5 9 4" xfId="17716"/>
    <cellStyle name="Total 2 4 2 6" xfId="1102"/>
    <cellStyle name="Total 2 4 2 6 2" xfId="3955"/>
    <cellStyle name="Total 2 4 2 6 2 2" xfId="22927"/>
    <cellStyle name="Total 2 4 2 6 2 3" xfId="33772"/>
    <cellStyle name="Total 2 4 2 6 2 4" xfId="14058"/>
    <cellStyle name="Total 2 4 2 6 3" xfId="6629"/>
    <cellStyle name="Total 2 4 2 6 3 2" xfId="25601"/>
    <cellStyle name="Total 2 4 2 6 3 3" xfId="36446"/>
    <cellStyle name="Total 2 4 2 6 3 4" xfId="15974"/>
    <cellStyle name="Total 2 4 2 6 4" xfId="9288"/>
    <cellStyle name="Total 2 4 2 6 4 2" xfId="28260"/>
    <cellStyle name="Total 2 4 2 6 4 3" xfId="39105"/>
    <cellStyle name="Total 2 4 2 6 4 4" xfId="17878"/>
    <cellStyle name="Total 2 4 2 6 5" xfId="20084"/>
    <cellStyle name="Total 2 4 2 6 6" xfId="30929"/>
    <cellStyle name="Total 2 4 2 6 7" xfId="12024"/>
    <cellStyle name="Total 2 4 2 7" xfId="1502"/>
    <cellStyle name="Total 2 4 2 7 2" xfId="4355"/>
    <cellStyle name="Total 2 4 2 7 2 2" xfId="23327"/>
    <cellStyle name="Total 2 4 2 7 2 3" xfId="34172"/>
    <cellStyle name="Total 2 4 2 7 2 4" xfId="14348"/>
    <cellStyle name="Total 2 4 2 7 3" xfId="7028"/>
    <cellStyle name="Total 2 4 2 7 3 2" xfId="26000"/>
    <cellStyle name="Total 2 4 2 7 3 3" xfId="36845"/>
    <cellStyle name="Total 2 4 2 7 3 4" xfId="16263"/>
    <cellStyle name="Total 2 4 2 7 4" xfId="9687"/>
    <cellStyle name="Total 2 4 2 7 4 2" xfId="28659"/>
    <cellStyle name="Total 2 4 2 7 4 3" xfId="39504"/>
    <cellStyle name="Total 2 4 2 7 4 4" xfId="18167"/>
    <cellStyle name="Total 2 4 2 7 5" xfId="20483"/>
    <cellStyle name="Total 2 4 2 7 6" xfId="31328"/>
    <cellStyle name="Total 2 4 2 7 7" xfId="12313"/>
    <cellStyle name="Total 2 4 2 8" xfId="1910"/>
    <cellStyle name="Total 2 4 2 8 2" xfId="4763"/>
    <cellStyle name="Total 2 4 2 8 2 2" xfId="23735"/>
    <cellStyle name="Total 2 4 2 8 2 3" xfId="34580"/>
    <cellStyle name="Total 2 4 2 8 2 4" xfId="14639"/>
    <cellStyle name="Total 2 4 2 8 3" xfId="7435"/>
    <cellStyle name="Total 2 4 2 8 3 2" xfId="26407"/>
    <cellStyle name="Total 2 4 2 8 3 3" xfId="37252"/>
    <cellStyle name="Total 2 4 2 8 3 4" xfId="16553"/>
    <cellStyle name="Total 2 4 2 8 4" xfId="10094"/>
    <cellStyle name="Total 2 4 2 8 4 2" xfId="29066"/>
    <cellStyle name="Total 2 4 2 8 4 3" xfId="39911"/>
    <cellStyle name="Total 2 4 2 8 4 4" xfId="18457"/>
    <cellStyle name="Total 2 4 2 8 5" xfId="20890"/>
    <cellStyle name="Total 2 4 2 8 6" xfId="31735"/>
    <cellStyle name="Total 2 4 2 8 7" xfId="12603"/>
    <cellStyle name="Total 2 4 2 9" xfId="2304"/>
    <cellStyle name="Total 2 4 2 9 2" xfId="5157"/>
    <cellStyle name="Total 2 4 2 9 2 2" xfId="24129"/>
    <cellStyle name="Total 2 4 2 9 2 3" xfId="34974"/>
    <cellStyle name="Total 2 4 2 9 2 4" xfId="14921"/>
    <cellStyle name="Total 2 4 2 9 3" xfId="7828"/>
    <cellStyle name="Total 2 4 2 9 3 2" xfId="26800"/>
    <cellStyle name="Total 2 4 2 9 3 3" xfId="37645"/>
    <cellStyle name="Total 2 4 2 9 3 4" xfId="16834"/>
    <cellStyle name="Total 2 4 2 9 4" xfId="10487"/>
    <cellStyle name="Total 2 4 2 9 4 2" xfId="29459"/>
    <cellStyle name="Total 2 4 2 9 4 3" xfId="40304"/>
    <cellStyle name="Total 2 4 2 9 4 4" xfId="18738"/>
    <cellStyle name="Total 2 4 2 9 5" xfId="21283"/>
    <cellStyle name="Total 2 4 2 9 6" xfId="32128"/>
    <cellStyle name="Total 2 4 2 9 7" xfId="12884"/>
    <cellStyle name="Total 2 4 3" xfId="584"/>
    <cellStyle name="Total 2 4 3 10" xfId="19594"/>
    <cellStyle name="Total 2 4 3 11" xfId="30439"/>
    <cellStyle name="Total 2 4 3 12" xfId="11648"/>
    <cellStyle name="Total 2 4 3 2" xfId="1190"/>
    <cellStyle name="Total 2 4 3 2 2" xfId="4043"/>
    <cellStyle name="Total 2 4 3 2 2 2" xfId="23015"/>
    <cellStyle name="Total 2 4 3 2 2 3" xfId="33860"/>
    <cellStyle name="Total 2 4 3 2 2 4" xfId="14125"/>
    <cellStyle name="Total 2 4 3 2 3" xfId="6716"/>
    <cellStyle name="Total 2 4 3 2 3 2" xfId="25688"/>
    <cellStyle name="Total 2 4 3 2 3 3" xfId="36533"/>
    <cellStyle name="Total 2 4 3 2 3 4" xfId="16040"/>
    <cellStyle name="Total 2 4 3 2 4" xfId="9375"/>
    <cellStyle name="Total 2 4 3 2 4 2" xfId="28347"/>
    <cellStyle name="Total 2 4 3 2 4 3" xfId="39192"/>
    <cellStyle name="Total 2 4 3 2 4 4" xfId="17944"/>
    <cellStyle name="Total 2 4 3 2 5" xfId="20171"/>
    <cellStyle name="Total 2 4 3 2 6" xfId="31016"/>
    <cellStyle name="Total 2 4 3 2 7" xfId="12090"/>
    <cellStyle name="Total 2 4 3 3" xfId="1587"/>
    <cellStyle name="Total 2 4 3 3 2" xfId="4440"/>
    <cellStyle name="Total 2 4 3 3 2 2" xfId="23412"/>
    <cellStyle name="Total 2 4 3 3 2 3" xfId="34257"/>
    <cellStyle name="Total 2 4 3 3 2 4" xfId="14411"/>
    <cellStyle name="Total 2 4 3 3 3" xfId="7112"/>
    <cellStyle name="Total 2 4 3 3 3 2" xfId="26084"/>
    <cellStyle name="Total 2 4 3 3 3 3" xfId="36929"/>
    <cellStyle name="Total 2 4 3 3 3 4" xfId="16325"/>
    <cellStyle name="Total 2 4 3 3 4" xfId="9771"/>
    <cellStyle name="Total 2 4 3 3 4 2" xfId="28743"/>
    <cellStyle name="Total 2 4 3 3 4 3" xfId="39588"/>
    <cellStyle name="Total 2 4 3 3 4 4" xfId="18229"/>
    <cellStyle name="Total 2 4 3 3 5" xfId="20567"/>
    <cellStyle name="Total 2 4 3 3 6" xfId="31412"/>
    <cellStyle name="Total 2 4 3 3 7" xfId="12375"/>
    <cellStyle name="Total 2 4 3 4" xfId="1991"/>
    <cellStyle name="Total 2 4 3 4 2" xfId="4844"/>
    <cellStyle name="Total 2 4 3 4 2 2" xfId="23816"/>
    <cellStyle name="Total 2 4 3 4 2 3" xfId="34661"/>
    <cellStyle name="Total 2 4 3 4 2 4" xfId="14699"/>
    <cellStyle name="Total 2 4 3 4 3" xfId="7516"/>
    <cellStyle name="Total 2 4 3 4 3 2" xfId="26488"/>
    <cellStyle name="Total 2 4 3 4 3 3" xfId="37333"/>
    <cellStyle name="Total 2 4 3 4 3 4" xfId="16613"/>
    <cellStyle name="Total 2 4 3 4 4" xfId="10175"/>
    <cellStyle name="Total 2 4 3 4 4 2" xfId="29147"/>
    <cellStyle name="Total 2 4 3 4 4 3" xfId="39992"/>
    <cellStyle name="Total 2 4 3 4 4 4" xfId="18517"/>
    <cellStyle name="Total 2 4 3 4 5" xfId="20971"/>
    <cellStyle name="Total 2 4 3 4 6" xfId="31816"/>
    <cellStyle name="Total 2 4 3 4 7" xfId="12663"/>
    <cellStyle name="Total 2 4 3 5" xfId="2383"/>
    <cellStyle name="Total 2 4 3 5 2" xfId="5236"/>
    <cellStyle name="Total 2 4 3 5 2 2" xfId="24208"/>
    <cellStyle name="Total 2 4 3 5 2 3" xfId="35053"/>
    <cellStyle name="Total 2 4 3 5 2 4" xfId="14980"/>
    <cellStyle name="Total 2 4 3 5 3" xfId="7907"/>
    <cellStyle name="Total 2 4 3 5 3 2" xfId="26879"/>
    <cellStyle name="Total 2 4 3 5 3 3" xfId="37724"/>
    <cellStyle name="Total 2 4 3 5 3 4" xfId="16893"/>
    <cellStyle name="Total 2 4 3 5 4" xfId="10566"/>
    <cellStyle name="Total 2 4 3 5 4 2" xfId="29538"/>
    <cellStyle name="Total 2 4 3 5 4 3" xfId="40383"/>
    <cellStyle name="Total 2 4 3 5 4 4" xfId="18797"/>
    <cellStyle name="Total 2 4 3 5 5" xfId="21362"/>
    <cellStyle name="Total 2 4 3 5 6" xfId="32207"/>
    <cellStyle name="Total 2 4 3 5 7" xfId="12943"/>
    <cellStyle name="Total 2 4 3 6" xfId="2772"/>
    <cellStyle name="Total 2 4 3 6 2" xfId="5624"/>
    <cellStyle name="Total 2 4 3 6 2 2" xfId="24596"/>
    <cellStyle name="Total 2 4 3 6 2 3" xfId="35441"/>
    <cellStyle name="Total 2 4 3 6 2 4" xfId="15258"/>
    <cellStyle name="Total 2 4 3 6 3" xfId="8295"/>
    <cellStyle name="Total 2 4 3 6 3 2" xfId="27267"/>
    <cellStyle name="Total 2 4 3 6 3 3" xfId="38112"/>
    <cellStyle name="Total 2 4 3 6 3 4" xfId="17171"/>
    <cellStyle name="Total 2 4 3 6 4" xfId="10954"/>
    <cellStyle name="Total 2 4 3 6 4 2" xfId="29926"/>
    <cellStyle name="Total 2 4 3 6 4 3" xfId="40771"/>
    <cellStyle name="Total 2 4 3 6 4 4" xfId="19075"/>
    <cellStyle name="Total 2 4 3 6 5" xfId="21750"/>
    <cellStyle name="Total 2 4 3 6 6" xfId="32595"/>
    <cellStyle name="Total 2 4 3 6 7" xfId="13221"/>
    <cellStyle name="Total 2 4 3 7" xfId="3463"/>
    <cellStyle name="Total 2 4 3 7 2" xfId="22435"/>
    <cellStyle name="Total 2 4 3 7 3" xfId="33280"/>
    <cellStyle name="Total 2 4 3 7 4" xfId="13703"/>
    <cellStyle name="Total 2 4 3 8" xfId="6139"/>
    <cellStyle name="Total 2 4 3 8 2" xfId="25111"/>
    <cellStyle name="Total 2 4 3 8 3" xfId="35956"/>
    <cellStyle name="Total 2 4 3 8 4" xfId="15620"/>
    <cellStyle name="Total 2 4 3 9" xfId="8798"/>
    <cellStyle name="Total 2 4 3 9 2" xfId="27770"/>
    <cellStyle name="Total 2 4 3 9 3" xfId="38615"/>
    <cellStyle name="Total 2 4 3 9 4" xfId="17524"/>
    <cellStyle name="Total 2 4 4" xfId="11477"/>
    <cellStyle name="Total 2 5" xfId="159"/>
    <cellStyle name="Total 2 5 2" xfId="403"/>
    <cellStyle name="Total 2 5 2 10" xfId="2694"/>
    <cellStyle name="Total 2 5 2 10 2" xfId="5546"/>
    <cellStyle name="Total 2 5 2 10 2 2" xfId="24518"/>
    <cellStyle name="Total 2 5 2 10 2 3" xfId="35363"/>
    <cellStyle name="Total 2 5 2 10 2 4" xfId="15200"/>
    <cellStyle name="Total 2 5 2 10 3" xfId="8217"/>
    <cellStyle name="Total 2 5 2 10 3 2" xfId="27189"/>
    <cellStyle name="Total 2 5 2 10 3 3" xfId="38034"/>
    <cellStyle name="Total 2 5 2 10 3 4" xfId="17113"/>
    <cellStyle name="Total 2 5 2 10 4" xfId="10876"/>
    <cellStyle name="Total 2 5 2 10 4 2" xfId="29848"/>
    <cellStyle name="Total 2 5 2 10 4 3" xfId="40693"/>
    <cellStyle name="Total 2 5 2 10 4 4" xfId="19017"/>
    <cellStyle name="Total 2 5 2 10 5" xfId="21672"/>
    <cellStyle name="Total 2 5 2 10 6" xfId="32517"/>
    <cellStyle name="Total 2 5 2 10 7" xfId="13163"/>
    <cellStyle name="Total 2 5 2 11" xfId="3080"/>
    <cellStyle name="Total 2 5 2 11 2" xfId="5931"/>
    <cellStyle name="Total 2 5 2 11 2 2" xfId="24903"/>
    <cellStyle name="Total 2 5 2 11 2 3" xfId="35748"/>
    <cellStyle name="Total 2 5 2 11 2 4" xfId="15476"/>
    <cellStyle name="Total 2 5 2 11 3" xfId="8602"/>
    <cellStyle name="Total 2 5 2 11 3 2" xfId="27574"/>
    <cellStyle name="Total 2 5 2 11 3 3" xfId="38419"/>
    <cellStyle name="Total 2 5 2 11 3 4" xfId="17389"/>
    <cellStyle name="Total 2 5 2 11 4" xfId="11261"/>
    <cellStyle name="Total 2 5 2 11 4 2" xfId="30233"/>
    <cellStyle name="Total 2 5 2 11 4 3" xfId="41078"/>
    <cellStyle name="Total 2 5 2 11 4 4" xfId="19293"/>
    <cellStyle name="Total 2 5 2 11 5" xfId="22057"/>
    <cellStyle name="Total 2 5 2 11 6" xfId="32902"/>
    <cellStyle name="Total 2 5 2 11 7" xfId="13439"/>
    <cellStyle name="Total 2 5 2 12" xfId="3137"/>
    <cellStyle name="Total 2 5 2 12 2" xfId="5988"/>
    <cellStyle name="Total 2 5 2 12 2 2" xfId="24960"/>
    <cellStyle name="Total 2 5 2 12 2 3" xfId="35805"/>
    <cellStyle name="Total 2 5 2 12 2 4" xfId="15513"/>
    <cellStyle name="Total 2 5 2 12 3" xfId="8659"/>
    <cellStyle name="Total 2 5 2 12 3 2" xfId="27631"/>
    <cellStyle name="Total 2 5 2 12 3 3" xfId="38476"/>
    <cellStyle name="Total 2 5 2 12 3 4" xfId="17426"/>
    <cellStyle name="Total 2 5 2 12 4" xfId="11318"/>
    <cellStyle name="Total 2 5 2 12 4 2" xfId="30290"/>
    <cellStyle name="Total 2 5 2 12 4 3" xfId="41135"/>
    <cellStyle name="Total 2 5 2 12 4 4" xfId="19330"/>
    <cellStyle name="Total 2 5 2 12 5" xfId="22114"/>
    <cellStyle name="Total 2 5 2 12 6" xfId="32959"/>
    <cellStyle name="Total 2 5 2 12 7" xfId="13476"/>
    <cellStyle name="Total 2 5 2 13" xfId="3194"/>
    <cellStyle name="Total 2 5 2 13 2" xfId="6045"/>
    <cellStyle name="Total 2 5 2 13 2 2" xfId="25017"/>
    <cellStyle name="Total 2 5 2 13 2 3" xfId="35862"/>
    <cellStyle name="Total 2 5 2 13 2 4" xfId="15550"/>
    <cellStyle name="Total 2 5 2 13 3" xfId="8716"/>
    <cellStyle name="Total 2 5 2 13 3 2" xfId="27688"/>
    <cellStyle name="Total 2 5 2 13 3 3" xfId="38533"/>
    <cellStyle name="Total 2 5 2 13 3 4" xfId="17463"/>
    <cellStyle name="Total 2 5 2 13 4" xfId="11375"/>
    <cellStyle name="Total 2 5 2 13 4 2" xfId="30347"/>
    <cellStyle name="Total 2 5 2 13 4 3" xfId="41192"/>
    <cellStyle name="Total 2 5 2 13 4 4" xfId="19367"/>
    <cellStyle name="Total 2 5 2 13 5" xfId="22171"/>
    <cellStyle name="Total 2 5 2 13 6" xfId="33016"/>
    <cellStyle name="Total 2 5 2 13 7" xfId="13513"/>
    <cellStyle name="Total 2 5 2 14" xfId="3361"/>
    <cellStyle name="Total 2 5 2 14 2" xfId="22335"/>
    <cellStyle name="Total 2 5 2 14 3" xfId="33180"/>
    <cellStyle name="Total 2 5 2 14 4" xfId="13630"/>
    <cellStyle name="Total 2 5 2 15" xfId="3315"/>
    <cellStyle name="Total 2 5 2 15 2" xfId="22289"/>
    <cellStyle name="Total 2 5 2 15 3" xfId="33134"/>
    <cellStyle name="Total 2 5 2 15 4" xfId="13598"/>
    <cellStyle name="Total 2 5 2 16" xfId="4385"/>
    <cellStyle name="Total 2 5 2 16 2" xfId="23357"/>
    <cellStyle name="Total 2 5 2 16 3" xfId="34202"/>
    <cellStyle name="Total 2 5 2 16 4" xfId="14366"/>
    <cellStyle name="Total 2 5 2 17" xfId="19491"/>
    <cellStyle name="Total 2 5 2 18" xfId="19427"/>
    <cellStyle name="Total 2 5 2 19" xfId="11540"/>
    <cellStyle name="Total 2 5 2 2" xfId="702"/>
    <cellStyle name="Total 2 5 2 2 10" xfId="19687"/>
    <cellStyle name="Total 2 5 2 2 11" xfId="30532"/>
    <cellStyle name="Total 2 5 2 2 12" xfId="11744"/>
    <cellStyle name="Total 2 5 2 2 2" xfId="1289"/>
    <cellStyle name="Total 2 5 2 2 2 2" xfId="4142"/>
    <cellStyle name="Total 2 5 2 2 2 2 2" xfId="23114"/>
    <cellStyle name="Total 2 5 2 2 2 2 3" xfId="33959"/>
    <cellStyle name="Total 2 5 2 2 2 2 4" xfId="14205"/>
    <cellStyle name="Total 2 5 2 2 2 3" xfId="6815"/>
    <cellStyle name="Total 2 5 2 2 2 3 2" xfId="25787"/>
    <cellStyle name="Total 2 5 2 2 2 3 3" xfId="36632"/>
    <cellStyle name="Total 2 5 2 2 2 3 4" xfId="16120"/>
    <cellStyle name="Total 2 5 2 2 2 4" xfId="9474"/>
    <cellStyle name="Total 2 5 2 2 2 4 2" xfId="28446"/>
    <cellStyle name="Total 2 5 2 2 2 4 3" xfId="39291"/>
    <cellStyle name="Total 2 5 2 2 2 4 4" xfId="18024"/>
    <cellStyle name="Total 2 5 2 2 2 5" xfId="20270"/>
    <cellStyle name="Total 2 5 2 2 2 6" xfId="31115"/>
    <cellStyle name="Total 2 5 2 2 2 7" xfId="12170"/>
    <cellStyle name="Total 2 5 2 2 3" xfId="1688"/>
    <cellStyle name="Total 2 5 2 2 3 2" xfId="4541"/>
    <cellStyle name="Total 2 5 2 2 3 2 2" xfId="23513"/>
    <cellStyle name="Total 2 5 2 2 3 2 3" xfId="34358"/>
    <cellStyle name="Total 2 5 2 2 3 2 4" xfId="14492"/>
    <cellStyle name="Total 2 5 2 2 3 3" xfId="7213"/>
    <cellStyle name="Total 2 5 2 2 3 3 2" xfId="26185"/>
    <cellStyle name="Total 2 5 2 2 3 3 3" xfId="37030"/>
    <cellStyle name="Total 2 5 2 2 3 3 4" xfId="16406"/>
    <cellStyle name="Total 2 5 2 2 3 4" xfId="9872"/>
    <cellStyle name="Total 2 5 2 2 3 4 2" xfId="28844"/>
    <cellStyle name="Total 2 5 2 2 3 4 3" xfId="39689"/>
    <cellStyle name="Total 2 5 2 2 3 4 4" xfId="18310"/>
    <cellStyle name="Total 2 5 2 2 3 5" xfId="20668"/>
    <cellStyle name="Total 2 5 2 2 3 6" xfId="31513"/>
    <cellStyle name="Total 2 5 2 2 3 7" xfId="12456"/>
    <cellStyle name="Total 2 5 2 2 4" xfId="2092"/>
    <cellStyle name="Total 2 5 2 2 4 2" xfId="4945"/>
    <cellStyle name="Total 2 5 2 2 4 2 2" xfId="23917"/>
    <cellStyle name="Total 2 5 2 2 4 2 3" xfId="34762"/>
    <cellStyle name="Total 2 5 2 2 4 2 4" xfId="14779"/>
    <cellStyle name="Total 2 5 2 2 4 3" xfId="7616"/>
    <cellStyle name="Total 2 5 2 2 4 3 2" xfId="26588"/>
    <cellStyle name="Total 2 5 2 2 4 3 3" xfId="37433"/>
    <cellStyle name="Total 2 5 2 2 4 3 4" xfId="16692"/>
    <cellStyle name="Total 2 5 2 2 4 4" xfId="10275"/>
    <cellStyle name="Total 2 5 2 2 4 4 2" xfId="29247"/>
    <cellStyle name="Total 2 5 2 2 4 4 3" xfId="40092"/>
    <cellStyle name="Total 2 5 2 2 4 4 4" xfId="18596"/>
    <cellStyle name="Total 2 5 2 2 4 5" xfId="21071"/>
    <cellStyle name="Total 2 5 2 2 4 6" xfId="31916"/>
    <cellStyle name="Total 2 5 2 2 4 7" xfId="12742"/>
    <cellStyle name="Total 2 5 2 2 5" xfId="2482"/>
    <cellStyle name="Total 2 5 2 2 5 2" xfId="5334"/>
    <cellStyle name="Total 2 5 2 2 5 2 2" xfId="24306"/>
    <cellStyle name="Total 2 5 2 2 5 2 3" xfId="35151"/>
    <cellStyle name="Total 2 5 2 2 5 2 4" xfId="15058"/>
    <cellStyle name="Total 2 5 2 2 5 3" xfId="8005"/>
    <cellStyle name="Total 2 5 2 2 5 3 2" xfId="26977"/>
    <cellStyle name="Total 2 5 2 2 5 3 3" xfId="37822"/>
    <cellStyle name="Total 2 5 2 2 5 3 4" xfId="16971"/>
    <cellStyle name="Total 2 5 2 2 5 4" xfId="10664"/>
    <cellStyle name="Total 2 5 2 2 5 4 2" xfId="29636"/>
    <cellStyle name="Total 2 5 2 2 5 4 3" xfId="40481"/>
    <cellStyle name="Total 2 5 2 2 5 4 4" xfId="18875"/>
    <cellStyle name="Total 2 5 2 2 5 5" xfId="21460"/>
    <cellStyle name="Total 2 5 2 2 5 6" xfId="32305"/>
    <cellStyle name="Total 2 5 2 2 5 7" xfId="13021"/>
    <cellStyle name="Total 2 5 2 2 6" xfId="2868"/>
    <cellStyle name="Total 2 5 2 2 6 2" xfId="5719"/>
    <cellStyle name="Total 2 5 2 2 6 2 2" xfId="24691"/>
    <cellStyle name="Total 2 5 2 2 6 2 3" xfId="35536"/>
    <cellStyle name="Total 2 5 2 2 6 2 4" xfId="15334"/>
    <cellStyle name="Total 2 5 2 2 6 3" xfId="8390"/>
    <cellStyle name="Total 2 5 2 2 6 3 2" xfId="27362"/>
    <cellStyle name="Total 2 5 2 2 6 3 3" xfId="38207"/>
    <cellStyle name="Total 2 5 2 2 6 3 4" xfId="17247"/>
    <cellStyle name="Total 2 5 2 2 6 4" xfId="11049"/>
    <cellStyle name="Total 2 5 2 2 6 4 2" xfId="30021"/>
    <cellStyle name="Total 2 5 2 2 6 4 3" xfId="40866"/>
    <cellStyle name="Total 2 5 2 2 6 4 4" xfId="19151"/>
    <cellStyle name="Total 2 5 2 2 6 5" xfId="21845"/>
    <cellStyle name="Total 2 5 2 2 6 6" xfId="32690"/>
    <cellStyle name="Total 2 5 2 2 6 7" xfId="13297"/>
    <cellStyle name="Total 2 5 2 2 7" xfId="3557"/>
    <cellStyle name="Total 2 5 2 2 7 2" xfId="22529"/>
    <cellStyle name="Total 2 5 2 2 7 3" xfId="33374"/>
    <cellStyle name="Total 2 5 2 2 7 4" xfId="13778"/>
    <cellStyle name="Total 2 5 2 2 8" xfId="6232"/>
    <cellStyle name="Total 2 5 2 2 8 2" xfId="25204"/>
    <cellStyle name="Total 2 5 2 2 8 3" xfId="36049"/>
    <cellStyle name="Total 2 5 2 2 8 4" xfId="15694"/>
    <cellStyle name="Total 2 5 2 2 9" xfId="8891"/>
    <cellStyle name="Total 2 5 2 2 9 2" xfId="27863"/>
    <cellStyle name="Total 2 5 2 2 9 3" xfId="38708"/>
    <cellStyle name="Total 2 5 2 2 9 4" xfId="17598"/>
    <cellStyle name="Total 2 5 2 3" xfId="762"/>
    <cellStyle name="Total 2 5 2 3 10" xfId="19747"/>
    <cellStyle name="Total 2 5 2 3 11" xfId="30592"/>
    <cellStyle name="Total 2 5 2 3 12" xfId="11784"/>
    <cellStyle name="Total 2 5 2 3 2" xfId="1349"/>
    <cellStyle name="Total 2 5 2 3 2 2" xfId="4202"/>
    <cellStyle name="Total 2 5 2 3 2 2 2" xfId="23174"/>
    <cellStyle name="Total 2 5 2 3 2 2 3" xfId="34019"/>
    <cellStyle name="Total 2 5 2 3 2 2 4" xfId="14245"/>
    <cellStyle name="Total 2 5 2 3 2 3" xfId="6875"/>
    <cellStyle name="Total 2 5 2 3 2 3 2" xfId="25847"/>
    <cellStyle name="Total 2 5 2 3 2 3 3" xfId="36692"/>
    <cellStyle name="Total 2 5 2 3 2 3 4" xfId="16160"/>
    <cellStyle name="Total 2 5 2 3 2 4" xfId="9534"/>
    <cellStyle name="Total 2 5 2 3 2 4 2" xfId="28506"/>
    <cellStyle name="Total 2 5 2 3 2 4 3" xfId="39351"/>
    <cellStyle name="Total 2 5 2 3 2 4 4" xfId="18064"/>
    <cellStyle name="Total 2 5 2 3 2 5" xfId="20330"/>
    <cellStyle name="Total 2 5 2 3 2 6" xfId="31175"/>
    <cellStyle name="Total 2 5 2 3 2 7" xfId="12210"/>
    <cellStyle name="Total 2 5 2 3 3" xfId="1748"/>
    <cellStyle name="Total 2 5 2 3 3 2" xfId="4601"/>
    <cellStyle name="Total 2 5 2 3 3 2 2" xfId="23573"/>
    <cellStyle name="Total 2 5 2 3 3 2 3" xfId="34418"/>
    <cellStyle name="Total 2 5 2 3 3 2 4" xfId="14532"/>
    <cellStyle name="Total 2 5 2 3 3 3" xfId="7273"/>
    <cellStyle name="Total 2 5 2 3 3 3 2" xfId="26245"/>
    <cellStyle name="Total 2 5 2 3 3 3 3" xfId="37090"/>
    <cellStyle name="Total 2 5 2 3 3 3 4" xfId="16446"/>
    <cellStyle name="Total 2 5 2 3 3 4" xfId="9932"/>
    <cellStyle name="Total 2 5 2 3 3 4 2" xfId="28904"/>
    <cellStyle name="Total 2 5 2 3 3 4 3" xfId="39749"/>
    <cellStyle name="Total 2 5 2 3 3 4 4" xfId="18350"/>
    <cellStyle name="Total 2 5 2 3 3 5" xfId="20728"/>
    <cellStyle name="Total 2 5 2 3 3 6" xfId="31573"/>
    <cellStyle name="Total 2 5 2 3 3 7" xfId="12496"/>
    <cellStyle name="Total 2 5 2 3 4" xfId="2152"/>
    <cellStyle name="Total 2 5 2 3 4 2" xfId="5005"/>
    <cellStyle name="Total 2 5 2 3 4 2 2" xfId="23977"/>
    <cellStyle name="Total 2 5 2 3 4 2 3" xfId="34822"/>
    <cellStyle name="Total 2 5 2 3 4 2 4" xfId="14819"/>
    <cellStyle name="Total 2 5 2 3 4 3" xfId="7676"/>
    <cellStyle name="Total 2 5 2 3 4 3 2" xfId="26648"/>
    <cellStyle name="Total 2 5 2 3 4 3 3" xfId="37493"/>
    <cellStyle name="Total 2 5 2 3 4 3 4" xfId="16732"/>
    <cellStyle name="Total 2 5 2 3 4 4" xfId="10335"/>
    <cellStyle name="Total 2 5 2 3 4 4 2" xfId="29307"/>
    <cellStyle name="Total 2 5 2 3 4 4 3" xfId="40152"/>
    <cellStyle name="Total 2 5 2 3 4 4 4" xfId="18636"/>
    <cellStyle name="Total 2 5 2 3 4 5" xfId="21131"/>
    <cellStyle name="Total 2 5 2 3 4 6" xfId="31976"/>
    <cellStyle name="Total 2 5 2 3 4 7" xfId="12782"/>
    <cellStyle name="Total 2 5 2 3 5" xfId="2542"/>
    <cellStyle name="Total 2 5 2 3 5 2" xfId="5394"/>
    <cellStyle name="Total 2 5 2 3 5 2 2" xfId="24366"/>
    <cellStyle name="Total 2 5 2 3 5 2 3" xfId="35211"/>
    <cellStyle name="Total 2 5 2 3 5 2 4" xfId="15098"/>
    <cellStyle name="Total 2 5 2 3 5 3" xfId="8065"/>
    <cellStyle name="Total 2 5 2 3 5 3 2" xfId="27037"/>
    <cellStyle name="Total 2 5 2 3 5 3 3" xfId="37882"/>
    <cellStyle name="Total 2 5 2 3 5 3 4" xfId="17011"/>
    <cellStyle name="Total 2 5 2 3 5 4" xfId="10724"/>
    <cellStyle name="Total 2 5 2 3 5 4 2" xfId="29696"/>
    <cellStyle name="Total 2 5 2 3 5 4 3" xfId="40541"/>
    <cellStyle name="Total 2 5 2 3 5 4 4" xfId="18915"/>
    <cellStyle name="Total 2 5 2 3 5 5" xfId="21520"/>
    <cellStyle name="Total 2 5 2 3 5 6" xfId="32365"/>
    <cellStyle name="Total 2 5 2 3 5 7" xfId="13061"/>
    <cellStyle name="Total 2 5 2 3 6" xfId="2928"/>
    <cellStyle name="Total 2 5 2 3 6 2" xfId="5779"/>
    <cellStyle name="Total 2 5 2 3 6 2 2" xfId="24751"/>
    <cellStyle name="Total 2 5 2 3 6 2 3" xfId="35596"/>
    <cellStyle name="Total 2 5 2 3 6 2 4" xfId="15374"/>
    <cellStyle name="Total 2 5 2 3 6 3" xfId="8450"/>
    <cellStyle name="Total 2 5 2 3 6 3 2" xfId="27422"/>
    <cellStyle name="Total 2 5 2 3 6 3 3" xfId="38267"/>
    <cellStyle name="Total 2 5 2 3 6 3 4" xfId="17287"/>
    <cellStyle name="Total 2 5 2 3 6 4" xfId="11109"/>
    <cellStyle name="Total 2 5 2 3 6 4 2" xfId="30081"/>
    <cellStyle name="Total 2 5 2 3 6 4 3" xfId="40926"/>
    <cellStyle name="Total 2 5 2 3 6 4 4" xfId="19191"/>
    <cellStyle name="Total 2 5 2 3 6 5" xfId="21905"/>
    <cellStyle name="Total 2 5 2 3 6 6" xfId="32750"/>
    <cellStyle name="Total 2 5 2 3 6 7" xfId="13337"/>
    <cellStyle name="Total 2 5 2 3 7" xfId="3617"/>
    <cellStyle name="Total 2 5 2 3 7 2" xfId="22589"/>
    <cellStyle name="Total 2 5 2 3 7 3" xfId="33434"/>
    <cellStyle name="Total 2 5 2 3 7 4" xfId="13818"/>
    <cellStyle name="Total 2 5 2 3 8" xfId="6292"/>
    <cellStyle name="Total 2 5 2 3 8 2" xfId="25264"/>
    <cellStyle name="Total 2 5 2 3 8 3" xfId="36109"/>
    <cellStyle name="Total 2 5 2 3 8 4" xfId="15734"/>
    <cellStyle name="Total 2 5 2 3 9" xfId="8951"/>
    <cellStyle name="Total 2 5 2 3 9 2" xfId="27923"/>
    <cellStyle name="Total 2 5 2 3 9 3" xfId="38768"/>
    <cellStyle name="Total 2 5 2 3 9 4" xfId="17638"/>
    <cellStyle name="Total 2 5 2 4" xfId="822"/>
    <cellStyle name="Total 2 5 2 4 10" xfId="19807"/>
    <cellStyle name="Total 2 5 2 4 11" xfId="30652"/>
    <cellStyle name="Total 2 5 2 4 12" xfId="11824"/>
    <cellStyle name="Total 2 5 2 4 2" xfId="1409"/>
    <cellStyle name="Total 2 5 2 4 2 2" xfId="4262"/>
    <cellStyle name="Total 2 5 2 4 2 2 2" xfId="23234"/>
    <cellStyle name="Total 2 5 2 4 2 2 3" xfId="34079"/>
    <cellStyle name="Total 2 5 2 4 2 2 4" xfId="14285"/>
    <cellStyle name="Total 2 5 2 4 2 3" xfId="6935"/>
    <cellStyle name="Total 2 5 2 4 2 3 2" xfId="25907"/>
    <cellStyle name="Total 2 5 2 4 2 3 3" xfId="36752"/>
    <cellStyle name="Total 2 5 2 4 2 3 4" xfId="16200"/>
    <cellStyle name="Total 2 5 2 4 2 4" xfId="9594"/>
    <cellStyle name="Total 2 5 2 4 2 4 2" xfId="28566"/>
    <cellStyle name="Total 2 5 2 4 2 4 3" xfId="39411"/>
    <cellStyle name="Total 2 5 2 4 2 4 4" xfId="18104"/>
    <cellStyle name="Total 2 5 2 4 2 5" xfId="20390"/>
    <cellStyle name="Total 2 5 2 4 2 6" xfId="31235"/>
    <cellStyle name="Total 2 5 2 4 2 7" xfId="12250"/>
    <cellStyle name="Total 2 5 2 4 3" xfId="1808"/>
    <cellStyle name="Total 2 5 2 4 3 2" xfId="4661"/>
    <cellStyle name="Total 2 5 2 4 3 2 2" xfId="23633"/>
    <cellStyle name="Total 2 5 2 4 3 2 3" xfId="34478"/>
    <cellStyle name="Total 2 5 2 4 3 2 4" xfId="14572"/>
    <cellStyle name="Total 2 5 2 4 3 3" xfId="7333"/>
    <cellStyle name="Total 2 5 2 4 3 3 2" xfId="26305"/>
    <cellStyle name="Total 2 5 2 4 3 3 3" xfId="37150"/>
    <cellStyle name="Total 2 5 2 4 3 3 4" xfId="16486"/>
    <cellStyle name="Total 2 5 2 4 3 4" xfId="9992"/>
    <cellStyle name="Total 2 5 2 4 3 4 2" xfId="28964"/>
    <cellStyle name="Total 2 5 2 4 3 4 3" xfId="39809"/>
    <cellStyle name="Total 2 5 2 4 3 4 4" xfId="18390"/>
    <cellStyle name="Total 2 5 2 4 3 5" xfId="20788"/>
    <cellStyle name="Total 2 5 2 4 3 6" xfId="31633"/>
    <cellStyle name="Total 2 5 2 4 3 7" xfId="12536"/>
    <cellStyle name="Total 2 5 2 4 4" xfId="2212"/>
    <cellStyle name="Total 2 5 2 4 4 2" xfId="5065"/>
    <cellStyle name="Total 2 5 2 4 4 2 2" xfId="24037"/>
    <cellStyle name="Total 2 5 2 4 4 2 3" xfId="34882"/>
    <cellStyle name="Total 2 5 2 4 4 2 4" xfId="14859"/>
    <cellStyle name="Total 2 5 2 4 4 3" xfId="7736"/>
    <cellStyle name="Total 2 5 2 4 4 3 2" xfId="26708"/>
    <cellStyle name="Total 2 5 2 4 4 3 3" xfId="37553"/>
    <cellStyle name="Total 2 5 2 4 4 3 4" xfId="16772"/>
    <cellStyle name="Total 2 5 2 4 4 4" xfId="10395"/>
    <cellStyle name="Total 2 5 2 4 4 4 2" xfId="29367"/>
    <cellStyle name="Total 2 5 2 4 4 4 3" xfId="40212"/>
    <cellStyle name="Total 2 5 2 4 4 4 4" xfId="18676"/>
    <cellStyle name="Total 2 5 2 4 4 5" xfId="21191"/>
    <cellStyle name="Total 2 5 2 4 4 6" xfId="32036"/>
    <cellStyle name="Total 2 5 2 4 4 7" xfId="12822"/>
    <cellStyle name="Total 2 5 2 4 5" xfId="2602"/>
    <cellStyle name="Total 2 5 2 4 5 2" xfId="5454"/>
    <cellStyle name="Total 2 5 2 4 5 2 2" xfId="24426"/>
    <cellStyle name="Total 2 5 2 4 5 2 3" xfId="35271"/>
    <cellStyle name="Total 2 5 2 4 5 2 4" xfId="15138"/>
    <cellStyle name="Total 2 5 2 4 5 3" xfId="8125"/>
    <cellStyle name="Total 2 5 2 4 5 3 2" xfId="27097"/>
    <cellStyle name="Total 2 5 2 4 5 3 3" xfId="37942"/>
    <cellStyle name="Total 2 5 2 4 5 3 4" xfId="17051"/>
    <cellStyle name="Total 2 5 2 4 5 4" xfId="10784"/>
    <cellStyle name="Total 2 5 2 4 5 4 2" xfId="29756"/>
    <cellStyle name="Total 2 5 2 4 5 4 3" xfId="40601"/>
    <cellStyle name="Total 2 5 2 4 5 4 4" xfId="18955"/>
    <cellStyle name="Total 2 5 2 4 5 5" xfId="21580"/>
    <cellStyle name="Total 2 5 2 4 5 6" xfId="32425"/>
    <cellStyle name="Total 2 5 2 4 5 7" xfId="13101"/>
    <cellStyle name="Total 2 5 2 4 6" xfId="2988"/>
    <cellStyle name="Total 2 5 2 4 6 2" xfId="5839"/>
    <cellStyle name="Total 2 5 2 4 6 2 2" xfId="24811"/>
    <cellStyle name="Total 2 5 2 4 6 2 3" xfId="35656"/>
    <cellStyle name="Total 2 5 2 4 6 2 4" xfId="15414"/>
    <cellStyle name="Total 2 5 2 4 6 3" xfId="8510"/>
    <cellStyle name="Total 2 5 2 4 6 3 2" xfId="27482"/>
    <cellStyle name="Total 2 5 2 4 6 3 3" xfId="38327"/>
    <cellStyle name="Total 2 5 2 4 6 3 4" xfId="17327"/>
    <cellStyle name="Total 2 5 2 4 6 4" xfId="11169"/>
    <cellStyle name="Total 2 5 2 4 6 4 2" xfId="30141"/>
    <cellStyle name="Total 2 5 2 4 6 4 3" xfId="40986"/>
    <cellStyle name="Total 2 5 2 4 6 4 4" xfId="19231"/>
    <cellStyle name="Total 2 5 2 4 6 5" xfId="21965"/>
    <cellStyle name="Total 2 5 2 4 6 6" xfId="32810"/>
    <cellStyle name="Total 2 5 2 4 6 7" xfId="13377"/>
    <cellStyle name="Total 2 5 2 4 7" xfId="3677"/>
    <cellStyle name="Total 2 5 2 4 7 2" xfId="22649"/>
    <cellStyle name="Total 2 5 2 4 7 3" xfId="33494"/>
    <cellStyle name="Total 2 5 2 4 7 4" xfId="13858"/>
    <cellStyle name="Total 2 5 2 4 8" xfId="6352"/>
    <cellStyle name="Total 2 5 2 4 8 2" xfId="25324"/>
    <cellStyle name="Total 2 5 2 4 8 3" xfId="36169"/>
    <cellStyle name="Total 2 5 2 4 8 4" xfId="15774"/>
    <cellStyle name="Total 2 5 2 4 9" xfId="9011"/>
    <cellStyle name="Total 2 5 2 4 9 2" xfId="27983"/>
    <cellStyle name="Total 2 5 2 4 9 3" xfId="38828"/>
    <cellStyle name="Total 2 5 2 4 9 4" xfId="17678"/>
    <cellStyle name="Total 2 5 2 5" xfId="881"/>
    <cellStyle name="Total 2 5 2 5 10" xfId="19866"/>
    <cellStyle name="Total 2 5 2 5 11" xfId="30711"/>
    <cellStyle name="Total 2 5 2 5 12" xfId="11863"/>
    <cellStyle name="Total 2 5 2 5 2" xfId="1468"/>
    <cellStyle name="Total 2 5 2 5 2 2" xfId="4321"/>
    <cellStyle name="Total 2 5 2 5 2 2 2" xfId="23293"/>
    <cellStyle name="Total 2 5 2 5 2 2 3" xfId="34138"/>
    <cellStyle name="Total 2 5 2 5 2 2 4" xfId="14324"/>
    <cellStyle name="Total 2 5 2 5 2 3" xfId="6994"/>
    <cellStyle name="Total 2 5 2 5 2 3 2" xfId="25966"/>
    <cellStyle name="Total 2 5 2 5 2 3 3" xfId="36811"/>
    <cellStyle name="Total 2 5 2 5 2 3 4" xfId="16239"/>
    <cellStyle name="Total 2 5 2 5 2 4" xfId="9653"/>
    <cellStyle name="Total 2 5 2 5 2 4 2" xfId="28625"/>
    <cellStyle name="Total 2 5 2 5 2 4 3" xfId="39470"/>
    <cellStyle name="Total 2 5 2 5 2 4 4" xfId="18143"/>
    <cellStyle name="Total 2 5 2 5 2 5" xfId="20449"/>
    <cellStyle name="Total 2 5 2 5 2 6" xfId="31294"/>
    <cellStyle name="Total 2 5 2 5 2 7" xfId="12289"/>
    <cellStyle name="Total 2 5 2 5 3" xfId="1867"/>
    <cellStyle name="Total 2 5 2 5 3 2" xfId="4720"/>
    <cellStyle name="Total 2 5 2 5 3 2 2" xfId="23692"/>
    <cellStyle name="Total 2 5 2 5 3 2 3" xfId="34537"/>
    <cellStyle name="Total 2 5 2 5 3 2 4" xfId="14611"/>
    <cellStyle name="Total 2 5 2 5 3 3" xfId="7392"/>
    <cellStyle name="Total 2 5 2 5 3 3 2" xfId="26364"/>
    <cellStyle name="Total 2 5 2 5 3 3 3" xfId="37209"/>
    <cellStyle name="Total 2 5 2 5 3 3 4" xfId="16525"/>
    <cellStyle name="Total 2 5 2 5 3 4" xfId="10051"/>
    <cellStyle name="Total 2 5 2 5 3 4 2" xfId="29023"/>
    <cellStyle name="Total 2 5 2 5 3 4 3" xfId="39868"/>
    <cellStyle name="Total 2 5 2 5 3 4 4" xfId="18429"/>
    <cellStyle name="Total 2 5 2 5 3 5" xfId="20847"/>
    <cellStyle name="Total 2 5 2 5 3 6" xfId="31692"/>
    <cellStyle name="Total 2 5 2 5 3 7" xfId="12575"/>
    <cellStyle name="Total 2 5 2 5 4" xfId="2271"/>
    <cellStyle name="Total 2 5 2 5 4 2" xfId="5124"/>
    <cellStyle name="Total 2 5 2 5 4 2 2" xfId="24096"/>
    <cellStyle name="Total 2 5 2 5 4 2 3" xfId="34941"/>
    <cellStyle name="Total 2 5 2 5 4 2 4" xfId="14898"/>
    <cellStyle name="Total 2 5 2 5 4 3" xfId="7795"/>
    <cellStyle name="Total 2 5 2 5 4 3 2" xfId="26767"/>
    <cellStyle name="Total 2 5 2 5 4 3 3" xfId="37612"/>
    <cellStyle name="Total 2 5 2 5 4 3 4" xfId="16811"/>
    <cellStyle name="Total 2 5 2 5 4 4" xfId="10454"/>
    <cellStyle name="Total 2 5 2 5 4 4 2" xfId="29426"/>
    <cellStyle name="Total 2 5 2 5 4 4 3" xfId="40271"/>
    <cellStyle name="Total 2 5 2 5 4 4 4" xfId="18715"/>
    <cellStyle name="Total 2 5 2 5 4 5" xfId="21250"/>
    <cellStyle name="Total 2 5 2 5 4 6" xfId="32095"/>
    <cellStyle name="Total 2 5 2 5 4 7" xfId="12861"/>
    <cellStyle name="Total 2 5 2 5 5" xfId="2661"/>
    <cellStyle name="Total 2 5 2 5 5 2" xfId="5513"/>
    <cellStyle name="Total 2 5 2 5 5 2 2" xfId="24485"/>
    <cellStyle name="Total 2 5 2 5 5 2 3" xfId="35330"/>
    <cellStyle name="Total 2 5 2 5 5 2 4" xfId="15177"/>
    <cellStyle name="Total 2 5 2 5 5 3" xfId="8184"/>
    <cellStyle name="Total 2 5 2 5 5 3 2" xfId="27156"/>
    <cellStyle name="Total 2 5 2 5 5 3 3" xfId="38001"/>
    <cellStyle name="Total 2 5 2 5 5 3 4" xfId="17090"/>
    <cellStyle name="Total 2 5 2 5 5 4" xfId="10843"/>
    <cellStyle name="Total 2 5 2 5 5 4 2" xfId="29815"/>
    <cellStyle name="Total 2 5 2 5 5 4 3" xfId="40660"/>
    <cellStyle name="Total 2 5 2 5 5 4 4" xfId="18994"/>
    <cellStyle name="Total 2 5 2 5 5 5" xfId="21639"/>
    <cellStyle name="Total 2 5 2 5 5 6" xfId="32484"/>
    <cellStyle name="Total 2 5 2 5 5 7" xfId="13140"/>
    <cellStyle name="Total 2 5 2 5 6" xfId="3047"/>
    <cellStyle name="Total 2 5 2 5 6 2" xfId="5898"/>
    <cellStyle name="Total 2 5 2 5 6 2 2" xfId="24870"/>
    <cellStyle name="Total 2 5 2 5 6 2 3" xfId="35715"/>
    <cellStyle name="Total 2 5 2 5 6 2 4" xfId="15453"/>
    <cellStyle name="Total 2 5 2 5 6 3" xfId="8569"/>
    <cellStyle name="Total 2 5 2 5 6 3 2" xfId="27541"/>
    <cellStyle name="Total 2 5 2 5 6 3 3" xfId="38386"/>
    <cellStyle name="Total 2 5 2 5 6 3 4" xfId="17366"/>
    <cellStyle name="Total 2 5 2 5 6 4" xfId="11228"/>
    <cellStyle name="Total 2 5 2 5 6 4 2" xfId="30200"/>
    <cellStyle name="Total 2 5 2 5 6 4 3" xfId="41045"/>
    <cellStyle name="Total 2 5 2 5 6 4 4" xfId="19270"/>
    <cellStyle name="Total 2 5 2 5 6 5" xfId="22024"/>
    <cellStyle name="Total 2 5 2 5 6 6" xfId="32869"/>
    <cellStyle name="Total 2 5 2 5 6 7" xfId="13416"/>
    <cellStyle name="Total 2 5 2 5 7" xfId="3736"/>
    <cellStyle name="Total 2 5 2 5 7 2" xfId="22708"/>
    <cellStyle name="Total 2 5 2 5 7 3" xfId="33553"/>
    <cellStyle name="Total 2 5 2 5 7 4" xfId="13897"/>
    <cellStyle name="Total 2 5 2 5 8" xfId="6411"/>
    <cellStyle name="Total 2 5 2 5 8 2" xfId="25383"/>
    <cellStyle name="Total 2 5 2 5 8 3" xfId="36228"/>
    <cellStyle name="Total 2 5 2 5 8 4" xfId="15813"/>
    <cellStyle name="Total 2 5 2 5 9" xfId="9070"/>
    <cellStyle name="Total 2 5 2 5 9 2" xfId="28042"/>
    <cellStyle name="Total 2 5 2 5 9 3" xfId="38887"/>
    <cellStyle name="Total 2 5 2 5 9 4" xfId="17717"/>
    <cellStyle name="Total 2 5 2 6" xfId="1103"/>
    <cellStyle name="Total 2 5 2 6 2" xfId="3956"/>
    <cellStyle name="Total 2 5 2 6 2 2" xfId="22928"/>
    <cellStyle name="Total 2 5 2 6 2 3" xfId="33773"/>
    <cellStyle name="Total 2 5 2 6 2 4" xfId="14059"/>
    <cellStyle name="Total 2 5 2 6 3" xfId="6630"/>
    <cellStyle name="Total 2 5 2 6 3 2" xfId="25602"/>
    <cellStyle name="Total 2 5 2 6 3 3" xfId="36447"/>
    <cellStyle name="Total 2 5 2 6 3 4" xfId="15975"/>
    <cellStyle name="Total 2 5 2 6 4" xfId="9289"/>
    <cellStyle name="Total 2 5 2 6 4 2" xfId="28261"/>
    <cellStyle name="Total 2 5 2 6 4 3" xfId="39106"/>
    <cellStyle name="Total 2 5 2 6 4 4" xfId="17879"/>
    <cellStyle name="Total 2 5 2 6 5" xfId="20085"/>
    <cellStyle name="Total 2 5 2 6 6" xfId="30930"/>
    <cellStyle name="Total 2 5 2 6 7" xfId="12025"/>
    <cellStyle name="Total 2 5 2 7" xfId="1503"/>
    <cellStyle name="Total 2 5 2 7 2" xfId="4356"/>
    <cellStyle name="Total 2 5 2 7 2 2" xfId="23328"/>
    <cellStyle name="Total 2 5 2 7 2 3" xfId="34173"/>
    <cellStyle name="Total 2 5 2 7 2 4" xfId="14349"/>
    <cellStyle name="Total 2 5 2 7 3" xfId="7029"/>
    <cellStyle name="Total 2 5 2 7 3 2" xfId="26001"/>
    <cellStyle name="Total 2 5 2 7 3 3" xfId="36846"/>
    <cellStyle name="Total 2 5 2 7 3 4" xfId="16264"/>
    <cellStyle name="Total 2 5 2 7 4" xfId="9688"/>
    <cellStyle name="Total 2 5 2 7 4 2" xfId="28660"/>
    <cellStyle name="Total 2 5 2 7 4 3" xfId="39505"/>
    <cellStyle name="Total 2 5 2 7 4 4" xfId="18168"/>
    <cellStyle name="Total 2 5 2 7 5" xfId="20484"/>
    <cellStyle name="Total 2 5 2 7 6" xfId="31329"/>
    <cellStyle name="Total 2 5 2 7 7" xfId="12314"/>
    <cellStyle name="Total 2 5 2 8" xfId="1911"/>
    <cellStyle name="Total 2 5 2 8 2" xfId="4764"/>
    <cellStyle name="Total 2 5 2 8 2 2" xfId="23736"/>
    <cellStyle name="Total 2 5 2 8 2 3" xfId="34581"/>
    <cellStyle name="Total 2 5 2 8 2 4" xfId="14640"/>
    <cellStyle name="Total 2 5 2 8 3" xfId="7436"/>
    <cellStyle name="Total 2 5 2 8 3 2" xfId="26408"/>
    <cellStyle name="Total 2 5 2 8 3 3" xfId="37253"/>
    <cellStyle name="Total 2 5 2 8 3 4" xfId="16554"/>
    <cellStyle name="Total 2 5 2 8 4" xfId="10095"/>
    <cellStyle name="Total 2 5 2 8 4 2" xfId="29067"/>
    <cellStyle name="Total 2 5 2 8 4 3" xfId="39912"/>
    <cellStyle name="Total 2 5 2 8 4 4" xfId="18458"/>
    <cellStyle name="Total 2 5 2 8 5" xfId="20891"/>
    <cellStyle name="Total 2 5 2 8 6" xfId="31736"/>
    <cellStyle name="Total 2 5 2 8 7" xfId="12604"/>
    <cellStyle name="Total 2 5 2 9" xfId="2305"/>
    <cellStyle name="Total 2 5 2 9 2" xfId="5158"/>
    <cellStyle name="Total 2 5 2 9 2 2" xfId="24130"/>
    <cellStyle name="Total 2 5 2 9 2 3" xfId="34975"/>
    <cellStyle name="Total 2 5 2 9 2 4" xfId="14922"/>
    <cellStyle name="Total 2 5 2 9 3" xfId="7829"/>
    <cellStyle name="Total 2 5 2 9 3 2" xfId="26801"/>
    <cellStyle name="Total 2 5 2 9 3 3" xfId="37646"/>
    <cellStyle name="Total 2 5 2 9 3 4" xfId="16835"/>
    <cellStyle name="Total 2 5 2 9 4" xfId="10488"/>
    <cellStyle name="Total 2 5 2 9 4 2" xfId="29460"/>
    <cellStyle name="Total 2 5 2 9 4 3" xfId="40305"/>
    <cellStyle name="Total 2 5 2 9 4 4" xfId="18739"/>
    <cellStyle name="Total 2 5 2 9 5" xfId="21284"/>
    <cellStyle name="Total 2 5 2 9 6" xfId="32129"/>
    <cellStyle name="Total 2 5 2 9 7" xfId="12885"/>
    <cellStyle name="Total 2 5 3" xfId="585"/>
    <cellStyle name="Total 2 5 3 10" xfId="19595"/>
    <cellStyle name="Total 2 5 3 11" xfId="30440"/>
    <cellStyle name="Total 2 5 3 12" xfId="11649"/>
    <cellStyle name="Total 2 5 3 2" xfId="1191"/>
    <cellStyle name="Total 2 5 3 2 2" xfId="4044"/>
    <cellStyle name="Total 2 5 3 2 2 2" xfId="23016"/>
    <cellStyle name="Total 2 5 3 2 2 3" xfId="33861"/>
    <cellStyle name="Total 2 5 3 2 2 4" xfId="14126"/>
    <cellStyle name="Total 2 5 3 2 3" xfId="6717"/>
    <cellStyle name="Total 2 5 3 2 3 2" xfId="25689"/>
    <cellStyle name="Total 2 5 3 2 3 3" xfId="36534"/>
    <cellStyle name="Total 2 5 3 2 3 4" xfId="16041"/>
    <cellStyle name="Total 2 5 3 2 4" xfId="9376"/>
    <cellStyle name="Total 2 5 3 2 4 2" xfId="28348"/>
    <cellStyle name="Total 2 5 3 2 4 3" xfId="39193"/>
    <cellStyle name="Total 2 5 3 2 4 4" xfId="17945"/>
    <cellStyle name="Total 2 5 3 2 5" xfId="20172"/>
    <cellStyle name="Total 2 5 3 2 6" xfId="31017"/>
    <cellStyle name="Total 2 5 3 2 7" xfId="12091"/>
    <cellStyle name="Total 2 5 3 3" xfId="1588"/>
    <cellStyle name="Total 2 5 3 3 2" xfId="4441"/>
    <cellStyle name="Total 2 5 3 3 2 2" xfId="23413"/>
    <cellStyle name="Total 2 5 3 3 2 3" xfId="34258"/>
    <cellStyle name="Total 2 5 3 3 2 4" xfId="14412"/>
    <cellStyle name="Total 2 5 3 3 3" xfId="7113"/>
    <cellStyle name="Total 2 5 3 3 3 2" xfId="26085"/>
    <cellStyle name="Total 2 5 3 3 3 3" xfId="36930"/>
    <cellStyle name="Total 2 5 3 3 3 4" xfId="16326"/>
    <cellStyle name="Total 2 5 3 3 4" xfId="9772"/>
    <cellStyle name="Total 2 5 3 3 4 2" xfId="28744"/>
    <cellStyle name="Total 2 5 3 3 4 3" xfId="39589"/>
    <cellStyle name="Total 2 5 3 3 4 4" xfId="18230"/>
    <cellStyle name="Total 2 5 3 3 5" xfId="20568"/>
    <cellStyle name="Total 2 5 3 3 6" xfId="31413"/>
    <cellStyle name="Total 2 5 3 3 7" xfId="12376"/>
    <cellStyle name="Total 2 5 3 4" xfId="1992"/>
    <cellStyle name="Total 2 5 3 4 2" xfId="4845"/>
    <cellStyle name="Total 2 5 3 4 2 2" xfId="23817"/>
    <cellStyle name="Total 2 5 3 4 2 3" xfId="34662"/>
    <cellStyle name="Total 2 5 3 4 2 4" xfId="14700"/>
    <cellStyle name="Total 2 5 3 4 3" xfId="7517"/>
    <cellStyle name="Total 2 5 3 4 3 2" xfId="26489"/>
    <cellStyle name="Total 2 5 3 4 3 3" xfId="37334"/>
    <cellStyle name="Total 2 5 3 4 3 4" xfId="16614"/>
    <cellStyle name="Total 2 5 3 4 4" xfId="10176"/>
    <cellStyle name="Total 2 5 3 4 4 2" xfId="29148"/>
    <cellStyle name="Total 2 5 3 4 4 3" xfId="39993"/>
    <cellStyle name="Total 2 5 3 4 4 4" xfId="18518"/>
    <cellStyle name="Total 2 5 3 4 5" xfId="20972"/>
    <cellStyle name="Total 2 5 3 4 6" xfId="31817"/>
    <cellStyle name="Total 2 5 3 4 7" xfId="12664"/>
    <cellStyle name="Total 2 5 3 5" xfId="2384"/>
    <cellStyle name="Total 2 5 3 5 2" xfId="5237"/>
    <cellStyle name="Total 2 5 3 5 2 2" xfId="24209"/>
    <cellStyle name="Total 2 5 3 5 2 3" xfId="35054"/>
    <cellStyle name="Total 2 5 3 5 2 4" xfId="14981"/>
    <cellStyle name="Total 2 5 3 5 3" xfId="7908"/>
    <cellStyle name="Total 2 5 3 5 3 2" xfId="26880"/>
    <cellStyle name="Total 2 5 3 5 3 3" xfId="37725"/>
    <cellStyle name="Total 2 5 3 5 3 4" xfId="16894"/>
    <cellStyle name="Total 2 5 3 5 4" xfId="10567"/>
    <cellStyle name="Total 2 5 3 5 4 2" xfId="29539"/>
    <cellStyle name="Total 2 5 3 5 4 3" xfId="40384"/>
    <cellStyle name="Total 2 5 3 5 4 4" xfId="18798"/>
    <cellStyle name="Total 2 5 3 5 5" xfId="21363"/>
    <cellStyle name="Total 2 5 3 5 6" xfId="32208"/>
    <cellStyle name="Total 2 5 3 5 7" xfId="12944"/>
    <cellStyle name="Total 2 5 3 6" xfId="2773"/>
    <cellStyle name="Total 2 5 3 6 2" xfId="5625"/>
    <cellStyle name="Total 2 5 3 6 2 2" xfId="24597"/>
    <cellStyle name="Total 2 5 3 6 2 3" xfId="35442"/>
    <cellStyle name="Total 2 5 3 6 2 4" xfId="15259"/>
    <cellStyle name="Total 2 5 3 6 3" xfId="8296"/>
    <cellStyle name="Total 2 5 3 6 3 2" xfId="27268"/>
    <cellStyle name="Total 2 5 3 6 3 3" xfId="38113"/>
    <cellStyle name="Total 2 5 3 6 3 4" xfId="17172"/>
    <cellStyle name="Total 2 5 3 6 4" xfId="10955"/>
    <cellStyle name="Total 2 5 3 6 4 2" xfId="29927"/>
    <cellStyle name="Total 2 5 3 6 4 3" xfId="40772"/>
    <cellStyle name="Total 2 5 3 6 4 4" xfId="19076"/>
    <cellStyle name="Total 2 5 3 6 5" xfId="21751"/>
    <cellStyle name="Total 2 5 3 6 6" xfId="32596"/>
    <cellStyle name="Total 2 5 3 6 7" xfId="13222"/>
    <cellStyle name="Total 2 5 3 7" xfId="3464"/>
    <cellStyle name="Total 2 5 3 7 2" xfId="22436"/>
    <cellStyle name="Total 2 5 3 7 3" xfId="33281"/>
    <cellStyle name="Total 2 5 3 7 4" xfId="13704"/>
    <cellStyle name="Total 2 5 3 8" xfId="6140"/>
    <cellStyle name="Total 2 5 3 8 2" xfId="25112"/>
    <cellStyle name="Total 2 5 3 8 3" xfId="35957"/>
    <cellStyle name="Total 2 5 3 8 4" xfId="15621"/>
    <cellStyle name="Total 2 5 3 9" xfId="8799"/>
    <cellStyle name="Total 2 5 3 9 2" xfId="27771"/>
    <cellStyle name="Total 2 5 3 9 3" xfId="38616"/>
    <cellStyle name="Total 2 5 3 9 4" xfId="17525"/>
    <cellStyle name="Total 2 5 4" xfId="11478"/>
    <cellStyle name="Total 2 6" xfId="160"/>
    <cellStyle name="Total 2 6 2" xfId="404"/>
    <cellStyle name="Total 2 6 2 10" xfId="2695"/>
    <cellStyle name="Total 2 6 2 10 2" xfId="5547"/>
    <cellStyle name="Total 2 6 2 10 2 2" xfId="24519"/>
    <cellStyle name="Total 2 6 2 10 2 3" xfId="35364"/>
    <cellStyle name="Total 2 6 2 10 2 4" xfId="15201"/>
    <cellStyle name="Total 2 6 2 10 3" xfId="8218"/>
    <cellStyle name="Total 2 6 2 10 3 2" xfId="27190"/>
    <cellStyle name="Total 2 6 2 10 3 3" xfId="38035"/>
    <cellStyle name="Total 2 6 2 10 3 4" xfId="17114"/>
    <cellStyle name="Total 2 6 2 10 4" xfId="10877"/>
    <cellStyle name="Total 2 6 2 10 4 2" xfId="29849"/>
    <cellStyle name="Total 2 6 2 10 4 3" xfId="40694"/>
    <cellStyle name="Total 2 6 2 10 4 4" xfId="19018"/>
    <cellStyle name="Total 2 6 2 10 5" xfId="21673"/>
    <cellStyle name="Total 2 6 2 10 6" xfId="32518"/>
    <cellStyle name="Total 2 6 2 10 7" xfId="13164"/>
    <cellStyle name="Total 2 6 2 11" xfId="3081"/>
    <cellStyle name="Total 2 6 2 11 2" xfId="5932"/>
    <cellStyle name="Total 2 6 2 11 2 2" xfId="24904"/>
    <cellStyle name="Total 2 6 2 11 2 3" xfId="35749"/>
    <cellStyle name="Total 2 6 2 11 2 4" xfId="15477"/>
    <cellStyle name="Total 2 6 2 11 3" xfId="8603"/>
    <cellStyle name="Total 2 6 2 11 3 2" xfId="27575"/>
    <cellStyle name="Total 2 6 2 11 3 3" xfId="38420"/>
    <cellStyle name="Total 2 6 2 11 3 4" xfId="17390"/>
    <cellStyle name="Total 2 6 2 11 4" xfId="11262"/>
    <cellStyle name="Total 2 6 2 11 4 2" xfId="30234"/>
    <cellStyle name="Total 2 6 2 11 4 3" xfId="41079"/>
    <cellStyle name="Total 2 6 2 11 4 4" xfId="19294"/>
    <cellStyle name="Total 2 6 2 11 5" xfId="22058"/>
    <cellStyle name="Total 2 6 2 11 6" xfId="32903"/>
    <cellStyle name="Total 2 6 2 11 7" xfId="13440"/>
    <cellStyle name="Total 2 6 2 12" xfId="3138"/>
    <cellStyle name="Total 2 6 2 12 2" xfId="5989"/>
    <cellStyle name="Total 2 6 2 12 2 2" xfId="24961"/>
    <cellStyle name="Total 2 6 2 12 2 3" xfId="35806"/>
    <cellStyle name="Total 2 6 2 12 2 4" xfId="15514"/>
    <cellStyle name="Total 2 6 2 12 3" xfId="8660"/>
    <cellStyle name="Total 2 6 2 12 3 2" xfId="27632"/>
    <cellStyle name="Total 2 6 2 12 3 3" xfId="38477"/>
    <cellStyle name="Total 2 6 2 12 3 4" xfId="17427"/>
    <cellStyle name="Total 2 6 2 12 4" xfId="11319"/>
    <cellStyle name="Total 2 6 2 12 4 2" xfId="30291"/>
    <cellStyle name="Total 2 6 2 12 4 3" xfId="41136"/>
    <cellStyle name="Total 2 6 2 12 4 4" xfId="19331"/>
    <cellStyle name="Total 2 6 2 12 5" xfId="22115"/>
    <cellStyle name="Total 2 6 2 12 6" xfId="32960"/>
    <cellStyle name="Total 2 6 2 12 7" xfId="13477"/>
    <cellStyle name="Total 2 6 2 13" xfId="3195"/>
    <cellStyle name="Total 2 6 2 13 2" xfId="6046"/>
    <cellStyle name="Total 2 6 2 13 2 2" xfId="25018"/>
    <cellStyle name="Total 2 6 2 13 2 3" xfId="35863"/>
    <cellStyle name="Total 2 6 2 13 2 4" xfId="15551"/>
    <cellStyle name="Total 2 6 2 13 3" xfId="8717"/>
    <cellStyle name="Total 2 6 2 13 3 2" xfId="27689"/>
    <cellStyle name="Total 2 6 2 13 3 3" xfId="38534"/>
    <cellStyle name="Total 2 6 2 13 3 4" xfId="17464"/>
    <cellStyle name="Total 2 6 2 13 4" xfId="11376"/>
    <cellStyle name="Total 2 6 2 13 4 2" xfId="30348"/>
    <cellStyle name="Total 2 6 2 13 4 3" xfId="41193"/>
    <cellStyle name="Total 2 6 2 13 4 4" xfId="19368"/>
    <cellStyle name="Total 2 6 2 13 5" xfId="22172"/>
    <cellStyle name="Total 2 6 2 13 6" xfId="33017"/>
    <cellStyle name="Total 2 6 2 13 7" xfId="13514"/>
    <cellStyle name="Total 2 6 2 14" xfId="3362"/>
    <cellStyle name="Total 2 6 2 14 2" xfId="22336"/>
    <cellStyle name="Total 2 6 2 14 3" xfId="33181"/>
    <cellStyle name="Total 2 6 2 14 4" xfId="13631"/>
    <cellStyle name="Total 2 6 2 15" xfId="3306"/>
    <cellStyle name="Total 2 6 2 15 2" xfId="22280"/>
    <cellStyle name="Total 2 6 2 15 3" xfId="33125"/>
    <cellStyle name="Total 2 6 2 15 4" xfId="13591"/>
    <cellStyle name="Total 2 6 2 16" xfId="3237"/>
    <cellStyle name="Total 2 6 2 16 2" xfId="22214"/>
    <cellStyle name="Total 2 6 2 16 3" xfId="33059"/>
    <cellStyle name="Total 2 6 2 16 4" xfId="13542"/>
    <cellStyle name="Total 2 6 2 17" xfId="19492"/>
    <cellStyle name="Total 2 6 2 18" xfId="19426"/>
    <cellStyle name="Total 2 6 2 19" xfId="11541"/>
    <cellStyle name="Total 2 6 2 2" xfId="703"/>
    <cellStyle name="Total 2 6 2 2 10" xfId="19688"/>
    <cellStyle name="Total 2 6 2 2 11" xfId="30533"/>
    <cellStyle name="Total 2 6 2 2 12" xfId="11745"/>
    <cellStyle name="Total 2 6 2 2 2" xfId="1290"/>
    <cellStyle name="Total 2 6 2 2 2 2" xfId="4143"/>
    <cellStyle name="Total 2 6 2 2 2 2 2" xfId="23115"/>
    <cellStyle name="Total 2 6 2 2 2 2 3" xfId="33960"/>
    <cellStyle name="Total 2 6 2 2 2 2 4" xfId="14206"/>
    <cellStyle name="Total 2 6 2 2 2 3" xfId="6816"/>
    <cellStyle name="Total 2 6 2 2 2 3 2" xfId="25788"/>
    <cellStyle name="Total 2 6 2 2 2 3 3" xfId="36633"/>
    <cellStyle name="Total 2 6 2 2 2 3 4" xfId="16121"/>
    <cellStyle name="Total 2 6 2 2 2 4" xfId="9475"/>
    <cellStyle name="Total 2 6 2 2 2 4 2" xfId="28447"/>
    <cellStyle name="Total 2 6 2 2 2 4 3" xfId="39292"/>
    <cellStyle name="Total 2 6 2 2 2 4 4" xfId="18025"/>
    <cellStyle name="Total 2 6 2 2 2 5" xfId="20271"/>
    <cellStyle name="Total 2 6 2 2 2 6" xfId="31116"/>
    <cellStyle name="Total 2 6 2 2 2 7" xfId="12171"/>
    <cellStyle name="Total 2 6 2 2 3" xfId="1689"/>
    <cellStyle name="Total 2 6 2 2 3 2" xfId="4542"/>
    <cellStyle name="Total 2 6 2 2 3 2 2" xfId="23514"/>
    <cellStyle name="Total 2 6 2 2 3 2 3" xfId="34359"/>
    <cellStyle name="Total 2 6 2 2 3 2 4" xfId="14493"/>
    <cellStyle name="Total 2 6 2 2 3 3" xfId="7214"/>
    <cellStyle name="Total 2 6 2 2 3 3 2" xfId="26186"/>
    <cellStyle name="Total 2 6 2 2 3 3 3" xfId="37031"/>
    <cellStyle name="Total 2 6 2 2 3 3 4" xfId="16407"/>
    <cellStyle name="Total 2 6 2 2 3 4" xfId="9873"/>
    <cellStyle name="Total 2 6 2 2 3 4 2" xfId="28845"/>
    <cellStyle name="Total 2 6 2 2 3 4 3" xfId="39690"/>
    <cellStyle name="Total 2 6 2 2 3 4 4" xfId="18311"/>
    <cellStyle name="Total 2 6 2 2 3 5" xfId="20669"/>
    <cellStyle name="Total 2 6 2 2 3 6" xfId="31514"/>
    <cellStyle name="Total 2 6 2 2 3 7" xfId="12457"/>
    <cellStyle name="Total 2 6 2 2 4" xfId="2093"/>
    <cellStyle name="Total 2 6 2 2 4 2" xfId="4946"/>
    <cellStyle name="Total 2 6 2 2 4 2 2" xfId="23918"/>
    <cellStyle name="Total 2 6 2 2 4 2 3" xfId="34763"/>
    <cellStyle name="Total 2 6 2 2 4 2 4" xfId="14780"/>
    <cellStyle name="Total 2 6 2 2 4 3" xfId="7617"/>
    <cellStyle name="Total 2 6 2 2 4 3 2" xfId="26589"/>
    <cellStyle name="Total 2 6 2 2 4 3 3" xfId="37434"/>
    <cellStyle name="Total 2 6 2 2 4 3 4" xfId="16693"/>
    <cellStyle name="Total 2 6 2 2 4 4" xfId="10276"/>
    <cellStyle name="Total 2 6 2 2 4 4 2" xfId="29248"/>
    <cellStyle name="Total 2 6 2 2 4 4 3" xfId="40093"/>
    <cellStyle name="Total 2 6 2 2 4 4 4" xfId="18597"/>
    <cellStyle name="Total 2 6 2 2 4 5" xfId="21072"/>
    <cellStyle name="Total 2 6 2 2 4 6" xfId="31917"/>
    <cellStyle name="Total 2 6 2 2 4 7" xfId="12743"/>
    <cellStyle name="Total 2 6 2 2 5" xfId="2483"/>
    <cellStyle name="Total 2 6 2 2 5 2" xfId="5335"/>
    <cellStyle name="Total 2 6 2 2 5 2 2" xfId="24307"/>
    <cellStyle name="Total 2 6 2 2 5 2 3" xfId="35152"/>
    <cellStyle name="Total 2 6 2 2 5 2 4" xfId="15059"/>
    <cellStyle name="Total 2 6 2 2 5 3" xfId="8006"/>
    <cellStyle name="Total 2 6 2 2 5 3 2" xfId="26978"/>
    <cellStyle name="Total 2 6 2 2 5 3 3" xfId="37823"/>
    <cellStyle name="Total 2 6 2 2 5 3 4" xfId="16972"/>
    <cellStyle name="Total 2 6 2 2 5 4" xfId="10665"/>
    <cellStyle name="Total 2 6 2 2 5 4 2" xfId="29637"/>
    <cellStyle name="Total 2 6 2 2 5 4 3" xfId="40482"/>
    <cellStyle name="Total 2 6 2 2 5 4 4" xfId="18876"/>
    <cellStyle name="Total 2 6 2 2 5 5" xfId="21461"/>
    <cellStyle name="Total 2 6 2 2 5 6" xfId="32306"/>
    <cellStyle name="Total 2 6 2 2 5 7" xfId="13022"/>
    <cellStyle name="Total 2 6 2 2 6" xfId="2869"/>
    <cellStyle name="Total 2 6 2 2 6 2" xfId="5720"/>
    <cellStyle name="Total 2 6 2 2 6 2 2" xfId="24692"/>
    <cellStyle name="Total 2 6 2 2 6 2 3" xfId="35537"/>
    <cellStyle name="Total 2 6 2 2 6 2 4" xfId="15335"/>
    <cellStyle name="Total 2 6 2 2 6 3" xfId="8391"/>
    <cellStyle name="Total 2 6 2 2 6 3 2" xfId="27363"/>
    <cellStyle name="Total 2 6 2 2 6 3 3" xfId="38208"/>
    <cellStyle name="Total 2 6 2 2 6 3 4" xfId="17248"/>
    <cellStyle name="Total 2 6 2 2 6 4" xfId="11050"/>
    <cellStyle name="Total 2 6 2 2 6 4 2" xfId="30022"/>
    <cellStyle name="Total 2 6 2 2 6 4 3" xfId="40867"/>
    <cellStyle name="Total 2 6 2 2 6 4 4" xfId="19152"/>
    <cellStyle name="Total 2 6 2 2 6 5" xfId="21846"/>
    <cellStyle name="Total 2 6 2 2 6 6" xfId="32691"/>
    <cellStyle name="Total 2 6 2 2 6 7" xfId="13298"/>
    <cellStyle name="Total 2 6 2 2 7" xfId="3558"/>
    <cellStyle name="Total 2 6 2 2 7 2" xfId="22530"/>
    <cellStyle name="Total 2 6 2 2 7 3" xfId="33375"/>
    <cellStyle name="Total 2 6 2 2 7 4" xfId="13779"/>
    <cellStyle name="Total 2 6 2 2 8" xfId="6233"/>
    <cellStyle name="Total 2 6 2 2 8 2" xfId="25205"/>
    <cellStyle name="Total 2 6 2 2 8 3" xfId="36050"/>
    <cellStyle name="Total 2 6 2 2 8 4" xfId="15695"/>
    <cellStyle name="Total 2 6 2 2 9" xfId="8892"/>
    <cellStyle name="Total 2 6 2 2 9 2" xfId="27864"/>
    <cellStyle name="Total 2 6 2 2 9 3" xfId="38709"/>
    <cellStyle name="Total 2 6 2 2 9 4" xfId="17599"/>
    <cellStyle name="Total 2 6 2 3" xfId="763"/>
    <cellStyle name="Total 2 6 2 3 10" xfId="19748"/>
    <cellStyle name="Total 2 6 2 3 11" xfId="30593"/>
    <cellStyle name="Total 2 6 2 3 12" xfId="11785"/>
    <cellStyle name="Total 2 6 2 3 2" xfId="1350"/>
    <cellStyle name="Total 2 6 2 3 2 2" xfId="4203"/>
    <cellStyle name="Total 2 6 2 3 2 2 2" xfId="23175"/>
    <cellStyle name="Total 2 6 2 3 2 2 3" xfId="34020"/>
    <cellStyle name="Total 2 6 2 3 2 2 4" xfId="14246"/>
    <cellStyle name="Total 2 6 2 3 2 3" xfId="6876"/>
    <cellStyle name="Total 2 6 2 3 2 3 2" xfId="25848"/>
    <cellStyle name="Total 2 6 2 3 2 3 3" xfId="36693"/>
    <cellStyle name="Total 2 6 2 3 2 3 4" xfId="16161"/>
    <cellStyle name="Total 2 6 2 3 2 4" xfId="9535"/>
    <cellStyle name="Total 2 6 2 3 2 4 2" xfId="28507"/>
    <cellStyle name="Total 2 6 2 3 2 4 3" xfId="39352"/>
    <cellStyle name="Total 2 6 2 3 2 4 4" xfId="18065"/>
    <cellStyle name="Total 2 6 2 3 2 5" xfId="20331"/>
    <cellStyle name="Total 2 6 2 3 2 6" xfId="31176"/>
    <cellStyle name="Total 2 6 2 3 2 7" xfId="12211"/>
    <cellStyle name="Total 2 6 2 3 3" xfId="1749"/>
    <cellStyle name="Total 2 6 2 3 3 2" xfId="4602"/>
    <cellStyle name="Total 2 6 2 3 3 2 2" xfId="23574"/>
    <cellStyle name="Total 2 6 2 3 3 2 3" xfId="34419"/>
    <cellStyle name="Total 2 6 2 3 3 2 4" xfId="14533"/>
    <cellStyle name="Total 2 6 2 3 3 3" xfId="7274"/>
    <cellStyle name="Total 2 6 2 3 3 3 2" xfId="26246"/>
    <cellStyle name="Total 2 6 2 3 3 3 3" xfId="37091"/>
    <cellStyle name="Total 2 6 2 3 3 3 4" xfId="16447"/>
    <cellStyle name="Total 2 6 2 3 3 4" xfId="9933"/>
    <cellStyle name="Total 2 6 2 3 3 4 2" xfId="28905"/>
    <cellStyle name="Total 2 6 2 3 3 4 3" xfId="39750"/>
    <cellStyle name="Total 2 6 2 3 3 4 4" xfId="18351"/>
    <cellStyle name="Total 2 6 2 3 3 5" xfId="20729"/>
    <cellStyle name="Total 2 6 2 3 3 6" xfId="31574"/>
    <cellStyle name="Total 2 6 2 3 3 7" xfId="12497"/>
    <cellStyle name="Total 2 6 2 3 4" xfId="2153"/>
    <cellStyle name="Total 2 6 2 3 4 2" xfId="5006"/>
    <cellStyle name="Total 2 6 2 3 4 2 2" xfId="23978"/>
    <cellStyle name="Total 2 6 2 3 4 2 3" xfId="34823"/>
    <cellStyle name="Total 2 6 2 3 4 2 4" xfId="14820"/>
    <cellStyle name="Total 2 6 2 3 4 3" xfId="7677"/>
    <cellStyle name="Total 2 6 2 3 4 3 2" xfId="26649"/>
    <cellStyle name="Total 2 6 2 3 4 3 3" xfId="37494"/>
    <cellStyle name="Total 2 6 2 3 4 3 4" xfId="16733"/>
    <cellStyle name="Total 2 6 2 3 4 4" xfId="10336"/>
    <cellStyle name="Total 2 6 2 3 4 4 2" xfId="29308"/>
    <cellStyle name="Total 2 6 2 3 4 4 3" xfId="40153"/>
    <cellStyle name="Total 2 6 2 3 4 4 4" xfId="18637"/>
    <cellStyle name="Total 2 6 2 3 4 5" xfId="21132"/>
    <cellStyle name="Total 2 6 2 3 4 6" xfId="31977"/>
    <cellStyle name="Total 2 6 2 3 4 7" xfId="12783"/>
    <cellStyle name="Total 2 6 2 3 5" xfId="2543"/>
    <cellStyle name="Total 2 6 2 3 5 2" xfId="5395"/>
    <cellStyle name="Total 2 6 2 3 5 2 2" xfId="24367"/>
    <cellStyle name="Total 2 6 2 3 5 2 3" xfId="35212"/>
    <cellStyle name="Total 2 6 2 3 5 2 4" xfId="15099"/>
    <cellStyle name="Total 2 6 2 3 5 3" xfId="8066"/>
    <cellStyle name="Total 2 6 2 3 5 3 2" xfId="27038"/>
    <cellStyle name="Total 2 6 2 3 5 3 3" xfId="37883"/>
    <cellStyle name="Total 2 6 2 3 5 3 4" xfId="17012"/>
    <cellStyle name="Total 2 6 2 3 5 4" xfId="10725"/>
    <cellStyle name="Total 2 6 2 3 5 4 2" xfId="29697"/>
    <cellStyle name="Total 2 6 2 3 5 4 3" xfId="40542"/>
    <cellStyle name="Total 2 6 2 3 5 4 4" xfId="18916"/>
    <cellStyle name="Total 2 6 2 3 5 5" xfId="21521"/>
    <cellStyle name="Total 2 6 2 3 5 6" xfId="32366"/>
    <cellStyle name="Total 2 6 2 3 5 7" xfId="13062"/>
    <cellStyle name="Total 2 6 2 3 6" xfId="2929"/>
    <cellStyle name="Total 2 6 2 3 6 2" xfId="5780"/>
    <cellStyle name="Total 2 6 2 3 6 2 2" xfId="24752"/>
    <cellStyle name="Total 2 6 2 3 6 2 3" xfId="35597"/>
    <cellStyle name="Total 2 6 2 3 6 2 4" xfId="15375"/>
    <cellStyle name="Total 2 6 2 3 6 3" xfId="8451"/>
    <cellStyle name="Total 2 6 2 3 6 3 2" xfId="27423"/>
    <cellStyle name="Total 2 6 2 3 6 3 3" xfId="38268"/>
    <cellStyle name="Total 2 6 2 3 6 3 4" xfId="17288"/>
    <cellStyle name="Total 2 6 2 3 6 4" xfId="11110"/>
    <cellStyle name="Total 2 6 2 3 6 4 2" xfId="30082"/>
    <cellStyle name="Total 2 6 2 3 6 4 3" xfId="40927"/>
    <cellStyle name="Total 2 6 2 3 6 4 4" xfId="19192"/>
    <cellStyle name="Total 2 6 2 3 6 5" xfId="21906"/>
    <cellStyle name="Total 2 6 2 3 6 6" xfId="32751"/>
    <cellStyle name="Total 2 6 2 3 6 7" xfId="13338"/>
    <cellStyle name="Total 2 6 2 3 7" xfId="3618"/>
    <cellStyle name="Total 2 6 2 3 7 2" xfId="22590"/>
    <cellStyle name="Total 2 6 2 3 7 3" xfId="33435"/>
    <cellStyle name="Total 2 6 2 3 7 4" xfId="13819"/>
    <cellStyle name="Total 2 6 2 3 8" xfId="6293"/>
    <cellStyle name="Total 2 6 2 3 8 2" xfId="25265"/>
    <cellStyle name="Total 2 6 2 3 8 3" xfId="36110"/>
    <cellStyle name="Total 2 6 2 3 8 4" xfId="15735"/>
    <cellStyle name="Total 2 6 2 3 9" xfId="8952"/>
    <cellStyle name="Total 2 6 2 3 9 2" xfId="27924"/>
    <cellStyle name="Total 2 6 2 3 9 3" xfId="38769"/>
    <cellStyle name="Total 2 6 2 3 9 4" xfId="17639"/>
    <cellStyle name="Total 2 6 2 4" xfId="823"/>
    <cellStyle name="Total 2 6 2 4 10" xfId="19808"/>
    <cellStyle name="Total 2 6 2 4 11" xfId="30653"/>
    <cellStyle name="Total 2 6 2 4 12" xfId="11825"/>
    <cellStyle name="Total 2 6 2 4 2" xfId="1410"/>
    <cellStyle name="Total 2 6 2 4 2 2" xfId="4263"/>
    <cellStyle name="Total 2 6 2 4 2 2 2" xfId="23235"/>
    <cellStyle name="Total 2 6 2 4 2 2 3" xfId="34080"/>
    <cellStyle name="Total 2 6 2 4 2 2 4" xfId="14286"/>
    <cellStyle name="Total 2 6 2 4 2 3" xfId="6936"/>
    <cellStyle name="Total 2 6 2 4 2 3 2" xfId="25908"/>
    <cellStyle name="Total 2 6 2 4 2 3 3" xfId="36753"/>
    <cellStyle name="Total 2 6 2 4 2 3 4" xfId="16201"/>
    <cellStyle name="Total 2 6 2 4 2 4" xfId="9595"/>
    <cellStyle name="Total 2 6 2 4 2 4 2" xfId="28567"/>
    <cellStyle name="Total 2 6 2 4 2 4 3" xfId="39412"/>
    <cellStyle name="Total 2 6 2 4 2 4 4" xfId="18105"/>
    <cellStyle name="Total 2 6 2 4 2 5" xfId="20391"/>
    <cellStyle name="Total 2 6 2 4 2 6" xfId="31236"/>
    <cellStyle name="Total 2 6 2 4 2 7" xfId="12251"/>
    <cellStyle name="Total 2 6 2 4 3" xfId="1809"/>
    <cellStyle name="Total 2 6 2 4 3 2" xfId="4662"/>
    <cellStyle name="Total 2 6 2 4 3 2 2" xfId="23634"/>
    <cellStyle name="Total 2 6 2 4 3 2 3" xfId="34479"/>
    <cellStyle name="Total 2 6 2 4 3 2 4" xfId="14573"/>
    <cellStyle name="Total 2 6 2 4 3 3" xfId="7334"/>
    <cellStyle name="Total 2 6 2 4 3 3 2" xfId="26306"/>
    <cellStyle name="Total 2 6 2 4 3 3 3" xfId="37151"/>
    <cellStyle name="Total 2 6 2 4 3 3 4" xfId="16487"/>
    <cellStyle name="Total 2 6 2 4 3 4" xfId="9993"/>
    <cellStyle name="Total 2 6 2 4 3 4 2" xfId="28965"/>
    <cellStyle name="Total 2 6 2 4 3 4 3" xfId="39810"/>
    <cellStyle name="Total 2 6 2 4 3 4 4" xfId="18391"/>
    <cellStyle name="Total 2 6 2 4 3 5" xfId="20789"/>
    <cellStyle name="Total 2 6 2 4 3 6" xfId="31634"/>
    <cellStyle name="Total 2 6 2 4 3 7" xfId="12537"/>
    <cellStyle name="Total 2 6 2 4 4" xfId="2213"/>
    <cellStyle name="Total 2 6 2 4 4 2" xfId="5066"/>
    <cellStyle name="Total 2 6 2 4 4 2 2" xfId="24038"/>
    <cellStyle name="Total 2 6 2 4 4 2 3" xfId="34883"/>
    <cellStyle name="Total 2 6 2 4 4 2 4" xfId="14860"/>
    <cellStyle name="Total 2 6 2 4 4 3" xfId="7737"/>
    <cellStyle name="Total 2 6 2 4 4 3 2" xfId="26709"/>
    <cellStyle name="Total 2 6 2 4 4 3 3" xfId="37554"/>
    <cellStyle name="Total 2 6 2 4 4 3 4" xfId="16773"/>
    <cellStyle name="Total 2 6 2 4 4 4" xfId="10396"/>
    <cellStyle name="Total 2 6 2 4 4 4 2" xfId="29368"/>
    <cellStyle name="Total 2 6 2 4 4 4 3" xfId="40213"/>
    <cellStyle name="Total 2 6 2 4 4 4 4" xfId="18677"/>
    <cellStyle name="Total 2 6 2 4 4 5" xfId="21192"/>
    <cellStyle name="Total 2 6 2 4 4 6" xfId="32037"/>
    <cellStyle name="Total 2 6 2 4 4 7" xfId="12823"/>
    <cellStyle name="Total 2 6 2 4 5" xfId="2603"/>
    <cellStyle name="Total 2 6 2 4 5 2" xfId="5455"/>
    <cellStyle name="Total 2 6 2 4 5 2 2" xfId="24427"/>
    <cellStyle name="Total 2 6 2 4 5 2 3" xfId="35272"/>
    <cellStyle name="Total 2 6 2 4 5 2 4" xfId="15139"/>
    <cellStyle name="Total 2 6 2 4 5 3" xfId="8126"/>
    <cellStyle name="Total 2 6 2 4 5 3 2" xfId="27098"/>
    <cellStyle name="Total 2 6 2 4 5 3 3" xfId="37943"/>
    <cellStyle name="Total 2 6 2 4 5 3 4" xfId="17052"/>
    <cellStyle name="Total 2 6 2 4 5 4" xfId="10785"/>
    <cellStyle name="Total 2 6 2 4 5 4 2" xfId="29757"/>
    <cellStyle name="Total 2 6 2 4 5 4 3" xfId="40602"/>
    <cellStyle name="Total 2 6 2 4 5 4 4" xfId="18956"/>
    <cellStyle name="Total 2 6 2 4 5 5" xfId="21581"/>
    <cellStyle name="Total 2 6 2 4 5 6" xfId="32426"/>
    <cellStyle name="Total 2 6 2 4 5 7" xfId="13102"/>
    <cellStyle name="Total 2 6 2 4 6" xfId="2989"/>
    <cellStyle name="Total 2 6 2 4 6 2" xfId="5840"/>
    <cellStyle name="Total 2 6 2 4 6 2 2" xfId="24812"/>
    <cellStyle name="Total 2 6 2 4 6 2 3" xfId="35657"/>
    <cellStyle name="Total 2 6 2 4 6 2 4" xfId="15415"/>
    <cellStyle name="Total 2 6 2 4 6 3" xfId="8511"/>
    <cellStyle name="Total 2 6 2 4 6 3 2" xfId="27483"/>
    <cellStyle name="Total 2 6 2 4 6 3 3" xfId="38328"/>
    <cellStyle name="Total 2 6 2 4 6 3 4" xfId="17328"/>
    <cellStyle name="Total 2 6 2 4 6 4" xfId="11170"/>
    <cellStyle name="Total 2 6 2 4 6 4 2" xfId="30142"/>
    <cellStyle name="Total 2 6 2 4 6 4 3" xfId="40987"/>
    <cellStyle name="Total 2 6 2 4 6 4 4" xfId="19232"/>
    <cellStyle name="Total 2 6 2 4 6 5" xfId="21966"/>
    <cellStyle name="Total 2 6 2 4 6 6" xfId="32811"/>
    <cellStyle name="Total 2 6 2 4 6 7" xfId="13378"/>
    <cellStyle name="Total 2 6 2 4 7" xfId="3678"/>
    <cellStyle name="Total 2 6 2 4 7 2" xfId="22650"/>
    <cellStyle name="Total 2 6 2 4 7 3" xfId="33495"/>
    <cellStyle name="Total 2 6 2 4 7 4" xfId="13859"/>
    <cellStyle name="Total 2 6 2 4 8" xfId="6353"/>
    <cellStyle name="Total 2 6 2 4 8 2" xfId="25325"/>
    <cellStyle name="Total 2 6 2 4 8 3" xfId="36170"/>
    <cellStyle name="Total 2 6 2 4 8 4" xfId="15775"/>
    <cellStyle name="Total 2 6 2 4 9" xfId="9012"/>
    <cellStyle name="Total 2 6 2 4 9 2" xfId="27984"/>
    <cellStyle name="Total 2 6 2 4 9 3" xfId="38829"/>
    <cellStyle name="Total 2 6 2 4 9 4" xfId="17679"/>
    <cellStyle name="Total 2 6 2 5" xfId="882"/>
    <cellStyle name="Total 2 6 2 5 10" xfId="19867"/>
    <cellStyle name="Total 2 6 2 5 11" xfId="30712"/>
    <cellStyle name="Total 2 6 2 5 12" xfId="11864"/>
    <cellStyle name="Total 2 6 2 5 2" xfId="1469"/>
    <cellStyle name="Total 2 6 2 5 2 2" xfId="4322"/>
    <cellStyle name="Total 2 6 2 5 2 2 2" xfId="23294"/>
    <cellStyle name="Total 2 6 2 5 2 2 3" xfId="34139"/>
    <cellStyle name="Total 2 6 2 5 2 2 4" xfId="14325"/>
    <cellStyle name="Total 2 6 2 5 2 3" xfId="6995"/>
    <cellStyle name="Total 2 6 2 5 2 3 2" xfId="25967"/>
    <cellStyle name="Total 2 6 2 5 2 3 3" xfId="36812"/>
    <cellStyle name="Total 2 6 2 5 2 3 4" xfId="16240"/>
    <cellStyle name="Total 2 6 2 5 2 4" xfId="9654"/>
    <cellStyle name="Total 2 6 2 5 2 4 2" xfId="28626"/>
    <cellStyle name="Total 2 6 2 5 2 4 3" xfId="39471"/>
    <cellStyle name="Total 2 6 2 5 2 4 4" xfId="18144"/>
    <cellStyle name="Total 2 6 2 5 2 5" xfId="20450"/>
    <cellStyle name="Total 2 6 2 5 2 6" xfId="31295"/>
    <cellStyle name="Total 2 6 2 5 2 7" xfId="12290"/>
    <cellStyle name="Total 2 6 2 5 3" xfId="1868"/>
    <cellStyle name="Total 2 6 2 5 3 2" xfId="4721"/>
    <cellStyle name="Total 2 6 2 5 3 2 2" xfId="23693"/>
    <cellStyle name="Total 2 6 2 5 3 2 3" xfId="34538"/>
    <cellStyle name="Total 2 6 2 5 3 2 4" xfId="14612"/>
    <cellStyle name="Total 2 6 2 5 3 3" xfId="7393"/>
    <cellStyle name="Total 2 6 2 5 3 3 2" xfId="26365"/>
    <cellStyle name="Total 2 6 2 5 3 3 3" xfId="37210"/>
    <cellStyle name="Total 2 6 2 5 3 3 4" xfId="16526"/>
    <cellStyle name="Total 2 6 2 5 3 4" xfId="10052"/>
    <cellStyle name="Total 2 6 2 5 3 4 2" xfId="29024"/>
    <cellStyle name="Total 2 6 2 5 3 4 3" xfId="39869"/>
    <cellStyle name="Total 2 6 2 5 3 4 4" xfId="18430"/>
    <cellStyle name="Total 2 6 2 5 3 5" xfId="20848"/>
    <cellStyle name="Total 2 6 2 5 3 6" xfId="31693"/>
    <cellStyle name="Total 2 6 2 5 3 7" xfId="12576"/>
    <cellStyle name="Total 2 6 2 5 4" xfId="2272"/>
    <cellStyle name="Total 2 6 2 5 4 2" xfId="5125"/>
    <cellStyle name="Total 2 6 2 5 4 2 2" xfId="24097"/>
    <cellStyle name="Total 2 6 2 5 4 2 3" xfId="34942"/>
    <cellStyle name="Total 2 6 2 5 4 2 4" xfId="14899"/>
    <cellStyle name="Total 2 6 2 5 4 3" xfId="7796"/>
    <cellStyle name="Total 2 6 2 5 4 3 2" xfId="26768"/>
    <cellStyle name="Total 2 6 2 5 4 3 3" xfId="37613"/>
    <cellStyle name="Total 2 6 2 5 4 3 4" xfId="16812"/>
    <cellStyle name="Total 2 6 2 5 4 4" xfId="10455"/>
    <cellStyle name="Total 2 6 2 5 4 4 2" xfId="29427"/>
    <cellStyle name="Total 2 6 2 5 4 4 3" xfId="40272"/>
    <cellStyle name="Total 2 6 2 5 4 4 4" xfId="18716"/>
    <cellStyle name="Total 2 6 2 5 4 5" xfId="21251"/>
    <cellStyle name="Total 2 6 2 5 4 6" xfId="32096"/>
    <cellStyle name="Total 2 6 2 5 4 7" xfId="12862"/>
    <cellStyle name="Total 2 6 2 5 5" xfId="2662"/>
    <cellStyle name="Total 2 6 2 5 5 2" xfId="5514"/>
    <cellStyle name="Total 2 6 2 5 5 2 2" xfId="24486"/>
    <cellStyle name="Total 2 6 2 5 5 2 3" xfId="35331"/>
    <cellStyle name="Total 2 6 2 5 5 2 4" xfId="15178"/>
    <cellStyle name="Total 2 6 2 5 5 3" xfId="8185"/>
    <cellStyle name="Total 2 6 2 5 5 3 2" xfId="27157"/>
    <cellStyle name="Total 2 6 2 5 5 3 3" xfId="38002"/>
    <cellStyle name="Total 2 6 2 5 5 3 4" xfId="17091"/>
    <cellStyle name="Total 2 6 2 5 5 4" xfId="10844"/>
    <cellStyle name="Total 2 6 2 5 5 4 2" xfId="29816"/>
    <cellStyle name="Total 2 6 2 5 5 4 3" xfId="40661"/>
    <cellStyle name="Total 2 6 2 5 5 4 4" xfId="18995"/>
    <cellStyle name="Total 2 6 2 5 5 5" xfId="21640"/>
    <cellStyle name="Total 2 6 2 5 5 6" xfId="32485"/>
    <cellStyle name="Total 2 6 2 5 5 7" xfId="13141"/>
    <cellStyle name="Total 2 6 2 5 6" xfId="3048"/>
    <cellStyle name="Total 2 6 2 5 6 2" xfId="5899"/>
    <cellStyle name="Total 2 6 2 5 6 2 2" xfId="24871"/>
    <cellStyle name="Total 2 6 2 5 6 2 3" xfId="35716"/>
    <cellStyle name="Total 2 6 2 5 6 2 4" xfId="15454"/>
    <cellStyle name="Total 2 6 2 5 6 3" xfId="8570"/>
    <cellStyle name="Total 2 6 2 5 6 3 2" xfId="27542"/>
    <cellStyle name="Total 2 6 2 5 6 3 3" xfId="38387"/>
    <cellStyle name="Total 2 6 2 5 6 3 4" xfId="17367"/>
    <cellStyle name="Total 2 6 2 5 6 4" xfId="11229"/>
    <cellStyle name="Total 2 6 2 5 6 4 2" xfId="30201"/>
    <cellStyle name="Total 2 6 2 5 6 4 3" xfId="41046"/>
    <cellStyle name="Total 2 6 2 5 6 4 4" xfId="19271"/>
    <cellStyle name="Total 2 6 2 5 6 5" xfId="22025"/>
    <cellStyle name="Total 2 6 2 5 6 6" xfId="32870"/>
    <cellStyle name="Total 2 6 2 5 6 7" xfId="13417"/>
    <cellStyle name="Total 2 6 2 5 7" xfId="3737"/>
    <cellStyle name="Total 2 6 2 5 7 2" xfId="22709"/>
    <cellStyle name="Total 2 6 2 5 7 3" xfId="33554"/>
    <cellStyle name="Total 2 6 2 5 7 4" xfId="13898"/>
    <cellStyle name="Total 2 6 2 5 8" xfId="6412"/>
    <cellStyle name="Total 2 6 2 5 8 2" xfId="25384"/>
    <cellStyle name="Total 2 6 2 5 8 3" xfId="36229"/>
    <cellStyle name="Total 2 6 2 5 8 4" xfId="15814"/>
    <cellStyle name="Total 2 6 2 5 9" xfId="9071"/>
    <cellStyle name="Total 2 6 2 5 9 2" xfId="28043"/>
    <cellStyle name="Total 2 6 2 5 9 3" xfId="38888"/>
    <cellStyle name="Total 2 6 2 5 9 4" xfId="17718"/>
    <cellStyle name="Total 2 6 2 6" xfId="1104"/>
    <cellStyle name="Total 2 6 2 6 2" xfId="3957"/>
    <cellStyle name="Total 2 6 2 6 2 2" xfId="22929"/>
    <cellStyle name="Total 2 6 2 6 2 3" xfId="33774"/>
    <cellStyle name="Total 2 6 2 6 2 4" xfId="14060"/>
    <cellStyle name="Total 2 6 2 6 3" xfId="6631"/>
    <cellStyle name="Total 2 6 2 6 3 2" xfId="25603"/>
    <cellStyle name="Total 2 6 2 6 3 3" xfId="36448"/>
    <cellStyle name="Total 2 6 2 6 3 4" xfId="15976"/>
    <cellStyle name="Total 2 6 2 6 4" xfId="9290"/>
    <cellStyle name="Total 2 6 2 6 4 2" xfId="28262"/>
    <cellStyle name="Total 2 6 2 6 4 3" xfId="39107"/>
    <cellStyle name="Total 2 6 2 6 4 4" xfId="17880"/>
    <cellStyle name="Total 2 6 2 6 5" xfId="20086"/>
    <cellStyle name="Total 2 6 2 6 6" xfId="30931"/>
    <cellStyle name="Total 2 6 2 6 7" xfId="12026"/>
    <cellStyle name="Total 2 6 2 7" xfId="1504"/>
    <cellStyle name="Total 2 6 2 7 2" xfId="4357"/>
    <cellStyle name="Total 2 6 2 7 2 2" xfId="23329"/>
    <cellStyle name="Total 2 6 2 7 2 3" xfId="34174"/>
    <cellStyle name="Total 2 6 2 7 2 4" xfId="14350"/>
    <cellStyle name="Total 2 6 2 7 3" xfId="7030"/>
    <cellStyle name="Total 2 6 2 7 3 2" xfId="26002"/>
    <cellStyle name="Total 2 6 2 7 3 3" xfId="36847"/>
    <cellStyle name="Total 2 6 2 7 3 4" xfId="16265"/>
    <cellStyle name="Total 2 6 2 7 4" xfId="9689"/>
    <cellStyle name="Total 2 6 2 7 4 2" xfId="28661"/>
    <cellStyle name="Total 2 6 2 7 4 3" xfId="39506"/>
    <cellStyle name="Total 2 6 2 7 4 4" xfId="18169"/>
    <cellStyle name="Total 2 6 2 7 5" xfId="20485"/>
    <cellStyle name="Total 2 6 2 7 6" xfId="31330"/>
    <cellStyle name="Total 2 6 2 7 7" xfId="12315"/>
    <cellStyle name="Total 2 6 2 8" xfId="1912"/>
    <cellStyle name="Total 2 6 2 8 2" xfId="4765"/>
    <cellStyle name="Total 2 6 2 8 2 2" xfId="23737"/>
    <cellStyle name="Total 2 6 2 8 2 3" xfId="34582"/>
    <cellStyle name="Total 2 6 2 8 2 4" xfId="14641"/>
    <cellStyle name="Total 2 6 2 8 3" xfId="7437"/>
    <cellStyle name="Total 2 6 2 8 3 2" xfId="26409"/>
    <cellStyle name="Total 2 6 2 8 3 3" xfId="37254"/>
    <cellStyle name="Total 2 6 2 8 3 4" xfId="16555"/>
    <cellStyle name="Total 2 6 2 8 4" xfId="10096"/>
    <cellStyle name="Total 2 6 2 8 4 2" xfId="29068"/>
    <cellStyle name="Total 2 6 2 8 4 3" xfId="39913"/>
    <cellStyle name="Total 2 6 2 8 4 4" xfId="18459"/>
    <cellStyle name="Total 2 6 2 8 5" xfId="20892"/>
    <cellStyle name="Total 2 6 2 8 6" xfId="31737"/>
    <cellStyle name="Total 2 6 2 8 7" xfId="12605"/>
    <cellStyle name="Total 2 6 2 9" xfId="2306"/>
    <cellStyle name="Total 2 6 2 9 2" xfId="5159"/>
    <cellStyle name="Total 2 6 2 9 2 2" xfId="24131"/>
    <cellStyle name="Total 2 6 2 9 2 3" xfId="34976"/>
    <cellStyle name="Total 2 6 2 9 2 4" xfId="14923"/>
    <cellStyle name="Total 2 6 2 9 3" xfId="7830"/>
    <cellStyle name="Total 2 6 2 9 3 2" xfId="26802"/>
    <cellStyle name="Total 2 6 2 9 3 3" xfId="37647"/>
    <cellStyle name="Total 2 6 2 9 3 4" xfId="16836"/>
    <cellStyle name="Total 2 6 2 9 4" xfId="10489"/>
    <cellStyle name="Total 2 6 2 9 4 2" xfId="29461"/>
    <cellStyle name="Total 2 6 2 9 4 3" xfId="40306"/>
    <cellStyle name="Total 2 6 2 9 4 4" xfId="18740"/>
    <cellStyle name="Total 2 6 2 9 5" xfId="21285"/>
    <cellStyle name="Total 2 6 2 9 6" xfId="32130"/>
    <cellStyle name="Total 2 6 2 9 7" xfId="12886"/>
    <cellStyle name="Total 2 6 3" xfId="586"/>
    <cellStyle name="Total 2 6 3 10" xfId="19596"/>
    <cellStyle name="Total 2 6 3 11" xfId="30441"/>
    <cellStyle name="Total 2 6 3 12" xfId="11650"/>
    <cellStyle name="Total 2 6 3 2" xfId="1192"/>
    <cellStyle name="Total 2 6 3 2 2" xfId="4045"/>
    <cellStyle name="Total 2 6 3 2 2 2" xfId="23017"/>
    <cellStyle name="Total 2 6 3 2 2 3" xfId="33862"/>
    <cellStyle name="Total 2 6 3 2 2 4" xfId="14127"/>
    <cellStyle name="Total 2 6 3 2 3" xfId="6718"/>
    <cellStyle name="Total 2 6 3 2 3 2" xfId="25690"/>
    <cellStyle name="Total 2 6 3 2 3 3" xfId="36535"/>
    <cellStyle name="Total 2 6 3 2 3 4" xfId="16042"/>
    <cellStyle name="Total 2 6 3 2 4" xfId="9377"/>
    <cellStyle name="Total 2 6 3 2 4 2" xfId="28349"/>
    <cellStyle name="Total 2 6 3 2 4 3" xfId="39194"/>
    <cellStyle name="Total 2 6 3 2 4 4" xfId="17946"/>
    <cellStyle name="Total 2 6 3 2 5" xfId="20173"/>
    <cellStyle name="Total 2 6 3 2 6" xfId="31018"/>
    <cellStyle name="Total 2 6 3 2 7" xfId="12092"/>
    <cellStyle name="Total 2 6 3 3" xfId="1589"/>
    <cellStyle name="Total 2 6 3 3 2" xfId="4442"/>
    <cellStyle name="Total 2 6 3 3 2 2" xfId="23414"/>
    <cellStyle name="Total 2 6 3 3 2 3" xfId="34259"/>
    <cellStyle name="Total 2 6 3 3 2 4" xfId="14413"/>
    <cellStyle name="Total 2 6 3 3 3" xfId="7114"/>
    <cellStyle name="Total 2 6 3 3 3 2" xfId="26086"/>
    <cellStyle name="Total 2 6 3 3 3 3" xfId="36931"/>
    <cellStyle name="Total 2 6 3 3 3 4" xfId="16327"/>
    <cellStyle name="Total 2 6 3 3 4" xfId="9773"/>
    <cellStyle name="Total 2 6 3 3 4 2" xfId="28745"/>
    <cellStyle name="Total 2 6 3 3 4 3" xfId="39590"/>
    <cellStyle name="Total 2 6 3 3 4 4" xfId="18231"/>
    <cellStyle name="Total 2 6 3 3 5" xfId="20569"/>
    <cellStyle name="Total 2 6 3 3 6" xfId="31414"/>
    <cellStyle name="Total 2 6 3 3 7" xfId="12377"/>
    <cellStyle name="Total 2 6 3 4" xfId="1993"/>
    <cellStyle name="Total 2 6 3 4 2" xfId="4846"/>
    <cellStyle name="Total 2 6 3 4 2 2" xfId="23818"/>
    <cellStyle name="Total 2 6 3 4 2 3" xfId="34663"/>
    <cellStyle name="Total 2 6 3 4 2 4" xfId="14701"/>
    <cellStyle name="Total 2 6 3 4 3" xfId="7518"/>
    <cellStyle name="Total 2 6 3 4 3 2" xfId="26490"/>
    <cellStyle name="Total 2 6 3 4 3 3" xfId="37335"/>
    <cellStyle name="Total 2 6 3 4 3 4" xfId="16615"/>
    <cellStyle name="Total 2 6 3 4 4" xfId="10177"/>
    <cellStyle name="Total 2 6 3 4 4 2" xfId="29149"/>
    <cellStyle name="Total 2 6 3 4 4 3" xfId="39994"/>
    <cellStyle name="Total 2 6 3 4 4 4" xfId="18519"/>
    <cellStyle name="Total 2 6 3 4 5" xfId="20973"/>
    <cellStyle name="Total 2 6 3 4 6" xfId="31818"/>
    <cellStyle name="Total 2 6 3 4 7" xfId="12665"/>
    <cellStyle name="Total 2 6 3 5" xfId="2385"/>
    <cellStyle name="Total 2 6 3 5 2" xfId="5238"/>
    <cellStyle name="Total 2 6 3 5 2 2" xfId="24210"/>
    <cellStyle name="Total 2 6 3 5 2 3" xfId="35055"/>
    <cellStyle name="Total 2 6 3 5 2 4" xfId="14982"/>
    <cellStyle name="Total 2 6 3 5 3" xfId="7909"/>
    <cellStyle name="Total 2 6 3 5 3 2" xfId="26881"/>
    <cellStyle name="Total 2 6 3 5 3 3" xfId="37726"/>
    <cellStyle name="Total 2 6 3 5 3 4" xfId="16895"/>
    <cellStyle name="Total 2 6 3 5 4" xfId="10568"/>
    <cellStyle name="Total 2 6 3 5 4 2" xfId="29540"/>
    <cellStyle name="Total 2 6 3 5 4 3" xfId="40385"/>
    <cellStyle name="Total 2 6 3 5 4 4" xfId="18799"/>
    <cellStyle name="Total 2 6 3 5 5" xfId="21364"/>
    <cellStyle name="Total 2 6 3 5 6" xfId="32209"/>
    <cellStyle name="Total 2 6 3 5 7" xfId="12945"/>
    <cellStyle name="Total 2 6 3 6" xfId="2774"/>
    <cellStyle name="Total 2 6 3 6 2" xfId="5626"/>
    <cellStyle name="Total 2 6 3 6 2 2" xfId="24598"/>
    <cellStyle name="Total 2 6 3 6 2 3" xfId="35443"/>
    <cellStyle name="Total 2 6 3 6 2 4" xfId="15260"/>
    <cellStyle name="Total 2 6 3 6 3" xfId="8297"/>
    <cellStyle name="Total 2 6 3 6 3 2" xfId="27269"/>
    <cellStyle name="Total 2 6 3 6 3 3" xfId="38114"/>
    <cellStyle name="Total 2 6 3 6 3 4" xfId="17173"/>
    <cellStyle name="Total 2 6 3 6 4" xfId="10956"/>
    <cellStyle name="Total 2 6 3 6 4 2" xfId="29928"/>
    <cellStyle name="Total 2 6 3 6 4 3" xfId="40773"/>
    <cellStyle name="Total 2 6 3 6 4 4" xfId="19077"/>
    <cellStyle name="Total 2 6 3 6 5" xfId="21752"/>
    <cellStyle name="Total 2 6 3 6 6" xfId="32597"/>
    <cellStyle name="Total 2 6 3 6 7" xfId="13223"/>
    <cellStyle name="Total 2 6 3 7" xfId="3465"/>
    <cellStyle name="Total 2 6 3 7 2" xfId="22437"/>
    <cellStyle name="Total 2 6 3 7 3" xfId="33282"/>
    <cellStyle name="Total 2 6 3 7 4" xfId="13705"/>
    <cellStyle name="Total 2 6 3 8" xfId="6141"/>
    <cellStyle name="Total 2 6 3 8 2" xfId="25113"/>
    <cellStyle name="Total 2 6 3 8 3" xfId="35958"/>
    <cellStyle name="Total 2 6 3 8 4" xfId="15622"/>
    <cellStyle name="Total 2 6 3 9" xfId="8800"/>
    <cellStyle name="Total 2 6 3 9 2" xfId="27772"/>
    <cellStyle name="Total 2 6 3 9 3" xfId="38617"/>
    <cellStyle name="Total 2 6 3 9 4" xfId="17526"/>
    <cellStyle name="Total 2 6 4" xfId="11479"/>
    <cellStyle name="Total 2 7" xfId="161"/>
    <cellStyle name="Total 2 7 2" xfId="405"/>
    <cellStyle name="Total 2 7 2 10" xfId="2696"/>
    <cellStyle name="Total 2 7 2 10 2" xfId="5548"/>
    <cellStyle name="Total 2 7 2 10 2 2" xfId="24520"/>
    <cellStyle name="Total 2 7 2 10 2 3" xfId="35365"/>
    <cellStyle name="Total 2 7 2 10 2 4" xfId="15202"/>
    <cellStyle name="Total 2 7 2 10 3" xfId="8219"/>
    <cellStyle name="Total 2 7 2 10 3 2" xfId="27191"/>
    <cellStyle name="Total 2 7 2 10 3 3" xfId="38036"/>
    <cellStyle name="Total 2 7 2 10 3 4" xfId="17115"/>
    <cellStyle name="Total 2 7 2 10 4" xfId="10878"/>
    <cellStyle name="Total 2 7 2 10 4 2" xfId="29850"/>
    <cellStyle name="Total 2 7 2 10 4 3" xfId="40695"/>
    <cellStyle name="Total 2 7 2 10 4 4" xfId="19019"/>
    <cellStyle name="Total 2 7 2 10 5" xfId="21674"/>
    <cellStyle name="Total 2 7 2 10 6" xfId="32519"/>
    <cellStyle name="Total 2 7 2 10 7" xfId="13165"/>
    <cellStyle name="Total 2 7 2 11" xfId="3082"/>
    <cellStyle name="Total 2 7 2 11 2" xfId="5933"/>
    <cellStyle name="Total 2 7 2 11 2 2" xfId="24905"/>
    <cellStyle name="Total 2 7 2 11 2 3" xfId="35750"/>
    <cellStyle name="Total 2 7 2 11 2 4" xfId="15478"/>
    <cellStyle name="Total 2 7 2 11 3" xfId="8604"/>
    <cellStyle name="Total 2 7 2 11 3 2" xfId="27576"/>
    <cellStyle name="Total 2 7 2 11 3 3" xfId="38421"/>
    <cellStyle name="Total 2 7 2 11 3 4" xfId="17391"/>
    <cellStyle name="Total 2 7 2 11 4" xfId="11263"/>
    <cellStyle name="Total 2 7 2 11 4 2" xfId="30235"/>
    <cellStyle name="Total 2 7 2 11 4 3" xfId="41080"/>
    <cellStyle name="Total 2 7 2 11 4 4" xfId="19295"/>
    <cellStyle name="Total 2 7 2 11 5" xfId="22059"/>
    <cellStyle name="Total 2 7 2 11 6" xfId="32904"/>
    <cellStyle name="Total 2 7 2 11 7" xfId="13441"/>
    <cellStyle name="Total 2 7 2 12" xfId="3139"/>
    <cellStyle name="Total 2 7 2 12 2" xfId="5990"/>
    <cellStyle name="Total 2 7 2 12 2 2" xfId="24962"/>
    <cellStyle name="Total 2 7 2 12 2 3" xfId="35807"/>
    <cellStyle name="Total 2 7 2 12 2 4" xfId="15515"/>
    <cellStyle name="Total 2 7 2 12 3" xfId="8661"/>
    <cellStyle name="Total 2 7 2 12 3 2" xfId="27633"/>
    <cellStyle name="Total 2 7 2 12 3 3" xfId="38478"/>
    <cellStyle name="Total 2 7 2 12 3 4" xfId="17428"/>
    <cellStyle name="Total 2 7 2 12 4" xfId="11320"/>
    <cellStyle name="Total 2 7 2 12 4 2" xfId="30292"/>
    <cellStyle name="Total 2 7 2 12 4 3" xfId="41137"/>
    <cellStyle name="Total 2 7 2 12 4 4" xfId="19332"/>
    <cellStyle name="Total 2 7 2 12 5" xfId="22116"/>
    <cellStyle name="Total 2 7 2 12 6" xfId="32961"/>
    <cellStyle name="Total 2 7 2 12 7" xfId="13478"/>
    <cellStyle name="Total 2 7 2 13" xfId="3196"/>
    <cellStyle name="Total 2 7 2 13 2" xfId="6047"/>
    <cellStyle name="Total 2 7 2 13 2 2" xfId="25019"/>
    <cellStyle name="Total 2 7 2 13 2 3" xfId="35864"/>
    <cellStyle name="Total 2 7 2 13 2 4" xfId="15552"/>
    <cellStyle name="Total 2 7 2 13 3" xfId="8718"/>
    <cellStyle name="Total 2 7 2 13 3 2" xfId="27690"/>
    <cellStyle name="Total 2 7 2 13 3 3" xfId="38535"/>
    <cellStyle name="Total 2 7 2 13 3 4" xfId="17465"/>
    <cellStyle name="Total 2 7 2 13 4" xfId="11377"/>
    <cellStyle name="Total 2 7 2 13 4 2" xfId="30349"/>
    <cellStyle name="Total 2 7 2 13 4 3" xfId="41194"/>
    <cellStyle name="Total 2 7 2 13 4 4" xfId="19369"/>
    <cellStyle name="Total 2 7 2 13 5" xfId="22173"/>
    <cellStyle name="Total 2 7 2 13 6" xfId="33018"/>
    <cellStyle name="Total 2 7 2 13 7" xfId="13515"/>
    <cellStyle name="Total 2 7 2 14" xfId="3363"/>
    <cellStyle name="Total 2 7 2 14 2" xfId="22337"/>
    <cellStyle name="Total 2 7 2 14 3" xfId="33182"/>
    <cellStyle name="Total 2 7 2 14 4" xfId="13632"/>
    <cellStyle name="Total 2 7 2 15" xfId="3390"/>
    <cellStyle name="Total 2 7 2 15 2" xfId="22362"/>
    <cellStyle name="Total 2 7 2 15 3" xfId="33207"/>
    <cellStyle name="Total 2 7 2 15 4" xfId="13644"/>
    <cellStyle name="Total 2 7 2 16" xfId="3224"/>
    <cellStyle name="Total 2 7 2 16 2" xfId="22201"/>
    <cellStyle name="Total 2 7 2 16 3" xfId="33046"/>
    <cellStyle name="Total 2 7 2 16 4" xfId="13532"/>
    <cellStyle name="Total 2 7 2 17" xfId="19493"/>
    <cellStyle name="Total 2 7 2 18" xfId="19413"/>
    <cellStyle name="Total 2 7 2 19" xfId="11542"/>
    <cellStyle name="Total 2 7 2 2" xfId="704"/>
    <cellStyle name="Total 2 7 2 2 10" xfId="19689"/>
    <cellStyle name="Total 2 7 2 2 11" xfId="30534"/>
    <cellStyle name="Total 2 7 2 2 12" xfId="11746"/>
    <cellStyle name="Total 2 7 2 2 2" xfId="1291"/>
    <cellStyle name="Total 2 7 2 2 2 2" xfId="4144"/>
    <cellStyle name="Total 2 7 2 2 2 2 2" xfId="23116"/>
    <cellStyle name="Total 2 7 2 2 2 2 3" xfId="33961"/>
    <cellStyle name="Total 2 7 2 2 2 2 4" xfId="14207"/>
    <cellStyle name="Total 2 7 2 2 2 3" xfId="6817"/>
    <cellStyle name="Total 2 7 2 2 2 3 2" xfId="25789"/>
    <cellStyle name="Total 2 7 2 2 2 3 3" xfId="36634"/>
    <cellStyle name="Total 2 7 2 2 2 3 4" xfId="16122"/>
    <cellStyle name="Total 2 7 2 2 2 4" xfId="9476"/>
    <cellStyle name="Total 2 7 2 2 2 4 2" xfId="28448"/>
    <cellStyle name="Total 2 7 2 2 2 4 3" xfId="39293"/>
    <cellStyle name="Total 2 7 2 2 2 4 4" xfId="18026"/>
    <cellStyle name="Total 2 7 2 2 2 5" xfId="20272"/>
    <cellStyle name="Total 2 7 2 2 2 6" xfId="31117"/>
    <cellStyle name="Total 2 7 2 2 2 7" xfId="12172"/>
    <cellStyle name="Total 2 7 2 2 3" xfId="1690"/>
    <cellStyle name="Total 2 7 2 2 3 2" xfId="4543"/>
    <cellStyle name="Total 2 7 2 2 3 2 2" xfId="23515"/>
    <cellStyle name="Total 2 7 2 2 3 2 3" xfId="34360"/>
    <cellStyle name="Total 2 7 2 2 3 2 4" xfId="14494"/>
    <cellStyle name="Total 2 7 2 2 3 3" xfId="7215"/>
    <cellStyle name="Total 2 7 2 2 3 3 2" xfId="26187"/>
    <cellStyle name="Total 2 7 2 2 3 3 3" xfId="37032"/>
    <cellStyle name="Total 2 7 2 2 3 3 4" xfId="16408"/>
    <cellStyle name="Total 2 7 2 2 3 4" xfId="9874"/>
    <cellStyle name="Total 2 7 2 2 3 4 2" xfId="28846"/>
    <cellStyle name="Total 2 7 2 2 3 4 3" xfId="39691"/>
    <cellStyle name="Total 2 7 2 2 3 4 4" xfId="18312"/>
    <cellStyle name="Total 2 7 2 2 3 5" xfId="20670"/>
    <cellStyle name="Total 2 7 2 2 3 6" xfId="31515"/>
    <cellStyle name="Total 2 7 2 2 3 7" xfId="12458"/>
    <cellStyle name="Total 2 7 2 2 4" xfId="2094"/>
    <cellStyle name="Total 2 7 2 2 4 2" xfId="4947"/>
    <cellStyle name="Total 2 7 2 2 4 2 2" xfId="23919"/>
    <cellStyle name="Total 2 7 2 2 4 2 3" xfId="34764"/>
    <cellStyle name="Total 2 7 2 2 4 2 4" xfId="14781"/>
    <cellStyle name="Total 2 7 2 2 4 3" xfId="7618"/>
    <cellStyle name="Total 2 7 2 2 4 3 2" xfId="26590"/>
    <cellStyle name="Total 2 7 2 2 4 3 3" xfId="37435"/>
    <cellStyle name="Total 2 7 2 2 4 3 4" xfId="16694"/>
    <cellStyle name="Total 2 7 2 2 4 4" xfId="10277"/>
    <cellStyle name="Total 2 7 2 2 4 4 2" xfId="29249"/>
    <cellStyle name="Total 2 7 2 2 4 4 3" xfId="40094"/>
    <cellStyle name="Total 2 7 2 2 4 4 4" xfId="18598"/>
    <cellStyle name="Total 2 7 2 2 4 5" xfId="21073"/>
    <cellStyle name="Total 2 7 2 2 4 6" xfId="31918"/>
    <cellStyle name="Total 2 7 2 2 4 7" xfId="12744"/>
    <cellStyle name="Total 2 7 2 2 5" xfId="2484"/>
    <cellStyle name="Total 2 7 2 2 5 2" xfId="5336"/>
    <cellStyle name="Total 2 7 2 2 5 2 2" xfId="24308"/>
    <cellStyle name="Total 2 7 2 2 5 2 3" xfId="35153"/>
    <cellStyle name="Total 2 7 2 2 5 2 4" xfId="15060"/>
    <cellStyle name="Total 2 7 2 2 5 3" xfId="8007"/>
    <cellStyle name="Total 2 7 2 2 5 3 2" xfId="26979"/>
    <cellStyle name="Total 2 7 2 2 5 3 3" xfId="37824"/>
    <cellStyle name="Total 2 7 2 2 5 3 4" xfId="16973"/>
    <cellStyle name="Total 2 7 2 2 5 4" xfId="10666"/>
    <cellStyle name="Total 2 7 2 2 5 4 2" xfId="29638"/>
    <cellStyle name="Total 2 7 2 2 5 4 3" xfId="40483"/>
    <cellStyle name="Total 2 7 2 2 5 4 4" xfId="18877"/>
    <cellStyle name="Total 2 7 2 2 5 5" xfId="21462"/>
    <cellStyle name="Total 2 7 2 2 5 6" xfId="32307"/>
    <cellStyle name="Total 2 7 2 2 5 7" xfId="13023"/>
    <cellStyle name="Total 2 7 2 2 6" xfId="2870"/>
    <cellStyle name="Total 2 7 2 2 6 2" xfId="5721"/>
    <cellStyle name="Total 2 7 2 2 6 2 2" xfId="24693"/>
    <cellStyle name="Total 2 7 2 2 6 2 3" xfId="35538"/>
    <cellStyle name="Total 2 7 2 2 6 2 4" xfId="15336"/>
    <cellStyle name="Total 2 7 2 2 6 3" xfId="8392"/>
    <cellStyle name="Total 2 7 2 2 6 3 2" xfId="27364"/>
    <cellStyle name="Total 2 7 2 2 6 3 3" xfId="38209"/>
    <cellStyle name="Total 2 7 2 2 6 3 4" xfId="17249"/>
    <cellStyle name="Total 2 7 2 2 6 4" xfId="11051"/>
    <cellStyle name="Total 2 7 2 2 6 4 2" xfId="30023"/>
    <cellStyle name="Total 2 7 2 2 6 4 3" xfId="40868"/>
    <cellStyle name="Total 2 7 2 2 6 4 4" xfId="19153"/>
    <cellStyle name="Total 2 7 2 2 6 5" xfId="21847"/>
    <cellStyle name="Total 2 7 2 2 6 6" xfId="32692"/>
    <cellStyle name="Total 2 7 2 2 6 7" xfId="13299"/>
    <cellStyle name="Total 2 7 2 2 7" xfId="3559"/>
    <cellStyle name="Total 2 7 2 2 7 2" xfId="22531"/>
    <cellStyle name="Total 2 7 2 2 7 3" xfId="33376"/>
    <cellStyle name="Total 2 7 2 2 7 4" xfId="13780"/>
    <cellStyle name="Total 2 7 2 2 8" xfId="6234"/>
    <cellStyle name="Total 2 7 2 2 8 2" xfId="25206"/>
    <cellStyle name="Total 2 7 2 2 8 3" xfId="36051"/>
    <cellStyle name="Total 2 7 2 2 8 4" xfId="15696"/>
    <cellStyle name="Total 2 7 2 2 9" xfId="8893"/>
    <cellStyle name="Total 2 7 2 2 9 2" xfId="27865"/>
    <cellStyle name="Total 2 7 2 2 9 3" xfId="38710"/>
    <cellStyle name="Total 2 7 2 2 9 4" xfId="17600"/>
    <cellStyle name="Total 2 7 2 3" xfId="764"/>
    <cellStyle name="Total 2 7 2 3 10" xfId="19749"/>
    <cellStyle name="Total 2 7 2 3 11" xfId="30594"/>
    <cellStyle name="Total 2 7 2 3 12" xfId="11786"/>
    <cellStyle name="Total 2 7 2 3 2" xfId="1351"/>
    <cellStyle name="Total 2 7 2 3 2 2" xfId="4204"/>
    <cellStyle name="Total 2 7 2 3 2 2 2" xfId="23176"/>
    <cellStyle name="Total 2 7 2 3 2 2 3" xfId="34021"/>
    <cellStyle name="Total 2 7 2 3 2 2 4" xfId="14247"/>
    <cellStyle name="Total 2 7 2 3 2 3" xfId="6877"/>
    <cellStyle name="Total 2 7 2 3 2 3 2" xfId="25849"/>
    <cellStyle name="Total 2 7 2 3 2 3 3" xfId="36694"/>
    <cellStyle name="Total 2 7 2 3 2 3 4" xfId="16162"/>
    <cellStyle name="Total 2 7 2 3 2 4" xfId="9536"/>
    <cellStyle name="Total 2 7 2 3 2 4 2" xfId="28508"/>
    <cellStyle name="Total 2 7 2 3 2 4 3" xfId="39353"/>
    <cellStyle name="Total 2 7 2 3 2 4 4" xfId="18066"/>
    <cellStyle name="Total 2 7 2 3 2 5" xfId="20332"/>
    <cellStyle name="Total 2 7 2 3 2 6" xfId="31177"/>
    <cellStyle name="Total 2 7 2 3 2 7" xfId="12212"/>
    <cellStyle name="Total 2 7 2 3 3" xfId="1750"/>
    <cellStyle name="Total 2 7 2 3 3 2" xfId="4603"/>
    <cellStyle name="Total 2 7 2 3 3 2 2" xfId="23575"/>
    <cellStyle name="Total 2 7 2 3 3 2 3" xfId="34420"/>
    <cellStyle name="Total 2 7 2 3 3 2 4" xfId="14534"/>
    <cellStyle name="Total 2 7 2 3 3 3" xfId="7275"/>
    <cellStyle name="Total 2 7 2 3 3 3 2" xfId="26247"/>
    <cellStyle name="Total 2 7 2 3 3 3 3" xfId="37092"/>
    <cellStyle name="Total 2 7 2 3 3 3 4" xfId="16448"/>
    <cellStyle name="Total 2 7 2 3 3 4" xfId="9934"/>
    <cellStyle name="Total 2 7 2 3 3 4 2" xfId="28906"/>
    <cellStyle name="Total 2 7 2 3 3 4 3" xfId="39751"/>
    <cellStyle name="Total 2 7 2 3 3 4 4" xfId="18352"/>
    <cellStyle name="Total 2 7 2 3 3 5" xfId="20730"/>
    <cellStyle name="Total 2 7 2 3 3 6" xfId="31575"/>
    <cellStyle name="Total 2 7 2 3 3 7" xfId="12498"/>
    <cellStyle name="Total 2 7 2 3 4" xfId="2154"/>
    <cellStyle name="Total 2 7 2 3 4 2" xfId="5007"/>
    <cellStyle name="Total 2 7 2 3 4 2 2" xfId="23979"/>
    <cellStyle name="Total 2 7 2 3 4 2 3" xfId="34824"/>
    <cellStyle name="Total 2 7 2 3 4 2 4" xfId="14821"/>
    <cellStyle name="Total 2 7 2 3 4 3" xfId="7678"/>
    <cellStyle name="Total 2 7 2 3 4 3 2" xfId="26650"/>
    <cellStyle name="Total 2 7 2 3 4 3 3" xfId="37495"/>
    <cellStyle name="Total 2 7 2 3 4 3 4" xfId="16734"/>
    <cellStyle name="Total 2 7 2 3 4 4" xfId="10337"/>
    <cellStyle name="Total 2 7 2 3 4 4 2" xfId="29309"/>
    <cellStyle name="Total 2 7 2 3 4 4 3" xfId="40154"/>
    <cellStyle name="Total 2 7 2 3 4 4 4" xfId="18638"/>
    <cellStyle name="Total 2 7 2 3 4 5" xfId="21133"/>
    <cellStyle name="Total 2 7 2 3 4 6" xfId="31978"/>
    <cellStyle name="Total 2 7 2 3 4 7" xfId="12784"/>
    <cellStyle name="Total 2 7 2 3 5" xfId="2544"/>
    <cellStyle name="Total 2 7 2 3 5 2" xfId="5396"/>
    <cellStyle name="Total 2 7 2 3 5 2 2" xfId="24368"/>
    <cellStyle name="Total 2 7 2 3 5 2 3" xfId="35213"/>
    <cellStyle name="Total 2 7 2 3 5 2 4" xfId="15100"/>
    <cellStyle name="Total 2 7 2 3 5 3" xfId="8067"/>
    <cellStyle name="Total 2 7 2 3 5 3 2" xfId="27039"/>
    <cellStyle name="Total 2 7 2 3 5 3 3" xfId="37884"/>
    <cellStyle name="Total 2 7 2 3 5 3 4" xfId="17013"/>
    <cellStyle name="Total 2 7 2 3 5 4" xfId="10726"/>
    <cellStyle name="Total 2 7 2 3 5 4 2" xfId="29698"/>
    <cellStyle name="Total 2 7 2 3 5 4 3" xfId="40543"/>
    <cellStyle name="Total 2 7 2 3 5 4 4" xfId="18917"/>
    <cellStyle name="Total 2 7 2 3 5 5" xfId="21522"/>
    <cellStyle name="Total 2 7 2 3 5 6" xfId="32367"/>
    <cellStyle name="Total 2 7 2 3 5 7" xfId="13063"/>
    <cellStyle name="Total 2 7 2 3 6" xfId="2930"/>
    <cellStyle name="Total 2 7 2 3 6 2" xfId="5781"/>
    <cellStyle name="Total 2 7 2 3 6 2 2" xfId="24753"/>
    <cellStyle name="Total 2 7 2 3 6 2 3" xfId="35598"/>
    <cellStyle name="Total 2 7 2 3 6 2 4" xfId="15376"/>
    <cellStyle name="Total 2 7 2 3 6 3" xfId="8452"/>
    <cellStyle name="Total 2 7 2 3 6 3 2" xfId="27424"/>
    <cellStyle name="Total 2 7 2 3 6 3 3" xfId="38269"/>
    <cellStyle name="Total 2 7 2 3 6 3 4" xfId="17289"/>
    <cellStyle name="Total 2 7 2 3 6 4" xfId="11111"/>
    <cellStyle name="Total 2 7 2 3 6 4 2" xfId="30083"/>
    <cellStyle name="Total 2 7 2 3 6 4 3" xfId="40928"/>
    <cellStyle name="Total 2 7 2 3 6 4 4" xfId="19193"/>
    <cellStyle name="Total 2 7 2 3 6 5" xfId="21907"/>
    <cellStyle name="Total 2 7 2 3 6 6" xfId="32752"/>
    <cellStyle name="Total 2 7 2 3 6 7" xfId="13339"/>
    <cellStyle name="Total 2 7 2 3 7" xfId="3619"/>
    <cellStyle name="Total 2 7 2 3 7 2" xfId="22591"/>
    <cellStyle name="Total 2 7 2 3 7 3" xfId="33436"/>
    <cellStyle name="Total 2 7 2 3 7 4" xfId="13820"/>
    <cellStyle name="Total 2 7 2 3 8" xfId="6294"/>
    <cellStyle name="Total 2 7 2 3 8 2" xfId="25266"/>
    <cellStyle name="Total 2 7 2 3 8 3" xfId="36111"/>
    <cellStyle name="Total 2 7 2 3 8 4" xfId="15736"/>
    <cellStyle name="Total 2 7 2 3 9" xfId="8953"/>
    <cellStyle name="Total 2 7 2 3 9 2" xfId="27925"/>
    <cellStyle name="Total 2 7 2 3 9 3" xfId="38770"/>
    <cellStyle name="Total 2 7 2 3 9 4" xfId="17640"/>
    <cellStyle name="Total 2 7 2 4" xfId="824"/>
    <cellStyle name="Total 2 7 2 4 10" xfId="19809"/>
    <cellStyle name="Total 2 7 2 4 11" xfId="30654"/>
    <cellStyle name="Total 2 7 2 4 12" xfId="11826"/>
    <cellStyle name="Total 2 7 2 4 2" xfId="1411"/>
    <cellStyle name="Total 2 7 2 4 2 2" xfId="4264"/>
    <cellStyle name="Total 2 7 2 4 2 2 2" xfId="23236"/>
    <cellStyle name="Total 2 7 2 4 2 2 3" xfId="34081"/>
    <cellStyle name="Total 2 7 2 4 2 2 4" xfId="14287"/>
    <cellStyle name="Total 2 7 2 4 2 3" xfId="6937"/>
    <cellStyle name="Total 2 7 2 4 2 3 2" xfId="25909"/>
    <cellStyle name="Total 2 7 2 4 2 3 3" xfId="36754"/>
    <cellStyle name="Total 2 7 2 4 2 3 4" xfId="16202"/>
    <cellStyle name="Total 2 7 2 4 2 4" xfId="9596"/>
    <cellStyle name="Total 2 7 2 4 2 4 2" xfId="28568"/>
    <cellStyle name="Total 2 7 2 4 2 4 3" xfId="39413"/>
    <cellStyle name="Total 2 7 2 4 2 4 4" xfId="18106"/>
    <cellStyle name="Total 2 7 2 4 2 5" xfId="20392"/>
    <cellStyle name="Total 2 7 2 4 2 6" xfId="31237"/>
    <cellStyle name="Total 2 7 2 4 2 7" xfId="12252"/>
    <cellStyle name="Total 2 7 2 4 3" xfId="1810"/>
    <cellStyle name="Total 2 7 2 4 3 2" xfId="4663"/>
    <cellStyle name="Total 2 7 2 4 3 2 2" xfId="23635"/>
    <cellStyle name="Total 2 7 2 4 3 2 3" xfId="34480"/>
    <cellStyle name="Total 2 7 2 4 3 2 4" xfId="14574"/>
    <cellStyle name="Total 2 7 2 4 3 3" xfId="7335"/>
    <cellStyle name="Total 2 7 2 4 3 3 2" xfId="26307"/>
    <cellStyle name="Total 2 7 2 4 3 3 3" xfId="37152"/>
    <cellStyle name="Total 2 7 2 4 3 3 4" xfId="16488"/>
    <cellStyle name="Total 2 7 2 4 3 4" xfId="9994"/>
    <cellStyle name="Total 2 7 2 4 3 4 2" xfId="28966"/>
    <cellStyle name="Total 2 7 2 4 3 4 3" xfId="39811"/>
    <cellStyle name="Total 2 7 2 4 3 4 4" xfId="18392"/>
    <cellStyle name="Total 2 7 2 4 3 5" xfId="20790"/>
    <cellStyle name="Total 2 7 2 4 3 6" xfId="31635"/>
    <cellStyle name="Total 2 7 2 4 3 7" xfId="12538"/>
    <cellStyle name="Total 2 7 2 4 4" xfId="2214"/>
    <cellStyle name="Total 2 7 2 4 4 2" xfId="5067"/>
    <cellStyle name="Total 2 7 2 4 4 2 2" xfId="24039"/>
    <cellStyle name="Total 2 7 2 4 4 2 3" xfId="34884"/>
    <cellStyle name="Total 2 7 2 4 4 2 4" xfId="14861"/>
    <cellStyle name="Total 2 7 2 4 4 3" xfId="7738"/>
    <cellStyle name="Total 2 7 2 4 4 3 2" xfId="26710"/>
    <cellStyle name="Total 2 7 2 4 4 3 3" xfId="37555"/>
    <cellStyle name="Total 2 7 2 4 4 3 4" xfId="16774"/>
    <cellStyle name="Total 2 7 2 4 4 4" xfId="10397"/>
    <cellStyle name="Total 2 7 2 4 4 4 2" xfId="29369"/>
    <cellStyle name="Total 2 7 2 4 4 4 3" xfId="40214"/>
    <cellStyle name="Total 2 7 2 4 4 4 4" xfId="18678"/>
    <cellStyle name="Total 2 7 2 4 4 5" xfId="21193"/>
    <cellStyle name="Total 2 7 2 4 4 6" xfId="32038"/>
    <cellStyle name="Total 2 7 2 4 4 7" xfId="12824"/>
    <cellStyle name="Total 2 7 2 4 5" xfId="2604"/>
    <cellStyle name="Total 2 7 2 4 5 2" xfId="5456"/>
    <cellStyle name="Total 2 7 2 4 5 2 2" xfId="24428"/>
    <cellStyle name="Total 2 7 2 4 5 2 3" xfId="35273"/>
    <cellStyle name="Total 2 7 2 4 5 2 4" xfId="15140"/>
    <cellStyle name="Total 2 7 2 4 5 3" xfId="8127"/>
    <cellStyle name="Total 2 7 2 4 5 3 2" xfId="27099"/>
    <cellStyle name="Total 2 7 2 4 5 3 3" xfId="37944"/>
    <cellStyle name="Total 2 7 2 4 5 3 4" xfId="17053"/>
    <cellStyle name="Total 2 7 2 4 5 4" xfId="10786"/>
    <cellStyle name="Total 2 7 2 4 5 4 2" xfId="29758"/>
    <cellStyle name="Total 2 7 2 4 5 4 3" xfId="40603"/>
    <cellStyle name="Total 2 7 2 4 5 4 4" xfId="18957"/>
    <cellStyle name="Total 2 7 2 4 5 5" xfId="21582"/>
    <cellStyle name="Total 2 7 2 4 5 6" xfId="32427"/>
    <cellStyle name="Total 2 7 2 4 5 7" xfId="13103"/>
    <cellStyle name="Total 2 7 2 4 6" xfId="2990"/>
    <cellStyle name="Total 2 7 2 4 6 2" xfId="5841"/>
    <cellStyle name="Total 2 7 2 4 6 2 2" xfId="24813"/>
    <cellStyle name="Total 2 7 2 4 6 2 3" xfId="35658"/>
    <cellStyle name="Total 2 7 2 4 6 2 4" xfId="15416"/>
    <cellStyle name="Total 2 7 2 4 6 3" xfId="8512"/>
    <cellStyle name="Total 2 7 2 4 6 3 2" xfId="27484"/>
    <cellStyle name="Total 2 7 2 4 6 3 3" xfId="38329"/>
    <cellStyle name="Total 2 7 2 4 6 3 4" xfId="17329"/>
    <cellStyle name="Total 2 7 2 4 6 4" xfId="11171"/>
    <cellStyle name="Total 2 7 2 4 6 4 2" xfId="30143"/>
    <cellStyle name="Total 2 7 2 4 6 4 3" xfId="40988"/>
    <cellStyle name="Total 2 7 2 4 6 4 4" xfId="19233"/>
    <cellStyle name="Total 2 7 2 4 6 5" xfId="21967"/>
    <cellStyle name="Total 2 7 2 4 6 6" xfId="32812"/>
    <cellStyle name="Total 2 7 2 4 6 7" xfId="13379"/>
    <cellStyle name="Total 2 7 2 4 7" xfId="3679"/>
    <cellStyle name="Total 2 7 2 4 7 2" xfId="22651"/>
    <cellStyle name="Total 2 7 2 4 7 3" xfId="33496"/>
    <cellStyle name="Total 2 7 2 4 7 4" xfId="13860"/>
    <cellStyle name="Total 2 7 2 4 8" xfId="6354"/>
    <cellStyle name="Total 2 7 2 4 8 2" xfId="25326"/>
    <cellStyle name="Total 2 7 2 4 8 3" xfId="36171"/>
    <cellStyle name="Total 2 7 2 4 8 4" xfId="15776"/>
    <cellStyle name="Total 2 7 2 4 9" xfId="9013"/>
    <cellStyle name="Total 2 7 2 4 9 2" xfId="27985"/>
    <cellStyle name="Total 2 7 2 4 9 3" xfId="38830"/>
    <cellStyle name="Total 2 7 2 4 9 4" xfId="17680"/>
    <cellStyle name="Total 2 7 2 5" xfId="883"/>
    <cellStyle name="Total 2 7 2 5 10" xfId="19868"/>
    <cellStyle name="Total 2 7 2 5 11" xfId="30713"/>
    <cellStyle name="Total 2 7 2 5 12" xfId="11865"/>
    <cellStyle name="Total 2 7 2 5 2" xfId="1470"/>
    <cellStyle name="Total 2 7 2 5 2 2" xfId="4323"/>
    <cellStyle name="Total 2 7 2 5 2 2 2" xfId="23295"/>
    <cellStyle name="Total 2 7 2 5 2 2 3" xfId="34140"/>
    <cellStyle name="Total 2 7 2 5 2 2 4" xfId="14326"/>
    <cellStyle name="Total 2 7 2 5 2 3" xfId="6996"/>
    <cellStyle name="Total 2 7 2 5 2 3 2" xfId="25968"/>
    <cellStyle name="Total 2 7 2 5 2 3 3" xfId="36813"/>
    <cellStyle name="Total 2 7 2 5 2 3 4" xfId="16241"/>
    <cellStyle name="Total 2 7 2 5 2 4" xfId="9655"/>
    <cellStyle name="Total 2 7 2 5 2 4 2" xfId="28627"/>
    <cellStyle name="Total 2 7 2 5 2 4 3" xfId="39472"/>
    <cellStyle name="Total 2 7 2 5 2 4 4" xfId="18145"/>
    <cellStyle name="Total 2 7 2 5 2 5" xfId="20451"/>
    <cellStyle name="Total 2 7 2 5 2 6" xfId="31296"/>
    <cellStyle name="Total 2 7 2 5 2 7" xfId="12291"/>
    <cellStyle name="Total 2 7 2 5 3" xfId="1869"/>
    <cellStyle name="Total 2 7 2 5 3 2" xfId="4722"/>
    <cellStyle name="Total 2 7 2 5 3 2 2" xfId="23694"/>
    <cellStyle name="Total 2 7 2 5 3 2 3" xfId="34539"/>
    <cellStyle name="Total 2 7 2 5 3 2 4" xfId="14613"/>
    <cellStyle name="Total 2 7 2 5 3 3" xfId="7394"/>
    <cellStyle name="Total 2 7 2 5 3 3 2" xfId="26366"/>
    <cellStyle name="Total 2 7 2 5 3 3 3" xfId="37211"/>
    <cellStyle name="Total 2 7 2 5 3 3 4" xfId="16527"/>
    <cellStyle name="Total 2 7 2 5 3 4" xfId="10053"/>
    <cellStyle name="Total 2 7 2 5 3 4 2" xfId="29025"/>
    <cellStyle name="Total 2 7 2 5 3 4 3" xfId="39870"/>
    <cellStyle name="Total 2 7 2 5 3 4 4" xfId="18431"/>
    <cellStyle name="Total 2 7 2 5 3 5" xfId="20849"/>
    <cellStyle name="Total 2 7 2 5 3 6" xfId="31694"/>
    <cellStyle name="Total 2 7 2 5 3 7" xfId="12577"/>
    <cellStyle name="Total 2 7 2 5 4" xfId="2273"/>
    <cellStyle name="Total 2 7 2 5 4 2" xfId="5126"/>
    <cellStyle name="Total 2 7 2 5 4 2 2" xfId="24098"/>
    <cellStyle name="Total 2 7 2 5 4 2 3" xfId="34943"/>
    <cellStyle name="Total 2 7 2 5 4 2 4" xfId="14900"/>
    <cellStyle name="Total 2 7 2 5 4 3" xfId="7797"/>
    <cellStyle name="Total 2 7 2 5 4 3 2" xfId="26769"/>
    <cellStyle name="Total 2 7 2 5 4 3 3" xfId="37614"/>
    <cellStyle name="Total 2 7 2 5 4 3 4" xfId="16813"/>
    <cellStyle name="Total 2 7 2 5 4 4" xfId="10456"/>
    <cellStyle name="Total 2 7 2 5 4 4 2" xfId="29428"/>
    <cellStyle name="Total 2 7 2 5 4 4 3" xfId="40273"/>
    <cellStyle name="Total 2 7 2 5 4 4 4" xfId="18717"/>
    <cellStyle name="Total 2 7 2 5 4 5" xfId="21252"/>
    <cellStyle name="Total 2 7 2 5 4 6" xfId="32097"/>
    <cellStyle name="Total 2 7 2 5 4 7" xfId="12863"/>
    <cellStyle name="Total 2 7 2 5 5" xfId="2663"/>
    <cellStyle name="Total 2 7 2 5 5 2" xfId="5515"/>
    <cellStyle name="Total 2 7 2 5 5 2 2" xfId="24487"/>
    <cellStyle name="Total 2 7 2 5 5 2 3" xfId="35332"/>
    <cellStyle name="Total 2 7 2 5 5 2 4" xfId="15179"/>
    <cellStyle name="Total 2 7 2 5 5 3" xfId="8186"/>
    <cellStyle name="Total 2 7 2 5 5 3 2" xfId="27158"/>
    <cellStyle name="Total 2 7 2 5 5 3 3" xfId="38003"/>
    <cellStyle name="Total 2 7 2 5 5 3 4" xfId="17092"/>
    <cellStyle name="Total 2 7 2 5 5 4" xfId="10845"/>
    <cellStyle name="Total 2 7 2 5 5 4 2" xfId="29817"/>
    <cellStyle name="Total 2 7 2 5 5 4 3" xfId="40662"/>
    <cellStyle name="Total 2 7 2 5 5 4 4" xfId="18996"/>
    <cellStyle name="Total 2 7 2 5 5 5" xfId="21641"/>
    <cellStyle name="Total 2 7 2 5 5 6" xfId="32486"/>
    <cellStyle name="Total 2 7 2 5 5 7" xfId="13142"/>
    <cellStyle name="Total 2 7 2 5 6" xfId="3049"/>
    <cellStyle name="Total 2 7 2 5 6 2" xfId="5900"/>
    <cellStyle name="Total 2 7 2 5 6 2 2" xfId="24872"/>
    <cellStyle name="Total 2 7 2 5 6 2 3" xfId="35717"/>
    <cellStyle name="Total 2 7 2 5 6 2 4" xfId="15455"/>
    <cellStyle name="Total 2 7 2 5 6 3" xfId="8571"/>
    <cellStyle name="Total 2 7 2 5 6 3 2" xfId="27543"/>
    <cellStyle name="Total 2 7 2 5 6 3 3" xfId="38388"/>
    <cellStyle name="Total 2 7 2 5 6 3 4" xfId="17368"/>
    <cellStyle name="Total 2 7 2 5 6 4" xfId="11230"/>
    <cellStyle name="Total 2 7 2 5 6 4 2" xfId="30202"/>
    <cellStyle name="Total 2 7 2 5 6 4 3" xfId="41047"/>
    <cellStyle name="Total 2 7 2 5 6 4 4" xfId="19272"/>
    <cellStyle name="Total 2 7 2 5 6 5" xfId="22026"/>
    <cellStyle name="Total 2 7 2 5 6 6" xfId="32871"/>
    <cellStyle name="Total 2 7 2 5 6 7" xfId="13418"/>
    <cellStyle name="Total 2 7 2 5 7" xfId="3738"/>
    <cellStyle name="Total 2 7 2 5 7 2" xfId="22710"/>
    <cellStyle name="Total 2 7 2 5 7 3" xfId="33555"/>
    <cellStyle name="Total 2 7 2 5 7 4" xfId="13899"/>
    <cellStyle name="Total 2 7 2 5 8" xfId="6413"/>
    <cellStyle name="Total 2 7 2 5 8 2" xfId="25385"/>
    <cellStyle name="Total 2 7 2 5 8 3" xfId="36230"/>
    <cellStyle name="Total 2 7 2 5 8 4" xfId="15815"/>
    <cellStyle name="Total 2 7 2 5 9" xfId="9072"/>
    <cellStyle name="Total 2 7 2 5 9 2" xfId="28044"/>
    <cellStyle name="Total 2 7 2 5 9 3" xfId="38889"/>
    <cellStyle name="Total 2 7 2 5 9 4" xfId="17719"/>
    <cellStyle name="Total 2 7 2 6" xfId="1105"/>
    <cellStyle name="Total 2 7 2 6 2" xfId="3958"/>
    <cellStyle name="Total 2 7 2 6 2 2" xfId="22930"/>
    <cellStyle name="Total 2 7 2 6 2 3" xfId="33775"/>
    <cellStyle name="Total 2 7 2 6 2 4" xfId="14061"/>
    <cellStyle name="Total 2 7 2 6 3" xfId="6632"/>
    <cellStyle name="Total 2 7 2 6 3 2" xfId="25604"/>
    <cellStyle name="Total 2 7 2 6 3 3" xfId="36449"/>
    <cellStyle name="Total 2 7 2 6 3 4" xfId="15977"/>
    <cellStyle name="Total 2 7 2 6 4" xfId="9291"/>
    <cellStyle name="Total 2 7 2 6 4 2" xfId="28263"/>
    <cellStyle name="Total 2 7 2 6 4 3" xfId="39108"/>
    <cellStyle name="Total 2 7 2 6 4 4" xfId="17881"/>
    <cellStyle name="Total 2 7 2 6 5" xfId="20087"/>
    <cellStyle name="Total 2 7 2 6 6" xfId="30932"/>
    <cellStyle name="Total 2 7 2 6 7" xfId="12027"/>
    <cellStyle name="Total 2 7 2 7" xfId="1505"/>
    <cellStyle name="Total 2 7 2 7 2" xfId="4358"/>
    <cellStyle name="Total 2 7 2 7 2 2" xfId="23330"/>
    <cellStyle name="Total 2 7 2 7 2 3" xfId="34175"/>
    <cellStyle name="Total 2 7 2 7 2 4" xfId="14351"/>
    <cellStyle name="Total 2 7 2 7 3" xfId="7031"/>
    <cellStyle name="Total 2 7 2 7 3 2" xfId="26003"/>
    <cellStyle name="Total 2 7 2 7 3 3" xfId="36848"/>
    <cellStyle name="Total 2 7 2 7 3 4" xfId="16266"/>
    <cellStyle name="Total 2 7 2 7 4" xfId="9690"/>
    <cellStyle name="Total 2 7 2 7 4 2" xfId="28662"/>
    <cellStyle name="Total 2 7 2 7 4 3" xfId="39507"/>
    <cellStyle name="Total 2 7 2 7 4 4" xfId="18170"/>
    <cellStyle name="Total 2 7 2 7 5" xfId="20486"/>
    <cellStyle name="Total 2 7 2 7 6" xfId="31331"/>
    <cellStyle name="Total 2 7 2 7 7" xfId="12316"/>
    <cellStyle name="Total 2 7 2 8" xfId="1913"/>
    <cellStyle name="Total 2 7 2 8 2" xfId="4766"/>
    <cellStyle name="Total 2 7 2 8 2 2" xfId="23738"/>
    <cellStyle name="Total 2 7 2 8 2 3" xfId="34583"/>
    <cellStyle name="Total 2 7 2 8 2 4" xfId="14642"/>
    <cellStyle name="Total 2 7 2 8 3" xfId="7438"/>
    <cellStyle name="Total 2 7 2 8 3 2" xfId="26410"/>
    <cellStyle name="Total 2 7 2 8 3 3" xfId="37255"/>
    <cellStyle name="Total 2 7 2 8 3 4" xfId="16556"/>
    <cellStyle name="Total 2 7 2 8 4" xfId="10097"/>
    <cellStyle name="Total 2 7 2 8 4 2" xfId="29069"/>
    <cellStyle name="Total 2 7 2 8 4 3" xfId="39914"/>
    <cellStyle name="Total 2 7 2 8 4 4" xfId="18460"/>
    <cellStyle name="Total 2 7 2 8 5" xfId="20893"/>
    <cellStyle name="Total 2 7 2 8 6" xfId="31738"/>
    <cellStyle name="Total 2 7 2 8 7" xfId="12606"/>
    <cellStyle name="Total 2 7 2 9" xfId="2307"/>
    <cellStyle name="Total 2 7 2 9 2" xfId="5160"/>
    <cellStyle name="Total 2 7 2 9 2 2" xfId="24132"/>
    <cellStyle name="Total 2 7 2 9 2 3" xfId="34977"/>
    <cellStyle name="Total 2 7 2 9 2 4" xfId="14924"/>
    <cellStyle name="Total 2 7 2 9 3" xfId="7831"/>
    <cellStyle name="Total 2 7 2 9 3 2" xfId="26803"/>
    <cellStyle name="Total 2 7 2 9 3 3" xfId="37648"/>
    <cellStyle name="Total 2 7 2 9 3 4" xfId="16837"/>
    <cellStyle name="Total 2 7 2 9 4" xfId="10490"/>
    <cellStyle name="Total 2 7 2 9 4 2" xfId="29462"/>
    <cellStyle name="Total 2 7 2 9 4 3" xfId="40307"/>
    <cellStyle name="Total 2 7 2 9 4 4" xfId="18741"/>
    <cellStyle name="Total 2 7 2 9 5" xfId="21286"/>
    <cellStyle name="Total 2 7 2 9 6" xfId="32131"/>
    <cellStyle name="Total 2 7 2 9 7" xfId="12887"/>
    <cellStyle name="Total 2 7 3" xfId="587"/>
    <cellStyle name="Total 2 7 3 10" xfId="19597"/>
    <cellStyle name="Total 2 7 3 11" xfId="30442"/>
    <cellStyle name="Total 2 7 3 12" xfId="11651"/>
    <cellStyle name="Total 2 7 3 2" xfId="1193"/>
    <cellStyle name="Total 2 7 3 2 2" xfId="4046"/>
    <cellStyle name="Total 2 7 3 2 2 2" xfId="23018"/>
    <cellStyle name="Total 2 7 3 2 2 3" xfId="33863"/>
    <cellStyle name="Total 2 7 3 2 2 4" xfId="14128"/>
    <cellStyle name="Total 2 7 3 2 3" xfId="6719"/>
    <cellStyle name="Total 2 7 3 2 3 2" xfId="25691"/>
    <cellStyle name="Total 2 7 3 2 3 3" xfId="36536"/>
    <cellStyle name="Total 2 7 3 2 3 4" xfId="16043"/>
    <cellStyle name="Total 2 7 3 2 4" xfId="9378"/>
    <cellStyle name="Total 2 7 3 2 4 2" xfId="28350"/>
    <cellStyle name="Total 2 7 3 2 4 3" xfId="39195"/>
    <cellStyle name="Total 2 7 3 2 4 4" xfId="17947"/>
    <cellStyle name="Total 2 7 3 2 5" xfId="20174"/>
    <cellStyle name="Total 2 7 3 2 6" xfId="31019"/>
    <cellStyle name="Total 2 7 3 2 7" xfId="12093"/>
    <cellStyle name="Total 2 7 3 3" xfId="1590"/>
    <cellStyle name="Total 2 7 3 3 2" xfId="4443"/>
    <cellStyle name="Total 2 7 3 3 2 2" xfId="23415"/>
    <cellStyle name="Total 2 7 3 3 2 3" xfId="34260"/>
    <cellStyle name="Total 2 7 3 3 2 4" xfId="14414"/>
    <cellStyle name="Total 2 7 3 3 3" xfId="7115"/>
    <cellStyle name="Total 2 7 3 3 3 2" xfId="26087"/>
    <cellStyle name="Total 2 7 3 3 3 3" xfId="36932"/>
    <cellStyle name="Total 2 7 3 3 3 4" xfId="16328"/>
    <cellStyle name="Total 2 7 3 3 4" xfId="9774"/>
    <cellStyle name="Total 2 7 3 3 4 2" xfId="28746"/>
    <cellStyle name="Total 2 7 3 3 4 3" xfId="39591"/>
    <cellStyle name="Total 2 7 3 3 4 4" xfId="18232"/>
    <cellStyle name="Total 2 7 3 3 5" xfId="20570"/>
    <cellStyle name="Total 2 7 3 3 6" xfId="31415"/>
    <cellStyle name="Total 2 7 3 3 7" xfId="12378"/>
    <cellStyle name="Total 2 7 3 4" xfId="1994"/>
    <cellStyle name="Total 2 7 3 4 2" xfId="4847"/>
    <cellStyle name="Total 2 7 3 4 2 2" xfId="23819"/>
    <cellStyle name="Total 2 7 3 4 2 3" xfId="34664"/>
    <cellStyle name="Total 2 7 3 4 2 4" xfId="14702"/>
    <cellStyle name="Total 2 7 3 4 3" xfId="7519"/>
    <cellStyle name="Total 2 7 3 4 3 2" xfId="26491"/>
    <cellStyle name="Total 2 7 3 4 3 3" xfId="37336"/>
    <cellStyle name="Total 2 7 3 4 3 4" xfId="16616"/>
    <cellStyle name="Total 2 7 3 4 4" xfId="10178"/>
    <cellStyle name="Total 2 7 3 4 4 2" xfId="29150"/>
    <cellStyle name="Total 2 7 3 4 4 3" xfId="39995"/>
    <cellStyle name="Total 2 7 3 4 4 4" xfId="18520"/>
    <cellStyle name="Total 2 7 3 4 5" xfId="20974"/>
    <cellStyle name="Total 2 7 3 4 6" xfId="31819"/>
    <cellStyle name="Total 2 7 3 4 7" xfId="12666"/>
    <cellStyle name="Total 2 7 3 5" xfId="2386"/>
    <cellStyle name="Total 2 7 3 5 2" xfId="5239"/>
    <cellStyle name="Total 2 7 3 5 2 2" xfId="24211"/>
    <cellStyle name="Total 2 7 3 5 2 3" xfId="35056"/>
    <cellStyle name="Total 2 7 3 5 2 4" xfId="14983"/>
    <cellStyle name="Total 2 7 3 5 3" xfId="7910"/>
    <cellStyle name="Total 2 7 3 5 3 2" xfId="26882"/>
    <cellStyle name="Total 2 7 3 5 3 3" xfId="37727"/>
    <cellStyle name="Total 2 7 3 5 3 4" xfId="16896"/>
    <cellStyle name="Total 2 7 3 5 4" xfId="10569"/>
    <cellStyle name="Total 2 7 3 5 4 2" xfId="29541"/>
    <cellStyle name="Total 2 7 3 5 4 3" xfId="40386"/>
    <cellStyle name="Total 2 7 3 5 4 4" xfId="18800"/>
    <cellStyle name="Total 2 7 3 5 5" xfId="21365"/>
    <cellStyle name="Total 2 7 3 5 6" xfId="32210"/>
    <cellStyle name="Total 2 7 3 5 7" xfId="12946"/>
    <cellStyle name="Total 2 7 3 6" xfId="2775"/>
    <cellStyle name="Total 2 7 3 6 2" xfId="5627"/>
    <cellStyle name="Total 2 7 3 6 2 2" xfId="24599"/>
    <cellStyle name="Total 2 7 3 6 2 3" xfId="35444"/>
    <cellStyle name="Total 2 7 3 6 2 4" xfId="15261"/>
    <cellStyle name="Total 2 7 3 6 3" xfId="8298"/>
    <cellStyle name="Total 2 7 3 6 3 2" xfId="27270"/>
    <cellStyle name="Total 2 7 3 6 3 3" xfId="38115"/>
    <cellStyle name="Total 2 7 3 6 3 4" xfId="17174"/>
    <cellStyle name="Total 2 7 3 6 4" xfId="10957"/>
    <cellStyle name="Total 2 7 3 6 4 2" xfId="29929"/>
    <cellStyle name="Total 2 7 3 6 4 3" xfId="40774"/>
    <cellStyle name="Total 2 7 3 6 4 4" xfId="19078"/>
    <cellStyle name="Total 2 7 3 6 5" xfId="21753"/>
    <cellStyle name="Total 2 7 3 6 6" xfId="32598"/>
    <cellStyle name="Total 2 7 3 6 7" xfId="13224"/>
    <cellStyle name="Total 2 7 3 7" xfId="3466"/>
    <cellStyle name="Total 2 7 3 7 2" xfId="22438"/>
    <cellStyle name="Total 2 7 3 7 3" xfId="33283"/>
    <cellStyle name="Total 2 7 3 7 4" xfId="13706"/>
    <cellStyle name="Total 2 7 3 8" xfId="6142"/>
    <cellStyle name="Total 2 7 3 8 2" xfId="25114"/>
    <cellStyle name="Total 2 7 3 8 3" xfId="35959"/>
    <cellStyle name="Total 2 7 3 8 4" xfId="15623"/>
    <cellStyle name="Total 2 7 3 9" xfId="8801"/>
    <cellStyle name="Total 2 7 3 9 2" xfId="27773"/>
    <cellStyle name="Total 2 7 3 9 3" xfId="38618"/>
    <cellStyle name="Total 2 7 3 9 4" xfId="17527"/>
    <cellStyle name="Total 2 7 4" xfId="11480"/>
    <cellStyle name="Total 2 8" xfId="162"/>
    <cellStyle name="Total 2 8 2" xfId="406"/>
    <cellStyle name="Total 2 8 2 10" xfId="2697"/>
    <cellStyle name="Total 2 8 2 10 2" xfId="5549"/>
    <cellStyle name="Total 2 8 2 10 2 2" xfId="24521"/>
    <cellStyle name="Total 2 8 2 10 2 3" xfId="35366"/>
    <cellStyle name="Total 2 8 2 10 2 4" xfId="15203"/>
    <cellStyle name="Total 2 8 2 10 3" xfId="8220"/>
    <cellStyle name="Total 2 8 2 10 3 2" xfId="27192"/>
    <cellStyle name="Total 2 8 2 10 3 3" xfId="38037"/>
    <cellStyle name="Total 2 8 2 10 3 4" xfId="17116"/>
    <cellStyle name="Total 2 8 2 10 4" xfId="10879"/>
    <cellStyle name="Total 2 8 2 10 4 2" xfId="29851"/>
    <cellStyle name="Total 2 8 2 10 4 3" xfId="40696"/>
    <cellStyle name="Total 2 8 2 10 4 4" xfId="19020"/>
    <cellStyle name="Total 2 8 2 10 5" xfId="21675"/>
    <cellStyle name="Total 2 8 2 10 6" xfId="32520"/>
    <cellStyle name="Total 2 8 2 10 7" xfId="13166"/>
    <cellStyle name="Total 2 8 2 11" xfId="3083"/>
    <cellStyle name="Total 2 8 2 11 2" xfId="5934"/>
    <cellStyle name="Total 2 8 2 11 2 2" xfId="24906"/>
    <cellStyle name="Total 2 8 2 11 2 3" xfId="35751"/>
    <cellStyle name="Total 2 8 2 11 2 4" xfId="15479"/>
    <cellStyle name="Total 2 8 2 11 3" xfId="8605"/>
    <cellStyle name="Total 2 8 2 11 3 2" xfId="27577"/>
    <cellStyle name="Total 2 8 2 11 3 3" xfId="38422"/>
    <cellStyle name="Total 2 8 2 11 3 4" xfId="17392"/>
    <cellStyle name="Total 2 8 2 11 4" xfId="11264"/>
    <cellStyle name="Total 2 8 2 11 4 2" xfId="30236"/>
    <cellStyle name="Total 2 8 2 11 4 3" xfId="41081"/>
    <cellStyle name="Total 2 8 2 11 4 4" xfId="19296"/>
    <cellStyle name="Total 2 8 2 11 5" xfId="22060"/>
    <cellStyle name="Total 2 8 2 11 6" xfId="32905"/>
    <cellStyle name="Total 2 8 2 11 7" xfId="13442"/>
    <cellStyle name="Total 2 8 2 12" xfId="3140"/>
    <cellStyle name="Total 2 8 2 12 2" xfId="5991"/>
    <cellStyle name="Total 2 8 2 12 2 2" xfId="24963"/>
    <cellStyle name="Total 2 8 2 12 2 3" xfId="35808"/>
    <cellStyle name="Total 2 8 2 12 2 4" xfId="15516"/>
    <cellStyle name="Total 2 8 2 12 3" xfId="8662"/>
    <cellStyle name="Total 2 8 2 12 3 2" xfId="27634"/>
    <cellStyle name="Total 2 8 2 12 3 3" xfId="38479"/>
    <cellStyle name="Total 2 8 2 12 3 4" xfId="17429"/>
    <cellStyle name="Total 2 8 2 12 4" xfId="11321"/>
    <cellStyle name="Total 2 8 2 12 4 2" xfId="30293"/>
    <cellStyle name="Total 2 8 2 12 4 3" xfId="41138"/>
    <cellStyle name="Total 2 8 2 12 4 4" xfId="19333"/>
    <cellStyle name="Total 2 8 2 12 5" xfId="22117"/>
    <cellStyle name="Total 2 8 2 12 6" xfId="32962"/>
    <cellStyle name="Total 2 8 2 12 7" xfId="13479"/>
    <cellStyle name="Total 2 8 2 13" xfId="3197"/>
    <cellStyle name="Total 2 8 2 13 2" xfId="6048"/>
    <cellStyle name="Total 2 8 2 13 2 2" xfId="25020"/>
    <cellStyle name="Total 2 8 2 13 2 3" xfId="35865"/>
    <cellStyle name="Total 2 8 2 13 2 4" xfId="15553"/>
    <cellStyle name="Total 2 8 2 13 3" xfId="8719"/>
    <cellStyle name="Total 2 8 2 13 3 2" xfId="27691"/>
    <cellStyle name="Total 2 8 2 13 3 3" xfId="38536"/>
    <cellStyle name="Total 2 8 2 13 3 4" xfId="17466"/>
    <cellStyle name="Total 2 8 2 13 4" xfId="11378"/>
    <cellStyle name="Total 2 8 2 13 4 2" xfId="30350"/>
    <cellStyle name="Total 2 8 2 13 4 3" xfId="41195"/>
    <cellStyle name="Total 2 8 2 13 4 4" xfId="19370"/>
    <cellStyle name="Total 2 8 2 13 5" xfId="22174"/>
    <cellStyle name="Total 2 8 2 13 6" xfId="33019"/>
    <cellStyle name="Total 2 8 2 13 7" xfId="13516"/>
    <cellStyle name="Total 2 8 2 14" xfId="3364"/>
    <cellStyle name="Total 2 8 2 14 2" xfId="22338"/>
    <cellStyle name="Total 2 8 2 14 3" xfId="33183"/>
    <cellStyle name="Total 2 8 2 14 4" xfId="13633"/>
    <cellStyle name="Total 2 8 2 15" xfId="3292"/>
    <cellStyle name="Total 2 8 2 15 2" xfId="22266"/>
    <cellStyle name="Total 2 8 2 15 3" xfId="33111"/>
    <cellStyle name="Total 2 8 2 15 4" xfId="13582"/>
    <cellStyle name="Total 2 8 2 16" xfId="6071"/>
    <cellStyle name="Total 2 8 2 16 2" xfId="25043"/>
    <cellStyle name="Total 2 8 2 16 3" xfId="35888"/>
    <cellStyle name="Total 2 8 2 16 4" xfId="15565"/>
    <cellStyle name="Total 2 8 2 17" xfId="19494"/>
    <cellStyle name="Total 2 8 2 18" xfId="19389"/>
    <cellStyle name="Total 2 8 2 19" xfId="11543"/>
    <cellStyle name="Total 2 8 2 2" xfId="705"/>
    <cellStyle name="Total 2 8 2 2 10" xfId="19690"/>
    <cellStyle name="Total 2 8 2 2 11" xfId="30535"/>
    <cellStyle name="Total 2 8 2 2 12" xfId="11747"/>
    <cellStyle name="Total 2 8 2 2 2" xfId="1292"/>
    <cellStyle name="Total 2 8 2 2 2 2" xfId="4145"/>
    <cellStyle name="Total 2 8 2 2 2 2 2" xfId="23117"/>
    <cellStyle name="Total 2 8 2 2 2 2 3" xfId="33962"/>
    <cellStyle name="Total 2 8 2 2 2 2 4" xfId="14208"/>
    <cellStyle name="Total 2 8 2 2 2 3" xfId="6818"/>
    <cellStyle name="Total 2 8 2 2 2 3 2" xfId="25790"/>
    <cellStyle name="Total 2 8 2 2 2 3 3" xfId="36635"/>
    <cellStyle name="Total 2 8 2 2 2 3 4" xfId="16123"/>
    <cellStyle name="Total 2 8 2 2 2 4" xfId="9477"/>
    <cellStyle name="Total 2 8 2 2 2 4 2" xfId="28449"/>
    <cellStyle name="Total 2 8 2 2 2 4 3" xfId="39294"/>
    <cellStyle name="Total 2 8 2 2 2 4 4" xfId="18027"/>
    <cellStyle name="Total 2 8 2 2 2 5" xfId="20273"/>
    <cellStyle name="Total 2 8 2 2 2 6" xfId="31118"/>
    <cellStyle name="Total 2 8 2 2 2 7" xfId="12173"/>
    <cellStyle name="Total 2 8 2 2 3" xfId="1691"/>
    <cellStyle name="Total 2 8 2 2 3 2" xfId="4544"/>
    <cellStyle name="Total 2 8 2 2 3 2 2" xfId="23516"/>
    <cellStyle name="Total 2 8 2 2 3 2 3" xfId="34361"/>
    <cellStyle name="Total 2 8 2 2 3 2 4" xfId="14495"/>
    <cellStyle name="Total 2 8 2 2 3 3" xfId="7216"/>
    <cellStyle name="Total 2 8 2 2 3 3 2" xfId="26188"/>
    <cellStyle name="Total 2 8 2 2 3 3 3" xfId="37033"/>
    <cellStyle name="Total 2 8 2 2 3 3 4" xfId="16409"/>
    <cellStyle name="Total 2 8 2 2 3 4" xfId="9875"/>
    <cellStyle name="Total 2 8 2 2 3 4 2" xfId="28847"/>
    <cellStyle name="Total 2 8 2 2 3 4 3" xfId="39692"/>
    <cellStyle name="Total 2 8 2 2 3 4 4" xfId="18313"/>
    <cellStyle name="Total 2 8 2 2 3 5" xfId="20671"/>
    <cellStyle name="Total 2 8 2 2 3 6" xfId="31516"/>
    <cellStyle name="Total 2 8 2 2 3 7" xfId="12459"/>
    <cellStyle name="Total 2 8 2 2 4" xfId="2095"/>
    <cellStyle name="Total 2 8 2 2 4 2" xfId="4948"/>
    <cellStyle name="Total 2 8 2 2 4 2 2" xfId="23920"/>
    <cellStyle name="Total 2 8 2 2 4 2 3" xfId="34765"/>
    <cellStyle name="Total 2 8 2 2 4 2 4" xfId="14782"/>
    <cellStyle name="Total 2 8 2 2 4 3" xfId="7619"/>
    <cellStyle name="Total 2 8 2 2 4 3 2" xfId="26591"/>
    <cellStyle name="Total 2 8 2 2 4 3 3" xfId="37436"/>
    <cellStyle name="Total 2 8 2 2 4 3 4" xfId="16695"/>
    <cellStyle name="Total 2 8 2 2 4 4" xfId="10278"/>
    <cellStyle name="Total 2 8 2 2 4 4 2" xfId="29250"/>
    <cellStyle name="Total 2 8 2 2 4 4 3" xfId="40095"/>
    <cellStyle name="Total 2 8 2 2 4 4 4" xfId="18599"/>
    <cellStyle name="Total 2 8 2 2 4 5" xfId="21074"/>
    <cellStyle name="Total 2 8 2 2 4 6" xfId="31919"/>
    <cellStyle name="Total 2 8 2 2 4 7" xfId="12745"/>
    <cellStyle name="Total 2 8 2 2 5" xfId="2485"/>
    <cellStyle name="Total 2 8 2 2 5 2" xfId="5337"/>
    <cellStyle name="Total 2 8 2 2 5 2 2" xfId="24309"/>
    <cellStyle name="Total 2 8 2 2 5 2 3" xfId="35154"/>
    <cellStyle name="Total 2 8 2 2 5 2 4" xfId="15061"/>
    <cellStyle name="Total 2 8 2 2 5 3" xfId="8008"/>
    <cellStyle name="Total 2 8 2 2 5 3 2" xfId="26980"/>
    <cellStyle name="Total 2 8 2 2 5 3 3" xfId="37825"/>
    <cellStyle name="Total 2 8 2 2 5 3 4" xfId="16974"/>
    <cellStyle name="Total 2 8 2 2 5 4" xfId="10667"/>
    <cellStyle name="Total 2 8 2 2 5 4 2" xfId="29639"/>
    <cellStyle name="Total 2 8 2 2 5 4 3" xfId="40484"/>
    <cellStyle name="Total 2 8 2 2 5 4 4" xfId="18878"/>
    <cellStyle name="Total 2 8 2 2 5 5" xfId="21463"/>
    <cellStyle name="Total 2 8 2 2 5 6" xfId="32308"/>
    <cellStyle name="Total 2 8 2 2 5 7" xfId="13024"/>
    <cellStyle name="Total 2 8 2 2 6" xfId="2871"/>
    <cellStyle name="Total 2 8 2 2 6 2" xfId="5722"/>
    <cellStyle name="Total 2 8 2 2 6 2 2" xfId="24694"/>
    <cellStyle name="Total 2 8 2 2 6 2 3" xfId="35539"/>
    <cellStyle name="Total 2 8 2 2 6 2 4" xfId="15337"/>
    <cellStyle name="Total 2 8 2 2 6 3" xfId="8393"/>
    <cellStyle name="Total 2 8 2 2 6 3 2" xfId="27365"/>
    <cellStyle name="Total 2 8 2 2 6 3 3" xfId="38210"/>
    <cellStyle name="Total 2 8 2 2 6 3 4" xfId="17250"/>
    <cellStyle name="Total 2 8 2 2 6 4" xfId="11052"/>
    <cellStyle name="Total 2 8 2 2 6 4 2" xfId="30024"/>
    <cellStyle name="Total 2 8 2 2 6 4 3" xfId="40869"/>
    <cellStyle name="Total 2 8 2 2 6 4 4" xfId="19154"/>
    <cellStyle name="Total 2 8 2 2 6 5" xfId="21848"/>
    <cellStyle name="Total 2 8 2 2 6 6" xfId="32693"/>
    <cellStyle name="Total 2 8 2 2 6 7" xfId="13300"/>
    <cellStyle name="Total 2 8 2 2 7" xfId="3560"/>
    <cellStyle name="Total 2 8 2 2 7 2" xfId="22532"/>
    <cellStyle name="Total 2 8 2 2 7 3" xfId="33377"/>
    <cellStyle name="Total 2 8 2 2 7 4" xfId="13781"/>
    <cellStyle name="Total 2 8 2 2 8" xfId="6235"/>
    <cellStyle name="Total 2 8 2 2 8 2" xfId="25207"/>
    <cellStyle name="Total 2 8 2 2 8 3" xfId="36052"/>
    <cellStyle name="Total 2 8 2 2 8 4" xfId="15697"/>
    <cellStyle name="Total 2 8 2 2 9" xfId="8894"/>
    <cellStyle name="Total 2 8 2 2 9 2" xfId="27866"/>
    <cellStyle name="Total 2 8 2 2 9 3" xfId="38711"/>
    <cellStyle name="Total 2 8 2 2 9 4" xfId="17601"/>
    <cellStyle name="Total 2 8 2 3" xfId="765"/>
    <cellStyle name="Total 2 8 2 3 10" xfId="19750"/>
    <cellStyle name="Total 2 8 2 3 11" xfId="30595"/>
    <cellStyle name="Total 2 8 2 3 12" xfId="11787"/>
    <cellStyle name="Total 2 8 2 3 2" xfId="1352"/>
    <cellStyle name="Total 2 8 2 3 2 2" xfId="4205"/>
    <cellStyle name="Total 2 8 2 3 2 2 2" xfId="23177"/>
    <cellStyle name="Total 2 8 2 3 2 2 3" xfId="34022"/>
    <cellStyle name="Total 2 8 2 3 2 2 4" xfId="14248"/>
    <cellStyle name="Total 2 8 2 3 2 3" xfId="6878"/>
    <cellStyle name="Total 2 8 2 3 2 3 2" xfId="25850"/>
    <cellStyle name="Total 2 8 2 3 2 3 3" xfId="36695"/>
    <cellStyle name="Total 2 8 2 3 2 3 4" xfId="16163"/>
    <cellStyle name="Total 2 8 2 3 2 4" xfId="9537"/>
    <cellStyle name="Total 2 8 2 3 2 4 2" xfId="28509"/>
    <cellStyle name="Total 2 8 2 3 2 4 3" xfId="39354"/>
    <cellStyle name="Total 2 8 2 3 2 4 4" xfId="18067"/>
    <cellStyle name="Total 2 8 2 3 2 5" xfId="20333"/>
    <cellStyle name="Total 2 8 2 3 2 6" xfId="31178"/>
    <cellStyle name="Total 2 8 2 3 2 7" xfId="12213"/>
    <cellStyle name="Total 2 8 2 3 3" xfId="1751"/>
    <cellStyle name="Total 2 8 2 3 3 2" xfId="4604"/>
    <cellStyle name="Total 2 8 2 3 3 2 2" xfId="23576"/>
    <cellStyle name="Total 2 8 2 3 3 2 3" xfId="34421"/>
    <cellStyle name="Total 2 8 2 3 3 2 4" xfId="14535"/>
    <cellStyle name="Total 2 8 2 3 3 3" xfId="7276"/>
    <cellStyle name="Total 2 8 2 3 3 3 2" xfId="26248"/>
    <cellStyle name="Total 2 8 2 3 3 3 3" xfId="37093"/>
    <cellStyle name="Total 2 8 2 3 3 3 4" xfId="16449"/>
    <cellStyle name="Total 2 8 2 3 3 4" xfId="9935"/>
    <cellStyle name="Total 2 8 2 3 3 4 2" xfId="28907"/>
    <cellStyle name="Total 2 8 2 3 3 4 3" xfId="39752"/>
    <cellStyle name="Total 2 8 2 3 3 4 4" xfId="18353"/>
    <cellStyle name="Total 2 8 2 3 3 5" xfId="20731"/>
    <cellStyle name="Total 2 8 2 3 3 6" xfId="31576"/>
    <cellStyle name="Total 2 8 2 3 3 7" xfId="12499"/>
    <cellStyle name="Total 2 8 2 3 4" xfId="2155"/>
    <cellStyle name="Total 2 8 2 3 4 2" xfId="5008"/>
    <cellStyle name="Total 2 8 2 3 4 2 2" xfId="23980"/>
    <cellStyle name="Total 2 8 2 3 4 2 3" xfId="34825"/>
    <cellStyle name="Total 2 8 2 3 4 2 4" xfId="14822"/>
    <cellStyle name="Total 2 8 2 3 4 3" xfId="7679"/>
    <cellStyle name="Total 2 8 2 3 4 3 2" xfId="26651"/>
    <cellStyle name="Total 2 8 2 3 4 3 3" xfId="37496"/>
    <cellStyle name="Total 2 8 2 3 4 3 4" xfId="16735"/>
    <cellStyle name="Total 2 8 2 3 4 4" xfId="10338"/>
    <cellStyle name="Total 2 8 2 3 4 4 2" xfId="29310"/>
    <cellStyle name="Total 2 8 2 3 4 4 3" xfId="40155"/>
    <cellStyle name="Total 2 8 2 3 4 4 4" xfId="18639"/>
    <cellStyle name="Total 2 8 2 3 4 5" xfId="21134"/>
    <cellStyle name="Total 2 8 2 3 4 6" xfId="31979"/>
    <cellStyle name="Total 2 8 2 3 4 7" xfId="12785"/>
    <cellStyle name="Total 2 8 2 3 5" xfId="2545"/>
    <cellStyle name="Total 2 8 2 3 5 2" xfId="5397"/>
    <cellStyle name="Total 2 8 2 3 5 2 2" xfId="24369"/>
    <cellStyle name="Total 2 8 2 3 5 2 3" xfId="35214"/>
    <cellStyle name="Total 2 8 2 3 5 2 4" xfId="15101"/>
    <cellStyle name="Total 2 8 2 3 5 3" xfId="8068"/>
    <cellStyle name="Total 2 8 2 3 5 3 2" xfId="27040"/>
    <cellStyle name="Total 2 8 2 3 5 3 3" xfId="37885"/>
    <cellStyle name="Total 2 8 2 3 5 3 4" xfId="17014"/>
    <cellStyle name="Total 2 8 2 3 5 4" xfId="10727"/>
    <cellStyle name="Total 2 8 2 3 5 4 2" xfId="29699"/>
    <cellStyle name="Total 2 8 2 3 5 4 3" xfId="40544"/>
    <cellStyle name="Total 2 8 2 3 5 4 4" xfId="18918"/>
    <cellStyle name="Total 2 8 2 3 5 5" xfId="21523"/>
    <cellStyle name="Total 2 8 2 3 5 6" xfId="32368"/>
    <cellStyle name="Total 2 8 2 3 5 7" xfId="13064"/>
    <cellStyle name="Total 2 8 2 3 6" xfId="2931"/>
    <cellStyle name="Total 2 8 2 3 6 2" xfId="5782"/>
    <cellStyle name="Total 2 8 2 3 6 2 2" xfId="24754"/>
    <cellStyle name="Total 2 8 2 3 6 2 3" xfId="35599"/>
    <cellStyle name="Total 2 8 2 3 6 2 4" xfId="15377"/>
    <cellStyle name="Total 2 8 2 3 6 3" xfId="8453"/>
    <cellStyle name="Total 2 8 2 3 6 3 2" xfId="27425"/>
    <cellStyle name="Total 2 8 2 3 6 3 3" xfId="38270"/>
    <cellStyle name="Total 2 8 2 3 6 3 4" xfId="17290"/>
    <cellStyle name="Total 2 8 2 3 6 4" xfId="11112"/>
    <cellStyle name="Total 2 8 2 3 6 4 2" xfId="30084"/>
    <cellStyle name="Total 2 8 2 3 6 4 3" xfId="40929"/>
    <cellStyle name="Total 2 8 2 3 6 4 4" xfId="19194"/>
    <cellStyle name="Total 2 8 2 3 6 5" xfId="21908"/>
    <cellStyle name="Total 2 8 2 3 6 6" xfId="32753"/>
    <cellStyle name="Total 2 8 2 3 6 7" xfId="13340"/>
    <cellStyle name="Total 2 8 2 3 7" xfId="3620"/>
    <cellStyle name="Total 2 8 2 3 7 2" xfId="22592"/>
    <cellStyle name="Total 2 8 2 3 7 3" xfId="33437"/>
    <cellStyle name="Total 2 8 2 3 7 4" xfId="13821"/>
    <cellStyle name="Total 2 8 2 3 8" xfId="6295"/>
    <cellStyle name="Total 2 8 2 3 8 2" xfId="25267"/>
    <cellStyle name="Total 2 8 2 3 8 3" xfId="36112"/>
    <cellStyle name="Total 2 8 2 3 8 4" xfId="15737"/>
    <cellStyle name="Total 2 8 2 3 9" xfId="8954"/>
    <cellStyle name="Total 2 8 2 3 9 2" xfId="27926"/>
    <cellStyle name="Total 2 8 2 3 9 3" xfId="38771"/>
    <cellStyle name="Total 2 8 2 3 9 4" xfId="17641"/>
    <cellStyle name="Total 2 8 2 4" xfId="825"/>
    <cellStyle name="Total 2 8 2 4 10" xfId="19810"/>
    <cellStyle name="Total 2 8 2 4 11" xfId="30655"/>
    <cellStyle name="Total 2 8 2 4 12" xfId="11827"/>
    <cellStyle name="Total 2 8 2 4 2" xfId="1412"/>
    <cellStyle name="Total 2 8 2 4 2 2" xfId="4265"/>
    <cellStyle name="Total 2 8 2 4 2 2 2" xfId="23237"/>
    <cellStyle name="Total 2 8 2 4 2 2 3" xfId="34082"/>
    <cellStyle name="Total 2 8 2 4 2 2 4" xfId="14288"/>
    <cellStyle name="Total 2 8 2 4 2 3" xfId="6938"/>
    <cellStyle name="Total 2 8 2 4 2 3 2" xfId="25910"/>
    <cellStyle name="Total 2 8 2 4 2 3 3" xfId="36755"/>
    <cellStyle name="Total 2 8 2 4 2 3 4" xfId="16203"/>
    <cellStyle name="Total 2 8 2 4 2 4" xfId="9597"/>
    <cellStyle name="Total 2 8 2 4 2 4 2" xfId="28569"/>
    <cellStyle name="Total 2 8 2 4 2 4 3" xfId="39414"/>
    <cellStyle name="Total 2 8 2 4 2 4 4" xfId="18107"/>
    <cellStyle name="Total 2 8 2 4 2 5" xfId="20393"/>
    <cellStyle name="Total 2 8 2 4 2 6" xfId="31238"/>
    <cellStyle name="Total 2 8 2 4 2 7" xfId="12253"/>
    <cellStyle name="Total 2 8 2 4 3" xfId="1811"/>
    <cellStyle name="Total 2 8 2 4 3 2" xfId="4664"/>
    <cellStyle name="Total 2 8 2 4 3 2 2" xfId="23636"/>
    <cellStyle name="Total 2 8 2 4 3 2 3" xfId="34481"/>
    <cellStyle name="Total 2 8 2 4 3 2 4" xfId="14575"/>
    <cellStyle name="Total 2 8 2 4 3 3" xfId="7336"/>
    <cellStyle name="Total 2 8 2 4 3 3 2" xfId="26308"/>
    <cellStyle name="Total 2 8 2 4 3 3 3" xfId="37153"/>
    <cellStyle name="Total 2 8 2 4 3 3 4" xfId="16489"/>
    <cellStyle name="Total 2 8 2 4 3 4" xfId="9995"/>
    <cellStyle name="Total 2 8 2 4 3 4 2" xfId="28967"/>
    <cellStyle name="Total 2 8 2 4 3 4 3" xfId="39812"/>
    <cellStyle name="Total 2 8 2 4 3 4 4" xfId="18393"/>
    <cellStyle name="Total 2 8 2 4 3 5" xfId="20791"/>
    <cellStyle name="Total 2 8 2 4 3 6" xfId="31636"/>
    <cellStyle name="Total 2 8 2 4 3 7" xfId="12539"/>
    <cellStyle name="Total 2 8 2 4 4" xfId="2215"/>
    <cellStyle name="Total 2 8 2 4 4 2" xfId="5068"/>
    <cellStyle name="Total 2 8 2 4 4 2 2" xfId="24040"/>
    <cellStyle name="Total 2 8 2 4 4 2 3" xfId="34885"/>
    <cellStyle name="Total 2 8 2 4 4 2 4" xfId="14862"/>
    <cellStyle name="Total 2 8 2 4 4 3" xfId="7739"/>
    <cellStyle name="Total 2 8 2 4 4 3 2" xfId="26711"/>
    <cellStyle name="Total 2 8 2 4 4 3 3" xfId="37556"/>
    <cellStyle name="Total 2 8 2 4 4 3 4" xfId="16775"/>
    <cellStyle name="Total 2 8 2 4 4 4" xfId="10398"/>
    <cellStyle name="Total 2 8 2 4 4 4 2" xfId="29370"/>
    <cellStyle name="Total 2 8 2 4 4 4 3" xfId="40215"/>
    <cellStyle name="Total 2 8 2 4 4 4 4" xfId="18679"/>
    <cellStyle name="Total 2 8 2 4 4 5" xfId="21194"/>
    <cellStyle name="Total 2 8 2 4 4 6" xfId="32039"/>
    <cellStyle name="Total 2 8 2 4 4 7" xfId="12825"/>
    <cellStyle name="Total 2 8 2 4 5" xfId="2605"/>
    <cellStyle name="Total 2 8 2 4 5 2" xfId="5457"/>
    <cellStyle name="Total 2 8 2 4 5 2 2" xfId="24429"/>
    <cellStyle name="Total 2 8 2 4 5 2 3" xfId="35274"/>
    <cellStyle name="Total 2 8 2 4 5 2 4" xfId="15141"/>
    <cellStyle name="Total 2 8 2 4 5 3" xfId="8128"/>
    <cellStyle name="Total 2 8 2 4 5 3 2" xfId="27100"/>
    <cellStyle name="Total 2 8 2 4 5 3 3" xfId="37945"/>
    <cellStyle name="Total 2 8 2 4 5 3 4" xfId="17054"/>
    <cellStyle name="Total 2 8 2 4 5 4" xfId="10787"/>
    <cellStyle name="Total 2 8 2 4 5 4 2" xfId="29759"/>
    <cellStyle name="Total 2 8 2 4 5 4 3" xfId="40604"/>
    <cellStyle name="Total 2 8 2 4 5 4 4" xfId="18958"/>
    <cellStyle name="Total 2 8 2 4 5 5" xfId="21583"/>
    <cellStyle name="Total 2 8 2 4 5 6" xfId="32428"/>
    <cellStyle name="Total 2 8 2 4 5 7" xfId="13104"/>
    <cellStyle name="Total 2 8 2 4 6" xfId="2991"/>
    <cellStyle name="Total 2 8 2 4 6 2" xfId="5842"/>
    <cellStyle name="Total 2 8 2 4 6 2 2" xfId="24814"/>
    <cellStyle name="Total 2 8 2 4 6 2 3" xfId="35659"/>
    <cellStyle name="Total 2 8 2 4 6 2 4" xfId="15417"/>
    <cellStyle name="Total 2 8 2 4 6 3" xfId="8513"/>
    <cellStyle name="Total 2 8 2 4 6 3 2" xfId="27485"/>
    <cellStyle name="Total 2 8 2 4 6 3 3" xfId="38330"/>
    <cellStyle name="Total 2 8 2 4 6 3 4" xfId="17330"/>
    <cellStyle name="Total 2 8 2 4 6 4" xfId="11172"/>
    <cellStyle name="Total 2 8 2 4 6 4 2" xfId="30144"/>
    <cellStyle name="Total 2 8 2 4 6 4 3" xfId="40989"/>
    <cellStyle name="Total 2 8 2 4 6 4 4" xfId="19234"/>
    <cellStyle name="Total 2 8 2 4 6 5" xfId="21968"/>
    <cellStyle name="Total 2 8 2 4 6 6" xfId="32813"/>
    <cellStyle name="Total 2 8 2 4 6 7" xfId="13380"/>
    <cellStyle name="Total 2 8 2 4 7" xfId="3680"/>
    <cellStyle name="Total 2 8 2 4 7 2" xfId="22652"/>
    <cellStyle name="Total 2 8 2 4 7 3" xfId="33497"/>
    <cellStyle name="Total 2 8 2 4 7 4" xfId="13861"/>
    <cellStyle name="Total 2 8 2 4 8" xfId="6355"/>
    <cellStyle name="Total 2 8 2 4 8 2" xfId="25327"/>
    <cellStyle name="Total 2 8 2 4 8 3" xfId="36172"/>
    <cellStyle name="Total 2 8 2 4 8 4" xfId="15777"/>
    <cellStyle name="Total 2 8 2 4 9" xfId="9014"/>
    <cellStyle name="Total 2 8 2 4 9 2" xfId="27986"/>
    <cellStyle name="Total 2 8 2 4 9 3" xfId="38831"/>
    <cellStyle name="Total 2 8 2 4 9 4" xfId="17681"/>
    <cellStyle name="Total 2 8 2 5" xfId="884"/>
    <cellStyle name="Total 2 8 2 5 10" xfId="19869"/>
    <cellStyle name="Total 2 8 2 5 11" xfId="30714"/>
    <cellStyle name="Total 2 8 2 5 12" xfId="11866"/>
    <cellStyle name="Total 2 8 2 5 2" xfId="1471"/>
    <cellStyle name="Total 2 8 2 5 2 2" xfId="4324"/>
    <cellStyle name="Total 2 8 2 5 2 2 2" xfId="23296"/>
    <cellStyle name="Total 2 8 2 5 2 2 3" xfId="34141"/>
    <cellStyle name="Total 2 8 2 5 2 2 4" xfId="14327"/>
    <cellStyle name="Total 2 8 2 5 2 3" xfId="6997"/>
    <cellStyle name="Total 2 8 2 5 2 3 2" xfId="25969"/>
    <cellStyle name="Total 2 8 2 5 2 3 3" xfId="36814"/>
    <cellStyle name="Total 2 8 2 5 2 3 4" xfId="16242"/>
    <cellStyle name="Total 2 8 2 5 2 4" xfId="9656"/>
    <cellStyle name="Total 2 8 2 5 2 4 2" xfId="28628"/>
    <cellStyle name="Total 2 8 2 5 2 4 3" xfId="39473"/>
    <cellStyle name="Total 2 8 2 5 2 4 4" xfId="18146"/>
    <cellStyle name="Total 2 8 2 5 2 5" xfId="20452"/>
    <cellStyle name="Total 2 8 2 5 2 6" xfId="31297"/>
    <cellStyle name="Total 2 8 2 5 2 7" xfId="12292"/>
    <cellStyle name="Total 2 8 2 5 3" xfId="1870"/>
    <cellStyle name="Total 2 8 2 5 3 2" xfId="4723"/>
    <cellStyle name="Total 2 8 2 5 3 2 2" xfId="23695"/>
    <cellStyle name="Total 2 8 2 5 3 2 3" xfId="34540"/>
    <cellStyle name="Total 2 8 2 5 3 2 4" xfId="14614"/>
    <cellStyle name="Total 2 8 2 5 3 3" xfId="7395"/>
    <cellStyle name="Total 2 8 2 5 3 3 2" xfId="26367"/>
    <cellStyle name="Total 2 8 2 5 3 3 3" xfId="37212"/>
    <cellStyle name="Total 2 8 2 5 3 3 4" xfId="16528"/>
    <cellStyle name="Total 2 8 2 5 3 4" xfId="10054"/>
    <cellStyle name="Total 2 8 2 5 3 4 2" xfId="29026"/>
    <cellStyle name="Total 2 8 2 5 3 4 3" xfId="39871"/>
    <cellStyle name="Total 2 8 2 5 3 4 4" xfId="18432"/>
    <cellStyle name="Total 2 8 2 5 3 5" xfId="20850"/>
    <cellStyle name="Total 2 8 2 5 3 6" xfId="31695"/>
    <cellStyle name="Total 2 8 2 5 3 7" xfId="12578"/>
    <cellStyle name="Total 2 8 2 5 4" xfId="2274"/>
    <cellStyle name="Total 2 8 2 5 4 2" xfId="5127"/>
    <cellStyle name="Total 2 8 2 5 4 2 2" xfId="24099"/>
    <cellStyle name="Total 2 8 2 5 4 2 3" xfId="34944"/>
    <cellStyle name="Total 2 8 2 5 4 2 4" xfId="14901"/>
    <cellStyle name="Total 2 8 2 5 4 3" xfId="7798"/>
    <cellStyle name="Total 2 8 2 5 4 3 2" xfId="26770"/>
    <cellStyle name="Total 2 8 2 5 4 3 3" xfId="37615"/>
    <cellStyle name="Total 2 8 2 5 4 3 4" xfId="16814"/>
    <cellStyle name="Total 2 8 2 5 4 4" xfId="10457"/>
    <cellStyle name="Total 2 8 2 5 4 4 2" xfId="29429"/>
    <cellStyle name="Total 2 8 2 5 4 4 3" xfId="40274"/>
    <cellStyle name="Total 2 8 2 5 4 4 4" xfId="18718"/>
    <cellStyle name="Total 2 8 2 5 4 5" xfId="21253"/>
    <cellStyle name="Total 2 8 2 5 4 6" xfId="32098"/>
    <cellStyle name="Total 2 8 2 5 4 7" xfId="12864"/>
    <cellStyle name="Total 2 8 2 5 5" xfId="2664"/>
    <cellStyle name="Total 2 8 2 5 5 2" xfId="5516"/>
    <cellStyle name="Total 2 8 2 5 5 2 2" xfId="24488"/>
    <cellStyle name="Total 2 8 2 5 5 2 3" xfId="35333"/>
    <cellStyle name="Total 2 8 2 5 5 2 4" xfId="15180"/>
    <cellStyle name="Total 2 8 2 5 5 3" xfId="8187"/>
    <cellStyle name="Total 2 8 2 5 5 3 2" xfId="27159"/>
    <cellStyle name="Total 2 8 2 5 5 3 3" xfId="38004"/>
    <cellStyle name="Total 2 8 2 5 5 3 4" xfId="17093"/>
    <cellStyle name="Total 2 8 2 5 5 4" xfId="10846"/>
    <cellStyle name="Total 2 8 2 5 5 4 2" xfId="29818"/>
    <cellStyle name="Total 2 8 2 5 5 4 3" xfId="40663"/>
    <cellStyle name="Total 2 8 2 5 5 4 4" xfId="18997"/>
    <cellStyle name="Total 2 8 2 5 5 5" xfId="21642"/>
    <cellStyle name="Total 2 8 2 5 5 6" xfId="32487"/>
    <cellStyle name="Total 2 8 2 5 5 7" xfId="13143"/>
    <cellStyle name="Total 2 8 2 5 6" xfId="3050"/>
    <cellStyle name="Total 2 8 2 5 6 2" xfId="5901"/>
    <cellStyle name="Total 2 8 2 5 6 2 2" xfId="24873"/>
    <cellStyle name="Total 2 8 2 5 6 2 3" xfId="35718"/>
    <cellStyle name="Total 2 8 2 5 6 2 4" xfId="15456"/>
    <cellStyle name="Total 2 8 2 5 6 3" xfId="8572"/>
    <cellStyle name="Total 2 8 2 5 6 3 2" xfId="27544"/>
    <cellStyle name="Total 2 8 2 5 6 3 3" xfId="38389"/>
    <cellStyle name="Total 2 8 2 5 6 3 4" xfId="17369"/>
    <cellStyle name="Total 2 8 2 5 6 4" xfId="11231"/>
    <cellStyle name="Total 2 8 2 5 6 4 2" xfId="30203"/>
    <cellStyle name="Total 2 8 2 5 6 4 3" xfId="41048"/>
    <cellStyle name="Total 2 8 2 5 6 4 4" xfId="19273"/>
    <cellStyle name="Total 2 8 2 5 6 5" xfId="22027"/>
    <cellStyle name="Total 2 8 2 5 6 6" xfId="32872"/>
    <cellStyle name="Total 2 8 2 5 6 7" xfId="13419"/>
    <cellStyle name="Total 2 8 2 5 7" xfId="3739"/>
    <cellStyle name="Total 2 8 2 5 7 2" xfId="22711"/>
    <cellStyle name="Total 2 8 2 5 7 3" xfId="33556"/>
    <cellStyle name="Total 2 8 2 5 7 4" xfId="13900"/>
    <cellStyle name="Total 2 8 2 5 8" xfId="6414"/>
    <cellStyle name="Total 2 8 2 5 8 2" xfId="25386"/>
    <cellStyle name="Total 2 8 2 5 8 3" xfId="36231"/>
    <cellStyle name="Total 2 8 2 5 8 4" xfId="15816"/>
    <cellStyle name="Total 2 8 2 5 9" xfId="9073"/>
    <cellStyle name="Total 2 8 2 5 9 2" xfId="28045"/>
    <cellStyle name="Total 2 8 2 5 9 3" xfId="38890"/>
    <cellStyle name="Total 2 8 2 5 9 4" xfId="17720"/>
    <cellStyle name="Total 2 8 2 6" xfId="1106"/>
    <cellStyle name="Total 2 8 2 6 2" xfId="3959"/>
    <cellStyle name="Total 2 8 2 6 2 2" xfId="22931"/>
    <cellStyle name="Total 2 8 2 6 2 3" xfId="33776"/>
    <cellStyle name="Total 2 8 2 6 2 4" xfId="14062"/>
    <cellStyle name="Total 2 8 2 6 3" xfId="6633"/>
    <cellStyle name="Total 2 8 2 6 3 2" xfId="25605"/>
    <cellStyle name="Total 2 8 2 6 3 3" xfId="36450"/>
    <cellStyle name="Total 2 8 2 6 3 4" xfId="15978"/>
    <cellStyle name="Total 2 8 2 6 4" xfId="9292"/>
    <cellStyle name="Total 2 8 2 6 4 2" xfId="28264"/>
    <cellStyle name="Total 2 8 2 6 4 3" xfId="39109"/>
    <cellStyle name="Total 2 8 2 6 4 4" xfId="17882"/>
    <cellStyle name="Total 2 8 2 6 5" xfId="20088"/>
    <cellStyle name="Total 2 8 2 6 6" xfId="30933"/>
    <cellStyle name="Total 2 8 2 6 7" xfId="12028"/>
    <cellStyle name="Total 2 8 2 7" xfId="1506"/>
    <cellStyle name="Total 2 8 2 7 2" xfId="4359"/>
    <cellStyle name="Total 2 8 2 7 2 2" xfId="23331"/>
    <cellStyle name="Total 2 8 2 7 2 3" xfId="34176"/>
    <cellStyle name="Total 2 8 2 7 2 4" xfId="14352"/>
    <cellStyle name="Total 2 8 2 7 3" xfId="7032"/>
    <cellStyle name="Total 2 8 2 7 3 2" xfId="26004"/>
    <cellStyle name="Total 2 8 2 7 3 3" xfId="36849"/>
    <cellStyle name="Total 2 8 2 7 3 4" xfId="16267"/>
    <cellStyle name="Total 2 8 2 7 4" xfId="9691"/>
    <cellStyle name="Total 2 8 2 7 4 2" xfId="28663"/>
    <cellStyle name="Total 2 8 2 7 4 3" xfId="39508"/>
    <cellStyle name="Total 2 8 2 7 4 4" xfId="18171"/>
    <cellStyle name="Total 2 8 2 7 5" xfId="20487"/>
    <cellStyle name="Total 2 8 2 7 6" xfId="31332"/>
    <cellStyle name="Total 2 8 2 7 7" xfId="12317"/>
    <cellStyle name="Total 2 8 2 8" xfId="1914"/>
    <cellStyle name="Total 2 8 2 8 2" xfId="4767"/>
    <cellStyle name="Total 2 8 2 8 2 2" xfId="23739"/>
    <cellStyle name="Total 2 8 2 8 2 3" xfId="34584"/>
    <cellStyle name="Total 2 8 2 8 2 4" xfId="14643"/>
    <cellStyle name="Total 2 8 2 8 3" xfId="7439"/>
    <cellStyle name="Total 2 8 2 8 3 2" xfId="26411"/>
    <cellStyle name="Total 2 8 2 8 3 3" xfId="37256"/>
    <cellStyle name="Total 2 8 2 8 3 4" xfId="16557"/>
    <cellStyle name="Total 2 8 2 8 4" xfId="10098"/>
    <cellStyle name="Total 2 8 2 8 4 2" xfId="29070"/>
    <cellStyle name="Total 2 8 2 8 4 3" xfId="39915"/>
    <cellStyle name="Total 2 8 2 8 4 4" xfId="18461"/>
    <cellStyle name="Total 2 8 2 8 5" xfId="20894"/>
    <cellStyle name="Total 2 8 2 8 6" xfId="31739"/>
    <cellStyle name="Total 2 8 2 8 7" xfId="12607"/>
    <cellStyle name="Total 2 8 2 9" xfId="2308"/>
    <cellStyle name="Total 2 8 2 9 2" xfId="5161"/>
    <cellStyle name="Total 2 8 2 9 2 2" xfId="24133"/>
    <cellStyle name="Total 2 8 2 9 2 3" xfId="34978"/>
    <cellStyle name="Total 2 8 2 9 2 4" xfId="14925"/>
    <cellStyle name="Total 2 8 2 9 3" xfId="7832"/>
    <cellStyle name="Total 2 8 2 9 3 2" xfId="26804"/>
    <cellStyle name="Total 2 8 2 9 3 3" xfId="37649"/>
    <cellStyle name="Total 2 8 2 9 3 4" xfId="16838"/>
    <cellStyle name="Total 2 8 2 9 4" xfId="10491"/>
    <cellStyle name="Total 2 8 2 9 4 2" xfId="29463"/>
    <cellStyle name="Total 2 8 2 9 4 3" xfId="40308"/>
    <cellStyle name="Total 2 8 2 9 4 4" xfId="18742"/>
    <cellStyle name="Total 2 8 2 9 5" xfId="21287"/>
    <cellStyle name="Total 2 8 2 9 6" xfId="32132"/>
    <cellStyle name="Total 2 8 2 9 7" xfId="12888"/>
    <cellStyle name="Total 2 8 3" xfId="588"/>
    <cellStyle name="Total 2 8 3 10" xfId="19598"/>
    <cellStyle name="Total 2 8 3 11" xfId="30443"/>
    <cellStyle name="Total 2 8 3 12" xfId="11652"/>
    <cellStyle name="Total 2 8 3 2" xfId="1194"/>
    <cellStyle name="Total 2 8 3 2 2" xfId="4047"/>
    <cellStyle name="Total 2 8 3 2 2 2" xfId="23019"/>
    <cellStyle name="Total 2 8 3 2 2 3" xfId="33864"/>
    <cellStyle name="Total 2 8 3 2 2 4" xfId="14129"/>
    <cellStyle name="Total 2 8 3 2 3" xfId="6720"/>
    <cellStyle name="Total 2 8 3 2 3 2" xfId="25692"/>
    <cellStyle name="Total 2 8 3 2 3 3" xfId="36537"/>
    <cellStyle name="Total 2 8 3 2 3 4" xfId="16044"/>
    <cellStyle name="Total 2 8 3 2 4" xfId="9379"/>
    <cellStyle name="Total 2 8 3 2 4 2" xfId="28351"/>
    <cellStyle name="Total 2 8 3 2 4 3" xfId="39196"/>
    <cellStyle name="Total 2 8 3 2 4 4" xfId="17948"/>
    <cellStyle name="Total 2 8 3 2 5" xfId="20175"/>
    <cellStyle name="Total 2 8 3 2 6" xfId="31020"/>
    <cellStyle name="Total 2 8 3 2 7" xfId="12094"/>
    <cellStyle name="Total 2 8 3 3" xfId="1591"/>
    <cellStyle name="Total 2 8 3 3 2" xfId="4444"/>
    <cellStyle name="Total 2 8 3 3 2 2" xfId="23416"/>
    <cellStyle name="Total 2 8 3 3 2 3" xfId="34261"/>
    <cellStyle name="Total 2 8 3 3 2 4" xfId="14415"/>
    <cellStyle name="Total 2 8 3 3 3" xfId="7116"/>
    <cellStyle name="Total 2 8 3 3 3 2" xfId="26088"/>
    <cellStyle name="Total 2 8 3 3 3 3" xfId="36933"/>
    <cellStyle name="Total 2 8 3 3 3 4" xfId="16329"/>
    <cellStyle name="Total 2 8 3 3 4" xfId="9775"/>
    <cellStyle name="Total 2 8 3 3 4 2" xfId="28747"/>
    <cellStyle name="Total 2 8 3 3 4 3" xfId="39592"/>
    <cellStyle name="Total 2 8 3 3 4 4" xfId="18233"/>
    <cellStyle name="Total 2 8 3 3 5" xfId="20571"/>
    <cellStyle name="Total 2 8 3 3 6" xfId="31416"/>
    <cellStyle name="Total 2 8 3 3 7" xfId="12379"/>
    <cellStyle name="Total 2 8 3 4" xfId="1995"/>
    <cellStyle name="Total 2 8 3 4 2" xfId="4848"/>
    <cellStyle name="Total 2 8 3 4 2 2" xfId="23820"/>
    <cellStyle name="Total 2 8 3 4 2 3" xfId="34665"/>
    <cellStyle name="Total 2 8 3 4 2 4" xfId="14703"/>
    <cellStyle name="Total 2 8 3 4 3" xfId="7520"/>
    <cellStyle name="Total 2 8 3 4 3 2" xfId="26492"/>
    <cellStyle name="Total 2 8 3 4 3 3" xfId="37337"/>
    <cellStyle name="Total 2 8 3 4 3 4" xfId="16617"/>
    <cellStyle name="Total 2 8 3 4 4" xfId="10179"/>
    <cellStyle name="Total 2 8 3 4 4 2" xfId="29151"/>
    <cellStyle name="Total 2 8 3 4 4 3" xfId="39996"/>
    <cellStyle name="Total 2 8 3 4 4 4" xfId="18521"/>
    <cellStyle name="Total 2 8 3 4 5" xfId="20975"/>
    <cellStyle name="Total 2 8 3 4 6" xfId="31820"/>
    <cellStyle name="Total 2 8 3 4 7" xfId="12667"/>
    <cellStyle name="Total 2 8 3 5" xfId="2387"/>
    <cellStyle name="Total 2 8 3 5 2" xfId="5240"/>
    <cellStyle name="Total 2 8 3 5 2 2" xfId="24212"/>
    <cellStyle name="Total 2 8 3 5 2 3" xfId="35057"/>
    <cellStyle name="Total 2 8 3 5 2 4" xfId="14984"/>
    <cellStyle name="Total 2 8 3 5 3" xfId="7911"/>
    <cellStyle name="Total 2 8 3 5 3 2" xfId="26883"/>
    <cellStyle name="Total 2 8 3 5 3 3" xfId="37728"/>
    <cellStyle name="Total 2 8 3 5 3 4" xfId="16897"/>
    <cellStyle name="Total 2 8 3 5 4" xfId="10570"/>
    <cellStyle name="Total 2 8 3 5 4 2" xfId="29542"/>
    <cellStyle name="Total 2 8 3 5 4 3" xfId="40387"/>
    <cellStyle name="Total 2 8 3 5 4 4" xfId="18801"/>
    <cellStyle name="Total 2 8 3 5 5" xfId="21366"/>
    <cellStyle name="Total 2 8 3 5 6" xfId="32211"/>
    <cellStyle name="Total 2 8 3 5 7" xfId="12947"/>
    <cellStyle name="Total 2 8 3 6" xfId="2776"/>
    <cellStyle name="Total 2 8 3 6 2" xfId="5628"/>
    <cellStyle name="Total 2 8 3 6 2 2" xfId="24600"/>
    <cellStyle name="Total 2 8 3 6 2 3" xfId="35445"/>
    <cellStyle name="Total 2 8 3 6 2 4" xfId="15262"/>
    <cellStyle name="Total 2 8 3 6 3" xfId="8299"/>
    <cellStyle name="Total 2 8 3 6 3 2" xfId="27271"/>
    <cellStyle name="Total 2 8 3 6 3 3" xfId="38116"/>
    <cellStyle name="Total 2 8 3 6 3 4" xfId="17175"/>
    <cellStyle name="Total 2 8 3 6 4" xfId="10958"/>
    <cellStyle name="Total 2 8 3 6 4 2" xfId="29930"/>
    <cellStyle name="Total 2 8 3 6 4 3" xfId="40775"/>
    <cellStyle name="Total 2 8 3 6 4 4" xfId="19079"/>
    <cellStyle name="Total 2 8 3 6 5" xfId="21754"/>
    <cellStyle name="Total 2 8 3 6 6" xfId="32599"/>
    <cellStyle name="Total 2 8 3 6 7" xfId="13225"/>
    <cellStyle name="Total 2 8 3 7" xfId="3467"/>
    <cellStyle name="Total 2 8 3 7 2" xfId="22439"/>
    <cellStyle name="Total 2 8 3 7 3" xfId="33284"/>
    <cellStyle name="Total 2 8 3 7 4" xfId="13707"/>
    <cellStyle name="Total 2 8 3 8" xfId="6143"/>
    <cellStyle name="Total 2 8 3 8 2" xfId="25115"/>
    <cellStyle name="Total 2 8 3 8 3" xfId="35960"/>
    <cellStyle name="Total 2 8 3 8 4" xfId="15624"/>
    <cellStyle name="Total 2 8 3 9" xfId="8802"/>
    <cellStyle name="Total 2 8 3 9 2" xfId="27774"/>
    <cellStyle name="Total 2 8 3 9 3" xfId="38619"/>
    <cellStyle name="Total 2 8 3 9 4" xfId="17528"/>
    <cellStyle name="Total 2 8 4" xfId="11481"/>
    <cellStyle name="Total 2 9" xfId="399"/>
    <cellStyle name="Total 2 9 10" xfId="2690"/>
    <cellStyle name="Total 2 9 10 2" xfId="5542"/>
    <cellStyle name="Total 2 9 10 2 2" xfId="24514"/>
    <cellStyle name="Total 2 9 10 2 3" xfId="35359"/>
    <cellStyle name="Total 2 9 10 2 4" xfId="15196"/>
    <cellStyle name="Total 2 9 10 3" xfId="8213"/>
    <cellStyle name="Total 2 9 10 3 2" xfId="27185"/>
    <cellStyle name="Total 2 9 10 3 3" xfId="38030"/>
    <cellStyle name="Total 2 9 10 3 4" xfId="17109"/>
    <cellStyle name="Total 2 9 10 4" xfId="10872"/>
    <cellStyle name="Total 2 9 10 4 2" xfId="29844"/>
    <cellStyle name="Total 2 9 10 4 3" xfId="40689"/>
    <cellStyle name="Total 2 9 10 4 4" xfId="19013"/>
    <cellStyle name="Total 2 9 10 5" xfId="21668"/>
    <cellStyle name="Total 2 9 10 6" xfId="32513"/>
    <cellStyle name="Total 2 9 10 7" xfId="13159"/>
    <cellStyle name="Total 2 9 11" xfId="3076"/>
    <cellStyle name="Total 2 9 11 2" xfId="5927"/>
    <cellStyle name="Total 2 9 11 2 2" xfId="24899"/>
    <cellStyle name="Total 2 9 11 2 3" xfId="35744"/>
    <cellStyle name="Total 2 9 11 2 4" xfId="15472"/>
    <cellStyle name="Total 2 9 11 3" xfId="8598"/>
    <cellStyle name="Total 2 9 11 3 2" xfId="27570"/>
    <cellStyle name="Total 2 9 11 3 3" xfId="38415"/>
    <cellStyle name="Total 2 9 11 3 4" xfId="17385"/>
    <cellStyle name="Total 2 9 11 4" xfId="11257"/>
    <cellStyle name="Total 2 9 11 4 2" xfId="30229"/>
    <cellStyle name="Total 2 9 11 4 3" xfId="41074"/>
    <cellStyle name="Total 2 9 11 4 4" xfId="19289"/>
    <cellStyle name="Total 2 9 11 5" xfId="22053"/>
    <cellStyle name="Total 2 9 11 6" xfId="32898"/>
    <cellStyle name="Total 2 9 11 7" xfId="13435"/>
    <cellStyle name="Total 2 9 12" xfId="3133"/>
    <cellStyle name="Total 2 9 12 2" xfId="5984"/>
    <cellStyle name="Total 2 9 12 2 2" xfId="24956"/>
    <cellStyle name="Total 2 9 12 2 3" xfId="35801"/>
    <cellStyle name="Total 2 9 12 2 4" xfId="15509"/>
    <cellStyle name="Total 2 9 12 3" xfId="8655"/>
    <cellStyle name="Total 2 9 12 3 2" xfId="27627"/>
    <cellStyle name="Total 2 9 12 3 3" xfId="38472"/>
    <cellStyle name="Total 2 9 12 3 4" xfId="17422"/>
    <cellStyle name="Total 2 9 12 4" xfId="11314"/>
    <cellStyle name="Total 2 9 12 4 2" xfId="30286"/>
    <cellStyle name="Total 2 9 12 4 3" xfId="41131"/>
    <cellStyle name="Total 2 9 12 4 4" xfId="19326"/>
    <cellStyle name="Total 2 9 12 5" xfId="22110"/>
    <cellStyle name="Total 2 9 12 6" xfId="32955"/>
    <cellStyle name="Total 2 9 12 7" xfId="13472"/>
    <cellStyle name="Total 2 9 13" xfId="3190"/>
    <cellStyle name="Total 2 9 13 2" xfId="6041"/>
    <cellStyle name="Total 2 9 13 2 2" xfId="25013"/>
    <cellStyle name="Total 2 9 13 2 3" xfId="35858"/>
    <cellStyle name="Total 2 9 13 2 4" xfId="15546"/>
    <cellStyle name="Total 2 9 13 3" xfId="8712"/>
    <cellStyle name="Total 2 9 13 3 2" xfId="27684"/>
    <cellStyle name="Total 2 9 13 3 3" xfId="38529"/>
    <cellStyle name="Total 2 9 13 3 4" xfId="17459"/>
    <cellStyle name="Total 2 9 13 4" xfId="11371"/>
    <cellStyle name="Total 2 9 13 4 2" xfId="30343"/>
    <cellStyle name="Total 2 9 13 4 3" xfId="41188"/>
    <cellStyle name="Total 2 9 13 4 4" xfId="19363"/>
    <cellStyle name="Total 2 9 13 5" xfId="22167"/>
    <cellStyle name="Total 2 9 13 6" xfId="33012"/>
    <cellStyle name="Total 2 9 13 7" xfId="13509"/>
    <cellStyle name="Total 2 9 14" xfId="3357"/>
    <cellStyle name="Total 2 9 14 2" xfId="22331"/>
    <cellStyle name="Total 2 9 14 3" xfId="33176"/>
    <cellStyle name="Total 2 9 14 4" xfId="13626"/>
    <cellStyle name="Total 2 9 15" xfId="3219"/>
    <cellStyle name="Total 2 9 15 2" xfId="22196"/>
    <cellStyle name="Total 2 9 15 3" xfId="33041"/>
    <cellStyle name="Total 2 9 15 4" xfId="13527"/>
    <cellStyle name="Total 2 9 16" xfId="497"/>
    <cellStyle name="Total 2 9 16 2" xfId="19530"/>
    <cellStyle name="Total 2 9 16 3" xfId="30375"/>
    <cellStyle name="Total 2 9 16 4" xfId="11576"/>
    <cellStyle name="Total 2 9 17" xfId="19487"/>
    <cellStyle name="Total 2 9 18" xfId="19414"/>
    <cellStyle name="Total 2 9 19" xfId="11536"/>
    <cellStyle name="Total 2 9 2" xfId="698"/>
    <cellStyle name="Total 2 9 2 10" xfId="19683"/>
    <cellStyle name="Total 2 9 2 11" xfId="30528"/>
    <cellStyle name="Total 2 9 2 12" xfId="11740"/>
    <cellStyle name="Total 2 9 2 2" xfId="1285"/>
    <cellStyle name="Total 2 9 2 2 2" xfId="4138"/>
    <cellStyle name="Total 2 9 2 2 2 2" xfId="23110"/>
    <cellStyle name="Total 2 9 2 2 2 3" xfId="33955"/>
    <cellStyle name="Total 2 9 2 2 2 4" xfId="14201"/>
    <cellStyle name="Total 2 9 2 2 3" xfId="6811"/>
    <cellStyle name="Total 2 9 2 2 3 2" xfId="25783"/>
    <cellStyle name="Total 2 9 2 2 3 3" xfId="36628"/>
    <cellStyle name="Total 2 9 2 2 3 4" xfId="16116"/>
    <cellStyle name="Total 2 9 2 2 4" xfId="9470"/>
    <cellStyle name="Total 2 9 2 2 4 2" xfId="28442"/>
    <cellStyle name="Total 2 9 2 2 4 3" xfId="39287"/>
    <cellStyle name="Total 2 9 2 2 4 4" xfId="18020"/>
    <cellStyle name="Total 2 9 2 2 5" xfId="20266"/>
    <cellStyle name="Total 2 9 2 2 6" xfId="31111"/>
    <cellStyle name="Total 2 9 2 2 7" xfId="12166"/>
    <cellStyle name="Total 2 9 2 3" xfId="1684"/>
    <cellStyle name="Total 2 9 2 3 2" xfId="4537"/>
    <cellStyle name="Total 2 9 2 3 2 2" xfId="23509"/>
    <cellStyle name="Total 2 9 2 3 2 3" xfId="34354"/>
    <cellStyle name="Total 2 9 2 3 2 4" xfId="14488"/>
    <cellStyle name="Total 2 9 2 3 3" xfId="7209"/>
    <cellStyle name="Total 2 9 2 3 3 2" xfId="26181"/>
    <cellStyle name="Total 2 9 2 3 3 3" xfId="37026"/>
    <cellStyle name="Total 2 9 2 3 3 4" xfId="16402"/>
    <cellStyle name="Total 2 9 2 3 4" xfId="9868"/>
    <cellStyle name="Total 2 9 2 3 4 2" xfId="28840"/>
    <cellStyle name="Total 2 9 2 3 4 3" xfId="39685"/>
    <cellStyle name="Total 2 9 2 3 4 4" xfId="18306"/>
    <cellStyle name="Total 2 9 2 3 5" xfId="20664"/>
    <cellStyle name="Total 2 9 2 3 6" xfId="31509"/>
    <cellStyle name="Total 2 9 2 3 7" xfId="12452"/>
    <cellStyle name="Total 2 9 2 4" xfId="2088"/>
    <cellStyle name="Total 2 9 2 4 2" xfId="4941"/>
    <cellStyle name="Total 2 9 2 4 2 2" xfId="23913"/>
    <cellStyle name="Total 2 9 2 4 2 3" xfId="34758"/>
    <cellStyle name="Total 2 9 2 4 2 4" xfId="14775"/>
    <cellStyle name="Total 2 9 2 4 3" xfId="7612"/>
    <cellStyle name="Total 2 9 2 4 3 2" xfId="26584"/>
    <cellStyle name="Total 2 9 2 4 3 3" xfId="37429"/>
    <cellStyle name="Total 2 9 2 4 3 4" xfId="16688"/>
    <cellStyle name="Total 2 9 2 4 4" xfId="10271"/>
    <cellStyle name="Total 2 9 2 4 4 2" xfId="29243"/>
    <cellStyle name="Total 2 9 2 4 4 3" xfId="40088"/>
    <cellStyle name="Total 2 9 2 4 4 4" xfId="18592"/>
    <cellStyle name="Total 2 9 2 4 5" xfId="21067"/>
    <cellStyle name="Total 2 9 2 4 6" xfId="31912"/>
    <cellStyle name="Total 2 9 2 4 7" xfId="12738"/>
    <cellStyle name="Total 2 9 2 5" xfId="2478"/>
    <cellStyle name="Total 2 9 2 5 2" xfId="5330"/>
    <cellStyle name="Total 2 9 2 5 2 2" xfId="24302"/>
    <cellStyle name="Total 2 9 2 5 2 3" xfId="35147"/>
    <cellStyle name="Total 2 9 2 5 2 4" xfId="15054"/>
    <cellStyle name="Total 2 9 2 5 3" xfId="8001"/>
    <cellStyle name="Total 2 9 2 5 3 2" xfId="26973"/>
    <cellStyle name="Total 2 9 2 5 3 3" xfId="37818"/>
    <cellStyle name="Total 2 9 2 5 3 4" xfId="16967"/>
    <cellStyle name="Total 2 9 2 5 4" xfId="10660"/>
    <cellStyle name="Total 2 9 2 5 4 2" xfId="29632"/>
    <cellStyle name="Total 2 9 2 5 4 3" xfId="40477"/>
    <cellStyle name="Total 2 9 2 5 4 4" xfId="18871"/>
    <cellStyle name="Total 2 9 2 5 5" xfId="21456"/>
    <cellStyle name="Total 2 9 2 5 6" xfId="32301"/>
    <cellStyle name="Total 2 9 2 5 7" xfId="13017"/>
    <cellStyle name="Total 2 9 2 6" xfId="2864"/>
    <cellStyle name="Total 2 9 2 6 2" xfId="5715"/>
    <cellStyle name="Total 2 9 2 6 2 2" xfId="24687"/>
    <cellStyle name="Total 2 9 2 6 2 3" xfId="35532"/>
    <cellStyle name="Total 2 9 2 6 2 4" xfId="15330"/>
    <cellStyle name="Total 2 9 2 6 3" xfId="8386"/>
    <cellStyle name="Total 2 9 2 6 3 2" xfId="27358"/>
    <cellStyle name="Total 2 9 2 6 3 3" xfId="38203"/>
    <cellStyle name="Total 2 9 2 6 3 4" xfId="17243"/>
    <cellStyle name="Total 2 9 2 6 4" xfId="11045"/>
    <cellStyle name="Total 2 9 2 6 4 2" xfId="30017"/>
    <cellStyle name="Total 2 9 2 6 4 3" xfId="40862"/>
    <cellStyle name="Total 2 9 2 6 4 4" xfId="19147"/>
    <cellStyle name="Total 2 9 2 6 5" xfId="21841"/>
    <cellStyle name="Total 2 9 2 6 6" xfId="32686"/>
    <cellStyle name="Total 2 9 2 6 7" xfId="13293"/>
    <cellStyle name="Total 2 9 2 7" xfId="3553"/>
    <cellStyle name="Total 2 9 2 7 2" xfId="22525"/>
    <cellStyle name="Total 2 9 2 7 3" xfId="33370"/>
    <cellStyle name="Total 2 9 2 7 4" xfId="13774"/>
    <cellStyle name="Total 2 9 2 8" xfId="6228"/>
    <cellStyle name="Total 2 9 2 8 2" xfId="25200"/>
    <cellStyle name="Total 2 9 2 8 3" xfId="36045"/>
    <cellStyle name="Total 2 9 2 8 4" xfId="15690"/>
    <cellStyle name="Total 2 9 2 9" xfId="8887"/>
    <cellStyle name="Total 2 9 2 9 2" xfId="27859"/>
    <cellStyle name="Total 2 9 2 9 3" xfId="38704"/>
    <cellStyle name="Total 2 9 2 9 4" xfId="17594"/>
    <cellStyle name="Total 2 9 3" xfId="758"/>
    <cellStyle name="Total 2 9 3 10" xfId="19743"/>
    <cellStyle name="Total 2 9 3 11" xfId="30588"/>
    <cellStyle name="Total 2 9 3 12" xfId="11780"/>
    <cellStyle name="Total 2 9 3 2" xfId="1345"/>
    <cellStyle name="Total 2 9 3 2 2" xfId="4198"/>
    <cellStyle name="Total 2 9 3 2 2 2" xfId="23170"/>
    <cellStyle name="Total 2 9 3 2 2 3" xfId="34015"/>
    <cellStyle name="Total 2 9 3 2 2 4" xfId="14241"/>
    <cellStyle name="Total 2 9 3 2 3" xfId="6871"/>
    <cellStyle name="Total 2 9 3 2 3 2" xfId="25843"/>
    <cellStyle name="Total 2 9 3 2 3 3" xfId="36688"/>
    <cellStyle name="Total 2 9 3 2 3 4" xfId="16156"/>
    <cellStyle name="Total 2 9 3 2 4" xfId="9530"/>
    <cellStyle name="Total 2 9 3 2 4 2" xfId="28502"/>
    <cellStyle name="Total 2 9 3 2 4 3" xfId="39347"/>
    <cellStyle name="Total 2 9 3 2 4 4" xfId="18060"/>
    <cellStyle name="Total 2 9 3 2 5" xfId="20326"/>
    <cellStyle name="Total 2 9 3 2 6" xfId="31171"/>
    <cellStyle name="Total 2 9 3 2 7" xfId="12206"/>
    <cellStyle name="Total 2 9 3 3" xfId="1744"/>
    <cellStyle name="Total 2 9 3 3 2" xfId="4597"/>
    <cellStyle name="Total 2 9 3 3 2 2" xfId="23569"/>
    <cellStyle name="Total 2 9 3 3 2 3" xfId="34414"/>
    <cellStyle name="Total 2 9 3 3 2 4" xfId="14528"/>
    <cellStyle name="Total 2 9 3 3 3" xfId="7269"/>
    <cellStyle name="Total 2 9 3 3 3 2" xfId="26241"/>
    <cellStyle name="Total 2 9 3 3 3 3" xfId="37086"/>
    <cellStyle name="Total 2 9 3 3 3 4" xfId="16442"/>
    <cellStyle name="Total 2 9 3 3 4" xfId="9928"/>
    <cellStyle name="Total 2 9 3 3 4 2" xfId="28900"/>
    <cellStyle name="Total 2 9 3 3 4 3" xfId="39745"/>
    <cellStyle name="Total 2 9 3 3 4 4" xfId="18346"/>
    <cellStyle name="Total 2 9 3 3 5" xfId="20724"/>
    <cellStyle name="Total 2 9 3 3 6" xfId="31569"/>
    <cellStyle name="Total 2 9 3 3 7" xfId="12492"/>
    <cellStyle name="Total 2 9 3 4" xfId="2148"/>
    <cellStyle name="Total 2 9 3 4 2" xfId="5001"/>
    <cellStyle name="Total 2 9 3 4 2 2" xfId="23973"/>
    <cellStyle name="Total 2 9 3 4 2 3" xfId="34818"/>
    <cellStyle name="Total 2 9 3 4 2 4" xfId="14815"/>
    <cellStyle name="Total 2 9 3 4 3" xfId="7672"/>
    <cellStyle name="Total 2 9 3 4 3 2" xfId="26644"/>
    <cellStyle name="Total 2 9 3 4 3 3" xfId="37489"/>
    <cellStyle name="Total 2 9 3 4 3 4" xfId="16728"/>
    <cellStyle name="Total 2 9 3 4 4" xfId="10331"/>
    <cellStyle name="Total 2 9 3 4 4 2" xfId="29303"/>
    <cellStyle name="Total 2 9 3 4 4 3" xfId="40148"/>
    <cellStyle name="Total 2 9 3 4 4 4" xfId="18632"/>
    <cellStyle name="Total 2 9 3 4 5" xfId="21127"/>
    <cellStyle name="Total 2 9 3 4 6" xfId="31972"/>
    <cellStyle name="Total 2 9 3 4 7" xfId="12778"/>
    <cellStyle name="Total 2 9 3 5" xfId="2538"/>
    <cellStyle name="Total 2 9 3 5 2" xfId="5390"/>
    <cellStyle name="Total 2 9 3 5 2 2" xfId="24362"/>
    <cellStyle name="Total 2 9 3 5 2 3" xfId="35207"/>
    <cellStyle name="Total 2 9 3 5 2 4" xfId="15094"/>
    <cellStyle name="Total 2 9 3 5 3" xfId="8061"/>
    <cellStyle name="Total 2 9 3 5 3 2" xfId="27033"/>
    <cellStyle name="Total 2 9 3 5 3 3" xfId="37878"/>
    <cellStyle name="Total 2 9 3 5 3 4" xfId="17007"/>
    <cellStyle name="Total 2 9 3 5 4" xfId="10720"/>
    <cellStyle name="Total 2 9 3 5 4 2" xfId="29692"/>
    <cellStyle name="Total 2 9 3 5 4 3" xfId="40537"/>
    <cellStyle name="Total 2 9 3 5 4 4" xfId="18911"/>
    <cellStyle name="Total 2 9 3 5 5" xfId="21516"/>
    <cellStyle name="Total 2 9 3 5 6" xfId="32361"/>
    <cellStyle name="Total 2 9 3 5 7" xfId="13057"/>
    <cellStyle name="Total 2 9 3 6" xfId="2924"/>
    <cellStyle name="Total 2 9 3 6 2" xfId="5775"/>
    <cellStyle name="Total 2 9 3 6 2 2" xfId="24747"/>
    <cellStyle name="Total 2 9 3 6 2 3" xfId="35592"/>
    <cellStyle name="Total 2 9 3 6 2 4" xfId="15370"/>
    <cellStyle name="Total 2 9 3 6 3" xfId="8446"/>
    <cellStyle name="Total 2 9 3 6 3 2" xfId="27418"/>
    <cellStyle name="Total 2 9 3 6 3 3" xfId="38263"/>
    <cellStyle name="Total 2 9 3 6 3 4" xfId="17283"/>
    <cellStyle name="Total 2 9 3 6 4" xfId="11105"/>
    <cellStyle name="Total 2 9 3 6 4 2" xfId="30077"/>
    <cellStyle name="Total 2 9 3 6 4 3" xfId="40922"/>
    <cellStyle name="Total 2 9 3 6 4 4" xfId="19187"/>
    <cellStyle name="Total 2 9 3 6 5" xfId="21901"/>
    <cellStyle name="Total 2 9 3 6 6" xfId="32746"/>
    <cellStyle name="Total 2 9 3 6 7" xfId="13333"/>
    <cellStyle name="Total 2 9 3 7" xfId="3613"/>
    <cellStyle name="Total 2 9 3 7 2" xfId="22585"/>
    <cellStyle name="Total 2 9 3 7 3" xfId="33430"/>
    <cellStyle name="Total 2 9 3 7 4" xfId="13814"/>
    <cellStyle name="Total 2 9 3 8" xfId="6288"/>
    <cellStyle name="Total 2 9 3 8 2" xfId="25260"/>
    <cellStyle name="Total 2 9 3 8 3" xfId="36105"/>
    <cellStyle name="Total 2 9 3 8 4" xfId="15730"/>
    <cellStyle name="Total 2 9 3 9" xfId="8947"/>
    <cellStyle name="Total 2 9 3 9 2" xfId="27919"/>
    <cellStyle name="Total 2 9 3 9 3" xfId="38764"/>
    <cellStyle name="Total 2 9 3 9 4" xfId="17634"/>
    <cellStyle name="Total 2 9 4" xfId="818"/>
    <cellStyle name="Total 2 9 4 10" xfId="19803"/>
    <cellStyle name="Total 2 9 4 11" xfId="30648"/>
    <cellStyle name="Total 2 9 4 12" xfId="11820"/>
    <cellStyle name="Total 2 9 4 2" xfId="1405"/>
    <cellStyle name="Total 2 9 4 2 2" xfId="4258"/>
    <cellStyle name="Total 2 9 4 2 2 2" xfId="23230"/>
    <cellStyle name="Total 2 9 4 2 2 3" xfId="34075"/>
    <cellStyle name="Total 2 9 4 2 2 4" xfId="14281"/>
    <cellStyle name="Total 2 9 4 2 3" xfId="6931"/>
    <cellStyle name="Total 2 9 4 2 3 2" xfId="25903"/>
    <cellStyle name="Total 2 9 4 2 3 3" xfId="36748"/>
    <cellStyle name="Total 2 9 4 2 3 4" xfId="16196"/>
    <cellStyle name="Total 2 9 4 2 4" xfId="9590"/>
    <cellStyle name="Total 2 9 4 2 4 2" xfId="28562"/>
    <cellStyle name="Total 2 9 4 2 4 3" xfId="39407"/>
    <cellStyle name="Total 2 9 4 2 4 4" xfId="18100"/>
    <cellStyle name="Total 2 9 4 2 5" xfId="20386"/>
    <cellStyle name="Total 2 9 4 2 6" xfId="31231"/>
    <cellStyle name="Total 2 9 4 2 7" xfId="12246"/>
    <cellStyle name="Total 2 9 4 3" xfId="1804"/>
    <cellStyle name="Total 2 9 4 3 2" xfId="4657"/>
    <cellStyle name="Total 2 9 4 3 2 2" xfId="23629"/>
    <cellStyle name="Total 2 9 4 3 2 3" xfId="34474"/>
    <cellStyle name="Total 2 9 4 3 2 4" xfId="14568"/>
    <cellStyle name="Total 2 9 4 3 3" xfId="7329"/>
    <cellStyle name="Total 2 9 4 3 3 2" xfId="26301"/>
    <cellStyle name="Total 2 9 4 3 3 3" xfId="37146"/>
    <cellStyle name="Total 2 9 4 3 3 4" xfId="16482"/>
    <cellStyle name="Total 2 9 4 3 4" xfId="9988"/>
    <cellStyle name="Total 2 9 4 3 4 2" xfId="28960"/>
    <cellStyle name="Total 2 9 4 3 4 3" xfId="39805"/>
    <cellStyle name="Total 2 9 4 3 4 4" xfId="18386"/>
    <cellStyle name="Total 2 9 4 3 5" xfId="20784"/>
    <cellStyle name="Total 2 9 4 3 6" xfId="31629"/>
    <cellStyle name="Total 2 9 4 3 7" xfId="12532"/>
    <cellStyle name="Total 2 9 4 4" xfId="2208"/>
    <cellStyle name="Total 2 9 4 4 2" xfId="5061"/>
    <cellStyle name="Total 2 9 4 4 2 2" xfId="24033"/>
    <cellStyle name="Total 2 9 4 4 2 3" xfId="34878"/>
    <cellStyle name="Total 2 9 4 4 2 4" xfId="14855"/>
    <cellStyle name="Total 2 9 4 4 3" xfId="7732"/>
    <cellStyle name="Total 2 9 4 4 3 2" xfId="26704"/>
    <cellStyle name="Total 2 9 4 4 3 3" xfId="37549"/>
    <cellStyle name="Total 2 9 4 4 3 4" xfId="16768"/>
    <cellStyle name="Total 2 9 4 4 4" xfId="10391"/>
    <cellStyle name="Total 2 9 4 4 4 2" xfId="29363"/>
    <cellStyle name="Total 2 9 4 4 4 3" xfId="40208"/>
    <cellStyle name="Total 2 9 4 4 4 4" xfId="18672"/>
    <cellStyle name="Total 2 9 4 4 5" xfId="21187"/>
    <cellStyle name="Total 2 9 4 4 6" xfId="32032"/>
    <cellStyle name="Total 2 9 4 4 7" xfId="12818"/>
    <cellStyle name="Total 2 9 4 5" xfId="2598"/>
    <cellStyle name="Total 2 9 4 5 2" xfId="5450"/>
    <cellStyle name="Total 2 9 4 5 2 2" xfId="24422"/>
    <cellStyle name="Total 2 9 4 5 2 3" xfId="35267"/>
    <cellStyle name="Total 2 9 4 5 2 4" xfId="15134"/>
    <cellStyle name="Total 2 9 4 5 3" xfId="8121"/>
    <cellStyle name="Total 2 9 4 5 3 2" xfId="27093"/>
    <cellStyle name="Total 2 9 4 5 3 3" xfId="37938"/>
    <cellStyle name="Total 2 9 4 5 3 4" xfId="17047"/>
    <cellStyle name="Total 2 9 4 5 4" xfId="10780"/>
    <cellStyle name="Total 2 9 4 5 4 2" xfId="29752"/>
    <cellStyle name="Total 2 9 4 5 4 3" xfId="40597"/>
    <cellStyle name="Total 2 9 4 5 4 4" xfId="18951"/>
    <cellStyle name="Total 2 9 4 5 5" xfId="21576"/>
    <cellStyle name="Total 2 9 4 5 6" xfId="32421"/>
    <cellStyle name="Total 2 9 4 5 7" xfId="13097"/>
    <cellStyle name="Total 2 9 4 6" xfId="2984"/>
    <cellStyle name="Total 2 9 4 6 2" xfId="5835"/>
    <cellStyle name="Total 2 9 4 6 2 2" xfId="24807"/>
    <cellStyle name="Total 2 9 4 6 2 3" xfId="35652"/>
    <cellStyle name="Total 2 9 4 6 2 4" xfId="15410"/>
    <cellStyle name="Total 2 9 4 6 3" xfId="8506"/>
    <cellStyle name="Total 2 9 4 6 3 2" xfId="27478"/>
    <cellStyle name="Total 2 9 4 6 3 3" xfId="38323"/>
    <cellStyle name="Total 2 9 4 6 3 4" xfId="17323"/>
    <cellStyle name="Total 2 9 4 6 4" xfId="11165"/>
    <cellStyle name="Total 2 9 4 6 4 2" xfId="30137"/>
    <cellStyle name="Total 2 9 4 6 4 3" xfId="40982"/>
    <cellStyle name="Total 2 9 4 6 4 4" xfId="19227"/>
    <cellStyle name="Total 2 9 4 6 5" xfId="21961"/>
    <cellStyle name="Total 2 9 4 6 6" xfId="32806"/>
    <cellStyle name="Total 2 9 4 6 7" xfId="13373"/>
    <cellStyle name="Total 2 9 4 7" xfId="3673"/>
    <cellStyle name="Total 2 9 4 7 2" xfId="22645"/>
    <cellStyle name="Total 2 9 4 7 3" xfId="33490"/>
    <cellStyle name="Total 2 9 4 7 4" xfId="13854"/>
    <cellStyle name="Total 2 9 4 8" xfId="6348"/>
    <cellStyle name="Total 2 9 4 8 2" xfId="25320"/>
    <cellStyle name="Total 2 9 4 8 3" xfId="36165"/>
    <cellStyle name="Total 2 9 4 8 4" xfId="15770"/>
    <cellStyle name="Total 2 9 4 9" xfId="9007"/>
    <cellStyle name="Total 2 9 4 9 2" xfId="27979"/>
    <cellStyle name="Total 2 9 4 9 3" xfId="38824"/>
    <cellStyle name="Total 2 9 4 9 4" xfId="17674"/>
    <cellStyle name="Total 2 9 5" xfId="877"/>
    <cellStyle name="Total 2 9 5 10" xfId="19862"/>
    <cellStyle name="Total 2 9 5 11" xfId="30707"/>
    <cellStyle name="Total 2 9 5 12" xfId="11859"/>
    <cellStyle name="Total 2 9 5 2" xfId="1464"/>
    <cellStyle name="Total 2 9 5 2 2" xfId="4317"/>
    <cellStyle name="Total 2 9 5 2 2 2" xfId="23289"/>
    <cellStyle name="Total 2 9 5 2 2 3" xfId="34134"/>
    <cellStyle name="Total 2 9 5 2 2 4" xfId="14320"/>
    <cellStyle name="Total 2 9 5 2 3" xfId="6990"/>
    <cellStyle name="Total 2 9 5 2 3 2" xfId="25962"/>
    <cellStyle name="Total 2 9 5 2 3 3" xfId="36807"/>
    <cellStyle name="Total 2 9 5 2 3 4" xfId="16235"/>
    <cellStyle name="Total 2 9 5 2 4" xfId="9649"/>
    <cellStyle name="Total 2 9 5 2 4 2" xfId="28621"/>
    <cellStyle name="Total 2 9 5 2 4 3" xfId="39466"/>
    <cellStyle name="Total 2 9 5 2 4 4" xfId="18139"/>
    <cellStyle name="Total 2 9 5 2 5" xfId="20445"/>
    <cellStyle name="Total 2 9 5 2 6" xfId="31290"/>
    <cellStyle name="Total 2 9 5 2 7" xfId="12285"/>
    <cellStyle name="Total 2 9 5 3" xfId="1863"/>
    <cellStyle name="Total 2 9 5 3 2" xfId="4716"/>
    <cellStyle name="Total 2 9 5 3 2 2" xfId="23688"/>
    <cellStyle name="Total 2 9 5 3 2 3" xfId="34533"/>
    <cellStyle name="Total 2 9 5 3 2 4" xfId="14607"/>
    <cellStyle name="Total 2 9 5 3 3" xfId="7388"/>
    <cellStyle name="Total 2 9 5 3 3 2" xfId="26360"/>
    <cellStyle name="Total 2 9 5 3 3 3" xfId="37205"/>
    <cellStyle name="Total 2 9 5 3 3 4" xfId="16521"/>
    <cellStyle name="Total 2 9 5 3 4" xfId="10047"/>
    <cellStyle name="Total 2 9 5 3 4 2" xfId="29019"/>
    <cellStyle name="Total 2 9 5 3 4 3" xfId="39864"/>
    <cellStyle name="Total 2 9 5 3 4 4" xfId="18425"/>
    <cellStyle name="Total 2 9 5 3 5" xfId="20843"/>
    <cellStyle name="Total 2 9 5 3 6" xfId="31688"/>
    <cellStyle name="Total 2 9 5 3 7" xfId="12571"/>
    <cellStyle name="Total 2 9 5 4" xfId="2267"/>
    <cellStyle name="Total 2 9 5 4 2" xfId="5120"/>
    <cellStyle name="Total 2 9 5 4 2 2" xfId="24092"/>
    <cellStyle name="Total 2 9 5 4 2 3" xfId="34937"/>
    <cellStyle name="Total 2 9 5 4 2 4" xfId="14894"/>
    <cellStyle name="Total 2 9 5 4 3" xfId="7791"/>
    <cellStyle name="Total 2 9 5 4 3 2" xfId="26763"/>
    <cellStyle name="Total 2 9 5 4 3 3" xfId="37608"/>
    <cellStyle name="Total 2 9 5 4 3 4" xfId="16807"/>
    <cellStyle name="Total 2 9 5 4 4" xfId="10450"/>
    <cellStyle name="Total 2 9 5 4 4 2" xfId="29422"/>
    <cellStyle name="Total 2 9 5 4 4 3" xfId="40267"/>
    <cellStyle name="Total 2 9 5 4 4 4" xfId="18711"/>
    <cellStyle name="Total 2 9 5 4 5" xfId="21246"/>
    <cellStyle name="Total 2 9 5 4 6" xfId="32091"/>
    <cellStyle name="Total 2 9 5 4 7" xfId="12857"/>
    <cellStyle name="Total 2 9 5 5" xfId="2657"/>
    <cellStyle name="Total 2 9 5 5 2" xfId="5509"/>
    <cellStyle name="Total 2 9 5 5 2 2" xfId="24481"/>
    <cellStyle name="Total 2 9 5 5 2 3" xfId="35326"/>
    <cellStyle name="Total 2 9 5 5 2 4" xfId="15173"/>
    <cellStyle name="Total 2 9 5 5 3" xfId="8180"/>
    <cellStyle name="Total 2 9 5 5 3 2" xfId="27152"/>
    <cellStyle name="Total 2 9 5 5 3 3" xfId="37997"/>
    <cellStyle name="Total 2 9 5 5 3 4" xfId="17086"/>
    <cellStyle name="Total 2 9 5 5 4" xfId="10839"/>
    <cellStyle name="Total 2 9 5 5 4 2" xfId="29811"/>
    <cellStyle name="Total 2 9 5 5 4 3" xfId="40656"/>
    <cellStyle name="Total 2 9 5 5 4 4" xfId="18990"/>
    <cellStyle name="Total 2 9 5 5 5" xfId="21635"/>
    <cellStyle name="Total 2 9 5 5 6" xfId="32480"/>
    <cellStyle name="Total 2 9 5 5 7" xfId="13136"/>
    <cellStyle name="Total 2 9 5 6" xfId="3043"/>
    <cellStyle name="Total 2 9 5 6 2" xfId="5894"/>
    <cellStyle name="Total 2 9 5 6 2 2" xfId="24866"/>
    <cellStyle name="Total 2 9 5 6 2 3" xfId="35711"/>
    <cellStyle name="Total 2 9 5 6 2 4" xfId="15449"/>
    <cellStyle name="Total 2 9 5 6 3" xfId="8565"/>
    <cellStyle name="Total 2 9 5 6 3 2" xfId="27537"/>
    <cellStyle name="Total 2 9 5 6 3 3" xfId="38382"/>
    <cellStyle name="Total 2 9 5 6 3 4" xfId="17362"/>
    <cellStyle name="Total 2 9 5 6 4" xfId="11224"/>
    <cellStyle name="Total 2 9 5 6 4 2" xfId="30196"/>
    <cellStyle name="Total 2 9 5 6 4 3" xfId="41041"/>
    <cellStyle name="Total 2 9 5 6 4 4" xfId="19266"/>
    <cellStyle name="Total 2 9 5 6 5" xfId="22020"/>
    <cellStyle name="Total 2 9 5 6 6" xfId="32865"/>
    <cellStyle name="Total 2 9 5 6 7" xfId="13412"/>
    <cellStyle name="Total 2 9 5 7" xfId="3732"/>
    <cellStyle name="Total 2 9 5 7 2" xfId="22704"/>
    <cellStyle name="Total 2 9 5 7 3" xfId="33549"/>
    <cellStyle name="Total 2 9 5 7 4" xfId="13893"/>
    <cellStyle name="Total 2 9 5 8" xfId="6407"/>
    <cellStyle name="Total 2 9 5 8 2" xfId="25379"/>
    <cellStyle name="Total 2 9 5 8 3" xfId="36224"/>
    <cellStyle name="Total 2 9 5 8 4" xfId="15809"/>
    <cellStyle name="Total 2 9 5 9" xfId="9066"/>
    <cellStyle name="Total 2 9 5 9 2" xfId="28038"/>
    <cellStyle name="Total 2 9 5 9 3" xfId="38883"/>
    <cellStyle name="Total 2 9 5 9 4" xfId="17713"/>
    <cellStyle name="Total 2 9 6" xfId="1099"/>
    <cellStyle name="Total 2 9 6 2" xfId="3952"/>
    <cellStyle name="Total 2 9 6 2 2" xfId="22924"/>
    <cellStyle name="Total 2 9 6 2 3" xfId="33769"/>
    <cellStyle name="Total 2 9 6 2 4" xfId="14055"/>
    <cellStyle name="Total 2 9 6 3" xfId="6626"/>
    <cellStyle name="Total 2 9 6 3 2" xfId="25598"/>
    <cellStyle name="Total 2 9 6 3 3" xfId="36443"/>
    <cellStyle name="Total 2 9 6 3 4" xfId="15971"/>
    <cellStyle name="Total 2 9 6 4" xfId="9285"/>
    <cellStyle name="Total 2 9 6 4 2" xfId="28257"/>
    <cellStyle name="Total 2 9 6 4 3" xfId="39102"/>
    <cellStyle name="Total 2 9 6 4 4" xfId="17875"/>
    <cellStyle name="Total 2 9 6 5" xfId="20081"/>
    <cellStyle name="Total 2 9 6 6" xfId="30926"/>
    <cellStyle name="Total 2 9 6 7" xfId="12021"/>
    <cellStyle name="Total 2 9 7" xfId="1499"/>
    <cellStyle name="Total 2 9 7 2" xfId="4352"/>
    <cellStyle name="Total 2 9 7 2 2" xfId="23324"/>
    <cellStyle name="Total 2 9 7 2 3" xfId="34169"/>
    <cellStyle name="Total 2 9 7 2 4" xfId="14345"/>
    <cellStyle name="Total 2 9 7 3" xfId="7025"/>
    <cellStyle name="Total 2 9 7 3 2" xfId="25997"/>
    <cellStyle name="Total 2 9 7 3 3" xfId="36842"/>
    <cellStyle name="Total 2 9 7 3 4" xfId="16260"/>
    <cellStyle name="Total 2 9 7 4" xfId="9684"/>
    <cellStyle name="Total 2 9 7 4 2" xfId="28656"/>
    <cellStyle name="Total 2 9 7 4 3" xfId="39501"/>
    <cellStyle name="Total 2 9 7 4 4" xfId="18164"/>
    <cellStyle name="Total 2 9 7 5" xfId="20480"/>
    <cellStyle name="Total 2 9 7 6" xfId="31325"/>
    <cellStyle name="Total 2 9 7 7" xfId="12310"/>
    <cellStyle name="Total 2 9 8" xfId="1907"/>
    <cellStyle name="Total 2 9 8 2" xfId="4760"/>
    <cellStyle name="Total 2 9 8 2 2" xfId="23732"/>
    <cellStyle name="Total 2 9 8 2 3" xfId="34577"/>
    <cellStyle name="Total 2 9 8 2 4" xfId="14636"/>
    <cellStyle name="Total 2 9 8 3" xfId="7432"/>
    <cellStyle name="Total 2 9 8 3 2" xfId="26404"/>
    <cellStyle name="Total 2 9 8 3 3" xfId="37249"/>
    <cellStyle name="Total 2 9 8 3 4" xfId="16550"/>
    <cellStyle name="Total 2 9 8 4" xfId="10091"/>
    <cellStyle name="Total 2 9 8 4 2" xfId="29063"/>
    <cellStyle name="Total 2 9 8 4 3" xfId="39908"/>
    <cellStyle name="Total 2 9 8 4 4" xfId="18454"/>
    <cellStyle name="Total 2 9 8 5" xfId="20887"/>
    <cellStyle name="Total 2 9 8 6" xfId="31732"/>
    <cellStyle name="Total 2 9 8 7" xfId="12600"/>
    <cellStyle name="Total 2 9 9" xfId="2301"/>
    <cellStyle name="Total 2 9 9 2" xfId="5154"/>
    <cellStyle name="Total 2 9 9 2 2" xfId="24126"/>
    <cellStyle name="Total 2 9 9 2 3" xfId="34971"/>
    <cellStyle name="Total 2 9 9 2 4" xfId="14918"/>
    <cellStyle name="Total 2 9 9 3" xfId="7825"/>
    <cellStyle name="Total 2 9 9 3 2" xfId="26797"/>
    <cellStyle name="Total 2 9 9 3 3" xfId="37642"/>
    <cellStyle name="Total 2 9 9 3 4" xfId="16831"/>
    <cellStyle name="Total 2 9 9 4" xfId="10484"/>
    <cellStyle name="Total 2 9 9 4 2" xfId="29456"/>
    <cellStyle name="Total 2 9 9 4 3" xfId="40301"/>
    <cellStyle name="Total 2 9 9 4 4" xfId="18735"/>
    <cellStyle name="Total 2 9 9 5" xfId="21280"/>
    <cellStyle name="Total 2 9 9 6" xfId="32125"/>
    <cellStyle name="Total 2 9 9 7" xfId="12881"/>
    <cellStyle name="Total 2_Avoided Costs" xfId="163"/>
    <cellStyle name="Total 3" xfId="164"/>
    <cellStyle name="Total 3 2" xfId="407"/>
    <cellStyle name="Total 3 2 10" xfId="2698"/>
    <cellStyle name="Total 3 2 10 2" xfId="5550"/>
    <cellStyle name="Total 3 2 10 2 2" xfId="24522"/>
    <cellStyle name="Total 3 2 10 2 3" xfId="35367"/>
    <cellStyle name="Total 3 2 10 2 4" xfId="15204"/>
    <cellStyle name="Total 3 2 10 3" xfId="8221"/>
    <cellStyle name="Total 3 2 10 3 2" xfId="27193"/>
    <cellStyle name="Total 3 2 10 3 3" xfId="38038"/>
    <cellStyle name="Total 3 2 10 3 4" xfId="17117"/>
    <cellStyle name="Total 3 2 10 4" xfId="10880"/>
    <cellStyle name="Total 3 2 10 4 2" xfId="29852"/>
    <cellStyle name="Total 3 2 10 4 3" xfId="40697"/>
    <cellStyle name="Total 3 2 10 4 4" xfId="19021"/>
    <cellStyle name="Total 3 2 10 5" xfId="21676"/>
    <cellStyle name="Total 3 2 10 6" xfId="32521"/>
    <cellStyle name="Total 3 2 10 7" xfId="13167"/>
    <cellStyle name="Total 3 2 11" xfId="3084"/>
    <cellStyle name="Total 3 2 11 2" xfId="5935"/>
    <cellStyle name="Total 3 2 11 2 2" xfId="24907"/>
    <cellStyle name="Total 3 2 11 2 3" xfId="35752"/>
    <cellStyle name="Total 3 2 11 2 4" xfId="15480"/>
    <cellStyle name="Total 3 2 11 3" xfId="8606"/>
    <cellStyle name="Total 3 2 11 3 2" xfId="27578"/>
    <cellStyle name="Total 3 2 11 3 3" xfId="38423"/>
    <cellStyle name="Total 3 2 11 3 4" xfId="17393"/>
    <cellStyle name="Total 3 2 11 4" xfId="11265"/>
    <cellStyle name="Total 3 2 11 4 2" xfId="30237"/>
    <cellStyle name="Total 3 2 11 4 3" xfId="41082"/>
    <cellStyle name="Total 3 2 11 4 4" xfId="19297"/>
    <cellStyle name="Total 3 2 11 5" xfId="22061"/>
    <cellStyle name="Total 3 2 11 6" xfId="32906"/>
    <cellStyle name="Total 3 2 11 7" xfId="13443"/>
    <cellStyle name="Total 3 2 12" xfId="3141"/>
    <cellStyle name="Total 3 2 12 2" xfId="5992"/>
    <cellStyle name="Total 3 2 12 2 2" xfId="24964"/>
    <cellStyle name="Total 3 2 12 2 3" xfId="35809"/>
    <cellStyle name="Total 3 2 12 2 4" xfId="15517"/>
    <cellStyle name="Total 3 2 12 3" xfId="8663"/>
    <cellStyle name="Total 3 2 12 3 2" xfId="27635"/>
    <cellStyle name="Total 3 2 12 3 3" xfId="38480"/>
    <cellStyle name="Total 3 2 12 3 4" xfId="17430"/>
    <cellStyle name="Total 3 2 12 4" xfId="11322"/>
    <cellStyle name="Total 3 2 12 4 2" xfId="30294"/>
    <cellStyle name="Total 3 2 12 4 3" xfId="41139"/>
    <cellStyle name="Total 3 2 12 4 4" xfId="19334"/>
    <cellStyle name="Total 3 2 12 5" xfId="22118"/>
    <cellStyle name="Total 3 2 12 6" xfId="32963"/>
    <cellStyle name="Total 3 2 12 7" xfId="13480"/>
    <cellStyle name="Total 3 2 13" xfId="3198"/>
    <cellStyle name="Total 3 2 13 2" xfId="6049"/>
    <cellStyle name="Total 3 2 13 2 2" xfId="25021"/>
    <cellStyle name="Total 3 2 13 2 3" xfId="35866"/>
    <cellStyle name="Total 3 2 13 2 4" xfId="15554"/>
    <cellStyle name="Total 3 2 13 3" xfId="8720"/>
    <cellStyle name="Total 3 2 13 3 2" xfId="27692"/>
    <cellStyle name="Total 3 2 13 3 3" xfId="38537"/>
    <cellStyle name="Total 3 2 13 3 4" xfId="17467"/>
    <cellStyle name="Total 3 2 13 4" xfId="11379"/>
    <cellStyle name="Total 3 2 13 4 2" xfId="30351"/>
    <cellStyle name="Total 3 2 13 4 3" xfId="41196"/>
    <cellStyle name="Total 3 2 13 4 4" xfId="19371"/>
    <cellStyle name="Total 3 2 13 5" xfId="22175"/>
    <cellStyle name="Total 3 2 13 6" xfId="33020"/>
    <cellStyle name="Total 3 2 13 7" xfId="13517"/>
    <cellStyle name="Total 3 2 14" xfId="3365"/>
    <cellStyle name="Total 3 2 14 2" xfId="22339"/>
    <cellStyle name="Total 3 2 14 3" xfId="33184"/>
    <cellStyle name="Total 3 2 14 4" xfId="13634"/>
    <cellStyle name="Total 3 2 15" xfId="3242"/>
    <cellStyle name="Total 3 2 15 2" xfId="22219"/>
    <cellStyle name="Total 3 2 15 3" xfId="33064"/>
    <cellStyle name="Total 3 2 15 4" xfId="13546"/>
    <cellStyle name="Total 3 2 16" xfId="4892"/>
    <cellStyle name="Total 3 2 16 2" xfId="23864"/>
    <cellStyle name="Total 3 2 16 3" xfId="34709"/>
    <cellStyle name="Total 3 2 16 4" xfId="14737"/>
    <cellStyle name="Total 3 2 17" xfId="19495"/>
    <cellStyle name="Total 3 2 18" xfId="19388"/>
    <cellStyle name="Total 3 2 19" xfId="11544"/>
    <cellStyle name="Total 3 2 2" xfId="706"/>
    <cellStyle name="Total 3 2 2 10" xfId="19691"/>
    <cellStyle name="Total 3 2 2 11" xfId="30536"/>
    <cellStyle name="Total 3 2 2 12" xfId="11748"/>
    <cellStyle name="Total 3 2 2 2" xfId="1293"/>
    <cellStyle name="Total 3 2 2 2 2" xfId="4146"/>
    <cellStyle name="Total 3 2 2 2 2 2" xfId="23118"/>
    <cellStyle name="Total 3 2 2 2 2 3" xfId="33963"/>
    <cellStyle name="Total 3 2 2 2 2 4" xfId="14209"/>
    <cellStyle name="Total 3 2 2 2 3" xfId="6819"/>
    <cellStyle name="Total 3 2 2 2 3 2" xfId="25791"/>
    <cellStyle name="Total 3 2 2 2 3 3" xfId="36636"/>
    <cellStyle name="Total 3 2 2 2 3 4" xfId="16124"/>
    <cellStyle name="Total 3 2 2 2 4" xfId="9478"/>
    <cellStyle name="Total 3 2 2 2 4 2" xfId="28450"/>
    <cellStyle name="Total 3 2 2 2 4 3" xfId="39295"/>
    <cellStyle name="Total 3 2 2 2 4 4" xfId="18028"/>
    <cellStyle name="Total 3 2 2 2 5" xfId="20274"/>
    <cellStyle name="Total 3 2 2 2 6" xfId="31119"/>
    <cellStyle name="Total 3 2 2 2 7" xfId="12174"/>
    <cellStyle name="Total 3 2 2 3" xfId="1692"/>
    <cellStyle name="Total 3 2 2 3 2" xfId="4545"/>
    <cellStyle name="Total 3 2 2 3 2 2" xfId="23517"/>
    <cellStyle name="Total 3 2 2 3 2 3" xfId="34362"/>
    <cellStyle name="Total 3 2 2 3 2 4" xfId="14496"/>
    <cellStyle name="Total 3 2 2 3 3" xfId="7217"/>
    <cellStyle name="Total 3 2 2 3 3 2" xfId="26189"/>
    <cellStyle name="Total 3 2 2 3 3 3" xfId="37034"/>
    <cellStyle name="Total 3 2 2 3 3 4" xfId="16410"/>
    <cellStyle name="Total 3 2 2 3 4" xfId="9876"/>
    <cellStyle name="Total 3 2 2 3 4 2" xfId="28848"/>
    <cellStyle name="Total 3 2 2 3 4 3" xfId="39693"/>
    <cellStyle name="Total 3 2 2 3 4 4" xfId="18314"/>
    <cellStyle name="Total 3 2 2 3 5" xfId="20672"/>
    <cellStyle name="Total 3 2 2 3 6" xfId="31517"/>
    <cellStyle name="Total 3 2 2 3 7" xfId="12460"/>
    <cellStyle name="Total 3 2 2 4" xfId="2096"/>
    <cellStyle name="Total 3 2 2 4 2" xfId="4949"/>
    <cellStyle name="Total 3 2 2 4 2 2" xfId="23921"/>
    <cellStyle name="Total 3 2 2 4 2 3" xfId="34766"/>
    <cellStyle name="Total 3 2 2 4 2 4" xfId="14783"/>
    <cellStyle name="Total 3 2 2 4 3" xfId="7620"/>
    <cellStyle name="Total 3 2 2 4 3 2" xfId="26592"/>
    <cellStyle name="Total 3 2 2 4 3 3" xfId="37437"/>
    <cellStyle name="Total 3 2 2 4 3 4" xfId="16696"/>
    <cellStyle name="Total 3 2 2 4 4" xfId="10279"/>
    <cellStyle name="Total 3 2 2 4 4 2" xfId="29251"/>
    <cellStyle name="Total 3 2 2 4 4 3" xfId="40096"/>
    <cellStyle name="Total 3 2 2 4 4 4" xfId="18600"/>
    <cellStyle name="Total 3 2 2 4 5" xfId="21075"/>
    <cellStyle name="Total 3 2 2 4 6" xfId="31920"/>
    <cellStyle name="Total 3 2 2 4 7" xfId="12746"/>
    <cellStyle name="Total 3 2 2 5" xfId="2486"/>
    <cellStyle name="Total 3 2 2 5 2" xfId="5338"/>
    <cellStyle name="Total 3 2 2 5 2 2" xfId="24310"/>
    <cellStyle name="Total 3 2 2 5 2 3" xfId="35155"/>
    <cellStyle name="Total 3 2 2 5 2 4" xfId="15062"/>
    <cellStyle name="Total 3 2 2 5 3" xfId="8009"/>
    <cellStyle name="Total 3 2 2 5 3 2" xfId="26981"/>
    <cellStyle name="Total 3 2 2 5 3 3" xfId="37826"/>
    <cellStyle name="Total 3 2 2 5 3 4" xfId="16975"/>
    <cellStyle name="Total 3 2 2 5 4" xfId="10668"/>
    <cellStyle name="Total 3 2 2 5 4 2" xfId="29640"/>
    <cellStyle name="Total 3 2 2 5 4 3" xfId="40485"/>
    <cellStyle name="Total 3 2 2 5 4 4" xfId="18879"/>
    <cellStyle name="Total 3 2 2 5 5" xfId="21464"/>
    <cellStyle name="Total 3 2 2 5 6" xfId="32309"/>
    <cellStyle name="Total 3 2 2 5 7" xfId="13025"/>
    <cellStyle name="Total 3 2 2 6" xfId="2872"/>
    <cellStyle name="Total 3 2 2 6 2" xfId="5723"/>
    <cellStyle name="Total 3 2 2 6 2 2" xfId="24695"/>
    <cellStyle name="Total 3 2 2 6 2 3" xfId="35540"/>
    <cellStyle name="Total 3 2 2 6 2 4" xfId="15338"/>
    <cellStyle name="Total 3 2 2 6 3" xfId="8394"/>
    <cellStyle name="Total 3 2 2 6 3 2" xfId="27366"/>
    <cellStyle name="Total 3 2 2 6 3 3" xfId="38211"/>
    <cellStyle name="Total 3 2 2 6 3 4" xfId="17251"/>
    <cellStyle name="Total 3 2 2 6 4" xfId="11053"/>
    <cellStyle name="Total 3 2 2 6 4 2" xfId="30025"/>
    <cellStyle name="Total 3 2 2 6 4 3" xfId="40870"/>
    <cellStyle name="Total 3 2 2 6 4 4" xfId="19155"/>
    <cellStyle name="Total 3 2 2 6 5" xfId="21849"/>
    <cellStyle name="Total 3 2 2 6 6" xfId="32694"/>
    <cellStyle name="Total 3 2 2 6 7" xfId="13301"/>
    <cellStyle name="Total 3 2 2 7" xfId="3561"/>
    <cellStyle name="Total 3 2 2 7 2" xfId="22533"/>
    <cellStyle name="Total 3 2 2 7 3" xfId="33378"/>
    <cellStyle name="Total 3 2 2 7 4" xfId="13782"/>
    <cellStyle name="Total 3 2 2 8" xfId="6236"/>
    <cellStyle name="Total 3 2 2 8 2" xfId="25208"/>
    <cellStyle name="Total 3 2 2 8 3" xfId="36053"/>
    <cellStyle name="Total 3 2 2 8 4" xfId="15698"/>
    <cellStyle name="Total 3 2 2 9" xfId="8895"/>
    <cellStyle name="Total 3 2 2 9 2" xfId="27867"/>
    <cellStyle name="Total 3 2 2 9 3" xfId="38712"/>
    <cellStyle name="Total 3 2 2 9 4" xfId="17602"/>
    <cellStyle name="Total 3 2 3" xfId="766"/>
    <cellStyle name="Total 3 2 3 10" xfId="19751"/>
    <cellStyle name="Total 3 2 3 11" xfId="30596"/>
    <cellStyle name="Total 3 2 3 12" xfId="11788"/>
    <cellStyle name="Total 3 2 3 2" xfId="1353"/>
    <cellStyle name="Total 3 2 3 2 2" xfId="4206"/>
    <cellStyle name="Total 3 2 3 2 2 2" xfId="23178"/>
    <cellStyle name="Total 3 2 3 2 2 3" xfId="34023"/>
    <cellStyle name="Total 3 2 3 2 2 4" xfId="14249"/>
    <cellStyle name="Total 3 2 3 2 3" xfId="6879"/>
    <cellStyle name="Total 3 2 3 2 3 2" xfId="25851"/>
    <cellStyle name="Total 3 2 3 2 3 3" xfId="36696"/>
    <cellStyle name="Total 3 2 3 2 3 4" xfId="16164"/>
    <cellStyle name="Total 3 2 3 2 4" xfId="9538"/>
    <cellStyle name="Total 3 2 3 2 4 2" xfId="28510"/>
    <cellStyle name="Total 3 2 3 2 4 3" xfId="39355"/>
    <cellStyle name="Total 3 2 3 2 4 4" xfId="18068"/>
    <cellStyle name="Total 3 2 3 2 5" xfId="20334"/>
    <cellStyle name="Total 3 2 3 2 6" xfId="31179"/>
    <cellStyle name="Total 3 2 3 2 7" xfId="12214"/>
    <cellStyle name="Total 3 2 3 3" xfId="1752"/>
    <cellStyle name="Total 3 2 3 3 2" xfId="4605"/>
    <cellStyle name="Total 3 2 3 3 2 2" xfId="23577"/>
    <cellStyle name="Total 3 2 3 3 2 3" xfId="34422"/>
    <cellStyle name="Total 3 2 3 3 2 4" xfId="14536"/>
    <cellStyle name="Total 3 2 3 3 3" xfId="7277"/>
    <cellStyle name="Total 3 2 3 3 3 2" xfId="26249"/>
    <cellStyle name="Total 3 2 3 3 3 3" xfId="37094"/>
    <cellStyle name="Total 3 2 3 3 3 4" xfId="16450"/>
    <cellStyle name="Total 3 2 3 3 4" xfId="9936"/>
    <cellStyle name="Total 3 2 3 3 4 2" xfId="28908"/>
    <cellStyle name="Total 3 2 3 3 4 3" xfId="39753"/>
    <cellStyle name="Total 3 2 3 3 4 4" xfId="18354"/>
    <cellStyle name="Total 3 2 3 3 5" xfId="20732"/>
    <cellStyle name="Total 3 2 3 3 6" xfId="31577"/>
    <cellStyle name="Total 3 2 3 3 7" xfId="12500"/>
    <cellStyle name="Total 3 2 3 4" xfId="2156"/>
    <cellStyle name="Total 3 2 3 4 2" xfId="5009"/>
    <cellStyle name="Total 3 2 3 4 2 2" xfId="23981"/>
    <cellStyle name="Total 3 2 3 4 2 3" xfId="34826"/>
    <cellStyle name="Total 3 2 3 4 2 4" xfId="14823"/>
    <cellStyle name="Total 3 2 3 4 3" xfId="7680"/>
    <cellStyle name="Total 3 2 3 4 3 2" xfId="26652"/>
    <cellStyle name="Total 3 2 3 4 3 3" xfId="37497"/>
    <cellStyle name="Total 3 2 3 4 3 4" xfId="16736"/>
    <cellStyle name="Total 3 2 3 4 4" xfId="10339"/>
    <cellStyle name="Total 3 2 3 4 4 2" xfId="29311"/>
    <cellStyle name="Total 3 2 3 4 4 3" xfId="40156"/>
    <cellStyle name="Total 3 2 3 4 4 4" xfId="18640"/>
    <cellStyle name="Total 3 2 3 4 5" xfId="21135"/>
    <cellStyle name="Total 3 2 3 4 6" xfId="31980"/>
    <cellStyle name="Total 3 2 3 4 7" xfId="12786"/>
    <cellStyle name="Total 3 2 3 5" xfId="2546"/>
    <cellStyle name="Total 3 2 3 5 2" xfId="5398"/>
    <cellStyle name="Total 3 2 3 5 2 2" xfId="24370"/>
    <cellStyle name="Total 3 2 3 5 2 3" xfId="35215"/>
    <cellStyle name="Total 3 2 3 5 2 4" xfId="15102"/>
    <cellStyle name="Total 3 2 3 5 3" xfId="8069"/>
    <cellStyle name="Total 3 2 3 5 3 2" xfId="27041"/>
    <cellStyle name="Total 3 2 3 5 3 3" xfId="37886"/>
    <cellStyle name="Total 3 2 3 5 3 4" xfId="17015"/>
    <cellStyle name="Total 3 2 3 5 4" xfId="10728"/>
    <cellStyle name="Total 3 2 3 5 4 2" xfId="29700"/>
    <cellStyle name="Total 3 2 3 5 4 3" xfId="40545"/>
    <cellStyle name="Total 3 2 3 5 4 4" xfId="18919"/>
    <cellStyle name="Total 3 2 3 5 5" xfId="21524"/>
    <cellStyle name="Total 3 2 3 5 6" xfId="32369"/>
    <cellStyle name="Total 3 2 3 5 7" xfId="13065"/>
    <cellStyle name="Total 3 2 3 6" xfId="2932"/>
    <cellStyle name="Total 3 2 3 6 2" xfId="5783"/>
    <cellStyle name="Total 3 2 3 6 2 2" xfId="24755"/>
    <cellStyle name="Total 3 2 3 6 2 3" xfId="35600"/>
    <cellStyle name="Total 3 2 3 6 2 4" xfId="15378"/>
    <cellStyle name="Total 3 2 3 6 3" xfId="8454"/>
    <cellStyle name="Total 3 2 3 6 3 2" xfId="27426"/>
    <cellStyle name="Total 3 2 3 6 3 3" xfId="38271"/>
    <cellStyle name="Total 3 2 3 6 3 4" xfId="17291"/>
    <cellStyle name="Total 3 2 3 6 4" xfId="11113"/>
    <cellStyle name="Total 3 2 3 6 4 2" xfId="30085"/>
    <cellStyle name="Total 3 2 3 6 4 3" xfId="40930"/>
    <cellStyle name="Total 3 2 3 6 4 4" xfId="19195"/>
    <cellStyle name="Total 3 2 3 6 5" xfId="21909"/>
    <cellStyle name="Total 3 2 3 6 6" xfId="32754"/>
    <cellStyle name="Total 3 2 3 6 7" xfId="13341"/>
    <cellStyle name="Total 3 2 3 7" xfId="3621"/>
    <cellStyle name="Total 3 2 3 7 2" xfId="22593"/>
    <cellStyle name="Total 3 2 3 7 3" xfId="33438"/>
    <cellStyle name="Total 3 2 3 7 4" xfId="13822"/>
    <cellStyle name="Total 3 2 3 8" xfId="6296"/>
    <cellStyle name="Total 3 2 3 8 2" xfId="25268"/>
    <cellStyle name="Total 3 2 3 8 3" xfId="36113"/>
    <cellStyle name="Total 3 2 3 8 4" xfId="15738"/>
    <cellStyle name="Total 3 2 3 9" xfId="8955"/>
    <cellStyle name="Total 3 2 3 9 2" xfId="27927"/>
    <cellStyle name="Total 3 2 3 9 3" xfId="38772"/>
    <cellStyle name="Total 3 2 3 9 4" xfId="17642"/>
    <cellStyle name="Total 3 2 4" xfId="826"/>
    <cellStyle name="Total 3 2 4 10" xfId="19811"/>
    <cellStyle name="Total 3 2 4 11" xfId="30656"/>
    <cellStyle name="Total 3 2 4 12" xfId="11828"/>
    <cellStyle name="Total 3 2 4 2" xfId="1413"/>
    <cellStyle name="Total 3 2 4 2 2" xfId="4266"/>
    <cellStyle name="Total 3 2 4 2 2 2" xfId="23238"/>
    <cellStyle name="Total 3 2 4 2 2 3" xfId="34083"/>
    <cellStyle name="Total 3 2 4 2 2 4" xfId="14289"/>
    <cellStyle name="Total 3 2 4 2 3" xfId="6939"/>
    <cellStyle name="Total 3 2 4 2 3 2" xfId="25911"/>
    <cellStyle name="Total 3 2 4 2 3 3" xfId="36756"/>
    <cellStyle name="Total 3 2 4 2 3 4" xfId="16204"/>
    <cellStyle name="Total 3 2 4 2 4" xfId="9598"/>
    <cellStyle name="Total 3 2 4 2 4 2" xfId="28570"/>
    <cellStyle name="Total 3 2 4 2 4 3" xfId="39415"/>
    <cellStyle name="Total 3 2 4 2 4 4" xfId="18108"/>
    <cellStyle name="Total 3 2 4 2 5" xfId="20394"/>
    <cellStyle name="Total 3 2 4 2 6" xfId="31239"/>
    <cellStyle name="Total 3 2 4 2 7" xfId="12254"/>
    <cellStyle name="Total 3 2 4 3" xfId="1812"/>
    <cellStyle name="Total 3 2 4 3 2" xfId="4665"/>
    <cellStyle name="Total 3 2 4 3 2 2" xfId="23637"/>
    <cellStyle name="Total 3 2 4 3 2 3" xfId="34482"/>
    <cellStyle name="Total 3 2 4 3 2 4" xfId="14576"/>
    <cellStyle name="Total 3 2 4 3 3" xfId="7337"/>
    <cellStyle name="Total 3 2 4 3 3 2" xfId="26309"/>
    <cellStyle name="Total 3 2 4 3 3 3" xfId="37154"/>
    <cellStyle name="Total 3 2 4 3 3 4" xfId="16490"/>
    <cellStyle name="Total 3 2 4 3 4" xfId="9996"/>
    <cellStyle name="Total 3 2 4 3 4 2" xfId="28968"/>
    <cellStyle name="Total 3 2 4 3 4 3" xfId="39813"/>
    <cellStyle name="Total 3 2 4 3 4 4" xfId="18394"/>
    <cellStyle name="Total 3 2 4 3 5" xfId="20792"/>
    <cellStyle name="Total 3 2 4 3 6" xfId="31637"/>
    <cellStyle name="Total 3 2 4 3 7" xfId="12540"/>
    <cellStyle name="Total 3 2 4 4" xfId="2216"/>
    <cellStyle name="Total 3 2 4 4 2" xfId="5069"/>
    <cellStyle name="Total 3 2 4 4 2 2" xfId="24041"/>
    <cellStyle name="Total 3 2 4 4 2 3" xfId="34886"/>
    <cellStyle name="Total 3 2 4 4 2 4" xfId="14863"/>
    <cellStyle name="Total 3 2 4 4 3" xfId="7740"/>
    <cellStyle name="Total 3 2 4 4 3 2" xfId="26712"/>
    <cellStyle name="Total 3 2 4 4 3 3" xfId="37557"/>
    <cellStyle name="Total 3 2 4 4 3 4" xfId="16776"/>
    <cellStyle name="Total 3 2 4 4 4" xfId="10399"/>
    <cellStyle name="Total 3 2 4 4 4 2" xfId="29371"/>
    <cellStyle name="Total 3 2 4 4 4 3" xfId="40216"/>
    <cellStyle name="Total 3 2 4 4 4 4" xfId="18680"/>
    <cellStyle name="Total 3 2 4 4 5" xfId="21195"/>
    <cellStyle name="Total 3 2 4 4 6" xfId="32040"/>
    <cellStyle name="Total 3 2 4 4 7" xfId="12826"/>
    <cellStyle name="Total 3 2 4 5" xfId="2606"/>
    <cellStyle name="Total 3 2 4 5 2" xfId="5458"/>
    <cellStyle name="Total 3 2 4 5 2 2" xfId="24430"/>
    <cellStyle name="Total 3 2 4 5 2 3" xfId="35275"/>
    <cellStyle name="Total 3 2 4 5 2 4" xfId="15142"/>
    <cellStyle name="Total 3 2 4 5 3" xfId="8129"/>
    <cellStyle name="Total 3 2 4 5 3 2" xfId="27101"/>
    <cellStyle name="Total 3 2 4 5 3 3" xfId="37946"/>
    <cellStyle name="Total 3 2 4 5 3 4" xfId="17055"/>
    <cellStyle name="Total 3 2 4 5 4" xfId="10788"/>
    <cellStyle name="Total 3 2 4 5 4 2" xfId="29760"/>
    <cellStyle name="Total 3 2 4 5 4 3" xfId="40605"/>
    <cellStyle name="Total 3 2 4 5 4 4" xfId="18959"/>
    <cellStyle name="Total 3 2 4 5 5" xfId="21584"/>
    <cellStyle name="Total 3 2 4 5 6" xfId="32429"/>
    <cellStyle name="Total 3 2 4 5 7" xfId="13105"/>
    <cellStyle name="Total 3 2 4 6" xfId="2992"/>
    <cellStyle name="Total 3 2 4 6 2" xfId="5843"/>
    <cellStyle name="Total 3 2 4 6 2 2" xfId="24815"/>
    <cellStyle name="Total 3 2 4 6 2 3" xfId="35660"/>
    <cellStyle name="Total 3 2 4 6 2 4" xfId="15418"/>
    <cellStyle name="Total 3 2 4 6 3" xfId="8514"/>
    <cellStyle name="Total 3 2 4 6 3 2" xfId="27486"/>
    <cellStyle name="Total 3 2 4 6 3 3" xfId="38331"/>
    <cellStyle name="Total 3 2 4 6 3 4" xfId="17331"/>
    <cellStyle name="Total 3 2 4 6 4" xfId="11173"/>
    <cellStyle name="Total 3 2 4 6 4 2" xfId="30145"/>
    <cellStyle name="Total 3 2 4 6 4 3" xfId="40990"/>
    <cellStyle name="Total 3 2 4 6 4 4" xfId="19235"/>
    <cellStyle name="Total 3 2 4 6 5" xfId="21969"/>
    <cellStyle name="Total 3 2 4 6 6" xfId="32814"/>
    <cellStyle name="Total 3 2 4 6 7" xfId="13381"/>
    <cellStyle name="Total 3 2 4 7" xfId="3681"/>
    <cellStyle name="Total 3 2 4 7 2" xfId="22653"/>
    <cellStyle name="Total 3 2 4 7 3" xfId="33498"/>
    <cellStyle name="Total 3 2 4 7 4" xfId="13862"/>
    <cellStyle name="Total 3 2 4 8" xfId="6356"/>
    <cellStyle name="Total 3 2 4 8 2" xfId="25328"/>
    <cellStyle name="Total 3 2 4 8 3" xfId="36173"/>
    <cellStyle name="Total 3 2 4 8 4" xfId="15778"/>
    <cellStyle name="Total 3 2 4 9" xfId="9015"/>
    <cellStyle name="Total 3 2 4 9 2" xfId="27987"/>
    <cellStyle name="Total 3 2 4 9 3" xfId="38832"/>
    <cellStyle name="Total 3 2 4 9 4" xfId="17682"/>
    <cellStyle name="Total 3 2 5" xfId="885"/>
    <cellStyle name="Total 3 2 5 10" xfId="19870"/>
    <cellStyle name="Total 3 2 5 11" xfId="30715"/>
    <cellStyle name="Total 3 2 5 12" xfId="11867"/>
    <cellStyle name="Total 3 2 5 2" xfId="1472"/>
    <cellStyle name="Total 3 2 5 2 2" xfId="4325"/>
    <cellStyle name="Total 3 2 5 2 2 2" xfId="23297"/>
    <cellStyle name="Total 3 2 5 2 2 3" xfId="34142"/>
    <cellStyle name="Total 3 2 5 2 2 4" xfId="14328"/>
    <cellStyle name="Total 3 2 5 2 3" xfId="6998"/>
    <cellStyle name="Total 3 2 5 2 3 2" xfId="25970"/>
    <cellStyle name="Total 3 2 5 2 3 3" xfId="36815"/>
    <cellStyle name="Total 3 2 5 2 3 4" xfId="16243"/>
    <cellStyle name="Total 3 2 5 2 4" xfId="9657"/>
    <cellStyle name="Total 3 2 5 2 4 2" xfId="28629"/>
    <cellStyle name="Total 3 2 5 2 4 3" xfId="39474"/>
    <cellStyle name="Total 3 2 5 2 4 4" xfId="18147"/>
    <cellStyle name="Total 3 2 5 2 5" xfId="20453"/>
    <cellStyle name="Total 3 2 5 2 6" xfId="31298"/>
    <cellStyle name="Total 3 2 5 2 7" xfId="12293"/>
    <cellStyle name="Total 3 2 5 3" xfId="1871"/>
    <cellStyle name="Total 3 2 5 3 2" xfId="4724"/>
    <cellStyle name="Total 3 2 5 3 2 2" xfId="23696"/>
    <cellStyle name="Total 3 2 5 3 2 3" xfId="34541"/>
    <cellStyle name="Total 3 2 5 3 2 4" xfId="14615"/>
    <cellStyle name="Total 3 2 5 3 3" xfId="7396"/>
    <cellStyle name="Total 3 2 5 3 3 2" xfId="26368"/>
    <cellStyle name="Total 3 2 5 3 3 3" xfId="37213"/>
    <cellStyle name="Total 3 2 5 3 3 4" xfId="16529"/>
    <cellStyle name="Total 3 2 5 3 4" xfId="10055"/>
    <cellStyle name="Total 3 2 5 3 4 2" xfId="29027"/>
    <cellStyle name="Total 3 2 5 3 4 3" xfId="39872"/>
    <cellStyle name="Total 3 2 5 3 4 4" xfId="18433"/>
    <cellStyle name="Total 3 2 5 3 5" xfId="20851"/>
    <cellStyle name="Total 3 2 5 3 6" xfId="31696"/>
    <cellStyle name="Total 3 2 5 3 7" xfId="12579"/>
    <cellStyle name="Total 3 2 5 4" xfId="2275"/>
    <cellStyle name="Total 3 2 5 4 2" xfId="5128"/>
    <cellStyle name="Total 3 2 5 4 2 2" xfId="24100"/>
    <cellStyle name="Total 3 2 5 4 2 3" xfId="34945"/>
    <cellStyle name="Total 3 2 5 4 2 4" xfId="14902"/>
    <cellStyle name="Total 3 2 5 4 3" xfId="7799"/>
    <cellStyle name="Total 3 2 5 4 3 2" xfId="26771"/>
    <cellStyle name="Total 3 2 5 4 3 3" xfId="37616"/>
    <cellStyle name="Total 3 2 5 4 3 4" xfId="16815"/>
    <cellStyle name="Total 3 2 5 4 4" xfId="10458"/>
    <cellStyle name="Total 3 2 5 4 4 2" xfId="29430"/>
    <cellStyle name="Total 3 2 5 4 4 3" xfId="40275"/>
    <cellStyle name="Total 3 2 5 4 4 4" xfId="18719"/>
    <cellStyle name="Total 3 2 5 4 5" xfId="21254"/>
    <cellStyle name="Total 3 2 5 4 6" xfId="32099"/>
    <cellStyle name="Total 3 2 5 4 7" xfId="12865"/>
    <cellStyle name="Total 3 2 5 5" xfId="2665"/>
    <cellStyle name="Total 3 2 5 5 2" xfId="5517"/>
    <cellStyle name="Total 3 2 5 5 2 2" xfId="24489"/>
    <cellStyle name="Total 3 2 5 5 2 3" xfId="35334"/>
    <cellStyle name="Total 3 2 5 5 2 4" xfId="15181"/>
    <cellStyle name="Total 3 2 5 5 3" xfId="8188"/>
    <cellStyle name="Total 3 2 5 5 3 2" xfId="27160"/>
    <cellStyle name="Total 3 2 5 5 3 3" xfId="38005"/>
    <cellStyle name="Total 3 2 5 5 3 4" xfId="17094"/>
    <cellStyle name="Total 3 2 5 5 4" xfId="10847"/>
    <cellStyle name="Total 3 2 5 5 4 2" xfId="29819"/>
    <cellStyle name="Total 3 2 5 5 4 3" xfId="40664"/>
    <cellStyle name="Total 3 2 5 5 4 4" xfId="18998"/>
    <cellStyle name="Total 3 2 5 5 5" xfId="21643"/>
    <cellStyle name="Total 3 2 5 5 6" xfId="32488"/>
    <cellStyle name="Total 3 2 5 5 7" xfId="13144"/>
    <cellStyle name="Total 3 2 5 6" xfId="3051"/>
    <cellStyle name="Total 3 2 5 6 2" xfId="5902"/>
    <cellStyle name="Total 3 2 5 6 2 2" xfId="24874"/>
    <cellStyle name="Total 3 2 5 6 2 3" xfId="35719"/>
    <cellStyle name="Total 3 2 5 6 2 4" xfId="15457"/>
    <cellStyle name="Total 3 2 5 6 3" xfId="8573"/>
    <cellStyle name="Total 3 2 5 6 3 2" xfId="27545"/>
    <cellStyle name="Total 3 2 5 6 3 3" xfId="38390"/>
    <cellStyle name="Total 3 2 5 6 3 4" xfId="17370"/>
    <cellStyle name="Total 3 2 5 6 4" xfId="11232"/>
    <cellStyle name="Total 3 2 5 6 4 2" xfId="30204"/>
    <cellStyle name="Total 3 2 5 6 4 3" xfId="41049"/>
    <cellStyle name="Total 3 2 5 6 4 4" xfId="19274"/>
    <cellStyle name="Total 3 2 5 6 5" xfId="22028"/>
    <cellStyle name="Total 3 2 5 6 6" xfId="32873"/>
    <cellStyle name="Total 3 2 5 6 7" xfId="13420"/>
    <cellStyle name="Total 3 2 5 7" xfId="3740"/>
    <cellStyle name="Total 3 2 5 7 2" xfId="22712"/>
    <cellStyle name="Total 3 2 5 7 3" xfId="33557"/>
    <cellStyle name="Total 3 2 5 7 4" xfId="13901"/>
    <cellStyle name="Total 3 2 5 8" xfId="6415"/>
    <cellStyle name="Total 3 2 5 8 2" xfId="25387"/>
    <cellStyle name="Total 3 2 5 8 3" xfId="36232"/>
    <cellStyle name="Total 3 2 5 8 4" xfId="15817"/>
    <cellStyle name="Total 3 2 5 9" xfId="9074"/>
    <cellStyle name="Total 3 2 5 9 2" xfId="28046"/>
    <cellStyle name="Total 3 2 5 9 3" xfId="38891"/>
    <cellStyle name="Total 3 2 5 9 4" xfId="17721"/>
    <cellStyle name="Total 3 2 6" xfId="1107"/>
    <cellStyle name="Total 3 2 6 2" xfId="3960"/>
    <cellStyle name="Total 3 2 6 2 2" xfId="22932"/>
    <cellStyle name="Total 3 2 6 2 3" xfId="33777"/>
    <cellStyle name="Total 3 2 6 2 4" xfId="14063"/>
    <cellStyle name="Total 3 2 6 3" xfId="6634"/>
    <cellStyle name="Total 3 2 6 3 2" xfId="25606"/>
    <cellStyle name="Total 3 2 6 3 3" xfId="36451"/>
    <cellStyle name="Total 3 2 6 3 4" xfId="15979"/>
    <cellStyle name="Total 3 2 6 4" xfId="9293"/>
    <cellStyle name="Total 3 2 6 4 2" xfId="28265"/>
    <cellStyle name="Total 3 2 6 4 3" xfId="39110"/>
    <cellStyle name="Total 3 2 6 4 4" xfId="17883"/>
    <cellStyle name="Total 3 2 6 5" xfId="20089"/>
    <cellStyle name="Total 3 2 6 6" xfId="30934"/>
    <cellStyle name="Total 3 2 6 7" xfId="12029"/>
    <cellStyle name="Total 3 2 7" xfId="1507"/>
    <cellStyle name="Total 3 2 7 2" xfId="4360"/>
    <cellStyle name="Total 3 2 7 2 2" xfId="23332"/>
    <cellStyle name="Total 3 2 7 2 3" xfId="34177"/>
    <cellStyle name="Total 3 2 7 2 4" xfId="14353"/>
    <cellStyle name="Total 3 2 7 3" xfId="7033"/>
    <cellStyle name="Total 3 2 7 3 2" xfId="26005"/>
    <cellStyle name="Total 3 2 7 3 3" xfId="36850"/>
    <cellStyle name="Total 3 2 7 3 4" xfId="16268"/>
    <cellStyle name="Total 3 2 7 4" xfId="9692"/>
    <cellStyle name="Total 3 2 7 4 2" xfId="28664"/>
    <cellStyle name="Total 3 2 7 4 3" xfId="39509"/>
    <cellStyle name="Total 3 2 7 4 4" xfId="18172"/>
    <cellStyle name="Total 3 2 7 5" xfId="20488"/>
    <cellStyle name="Total 3 2 7 6" xfId="31333"/>
    <cellStyle name="Total 3 2 7 7" xfId="12318"/>
    <cellStyle name="Total 3 2 8" xfId="1915"/>
    <cellStyle name="Total 3 2 8 2" xfId="4768"/>
    <cellStyle name="Total 3 2 8 2 2" xfId="23740"/>
    <cellStyle name="Total 3 2 8 2 3" xfId="34585"/>
    <cellStyle name="Total 3 2 8 2 4" xfId="14644"/>
    <cellStyle name="Total 3 2 8 3" xfId="7440"/>
    <cellStyle name="Total 3 2 8 3 2" xfId="26412"/>
    <cellStyle name="Total 3 2 8 3 3" xfId="37257"/>
    <cellStyle name="Total 3 2 8 3 4" xfId="16558"/>
    <cellStyle name="Total 3 2 8 4" xfId="10099"/>
    <cellStyle name="Total 3 2 8 4 2" xfId="29071"/>
    <cellStyle name="Total 3 2 8 4 3" xfId="39916"/>
    <cellStyle name="Total 3 2 8 4 4" xfId="18462"/>
    <cellStyle name="Total 3 2 8 5" xfId="20895"/>
    <cellStyle name="Total 3 2 8 6" xfId="31740"/>
    <cellStyle name="Total 3 2 8 7" xfId="12608"/>
    <cellStyle name="Total 3 2 9" xfId="2309"/>
    <cellStyle name="Total 3 2 9 2" xfId="5162"/>
    <cellStyle name="Total 3 2 9 2 2" xfId="24134"/>
    <cellStyle name="Total 3 2 9 2 3" xfId="34979"/>
    <cellStyle name="Total 3 2 9 2 4" xfId="14926"/>
    <cellStyle name="Total 3 2 9 3" xfId="7833"/>
    <cellStyle name="Total 3 2 9 3 2" xfId="26805"/>
    <cellStyle name="Total 3 2 9 3 3" xfId="37650"/>
    <cellStyle name="Total 3 2 9 3 4" xfId="16839"/>
    <cellStyle name="Total 3 2 9 4" xfId="10492"/>
    <cellStyle name="Total 3 2 9 4 2" xfId="29464"/>
    <cellStyle name="Total 3 2 9 4 3" xfId="40309"/>
    <cellStyle name="Total 3 2 9 4 4" xfId="18743"/>
    <cellStyle name="Total 3 2 9 5" xfId="21288"/>
    <cellStyle name="Total 3 2 9 6" xfId="32133"/>
    <cellStyle name="Total 3 2 9 7" xfId="12889"/>
    <cellStyle name="Total 3 3" xfId="589"/>
    <cellStyle name="Total 3 3 10" xfId="19599"/>
    <cellStyle name="Total 3 3 11" xfId="30444"/>
    <cellStyle name="Total 3 3 12" xfId="11653"/>
    <cellStyle name="Total 3 3 2" xfId="1195"/>
    <cellStyle name="Total 3 3 2 2" xfId="4048"/>
    <cellStyle name="Total 3 3 2 2 2" xfId="23020"/>
    <cellStyle name="Total 3 3 2 2 3" xfId="33865"/>
    <cellStyle name="Total 3 3 2 2 4" xfId="14130"/>
    <cellStyle name="Total 3 3 2 3" xfId="6721"/>
    <cellStyle name="Total 3 3 2 3 2" xfId="25693"/>
    <cellStyle name="Total 3 3 2 3 3" xfId="36538"/>
    <cellStyle name="Total 3 3 2 3 4" xfId="16045"/>
    <cellStyle name="Total 3 3 2 4" xfId="9380"/>
    <cellStyle name="Total 3 3 2 4 2" xfId="28352"/>
    <cellStyle name="Total 3 3 2 4 3" xfId="39197"/>
    <cellStyle name="Total 3 3 2 4 4" xfId="17949"/>
    <cellStyle name="Total 3 3 2 5" xfId="20176"/>
    <cellStyle name="Total 3 3 2 6" xfId="31021"/>
    <cellStyle name="Total 3 3 2 7" xfId="12095"/>
    <cellStyle name="Total 3 3 3" xfId="1592"/>
    <cellStyle name="Total 3 3 3 2" xfId="4445"/>
    <cellStyle name="Total 3 3 3 2 2" xfId="23417"/>
    <cellStyle name="Total 3 3 3 2 3" xfId="34262"/>
    <cellStyle name="Total 3 3 3 2 4" xfId="14416"/>
    <cellStyle name="Total 3 3 3 3" xfId="7117"/>
    <cellStyle name="Total 3 3 3 3 2" xfId="26089"/>
    <cellStyle name="Total 3 3 3 3 3" xfId="36934"/>
    <cellStyle name="Total 3 3 3 3 4" xfId="16330"/>
    <cellStyle name="Total 3 3 3 4" xfId="9776"/>
    <cellStyle name="Total 3 3 3 4 2" xfId="28748"/>
    <cellStyle name="Total 3 3 3 4 3" xfId="39593"/>
    <cellStyle name="Total 3 3 3 4 4" xfId="18234"/>
    <cellStyle name="Total 3 3 3 5" xfId="20572"/>
    <cellStyle name="Total 3 3 3 6" xfId="31417"/>
    <cellStyle name="Total 3 3 3 7" xfId="12380"/>
    <cellStyle name="Total 3 3 4" xfId="1996"/>
    <cellStyle name="Total 3 3 4 2" xfId="4849"/>
    <cellStyle name="Total 3 3 4 2 2" xfId="23821"/>
    <cellStyle name="Total 3 3 4 2 3" xfId="34666"/>
    <cellStyle name="Total 3 3 4 2 4" xfId="14704"/>
    <cellStyle name="Total 3 3 4 3" xfId="7521"/>
    <cellStyle name="Total 3 3 4 3 2" xfId="26493"/>
    <cellStyle name="Total 3 3 4 3 3" xfId="37338"/>
    <cellStyle name="Total 3 3 4 3 4" xfId="16618"/>
    <cellStyle name="Total 3 3 4 4" xfId="10180"/>
    <cellStyle name="Total 3 3 4 4 2" xfId="29152"/>
    <cellStyle name="Total 3 3 4 4 3" xfId="39997"/>
    <cellStyle name="Total 3 3 4 4 4" xfId="18522"/>
    <cellStyle name="Total 3 3 4 5" xfId="20976"/>
    <cellStyle name="Total 3 3 4 6" xfId="31821"/>
    <cellStyle name="Total 3 3 4 7" xfId="12668"/>
    <cellStyle name="Total 3 3 5" xfId="2388"/>
    <cellStyle name="Total 3 3 5 2" xfId="5241"/>
    <cellStyle name="Total 3 3 5 2 2" xfId="24213"/>
    <cellStyle name="Total 3 3 5 2 3" xfId="35058"/>
    <cellStyle name="Total 3 3 5 2 4" xfId="14985"/>
    <cellStyle name="Total 3 3 5 3" xfId="7912"/>
    <cellStyle name="Total 3 3 5 3 2" xfId="26884"/>
    <cellStyle name="Total 3 3 5 3 3" xfId="37729"/>
    <cellStyle name="Total 3 3 5 3 4" xfId="16898"/>
    <cellStyle name="Total 3 3 5 4" xfId="10571"/>
    <cellStyle name="Total 3 3 5 4 2" xfId="29543"/>
    <cellStyle name="Total 3 3 5 4 3" xfId="40388"/>
    <cellStyle name="Total 3 3 5 4 4" xfId="18802"/>
    <cellStyle name="Total 3 3 5 5" xfId="21367"/>
    <cellStyle name="Total 3 3 5 6" xfId="32212"/>
    <cellStyle name="Total 3 3 5 7" xfId="12948"/>
    <cellStyle name="Total 3 3 6" xfId="2777"/>
    <cellStyle name="Total 3 3 6 2" xfId="5629"/>
    <cellStyle name="Total 3 3 6 2 2" xfId="24601"/>
    <cellStyle name="Total 3 3 6 2 3" xfId="35446"/>
    <cellStyle name="Total 3 3 6 2 4" xfId="15263"/>
    <cellStyle name="Total 3 3 6 3" xfId="8300"/>
    <cellStyle name="Total 3 3 6 3 2" xfId="27272"/>
    <cellStyle name="Total 3 3 6 3 3" xfId="38117"/>
    <cellStyle name="Total 3 3 6 3 4" xfId="17176"/>
    <cellStyle name="Total 3 3 6 4" xfId="10959"/>
    <cellStyle name="Total 3 3 6 4 2" xfId="29931"/>
    <cellStyle name="Total 3 3 6 4 3" xfId="40776"/>
    <cellStyle name="Total 3 3 6 4 4" xfId="19080"/>
    <cellStyle name="Total 3 3 6 5" xfId="21755"/>
    <cellStyle name="Total 3 3 6 6" xfId="32600"/>
    <cellStyle name="Total 3 3 6 7" xfId="13226"/>
    <cellStyle name="Total 3 3 7" xfId="3468"/>
    <cellStyle name="Total 3 3 7 2" xfId="22440"/>
    <cellStyle name="Total 3 3 7 3" xfId="33285"/>
    <cellStyle name="Total 3 3 7 4" xfId="13708"/>
    <cellStyle name="Total 3 3 8" xfId="6144"/>
    <cellStyle name="Total 3 3 8 2" xfId="25116"/>
    <cellStyle name="Total 3 3 8 3" xfId="35961"/>
    <cellStyle name="Total 3 3 8 4" xfId="15625"/>
    <cellStyle name="Total 3 3 9" xfId="8803"/>
    <cellStyle name="Total 3 3 9 2" xfId="27775"/>
    <cellStyle name="Total 3 3 9 3" xfId="38620"/>
    <cellStyle name="Total 3 3 9 4" xfId="17529"/>
    <cellStyle name="Total 3 4" xfId="11482"/>
    <cellStyle name="Total 4" xfId="326"/>
    <cellStyle name="Total 4 2" xfId="433"/>
    <cellStyle name="Total 4 2 10" xfId="2715"/>
    <cellStyle name="Total 4 2 10 2" xfId="5567"/>
    <cellStyle name="Total 4 2 10 2 2" xfId="24539"/>
    <cellStyle name="Total 4 2 10 2 3" xfId="35384"/>
    <cellStyle name="Total 4 2 10 2 4" xfId="15211"/>
    <cellStyle name="Total 4 2 10 3" xfId="8238"/>
    <cellStyle name="Total 4 2 10 3 2" xfId="27210"/>
    <cellStyle name="Total 4 2 10 3 3" xfId="38055"/>
    <cellStyle name="Total 4 2 10 3 4" xfId="17124"/>
    <cellStyle name="Total 4 2 10 4" xfId="10897"/>
    <cellStyle name="Total 4 2 10 4 2" xfId="29869"/>
    <cellStyle name="Total 4 2 10 4 3" xfId="40714"/>
    <cellStyle name="Total 4 2 10 4 4" xfId="19028"/>
    <cellStyle name="Total 4 2 10 5" xfId="21693"/>
    <cellStyle name="Total 4 2 10 6" xfId="32538"/>
    <cellStyle name="Total 4 2 10 7" xfId="13174"/>
    <cellStyle name="Total 4 2 11" xfId="3100"/>
    <cellStyle name="Total 4 2 11 2" xfId="5951"/>
    <cellStyle name="Total 4 2 11 2 2" xfId="24923"/>
    <cellStyle name="Total 4 2 11 2 3" xfId="35768"/>
    <cellStyle name="Total 4 2 11 2 4" xfId="15486"/>
    <cellStyle name="Total 4 2 11 3" xfId="8622"/>
    <cellStyle name="Total 4 2 11 3 2" xfId="27594"/>
    <cellStyle name="Total 4 2 11 3 3" xfId="38439"/>
    <cellStyle name="Total 4 2 11 3 4" xfId="17399"/>
    <cellStyle name="Total 4 2 11 4" xfId="11281"/>
    <cellStyle name="Total 4 2 11 4 2" xfId="30253"/>
    <cellStyle name="Total 4 2 11 4 3" xfId="41098"/>
    <cellStyle name="Total 4 2 11 4 4" xfId="19303"/>
    <cellStyle name="Total 4 2 11 5" xfId="22077"/>
    <cellStyle name="Total 4 2 11 6" xfId="32922"/>
    <cellStyle name="Total 4 2 11 7" xfId="13449"/>
    <cellStyle name="Total 4 2 12" xfId="3157"/>
    <cellStyle name="Total 4 2 12 2" xfId="6008"/>
    <cellStyle name="Total 4 2 12 2 2" xfId="24980"/>
    <cellStyle name="Total 4 2 12 2 3" xfId="35825"/>
    <cellStyle name="Total 4 2 12 2 4" xfId="15523"/>
    <cellStyle name="Total 4 2 12 3" xfId="8679"/>
    <cellStyle name="Total 4 2 12 3 2" xfId="27651"/>
    <cellStyle name="Total 4 2 12 3 3" xfId="38496"/>
    <cellStyle name="Total 4 2 12 3 4" xfId="17436"/>
    <cellStyle name="Total 4 2 12 4" xfId="11338"/>
    <cellStyle name="Total 4 2 12 4 2" xfId="30310"/>
    <cellStyle name="Total 4 2 12 4 3" xfId="41155"/>
    <cellStyle name="Total 4 2 12 4 4" xfId="19340"/>
    <cellStyle name="Total 4 2 12 5" xfId="22134"/>
    <cellStyle name="Total 4 2 12 6" xfId="32979"/>
    <cellStyle name="Total 4 2 12 7" xfId="13486"/>
    <cellStyle name="Total 4 2 13" xfId="3214"/>
    <cellStyle name="Total 4 2 13 2" xfId="6065"/>
    <cellStyle name="Total 4 2 13 2 2" xfId="25037"/>
    <cellStyle name="Total 4 2 13 2 3" xfId="35882"/>
    <cellStyle name="Total 4 2 13 2 4" xfId="15560"/>
    <cellStyle name="Total 4 2 13 3" xfId="8736"/>
    <cellStyle name="Total 4 2 13 3 2" xfId="27708"/>
    <cellStyle name="Total 4 2 13 3 3" xfId="38553"/>
    <cellStyle name="Total 4 2 13 3 4" xfId="17473"/>
    <cellStyle name="Total 4 2 13 4" xfId="11395"/>
    <cellStyle name="Total 4 2 13 4 2" xfId="30367"/>
    <cellStyle name="Total 4 2 13 4 3" xfId="41212"/>
    <cellStyle name="Total 4 2 13 4 4" xfId="19377"/>
    <cellStyle name="Total 4 2 13 5" xfId="22191"/>
    <cellStyle name="Total 4 2 13 6" xfId="33036"/>
    <cellStyle name="Total 4 2 13 7" xfId="13523"/>
    <cellStyle name="Total 4 2 14" xfId="3383"/>
    <cellStyle name="Total 4 2 14 2" xfId="22357"/>
    <cellStyle name="Total 4 2 14 3" xfId="33202"/>
    <cellStyle name="Total 4 2 14 4" xfId="13640"/>
    <cellStyle name="Total 4 2 15" xfId="3276"/>
    <cellStyle name="Total 4 2 15 2" xfId="22250"/>
    <cellStyle name="Total 4 2 15 3" xfId="33095"/>
    <cellStyle name="Total 4 2 15 4" xfId="13573"/>
    <cellStyle name="Total 4 2 16" xfId="3256"/>
    <cellStyle name="Total 4 2 16 2" xfId="22231"/>
    <cellStyle name="Total 4 2 16 3" xfId="33076"/>
    <cellStyle name="Total 4 2 16 4" xfId="13557"/>
    <cellStyle name="Total 4 2 17" xfId="19511"/>
    <cellStyle name="Total 4 2 18" xfId="19381"/>
    <cellStyle name="Total 4 2 19" xfId="11553"/>
    <cellStyle name="Total 4 2 2" xfId="724"/>
    <cellStyle name="Total 4 2 2 10" xfId="19709"/>
    <cellStyle name="Total 4 2 2 11" xfId="30554"/>
    <cellStyle name="Total 4 2 2 12" xfId="11756"/>
    <cellStyle name="Total 4 2 2 2" xfId="1311"/>
    <cellStyle name="Total 4 2 2 2 2" xfId="4164"/>
    <cellStyle name="Total 4 2 2 2 2 2" xfId="23136"/>
    <cellStyle name="Total 4 2 2 2 2 3" xfId="33981"/>
    <cellStyle name="Total 4 2 2 2 2 4" xfId="14217"/>
    <cellStyle name="Total 4 2 2 2 3" xfId="6837"/>
    <cellStyle name="Total 4 2 2 2 3 2" xfId="25809"/>
    <cellStyle name="Total 4 2 2 2 3 3" xfId="36654"/>
    <cellStyle name="Total 4 2 2 2 3 4" xfId="16132"/>
    <cellStyle name="Total 4 2 2 2 4" xfId="9496"/>
    <cellStyle name="Total 4 2 2 2 4 2" xfId="28468"/>
    <cellStyle name="Total 4 2 2 2 4 3" xfId="39313"/>
    <cellStyle name="Total 4 2 2 2 4 4" xfId="18036"/>
    <cellStyle name="Total 4 2 2 2 5" xfId="20292"/>
    <cellStyle name="Total 4 2 2 2 6" xfId="31137"/>
    <cellStyle name="Total 4 2 2 2 7" xfId="12182"/>
    <cellStyle name="Total 4 2 2 3" xfId="1710"/>
    <cellStyle name="Total 4 2 2 3 2" xfId="4563"/>
    <cellStyle name="Total 4 2 2 3 2 2" xfId="23535"/>
    <cellStyle name="Total 4 2 2 3 2 3" xfId="34380"/>
    <cellStyle name="Total 4 2 2 3 2 4" xfId="14504"/>
    <cellStyle name="Total 4 2 2 3 3" xfId="7235"/>
    <cellStyle name="Total 4 2 2 3 3 2" xfId="26207"/>
    <cellStyle name="Total 4 2 2 3 3 3" xfId="37052"/>
    <cellStyle name="Total 4 2 2 3 3 4" xfId="16418"/>
    <cellStyle name="Total 4 2 2 3 4" xfId="9894"/>
    <cellStyle name="Total 4 2 2 3 4 2" xfId="28866"/>
    <cellStyle name="Total 4 2 2 3 4 3" xfId="39711"/>
    <cellStyle name="Total 4 2 2 3 4 4" xfId="18322"/>
    <cellStyle name="Total 4 2 2 3 5" xfId="20690"/>
    <cellStyle name="Total 4 2 2 3 6" xfId="31535"/>
    <cellStyle name="Total 4 2 2 3 7" xfId="12468"/>
    <cellStyle name="Total 4 2 2 4" xfId="2114"/>
    <cellStyle name="Total 4 2 2 4 2" xfId="4967"/>
    <cellStyle name="Total 4 2 2 4 2 2" xfId="23939"/>
    <cellStyle name="Total 4 2 2 4 2 3" xfId="34784"/>
    <cellStyle name="Total 4 2 2 4 2 4" xfId="14791"/>
    <cellStyle name="Total 4 2 2 4 3" xfId="7638"/>
    <cellStyle name="Total 4 2 2 4 3 2" xfId="26610"/>
    <cellStyle name="Total 4 2 2 4 3 3" xfId="37455"/>
    <cellStyle name="Total 4 2 2 4 3 4" xfId="16704"/>
    <cellStyle name="Total 4 2 2 4 4" xfId="10297"/>
    <cellStyle name="Total 4 2 2 4 4 2" xfId="29269"/>
    <cellStyle name="Total 4 2 2 4 4 3" xfId="40114"/>
    <cellStyle name="Total 4 2 2 4 4 4" xfId="18608"/>
    <cellStyle name="Total 4 2 2 4 5" xfId="21093"/>
    <cellStyle name="Total 4 2 2 4 6" xfId="31938"/>
    <cellStyle name="Total 4 2 2 4 7" xfId="12754"/>
    <cellStyle name="Total 4 2 2 5" xfId="2504"/>
    <cellStyle name="Total 4 2 2 5 2" xfId="5356"/>
    <cellStyle name="Total 4 2 2 5 2 2" xfId="24328"/>
    <cellStyle name="Total 4 2 2 5 2 3" xfId="35173"/>
    <cellStyle name="Total 4 2 2 5 2 4" xfId="15070"/>
    <cellStyle name="Total 4 2 2 5 3" xfId="8027"/>
    <cellStyle name="Total 4 2 2 5 3 2" xfId="26999"/>
    <cellStyle name="Total 4 2 2 5 3 3" xfId="37844"/>
    <cellStyle name="Total 4 2 2 5 3 4" xfId="16983"/>
    <cellStyle name="Total 4 2 2 5 4" xfId="10686"/>
    <cellStyle name="Total 4 2 2 5 4 2" xfId="29658"/>
    <cellStyle name="Total 4 2 2 5 4 3" xfId="40503"/>
    <cellStyle name="Total 4 2 2 5 4 4" xfId="18887"/>
    <cellStyle name="Total 4 2 2 5 5" xfId="21482"/>
    <cellStyle name="Total 4 2 2 5 6" xfId="32327"/>
    <cellStyle name="Total 4 2 2 5 7" xfId="13033"/>
    <cellStyle name="Total 4 2 2 6" xfId="2890"/>
    <cellStyle name="Total 4 2 2 6 2" xfId="5741"/>
    <cellStyle name="Total 4 2 2 6 2 2" xfId="24713"/>
    <cellStyle name="Total 4 2 2 6 2 3" xfId="35558"/>
    <cellStyle name="Total 4 2 2 6 2 4" xfId="15346"/>
    <cellStyle name="Total 4 2 2 6 3" xfId="8412"/>
    <cellStyle name="Total 4 2 2 6 3 2" xfId="27384"/>
    <cellStyle name="Total 4 2 2 6 3 3" xfId="38229"/>
    <cellStyle name="Total 4 2 2 6 3 4" xfId="17259"/>
    <cellStyle name="Total 4 2 2 6 4" xfId="11071"/>
    <cellStyle name="Total 4 2 2 6 4 2" xfId="30043"/>
    <cellStyle name="Total 4 2 2 6 4 3" xfId="40888"/>
    <cellStyle name="Total 4 2 2 6 4 4" xfId="19163"/>
    <cellStyle name="Total 4 2 2 6 5" xfId="21867"/>
    <cellStyle name="Total 4 2 2 6 6" xfId="32712"/>
    <cellStyle name="Total 4 2 2 6 7" xfId="13309"/>
    <cellStyle name="Total 4 2 2 7" xfId="3579"/>
    <cellStyle name="Total 4 2 2 7 2" xfId="22551"/>
    <cellStyle name="Total 4 2 2 7 3" xfId="33396"/>
    <cellStyle name="Total 4 2 2 7 4" xfId="13790"/>
    <cellStyle name="Total 4 2 2 8" xfId="6254"/>
    <cellStyle name="Total 4 2 2 8 2" xfId="25226"/>
    <cellStyle name="Total 4 2 2 8 3" xfId="36071"/>
    <cellStyle name="Total 4 2 2 8 4" xfId="15706"/>
    <cellStyle name="Total 4 2 2 9" xfId="8913"/>
    <cellStyle name="Total 4 2 2 9 2" xfId="27885"/>
    <cellStyle name="Total 4 2 2 9 3" xfId="38730"/>
    <cellStyle name="Total 4 2 2 9 4" xfId="17610"/>
    <cellStyle name="Total 4 2 3" xfId="783"/>
    <cellStyle name="Total 4 2 3 10" xfId="19768"/>
    <cellStyle name="Total 4 2 3 11" xfId="30613"/>
    <cellStyle name="Total 4 2 3 12" xfId="11795"/>
    <cellStyle name="Total 4 2 3 2" xfId="1370"/>
    <cellStyle name="Total 4 2 3 2 2" xfId="4223"/>
    <cellStyle name="Total 4 2 3 2 2 2" xfId="23195"/>
    <cellStyle name="Total 4 2 3 2 2 3" xfId="34040"/>
    <cellStyle name="Total 4 2 3 2 2 4" xfId="14256"/>
    <cellStyle name="Total 4 2 3 2 3" xfId="6896"/>
    <cellStyle name="Total 4 2 3 2 3 2" xfId="25868"/>
    <cellStyle name="Total 4 2 3 2 3 3" xfId="36713"/>
    <cellStyle name="Total 4 2 3 2 3 4" xfId="16171"/>
    <cellStyle name="Total 4 2 3 2 4" xfId="9555"/>
    <cellStyle name="Total 4 2 3 2 4 2" xfId="28527"/>
    <cellStyle name="Total 4 2 3 2 4 3" xfId="39372"/>
    <cellStyle name="Total 4 2 3 2 4 4" xfId="18075"/>
    <cellStyle name="Total 4 2 3 2 5" xfId="20351"/>
    <cellStyle name="Total 4 2 3 2 6" xfId="31196"/>
    <cellStyle name="Total 4 2 3 2 7" xfId="12221"/>
    <cellStyle name="Total 4 2 3 3" xfId="1769"/>
    <cellStyle name="Total 4 2 3 3 2" xfId="4622"/>
    <cellStyle name="Total 4 2 3 3 2 2" xfId="23594"/>
    <cellStyle name="Total 4 2 3 3 2 3" xfId="34439"/>
    <cellStyle name="Total 4 2 3 3 2 4" xfId="14543"/>
    <cellStyle name="Total 4 2 3 3 3" xfId="7294"/>
    <cellStyle name="Total 4 2 3 3 3 2" xfId="26266"/>
    <cellStyle name="Total 4 2 3 3 3 3" xfId="37111"/>
    <cellStyle name="Total 4 2 3 3 3 4" xfId="16457"/>
    <cellStyle name="Total 4 2 3 3 4" xfId="9953"/>
    <cellStyle name="Total 4 2 3 3 4 2" xfId="28925"/>
    <cellStyle name="Total 4 2 3 3 4 3" xfId="39770"/>
    <cellStyle name="Total 4 2 3 3 4 4" xfId="18361"/>
    <cellStyle name="Total 4 2 3 3 5" xfId="20749"/>
    <cellStyle name="Total 4 2 3 3 6" xfId="31594"/>
    <cellStyle name="Total 4 2 3 3 7" xfId="12507"/>
    <cellStyle name="Total 4 2 3 4" xfId="2173"/>
    <cellStyle name="Total 4 2 3 4 2" xfId="5026"/>
    <cellStyle name="Total 4 2 3 4 2 2" xfId="23998"/>
    <cellStyle name="Total 4 2 3 4 2 3" xfId="34843"/>
    <cellStyle name="Total 4 2 3 4 2 4" xfId="14830"/>
    <cellStyle name="Total 4 2 3 4 3" xfId="7697"/>
    <cellStyle name="Total 4 2 3 4 3 2" xfId="26669"/>
    <cellStyle name="Total 4 2 3 4 3 3" xfId="37514"/>
    <cellStyle name="Total 4 2 3 4 3 4" xfId="16743"/>
    <cellStyle name="Total 4 2 3 4 4" xfId="10356"/>
    <cellStyle name="Total 4 2 3 4 4 2" xfId="29328"/>
    <cellStyle name="Total 4 2 3 4 4 3" xfId="40173"/>
    <cellStyle name="Total 4 2 3 4 4 4" xfId="18647"/>
    <cellStyle name="Total 4 2 3 4 5" xfId="21152"/>
    <cellStyle name="Total 4 2 3 4 6" xfId="31997"/>
    <cellStyle name="Total 4 2 3 4 7" xfId="12793"/>
    <cellStyle name="Total 4 2 3 5" xfId="2563"/>
    <cellStyle name="Total 4 2 3 5 2" xfId="5415"/>
    <cellStyle name="Total 4 2 3 5 2 2" xfId="24387"/>
    <cellStyle name="Total 4 2 3 5 2 3" xfId="35232"/>
    <cellStyle name="Total 4 2 3 5 2 4" xfId="15109"/>
    <cellStyle name="Total 4 2 3 5 3" xfId="8086"/>
    <cellStyle name="Total 4 2 3 5 3 2" xfId="27058"/>
    <cellStyle name="Total 4 2 3 5 3 3" xfId="37903"/>
    <cellStyle name="Total 4 2 3 5 3 4" xfId="17022"/>
    <cellStyle name="Total 4 2 3 5 4" xfId="10745"/>
    <cellStyle name="Total 4 2 3 5 4 2" xfId="29717"/>
    <cellStyle name="Total 4 2 3 5 4 3" xfId="40562"/>
    <cellStyle name="Total 4 2 3 5 4 4" xfId="18926"/>
    <cellStyle name="Total 4 2 3 5 5" xfId="21541"/>
    <cellStyle name="Total 4 2 3 5 6" xfId="32386"/>
    <cellStyle name="Total 4 2 3 5 7" xfId="13072"/>
    <cellStyle name="Total 4 2 3 6" xfId="2949"/>
    <cellStyle name="Total 4 2 3 6 2" xfId="5800"/>
    <cellStyle name="Total 4 2 3 6 2 2" xfId="24772"/>
    <cellStyle name="Total 4 2 3 6 2 3" xfId="35617"/>
    <cellStyle name="Total 4 2 3 6 2 4" xfId="15385"/>
    <cellStyle name="Total 4 2 3 6 3" xfId="8471"/>
    <cellStyle name="Total 4 2 3 6 3 2" xfId="27443"/>
    <cellStyle name="Total 4 2 3 6 3 3" xfId="38288"/>
    <cellStyle name="Total 4 2 3 6 3 4" xfId="17298"/>
    <cellStyle name="Total 4 2 3 6 4" xfId="11130"/>
    <cellStyle name="Total 4 2 3 6 4 2" xfId="30102"/>
    <cellStyle name="Total 4 2 3 6 4 3" xfId="40947"/>
    <cellStyle name="Total 4 2 3 6 4 4" xfId="19202"/>
    <cellStyle name="Total 4 2 3 6 5" xfId="21926"/>
    <cellStyle name="Total 4 2 3 6 6" xfId="32771"/>
    <cellStyle name="Total 4 2 3 6 7" xfId="13348"/>
    <cellStyle name="Total 4 2 3 7" xfId="3638"/>
    <cellStyle name="Total 4 2 3 7 2" xfId="22610"/>
    <cellStyle name="Total 4 2 3 7 3" xfId="33455"/>
    <cellStyle name="Total 4 2 3 7 4" xfId="13829"/>
    <cellStyle name="Total 4 2 3 8" xfId="6313"/>
    <cellStyle name="Total 4 2 3 8 2" xfId="25285"/>
    <cellStyle name="Total 4 2 3 8 3" xfId="36130"/>
    <cellStyle name="Total 4 2 3 8 4" xfId="15745"/>
    <cellStyle name="Total 4 2 3 9" xfId="8972"/>
    <cellStyle name="Total 4 2 3 9 2" xfId="27944"/>
    <cellStyle name="Total 4 2 3 9 3" xfId="38789"/>
    <cellStyle name="Total 4 2 3 9 4" xfId="17649"/>
    <cellStyle name="Total 4 2 4" xfId="842"/>
    <cellStyle name="Total 4 2 4 10" xfId="19827"/>
    <cellStyle name="Total 4 2 4 11" xfId="30672"/>
    <cellStyle name="Total 4 2 4 12" xfId="11834"/>
    <cellStyle name="Total 4 2 4 2" xfId="1429"/>
    <cellStyle name="Total 4 2 4 2 2" xfId="4282"/>
    <cellStyle name="Total 4 2 4 2 2 2" xfId="23254"/>
    <cellStyle name="Total 4 2 4 2 2 3" xfId="34099"/>
    <cellStyle name="Total 4 2 4 2 2 4" xfId="14295"/>
    <cellStyle name="Total 4 2 4 2 3" xfId="6955"/>
    <cellStyle name="Total 4 2 4 2 3 2" xfId="25927"/>
    <cellStyle name="Total 4 2 4 2 3 3" xfId="36772"/>
    <cellStyle name="Total 4 2 4 2 3 4" xfId="16210"/>
    <cellStyle name="Total 4 2 4 2 4" xfId="9614"/>
    <cellStyle name="Total 4 2 4 2 4 2" xfId="28586"/>
    <cellStyle name="Total 4 2 4 2 4 3" xfId="39431"/>
    <cellStyle name="Total 4 2 4 2 4 4" xfId="18114"/>
    <cellStyle name="Total 4 2 4 2 5" xfId="20410"/>
    <cellStyle name="Total 4 2 4 2 6" xfId="31255"/>
    <cellStyle name="Total 4 2 4 2 7" xfId="12260"/>
    <cellStyle name="Total 4 2 4 3" xfId="1828"/>
    <cellStyle name="Total 4 2 4 3 2" xfId="4681"/>
    <cellStyle name="Total 4 2 4 3 2 2" xfId="23653"/>
    <cellStyle name="Total 4 2 4 3 2 3" xfId="34498"/>
    <cellStyle name="Total 4 2 4 3 2 4" xfId="14582"/>
    <cellStyle name="Total 4 2 4 3 3" xfId="7353"/>
    <cellStyle name="Total 4 2 4 3 3 2" xfId="26325"/>
    <cellStyle name="Total 4 2 4 3 3 3" xfId="37170"/>
    <cellStyle name="Total 4 2 4 3 3 4" xfId="16496"/>
    <cellStyle name="Total 4 2 4 3 4" xfId="10012"/>
    <cellStyle name="Total 4 2 4 3 4 2" xfId="28984"/>
    <cellStyle name="Total 4 2 4 3 4 3" xfId="39829"/>
    <cellStyle name="Total 4 2 4 3 4 4" xfId="18400"/>
    <cellStyle name="Total 4 2 4 3 5" xfId="20808"/>
    <cellStyle name="Total 4 2 4 3 6" xfId="31653"/>
    <cellStyle name="Total 4 2 4 3 7" xfId="12546"/>
    <cellStyle name="Total 4 2 4 4" xfId="2232"/>
    <cellStyle name="Total 4 2 4 4 2" xfId="5085"/>
    <cellStyle name="Total 4 2 4 4 2 2" xfId="24057"/>
    <cellStyle name="Total 4 2 4 4 2 3" xfId="34902"/>
    <cellStyle name="Total 4 2 4 4 2 4" xfId="14869"/>
    <cellStyle name="Total 4 2 4 4 3" xfId="7756"/>
    <cellStyle name="Total 4 2 4 4 3 2" xfId="26728"/>
    <cellStyle name="Total 4 2 4 4 3 3" xfId="37573"/>
    <cellStyle name="Total 4 2 4 4 3 4" xfId="16782"/>
    <cellStyle name="Total 4 2 4 4 4" xfId="10415"/>
    <cellStyle name="Total 4 2 4 4 4 2" xfId="29387"/>
    <cellStyle name="Total 4 2 4 4 4 3" xfId="40232"/>
    <cellStyle name="Total 4 2 4 4 4 4" xfId="18686"/>
    <cellStyle name="Total 4 2 4 4 5" xfId="21211"/>
    <cellStyle name="Total 4 2 4 4 6" xfId="32056"/>
    <cellStyle name="Total 4 2 4 4 7" xfId="12832"/>
    <cellStyle name="Total 4 2 4 5" xfId="2622"/>
    <cellStyle name="Total 4 2 4 5 2" xfId="5474"/>
    <cellStyle name="Total 4 2 4 5 2 2" xfId="24446"/>
    <cellStyle name="Total 4 2 4 5 2 3" xfId="35291"/>
    <cellStyle name="Total 4 2 4 5 2 4" xfId="15148"/>
    <cellStyle name="Total 4 2 4 5 3" xfId="8145"/>
    <cellStyle name="Total 4 2 4 5 3 2" xfId="27117"/>
    <cellStyle name="Total 4 2 4 5 3 3" xfId="37962"/>
    <cellStyle name="Total 4 2 4 5 3 4" xfId="17061"/>
    <cellStyle name="Total 4 2 4 5 4" xfId="10804"/>
    <cellStyle name="Total 4 2 4 5 4 2" xfId="29776"/>
    <cellStyle name="Total 4 2 4 5 4 3" xfId="40621"/>
    <cellStyle name="Total 4 2 4 5 4 4" xfId="18965"/>
    <cellStyle name="Total 4 2 4 5 5" xfId="21600"/>
    <cellStyle name="Total 4 2 4 5 6" xfId="32445"/>
    <cellStyle name="Total 4 2 4 5 7" xfId="13111"/>
    <cellStyle name="Total 4 2 4 6" xfId="3008"/>
    <cellStyle name="Total 4 2 4 6 2" xfId="5859"/>
    <cellStyle name="Total 4 2 4 6 2 2" xfId="24831"/>
    <cellStyle name="Total 4 2 4 6 2 3" xfId="35676"/>
    <cellStyle name="Total 4 2 4 6 2 4" xfId="15424"/>
    <cellStyle name="Total 4 2 4 6 3" xfId="8530"/>
    <cellStyle name="Total 4 2 4 6 3 2" xfId="27502"/>
    <cellStyle name="Total 4 2 4 6 3 3" xfId="38347"/>
    <cellStyle name="Total 4 2 4 6 3 4" xfId="17337"/>
    <cellStyle name="Total 4 2 4 6 4" xfId="11189"/>
    <cellStyle name="Total 4 2 4 6 4 2" xfId="30161"/>
    <cellStyle name="Total 4 2 4 6 4 3" xfId="41006"/>
    <cellStyle name="Total 4 2 4 6 4 4" xfId="19241"/>
    <cellStyle name="Total 4 2 4 6 5" xfId="21985"/>
    <cellStyle name="Total 4 2 4 6 6" xfId="32830"/>
    <cellStyle name="Total 4 2 4 6 7" xfId="13387"/>
    <cellStyle name="Total 4 2 4 7" xfId="3697"/>
    <cellStyle name="Total 4 2 4 7 2" xfId="22669"/>
    <cellStyle name="Total 4 2 4 7 3" xfId="33514"/>
    <cellStyle name="Total 4 2 4 7 4" xfId="13868"/>
    <cellStyle name="Total 4 2 4 8" xfId="6372"/>
    <cellStyle name="Total 4 2 4 8 2" xfId="25344"/>
    <cellStyle name="Total 4 2 4 8 3" xfId="36189"/>
    <cellStyle name="Total 4 2 4 8 4" xfId="15784"/>
    <cellStyle name="Total 4 2 4 9" xfId="9031"/>
    <cellStyle name="Total 4 2 4 9 2" xfId="28003"/>
    <cellStyle name="Total 4 2 4 9 3" xfId="38848"/>
    <cellStyle name="Total 4 2 4 9 4" xfId="17688"/>
    <cellStyle name="Total 4 2 5" xfId="901"/>
    <cellStyle name="Total 4 2 5 10" xfId="19886"/>
    <cellStyle name="Total 4 2 5 11" xfId="30731"/>
    <cellStyle name="Total 4 2 5 12" xfId="11873"/>
    <cellStyle name="Total 4 2 5 2" xfId="1488"/>
    <cellStyle name="Total 4 2 5 2 2" xfId="4341"/>
    <cellStyle name="Total 4 2 5 2 2 2" xfId="23313"/>
    <cellStyle name="Total 4 2 5 2 2 3" xfId="34158"/>
    <cellStyle name="Total 4 2 5 2 2 4" xfId="14334"/>
    <cellStyle name="Total 4 2 5 2 3" xfId="7014"/>
    <cellStyle name="Total 4 2 5 2 3 2" xfId="25986"/>
    <cellStyle name="Total 4 2 5 2 3 3" xfId="36831"/>
    <cellStyle name="Total 4 2 5 2 3 4" xfId="16249"/>
    <cellStyle name="Total 4 2 5 2 4" xfId="9673"/>
    <cellStyle name="Total 4 2 5 2 4 2" xfId="28645"/>
    <cellStyle name="Total 4 2 5 2 4 3" xfId="39490"/>
    <cellStyle name="Total 4 2 5 2 4 4" xfId="18153"/>
    <cellStyle name="Total 4 2 5 2 5" xfId="20469"/>
    <cellStyle name="Total 4 2 5 2 6" xfId="31314"/>
    <cellStyle name="Total 4 2 5 2 7" xfId="12299"/>
    <cellStyle name="Total 4 2 5 3" xfId="1887"/>
    <cellStyle name="Total 4 2 5 3 2" xfId="4740"/>
    <cellStyle name="Total 4 2 5 3 2 2" xfId="23712"/>
    <cellStyle name="Total 4 2 5 3 2 3" xfId="34557"/>
    <cellStyle name="Total 4 2 5 3 2 4" xfId="14621"/>
    <cellStyle name="Total 4 2 5 3 3" xfId="7412"/>
    <cellStyle name="Total 4 2 5 3 3 2" xfId="26384"/>
    <cellStyle name="Total 4 2 5 3 3 3" xfId="37229"/>
    <cellStyle name="Total 4 2 5 3 3 4" xfId="16535"/>
    <cellStyle name="Total 4 2 5 3 4" xfId="10071"/>
    <cellStyle name="Total 4 2 5 3 4 2" xfId="29043"/>
    <cellStyle name="Total 4 2 5 3 4 3" xfId="39888"/>
    <cellStyle name="Total 4 2 5 3 4 4" xfId="18439"/>
    <cellStyle name="Total 4 2 5 3 5" xfId="20867"/>
    <cellStyle name="Total 4 2 5 3 6" xfId="31712"/>
    <cellStyle name="Total 4 2 5 3 7" xfId="12585"/>
    <cellStyle name="Total 4 2 5 4" xfId="2291"/>
    <cellStyle name="Total 4 2 5 4 2" xfId="5144"/>
    <cellStyle name="Total 4 2 5 4 2 2" xfId="24116"/>
    <cellStyle name="Total 4 2 5 4 2 3" xfId="34961"/>
    <cellStyle name="Total 4 2 5 4 2 4" xfId="14908"/>
    <cellStyle name="Total 4 2 5 4 3" xfId="7815"/>
    <cellStyle name="Total 4 2 5 4 3 2" xfId="26787"/>
    <cellStyle name="Total 4 2 5 4 3 3" xfId="37632"/>
    <cellStyle name="Total 4 2 5 4 3 4" xfId="16821"/>
    <cellStyle name="Total 4 2 5 4 4" xfId="10474"/>
    <cellStyle name="Total 4 2 5 4 4 2" xfId="29446"/>
    <cellStyle name="Total 4 2 5 4 4 3" xfId="40291"/>
    <cellStyle name="Total 4 2 5 4 4 4" xfId="18725"/>
    <cellStyle name="Total 4 2 5 4 5" xfId="21270"/>
    <cellStyle name="Total 4 2 5 4 6" xfId="32115"/>
    <cellStyle name="Total 4 2 5 4 7" xfId="12871"/>
    <cellStyle name="Total 4 2 5 5" xfId="2681"/>
    <cellStyle name="Total 4 2 5 5 2" xfId="5533"/>
    <cellStyle name="Total 4 2 5 5 2 2" xfId="24505"/>
    <cellStyle name="Total 4 2 5 5 2 3" xfId="35350"/>
    <cellStyle name="Total 4 2 5 5 2 4" xfId="15187"/>
    <cellStyle name="Total 4 2 5 5 3" xfId="8204"/>
    <cellStyle name="Total 4 2 5 5 3 2" xfId="27176"/>
    <cellStyle name="Total 4 2 5 5 3 3" xfId="38021"/>
    <cellStyle name="Total 4 2 5 5 3 4" xfId="17100"/>
    <cellStyle name="Total 4 2 5 5 4" xfId="10863"/>
    <cellStyle name="Total 4 2 5 5 4 2" xfId="29835"/>
    <cellStyle name="Total 4 2 5 5 4 3" xfId="40680"/>
    <cellStyle name="Total 4 2 5 5 4 4" xfId="19004"/>
    <cellStyle name="Total 4 2 5 5 5" xfId="21659"/>
    <cellStyle name="Total 4 2 5 5 6" xfId="32504"/>
    <cellStyle name="Total 4 2 5 5 7" xfId="13150"/>
    <cellStyle name="Total 4 2 5 6" xfId="3067"/>
    <cellStyle name="Total 4 2 5 6 2" xfId="5918"/>
    <cellStyle name="Total 4 2 5 6 2 2" xfId="24890"/>
    <cellStyle name="Total 4 2 5 6 2 3" xfId="35735"/>
    <cellStyle name="Total 4 2 5 6 2 4" xfId="15463"/>
    <cellStyle name="Total 4 2 5 6 3" xfId="8589"/>
    <cellStyle name="Total 4 2 5 6 3 2" xfId="27561"/>
    <cellStyle name="Total 4 2 5 6 3 3" xfId="38406"/>
    <cellStyle name="Total 4 2 5 6 3 4" xfId="17376"/>
    <cellStyle name="Total 4 2 5 6 4" xfId="11248"/>
    <cellStyle name="Total 4 2 5 6 4 2" xfId="30220"/>
    <cellStyle name="Total 4 2 5 6 4 3" xfId="41065"/>
    <cellStyle name="Total 4 2 5 6 4 4" xfId="19280"/>
    <cellStyle name="Total 4 2 5 6 5" xfId="22044"/>
    <cellStyle name="Total 4 2 5 6 6" xfId="32889"/>
    <cellStyle name="Total 4 2 5 6 7" xfId="13426"/>
    <cellStyle name="Total 4 2 5 7" xfId="3756"/>
    <cellStyle name="Total 4 2 5 7 2" xfId="22728"/>
    <cellStyle name="Total 4 2 5 7 3" xfId="33573"/>
    <cellStyle name="Total 4 2 5 7 4" xfId="13907"/>
    <cellStyle name="Total 4 2 5 8" xfId="6431"/>
    <cellStyle name="Total 4 2 5 8 2" xfId="25403"/>
    <cellStyle name="Total 4 2 5 8 3" xfId="36248"/>
    <cellStyle name="Total 4 2 5 8 4" xfId="15823"/>
    <cellStyle name="Total 4 2 5 9" xfId="9090"/>
    <cellStyle name="Total 4 2 5 9 2" xfId="28062"/>
    <cellStyle name="Total 4 2 5 9 3" xfId="38907"/>
    <cellStyle name="Total 4 2 5 9 4" xfId="17727"/>
    <cellStyle name="Total 4 2 6" xfId="1131"/>
    <cellStyle name="Total 4 2 6 2" xfId="3984"/>
    <cellStyle name="Total 4 2 6 2 2" xfId="22956"/>
    <cellStyle name="Total 4 2 6 2 3" xfId="33801"/>
    <cellStyle name="Total 4 2 6 2 4" xfId="14076"/>
    <cellStyle name="Total 4 2 6 3" xfId="6657"/>
    <cellStyle name="Total 4 2 6 3 2" xfId="25629"/>
    <cellStyle name="Total 4 2 6 3 3" xfId="36474"/>
    <cellStyle name="Total 4 2 6 3 4" xfId="15991"/>
    <cellStyle name="Total 4 2 6 4" xfId="9316"/>
    <cellStyle name="Total 4 2 6 4 2" xfId="28288"/>
    <cellStyle name="Total 4 2 6 4 3" xfId="39133"/>
    <cellStyle name="Total 4 2 6 4 4" xfId="17895"/>
    <cellStyle name="Total 4 2 6 5" xfId="20112"/>
    <cellStyle name="Total 4 2 6 6" xfId="30957"/>
    <cellStyle name="Total 4 2 6 7" xfId="12041"/>
    <cellStyle name="Total 4 2 7" xfId="1527"/>
    <cellStyle name="Total 4 2 7 2" xfId="4380"/>
    <cellStyle name="Total 4 2 7 2 2" xfId="23352"/>
    <cellStyle name="Total 4 2 7 2 3" xfId="34197"/>
    <cellStyle name="Total 4 2 7 2 4" xfId="14362"/>
    <cellStyle name="Total 4 2 7 3" xfId="7053"/>
    <cellStyle name="Total 4 2 7 3 2" xfId="26025"/>
    <cellStyle name="Total 4 2 7 3 3" xfId="36870"/>
    <cellStyle name="Total 4 2 7 3 4" xfId="16277"/>
    <cellStyle name="Total 4 2 7 4" xfId="9712"/>
    <cellStyle name="Total 4 2 7 4 2" xfId="28684"/>
    <cellStyle name="Total 4 2 7 4 3" xfId="39529"/>
    <cellStyle name="Total 4 2 7 4 4" xfId="18181"/>
    <cellStyle name="Total 4 2 7 5" xfId="20508"/>
    <cellStyle name="Total 4 2 7 6" xfId="31353"/>
    <cellStyle name="Total 4 2 7 7" xfId="12327"/>
    <cellStyle name="Total 4 2 8" xfId="1933"/>
    <cellStyle name="Total 4 2 8 2" xfId="4786"/>
    <cellStyle name="Total 4 2 8 2 2" xfId="23758"/>
    <cellStyle name="Total 4 2 8 2 3" xfId="34603"/>
    <cellStyle name="Total 4 2 8 2 4" xfId="14651"/>
    <cellStyle name="Total 4 2 8 3" xfId="7458"/>
    <cellStyle name="Total 4 2 8 3 2" xfId="26430"/>
    <cellStyle name="Total 4 2 8 3 3" xfId="37275"/>
    <cellStyle name="Total 4 2 8 3 4" xfId="16565"/>
    <cellStyle name="Total 4 2 8 4" xfId="10117"/>
    <cellStyle name="Total 4 2 8 4 2" xfId="29089"/>
    <cellStyle name="Total 4 2 8 4 3" xfId="39934"/>
    <cellStyle name="Total 4 2 8 4 4" xfId="18469"/>
    <cellStyle name="Total 4 2 8 5" xfId="20913"/>
    <cellStyle name="Total 4 2 8 6" xfId="31758"/>
    <cellStyle name="Total 4 2 8 7" xfId="12615"/>
    <cellStyle name="Total 4 2 9" xfId="2326"/>
    <cellStyle name="Total 4 2 9 2" xfId="5179"/>
    <cellStyle name="Total 4 2 9 2 2" xfId="24151"/>
    <cellStyle name="Total 4 2 9 2 3" xfId="34996"/>
    <cellStyle name="Total 4 2 9 2 4" xfId="14933"/>
    <cellStyle name="Total 4 2 9 3" xfId="7850"/>
    <cellStyle name="Total 4 2 9 3 2" xfId="26822"/>
    <cellStyle name="Total 4 2 9 3 3" xfId="37667"/>
    <cellStyle name="Total 4 2 9 3 4" xfId="16846"/>
    <cellStyle name="Total 4 2 9 4" xfId="10509"/>
    <cellStyle name="Total 4 2 9 4 2" xfId="29481"/>
    <cellStyle name="Total 4 2 9 4 3" xfId="40326"/>
    <cellStyle name="Total 4 2 9 4 4" xfId="18750"/>
    <cellStyle name="Total 4 2 9 5" xfId="21305"/>
    <cellStyle name="Total 4 2 9 6" xfId="32150"/>
    <cellStyle name="Total 4 2 9 7" xfId="12896"/>
    <cellStyle name="Total 4 3" xfId="621"/>
    <cellStyle name="Total 4 3 10" xfId="19628"/>
    <cellStyle name="Total 4 3 11" xfId="30473"/>
    <cellStyle name="Total 4 3 12" xfId="11676"/>
    <cellStyle name="Total 4 3 2" xfId="1225"/>
    <cellStyle name="Total 4 3 2 2" xfId="4078"/>
    <cellStyle name="Total 4 3 2 2 2" xfId="23050"/>
    <cellStyle name="Total 4 3 2 2 3" xfId="33895"/>
    <cellStyle name="Total 4 3 2 2 4" xfId="14151"/>
    <cellStyle name="Total 4 3 2 3" xfId="6751"/>
    <cellStyle name="Total 4 3 2 3 2" xfId="25723"/>
    <cellStyle name="Total 4 3 2 3 3" xfId="36568"/>
    <cellStyle name="Total 4 3 2 3 4" xfId="16066"/>
    <cellStyle name="Total 4 3 2 4" xfId="9410"/>
    <cellStyle name="Total 4 3 2 4 2" xfId="28382"/>
    <cellStyle name="Total 4 3 2 4 3" xfId="39227"/>
    <cellStyle name="Total 4 3 2 4 4" xfId="17970"/>
    <cellStyle name="Total 4 3 2 5" xfId="20206"/>
    <cellStyle name="Total 4 3 2 6" xfId="31051"/>
    <cellStyle name="Total 4 3 2 7" xfId="12116"/>
    <cellStyle name="Total 4 3 3" xfId="1623"/>
    <cellStyle name="Total 4 3 3 2" xfId="4476"/>
    <cellStyle name="Total 4 3 3 2 2" xfId="23448"/>
    <cellStyle name="Total 4 3 3 2 3" xfId="34293"/>
    <cellStyle name="Total 4 3 3 2 4" xfId="14438"/>
    <cellStyle name="Total 4 3 3 3" xfId="7148"/>
    <cellStyle name="Total 4 3 3 3 2" xfId="26120"/>
    <cellStyle name="Total 4 3 3 3 3" xfId="36965"/>
    <cellStyle name="Total 4 3 3 3 4" xfId="16352"/>
    <cellStyle name="Total 4 3 3 4" xfId="9807"/>
    <cellStyle name="Total 4 3 3 4 2" xfId="28779"/>
    <cellStyle name="Total 4 3 3 4 3" xfId="39624"/>
    <cellStyle name="Total 4 3 3 4 4" xfId="18256"/>
    <cellStyle name="Total 4 3 3 5" xfId="20603"/>
    <cellStyle name="Total 4 3 3 6" xfId="31448"/>
    <cellStyle name="Total 4 3 3 7" xfId="12402"/>
    <cellStyle name="Total 4 3 4" xfId="2025"/>
    <cellStyle name="Total 4 3 4 2" xfId="4878"/>
    <cellStyle name="Total 4 3 4 2 2" xfId="23850"/>
    <cellStyle name="Total 4 3 4 2 3" xfId="34695"/>
    <cellStyle name="Total 4 3 4 2 4" xfId="14724"/>
    <cellStyle name="Total 4 3 4 3" xfId="7550"/>
    <cellStyle name="Total 4 3 4 3 2" xfId="26522"/>
    <cellStyle name="Total 4 3 4 3 3" xfId="37367"/>
    <cellStyle name="Total 4 3 4 3 4" xfId="16638"/>
    <cellStyle name="Total 4 3 4 4" xfId="10209"/>
    <cellStyle name="Total 4 3 4 4 2" xfId="29181"/>
    <cellStyle name="Total 4 3 4 4 3" xfId="40026"/>
    <cellStyle name="Total 4 3 4 4 4" xfId="18542"/>
    <cellStyle name="Total 4 3 4 5" xfId="21005"/>
    <cellStyle name="Total 4 3 4 6" xfId="31850"/>
    <cellStyle name="Total 4 3 4 7" xfId="12688"/>
    <cellStyle name="Total 4 3 5" xfId="2417"/>
    <cellStyle name="Total 4 3 5 2" xfId="5270"/>
    <cellStyle name="Total 4 3 5 2 2" xfId="24242"/>
    <cellStyle name="Total 4 3 5 2 3" xfId="35087"/>
    <cellStyle name="Total 4 3 5 2 4" xfId="15005"/>
    <cellStyle name="Total 4 3 5 3" xfId="7941"/>
    <cellStyle name="Total 4 3 5 3 2" xfId="26913"/>
    <cellStyle name="Total 4 3 5 3 3" xfId="37758"/>
    <cellStyle name="Total 4 3 5 3 4" xfId="16918"/>
    <cellStyle name="Total 4 3 5 4" xfId="10600"/>
    <cellStyle name="Total 4 3 5 4 2" xfId="29572"/>
    <cellStyle name="Total 4 3 5 4 3" xfId="40417"/>
    <cellStyle name="Total 4 3 5 4 4" xfId="18822"/>
    <cellStyle name="Total 4 3 5 5" xfId="21396"/>
    <cellStyle name="Total 4 3 5 6" xfId="32241"/>
    <cellStyle name="Total 4 3 5 7" xfId="12968"/>
    <cellStyle name="Total 4 3 6" xfId="2806"/>
    <cellStyle name="Total 4 3 6 2" xfId="5658"/>
    <cellStyle name="Total 4 3 6 2 2" xfId="24630"/>
    <cellStyle name="Total 4 3 6 2 3" xfId="35475"/>
    <cellStyle name="Total 4 3 6 2 4" xfId="15283"/>
    <cellStyle name="Total 4 3 6 3" xfId="8329"/>
    <cellStyle name="Total 4 3 6 3 2" xfId="27301"/>
    <cellStyle name="Total 4 3 6 3 3" xfId="38146"/>
    <cellStyle name="Total 4 3 6 3 4" xfId="17196"/>
    <cellStyle name="Total 4 3 6 4" xfId="10988"/>
    <cellStyle name="Total 4 3 6 4 2" xfId="29960"/>
    <cellStyle name="Total 4 3 6 4 3" xfId="40805"/>
    <cellStyle name="Total 4 3 6 4 4" xfId="19100"/>
    <cellStyle name="Total 4 3 6 5" xfId="21784"/>
    <cellStyle name="Total 4 3 6 6" xfId="32629"/>
    <cellStyle name="Total 4 3 6 7" xfId="13246"/>
    <cellStyle name="Total 4 3 7" xfId="3497"/>
    <cellStyle name="Total 4 3 7 2" xfId="22469"/>
    <cellStyle name="Total 4 3 7 3" xfId="33314"/>
    <cellStyle name="Total 4 3 7 4" xfId="13728"/>
    <cellStyle name="Total 4 3 8" xfId="6173"/>
    <cellStyle name="Total 4 3 8 2" xfId="25145"/>
    <cellStyle name="Total 4 3 8 3" xfId="35990"/>
    <cellStyle name="Total 4 3 8 4" xfId="15645"/>
    <cellStyle name="Total 4 3 9" xfId="8832"/>
    <cellStyle name="Total 4 3 9 2" xfId="27804"/>
    <cellStyle name="Total 4 3 9 3" xfId="38649"/>
    <cellStyle name="Total 4 3 9 4" xfId="17549"/>
    <cellStyle name="Total 4 4" xfId="11492"/>
    <cellStyle name="Total 5" xfId="327"/>
    <cellStyle name="Total 5 2" xfId="434"/>
    <cellStyle name="Total 5 2 10" xfId="2716"/>
    <cellStyle name="Total 5 2 10 2" xfId="5568"/>
    <cellStyle name="Total 5 2 10 2 2" xfId="24540"/>
    <cellStyle name="Total 5 2 10 2 3" xfId="35385"/>
    <cellStyle name="Total 5 2 10 2 4" xfId="15212"/>
    <cellStyle name="Total 5 2 10 3" xfId="8239"/>
    <cellStyle name="Total 5 2 10 3 2" xfId="27211"/>
    <cellStyle name="Total 5 2 10 3 3" xfId="38056"/>
    <cellStyle name="Total 5 2 10 3 4" xfId="17125"/>
    <cellStyle name="Total 5 2 10 4" xfId="10898"/>
    <cellStyle name="Total 5 2 10 4 2" xfId="29870"/>
    <cellStyle name="Total 5 2 10 4 3" xfId="40715"/>
    <cellStyle name="Total 5 2 10 4 4" xfId="19029"/>
    <cellStyle name="Total 5 2 10 5" xfId="21694"/>
    <cellStyle name="Total 5 2 10 6" xfId="32539"/>
    <cellStyle name="Total 5 2 10 7" xfId="13175"/>
    <cellStyle name="Total 5 2 11" xfId="3101"/>
    <cellStyle name="Total 5 2 11 2" xfId="5952"/>
    <cellStyle name="Total 5 2 11 2 2" xfId="24924"/>
    <cellStyle name="Total 5 2 11 2 3" xfId="35769"/>
    <cellStyle name="Total 5 2 11 2 4" xfId="15487"/>
    <cellStyle name="Total 5 2 11 3" xfId="8623"/>
    <cellStyle name="Total 5 2 11 3 2" xfId="27595"/>
    <cellStyle name="Total 5 2 11 3 3" xfId="38440"/>
    <cellStyle name="Total 5 2 11 3 4" xfId="17400"/>
    <cellStyle name="Total 5 2 11 4" xfId="11282"/>
    <cellStyle name="Total 5 2 11 4 2" xfId="30254"/>
    <cellStyle name="Total 5 2 11 4 3" xfId="41099"/>
    <cellStyle name="Total 5 2 11 4 4" xfId="19304"/>
    <cellStyle name="Total 5 2 11 5" xfId="22078"/>
    <cellStyle name="Total 5 2 11 6" xfId="32923"/>
    <cellStyle name="Total 5 2 11 7" xfId="13450"/>
    <cellStyle name="Total 5 2 12" xfId="3158"/>
    <cellStyle name="Total 5 2 12 2" xfId="6009"/>
    <cellStyle name="Total 5 2 12 2 2" xfId="24981"/>
    <cellStyle name="Total 5 2 12 2 3" xfId="35826"/>
    <cellStyle name="Total 5 2 12 2 4" xfId="15524"/>
    <cellStyle name="Total 5 2 12 3" xfId="8680"/>
    <cellStyle name="Total 5 2 12 3 2" xfId="27652"/>
    <cellStyle name="Total 5 2 12 3 3" xfId="38497"/>
    <cellStyle name="Total 5 2 12 3 4" xfId="17437"/>
    <cellStyle name="Total 5 2 12 4" xfId="11339"/>
    <cellStyle name="Total 5 2 12 4 2" xfId="30311"/>
    <cellStyle name="Total 5 2 12 4 3" xfId="41156"/>
    <cellStyle name="Total 5 2 12 4 4" xfId="19341"/>
    <cellStyle name="Total 5 2 12 5" xfId="22135"/>
    <cellStyle name="Total 5 2 12 6" xfId="32980"/>
    <cellStyle name="Total 5 2 12 7" xfId="13487"/>
    <cellStyle name="Total 5 2 13" xfId="3215"/>
    <cellStyle name="Total 5 2 13 2" xfId="6066"/>
    <cellStyle name="Total 5 2 13 2 2" xfId="25038"/>
    <cellStyle name="Total 5 2 13 2 3" xfId="35883"/>
    <cellStyle name="Total 5 2 13 2 4" xfId="15561"/>
    <cellStyle name="Total 5 2 13 3" xfId="8737"/>
    <cellStyle name="Total 5 2 13 3 2" xfId="27709"/>
    <cellStyle name="Total 5 2 13 3 3" xfId="38554"/>
    <cellStyle name="Total 5 2 13 3 4" xfId="17474"/>
    <cellStyle name="Total 5 2 13 4" xfId="11396"/>
    <cellStyle name="Total 5 2 13 4 2" xfId="30368"/>
    <cellStyle name="Total 5 2 13 4 3" xfId="41213"/>
    <cellStyle name="Total 5 2 13 4 4" xfId="19378"/>
    <cellStyle name="Total 5 2 13 5" xfId="22192"/>
    <cellStyle name="Total 5 2 13 6" xfId="33037"/>
    <cellStyle name="Total 5 2 13 7" xfId="13524"/>
    <cellStyle name="Total 5 2 14" xfId="3384"/>
    <cellStyle name="Total 5 2 14 2" xfId="22358"/>
    <cellStyle name="Total 5 2 14 3" xfId="33203"/>
    <cellStyle name="Total 5 2 14 4" xfId="13641"/>
    <cellStyle name="Total 5 2 15" xfId="3267"/>
    <cellStyle name="Total 5 2 15 2" xfId="22241"/>
    <cellStyle name="Total 5 2 15 3" xfId="33086"/>
    <cellStyle name="Total 5 2 15 4" xfId="13566"/>
    <cellStyle name="Total 5 2 16" xfId="3226"/>
    <cellStyle name="Total 5 2 16 2" xfId="22203"/>
    <cellStyle name="Total 5 2 16 3" xfId="33048"/>
    <cellStyle name="Total 5 2 16 4" xfId="13534"/>
    <cellStyle name="Total 5 2 17" xfId="19512"/>
    <cellStyle name="Total 5 2 18" xfId="19514"/>
    <cellStyle name="Total 5 2 19" xfId="11554"/>
    <cellStyle name="Total 5 2 2" xfId="725"/>
    <cellStyle name="Total 5 2 2 10" xfId="19710"/>
    <cellStyle name="Total 5 2 2 11" xfId="30555"/>
    <cellStyle name="Total 5 2 2 12" xfId="11757"/>
    <cellStyle name="Total 5 2 2 2" xfId="1312"/>
    <cellStyle name="Total 5 2 2 2 2" xfId="4165"/>
    <cellStyle name="Total 5 2 2 2 2 2" xfId="23137"/>
    <cellStyle name="Total 5 2 2 2 2 3" xfId="33982"/>
    <cellStyle name="Total 5 2 2 2 2 4" xfId="14218"/>
    <cellStyle name="Total 5 2 2 2 3" xfId="6838"/>
    <cellStyle name="Total 5 2 2 2 3 2" xfId="25810"/>
    <cellStyle name="Total 5 2 2 2 3 3" xfId="36655"/>
    <cellStyle name="Total 5 2 2 2 3 4" xfId="16133"/>
    <cellStyle name="Total 5 2 2 2 4" xfId="9497"/>
    <cellStyle name="Total 5 2 2 2 4 2" xfId="28469"/>
    <cellStyle name="Total 5 2 2 2 4 3" xfId="39314"/>
    <cellStyle name="Total 5 2 2 2 4 4" xfId="18037"/>
    <cellStyle name="Total 5 2 2 2 5" xfId="20293"/>
    <cellStyle name="Total 5 2 2 2 6" xfId="31138"/>
    <cellStyle name="Total 5 2 2 2 7" xfId="12183"/>
    <cellStyle name="Total 5 2 2 3" xfId="1711"/>
    <cellStyle name="Total 5 2 2 3 2" xfId="4564"/>
    <cellStyle name="Total 5 2 2 3 2 2" xfId="23536"/>
    <cellStyle name="Total 5 2 2 3 2 3" xfId="34381"/>
    <cellStyle name="Total 5 2 2 3 2 4" xfId="14505"/>
    <cellStyle name="Total 5 2 2 3 3" xfId="7236"/>
    <cellStyle name="Total 5 2 2 3 3 2" xfId="26208"/>
    <cellStyle name="Total 5 2 2 3 3 3" xfId="37053"/>
    <cellStyle name="Total 5 2 2 3 3 4" xfId="16419"/>
    <cellStyle name="Total 5 2 2 3 4" xfId="9895"/>
    <cellStyle name="Total 5 2 2 3 4 2" xfId="28867"/>
    <cellStyle name="Total 5 2 2 3 4 3" xfId="39712"/>
    <cellStyle name="Total 5 2 2 3 4 4" xfId="18323"/>
    <cellStyle name="Total 5 2 2 3 5" xfId="20691"/>
    <cellStyle name="Total 5 2 2 3 6" xfId="31536"/>
    <cellStyle name="Total 5 2 2 3 7" xfId="12469"/>
    <cellStyle name="Total 5 2 2 4" xfId="2115"/>
    <cellStyle name="Total 5 2 2 4 2" xfId="4968"/>
    <cellStyle name="Total 5 2 2 4 2 2" xfId="23940"/>
    <cellStyle name="Total 5 2 2 4 2 3" xfId="34785"/>
    <cellStyle name="Total 5 2 2 4 2 4" xfId="14792"/>
    <cellStyle name="Total 5 2 2 4 3" xfId="7639"/>
    <cellStyle name="Total 5 2 2 4 3 2" xfId="26611"/>
    <cellStyle name="Total 5 2 2 4 3 3" xfId="37456"/>
    <cellStyle name="Total 5 2 2 4 3 4" xfId="16705"/>
    <cellStyle name="Total 5 2 2 4 4" xfId="10298"/>
    <cellStyle name="Total 5 2 2 4 4 2" xfId="29270"/>
    <cellStyle name="Total 5 2 2 4 4 3" xfId="40115"/>
    <cellStyle name="Total 5 2 2 4 4 4" xfId="18609"/>
    <cellStyle name="Total 5 2 2 4 5" xfId="21094"/>
    <cellStyle name="Total 5 2 2 4 6" xfId="31939"/>
    <cellStyle name="Total 5 2 2 4 7" xfId="12755"/>
    <cellStyle name="Total 5 2 2 5" xfId="2505"/>
    <cellStyle name="Total 5 2 2 5 2" xfId="5357"/>
    <cellStyle name="Total 5 2 2 5 2 2" xfId="24329"/>
    <cellStyle name="Total 5 2 2 5 2 3" xfId="35174"/>
    <cellStyle name="Total 5 2 2 5 2 4" xfId="15071"/>
    <cellStyle name="Total 5 2 2 5 3" xfId="8028"/>
    <cellStyle name="Total 5 2 2 5 3 2" xfId="27000"/>
    <cellStyle name="Total 5 2 2 5 3 3" xfId="37845"/>
    <cellStyle name="Total 5 2 2 5 3 4" xfId="16984"/>
    <cellStyle name="Total 5 2 2 5 4" xfId="10687"/>
    <cellStyle name="Total 5 2 2 5 4 2" xfId="29659"/>
    <cellStyle name="Total 5 2 2 5 4 3" xfId="40504"/>
    <cellStyle name="Total 5 2 2 5 4 4" xfId="18888"/>
    <cellStyle name="Total 5 2 2 5 5" xfId="21483"/>
    <cellStyle name="Total 5 2 2 5 6" xfId="32328"/>
    <cellStyle name="Total 5 2 2 5 7" xfId="13034"/>
    <cellStyle name="Total 5 2 2 6" xfId="2891"/>
    <cellStyle name="Total 5 2 2 6 2" xfId="5742"/>
    <cellStyle name="Total 5 2 2 6 2 2" xfId="24714"/>
    <cellStyle name="Total 5 2 2 6 2 3" xfId="35559"/>
    <cellStyle name="Total 5 2 2 6 2 4" xfId="15347"/>
    <cellStyle name="Total 5 2 2 6 3" xfId="8413"/>
    <cellStyle name="Total 5 2 2 6 3 2" xfId="27385"/>
    <cellStyle name="Total 5 2 2 6 3 3" xfId="38230"/>
    <cellStyle name="Total 5 2 2 6 3 4" xfId="17260"/>
    <cellStyle name="Total 5 2 2 6 4" xfId="11072"/>
    <cellStyle name="Total 5 2 2 6 4 2" xfId="30044"/>
    <cellStyle name="Total 5 2 2 6 4 3" xfId="40889"/>
    <cellStyle name="Total 5 2 2 6 4 4" xfId="19164"/>
    <cellStyle name="Total 5 2 2 6 5" xfId="21868"/>
    <cellStyle name="Total 5 2 2 6 6" xfId="32713"/>
    <cellStyle name="Total 5 2 2 6 7" xfId="13310"/>
    <cellStyle name="Total 5 2 2 7" xfId="3580"/>
    <cellStyle name="Total 5 2 2 7 2" xfId="22552"/>
    <cellStyle name="Total 5 2 2 7 3" xfId="33397"/>
    <cellStyle name="Total 5 2 2 7 4" xfId="13791"/>
    <cellStyle name="Total 5 2 2 8" xfId="6255"/>
    <cellStyle name="Total 5 2 2 8 2" xfId="25227"/>
    <cellStyle name="Total 5 2 2 8 3" xfId="36072"/>
    <cellStyle name="Total 5 2 2 8 4" xfId="15707"/>
    <cellStyle name="Total 5 2 2 9" xfId="8914"/>
    <cellStyle name="Total 5 2 2 9 2" xfId="27886"/>
    <cellStyle name="Total 5 2 2 9 3" xfId="38731"/>
    <cellStyle name="Total 5 2 2 9 4" xfId="17611"/>
    <cellStyle name="Total 5 2 3" xfId="784"/>
    <cellStyle name="Total 5 2 3 10" xfId="19769"/>
    <cellStyle name="Total 5 2 3 11" xfId="30614"/>
    <cellStyle name="Total 5 2 3 12" xfId="11796"/>
    <cellStyle name="Total 5 2 3 2" xfId="1371"/>
    <cellStyle name="Total 5 2 3 2 2" xfId="4224"/>
    <cellStyle name="Total 5 2 3 2 2 2" xfId="23196"/>
    <cellStyle name="Total 5 2 3 2 2 3" xfId="34041"/>
    <cellStyle name="Total 5 2 3 2 2 4" xfId="14257"/>
    <cellStyle name="Total 5 2 3 2 3" xfId="6897"/>
    <cellStyle name="Total 5 2 3 2 3 2" xfId="25869"/>
    <cellStyle name="Total 5 2 3 2 3 3" xfId="36714"/>
    <cellStyle name="Total 5 2 3 2 3 4" xfId="16172"/>
    <cellStyle name="Total 5 2 3 2 4" xfId="9556"/>
    <cellStyle name="Total 5 2 3 2 4 2" xfId="28528"/>
    <cellStyle name="Total 5 2 3 2 4 3" xfId="39373"/>
    <cellStyle name="Total 5 2 3 2 4 4" xfId="18076"/>
    <cellStyle name="Total 5 2 3 2 5" xfId="20352"/>
    <cellStyle name="Total 5 2 3 2 6" xfId="31197"/>
    <cellStyle name="Total 5 2 3 2 7" xfId="12222"/>
    <cellStyle name="Total 5 2 3 3" xfId="1770"/>
    <cellStyle name="Total 5 2 3 3 2" xfId="4623"/>
    <cellStyle name="Total 5 2 3 3 2 2" xfId="23595"/>
    <cellStyle name="Total 5 2 3 3 2 3" xfId="34440"/>
    <cellStyle name="Total 5 2 3 3 2 4" xfId="14544"/>
    <cellStyle name="Total 5 2 3 3 3" xfId="7295"/>
    <cellStyle name="Total 5 2 3 3 3 2" xfId="26267"/>
    <cellStyle name="Total 5 2 3 3 3 3" xfId="37112"/>
    <cellStyle name="Total 5 2 3 3 3 4" xfId="16458"/>
    <cellStyle name="Total 5 2 3 3 4" xfId="9954"/>
    <cellStyle name="Total 5 2 3 3 4 2" xfId="28926"/>
    <cellStyle name="Total 5 2 3 3 4 3" xfId="39771"/>
    <cellStyle name="Total 5 2 3 3 4 4" xfId="18362"/>
    <cellStyle name="Total 5 2 3 3 5" xfId="20750"/>
    <cellStyle name="Total 5 2 3 3 6" xfId="31595"/>
    <cellStyle name="Total 5 2 3 3 7" xfId="12508"/>
    <cellStyle name="Total 5 2 3 4" xfId="2174"/>
    <cellStyle name="Total 5 2 3 4 2" xfId="5027"/>
    <cellStyle name="Total 5 2 3 4 2 2" xfId="23999"/>
    <cellStyle name="Total 5 2 3 4 2 3" xfId="34844"/>
    <cellStyle name="Total 5 2 3 4 2 4" xfId="14831"/>
    <cellStyle name="Total 5 2 3 4 3" xfId="7698"/>
    <cellStyle name="Total 5 2 3 4 3 2" xfId="26670"/>
    <cellStyle name="Total 5 2 3 4 3 3" xfId="37515"/>
    <cellStyle name="Total 5 2 3 4 3 4" xfId="16744"/>
    <cellStyle name="Total 5 2 3 4 4" xfId="10357"/>
    <cellStyle name="Total 5 2 3 4 4 2" xfId="29329"/>
    <cellStyle name="Total 5 2 3 4 4 3" xfId="40174"/>
    <cellStyle name="Total 5 2 3 4 4 4" xfId="18648"/>
    <cellStyle name="Total 5 2 3 4 5" xfId="21153"/>
    <cellStyle name="Total 5 2 3 4 6" xfId="31998"/>
    <cellStyle name="Total 5 2 3 4 7" xfId="12794"/>
    <cellStyle name="Total 5 2 3 5" xfId="2564"/>
    <cellStyle name="Total 5 2 3 5 2" xfId="5416"/>
    <cellStyle name="Total 5 2 3 5 2 2" xfId="24388"/>
    <cellStyle name="Total 5 2 3 5 2 3" xfId="35233"/>
    <cellStyle name="Total 5 2 3 5 2 4" xfId="15110"/>
    <cellStyle name="Total 5 2 3 5 3" xfId="8087"/>
    <cellStyle name="Total 5 2 3 5 3 2" xfId="27059"/>
    <cellStyle name="Total 5 2 3 5 3 3" xfId="37904"/>
    <cellStyle name="Total 5 2 3 5 3 4" xfId="17023"/>
    <cellStyle name="Total 5 2 3 5 4" xfId="10746"/>
    <cellStyle name="Total 5 2 3 5 4 2" xfId="29718"/>
    <cellStyle name="Total 5 2 3 5 4 3" xfId="40563"/>
    <cellStyle name="Total 5 2 3 5 4 4" xfId="18927"/>
    <cellStyle name="Total 5 2 3 5 5" xfId="21542"/>
    <cellStyle name="Total 5 2 3 5 6" xfId="32387"/>
    <cellStyle name="Total 5 2 3 5 7" xfId="13073"/>
    <cellStyle name="Total 5 2 3 6" xfId="2950"/>
    <cellStyle name="Total 5 2 3 6 2" xfId="5801"/>
    <cellStyle name="Total 5 2 3 6 2 2" xfId="24773"/>
    <cellStyle name="Total 5 2 3 6 2 3" xfId="35618"/>
    <cellStyle name="Total 5 2 3 6 2 4" xfId="15386"/>
    <cellStyle name="Total 5 2 3 6 3" xfId="8472"/>
    <cellStyle name="Total 5 2 3 6 3 2" xfId="27444"/>
    <cellStyle name="Total 5 2 3 6 3 3" xfId="38289"/>
    <cellStyle name="Total 5 2 3 6 3 4" xfId="17299"/>
    <cellStyle name="Total 5 2 3 6 4" xfId="11131"/>
    <cellStyle name="Total 5 2 3 6 4 2" xfId="30103"/>
    <cellStyle name="Total 5 2 3 6 4 3" xfId="40948"/>
    <cellStyle name="Total 5 2 3 6 4 4" xfId="19203"/>
    <cellStyle name="Total 5 2 3 6 5" xfId="21927"/>
    <cellStyle name="Total 5 2 3 6 6" xfId="32772"/>
    <cellStyle name="Total 5 2 3 6 7" xfId="13349"/>
    <cellStyle name="Total 5 2 3 7" xfId="3639"/>
    <cellStyle name="Total 5 2 3 7 2" xfId="22611"/>
    <cellStyle name="Total 5 2 3 7 3" xfId="33456"/>
    <cellStyle name="Total 5 2 3 7 4" xfId="13830"/>
    <cellStyle name="Total 5 2 3 8" xfId="6314"/>
    <cellStyle name="Total 5 2 3 8 2" xfId="25286"/>
    <cellStyle name="Total 5 2 3 8 3" xfId="36131"/>
    <cellStyle name="Total 5 2 3 8 4" xfId="15746"/>
    <cellStyle name="Total 5 2 3 9" xfId="8973"/>
    <cellStyle name="Total 5 2 3 9 2" xfId="27945"/>
    <cellStyle name="Total 5 2 3 9 3" xfId="38790"/>
    <cellStyle name="Total 5 2 3 9 4" xfId="17650"/>
    <cellStyle name="Total 5 2 4" xfId="843"/>
    <cellStyle name="Total 5 2 4 10" xfId="19828"/>
    <cellStyle name="Total 5 2 4 11" xfId="30673"/>
    <cellStyle name="Total 5 2 4 12" xfId="11835"/>
    <cellStyle name="Total 5 2 4 2" xfId="1430"/>
    <cellStyle name="Total 5 2 4 2 2" xfId="4283"/>
    <cellStyle name="Total 5 2 4 2 2 2" xfId="23255"/>
    <cellStyle name="Total 5 2 4 2 2 3" xfId="34100"/>
    <cellStyle name="Total 5 2 4 2 2 4" xfId="14296"/>
    <cellStyle name="Total 5 2 4 2 3" xfId="6956"/>
    <cellStyle name="Total 5 2 4 2 3 2" xfId="25928"/>
    <cellStyle name="Total 5 2 4 2 3 3" xfId="36773"/>
    <cellStyle name="Total 5 2 4 2 3 4" xfId="16211"/>
    <cellStyle name="Total 5 2 4 2 4" xfId="9615"/>
    <cellStyle name="Total 5 2 4 2 4 2" xfId="28587"/>
    <cellStyle name="Total 5 2 4 2 4 3" xfId="39432"/>
    <cellStyle name="Total 5 2 4 2 4 4" xfId="18115"/>
    <cellStyle name="Total 5 2 4 2 5" xfId="20411"/>
    <cellStyle name="Total 5 2 4 2 6" xfId="31256"/>
    <cellStyle name="Total 5 2 4 2 7" xfId="12261"/>
    <cellStyle name="Total 5 2 4 3" xfId="1829"/>
    <cellStyle name="Total 5 2 4 3 2" xfId="4682"/>
    <cellStyle name="Total 5 2 4 3 2 2" xfId="23654"/>
    <cellStyle name="Total 5 2 4 3 2 3" xfId="34499"/>
    <cellStyle name="Total 5 2 4 3 2 4" xfId="14583"/>
    <cellStyle name="Total 5 2 4 3 3" xfId="7354"/>
    <cellStyle name="Total 5 2 4 3 3 2" xfId="26326"/>
    <cellStyle name="Total 5 2 4 3 3 3" xfId="37171"/>
    <cellStyle name="Total 5 2 4 3 3 4" xfId="16497"/>
    <cellStyle name="Total 5 2 4 3 4" xfId="10013"/>
    <cellStyle name="Total 5 2 4 3 4 2" xfId="28985"/>
    <cellStyle name="Total 5 2 4 3 4 3" xfId="39830"/>
    <cellStyle name="Total 5 2 4 3 4 4" xfId="18401"/>
    <cellStyle name="Total 5 2 4 3 5" xfId="20809"/>
    <cellStyle name="Total 5 2 4 3 6" xfId="31654"/>
    <cellStyle name="Total 5 2 4 3 7" xfId="12547"/>
    <cellStyle name="Total 5 2 4 4" xfId="2233"/>
    <cellStyle name="Total 5 2 4 4 2" xfId="5086"/>
    <cellStyle name="Total 5 2 4 4 2 2" xfId="24058"/>
    <cellStyle name="Total 5 2 4 4 2 3" xfId="34903"/>
    <cellStyle name="Total 5 2 4 4 2 4" xfId="14870"/>
    <cellStyle name="Total 5 2 4 4 3" xfId="7757"/>
    <cellStyle name="Total 5 2 4 4 3 2" xfId="26729"/>
    <cellStyle name="Total 5 2 4 4 3 3" xfId="37574"/>
    <cellStyle name="Total 5 2 4 4 3 4" xfId="16783"/>
    <cellStyle name="Total 5 2 4 4 4" xfId="10416"/>
    <cellStyle name="Total 5 2 4 4 4 2" xfId="29388"/>
    <cellStyle name="Total 5 2 4 4 4 3" xfId="40233"/>
    <cellStyle name="Total 5 2 4 4 4 4" xfId="18687"/>
    <cellStyle name="Total 5 2 4 4 5" xfId="21212"/>
    <cellStyle name="Total 5 2 4 4 6" xfId="32057"/>
    <cellStyle name="Total 5 2 4 4 7" xfId="12833"/>
    <cellStyle name="Total 5 2 4 5" xfId="2623"/>
    <cellStyle name="Total 5 2 4 5 2" xfId="5475"/>
    <cellStyle name="Total 5 2 4 5 2 2" xfId="24447"/>
    <cellStyle name="Total 5 2 4 5 2 3" xfId="35292"/>
    <cellStyle name="Total 5 2 4 5 2 4" xfId="15149"/>
    <cellStyle name="Total 5 2 4 5 3" xfId="8146"/>
    <cellStyle name="Total 5 2 4 5 3 2" xfId="27118"/>
    <cellStyle name="Total 5 2 4 5 3 3" xfId="37963"/>
    <cellStyle name="Total 5 2 4 5 3 4" xfId="17062"/>
    <cellStyle name="Total 5 2 4 5 4" xfId="10805"/>
    <cellStyle name="Total 5 2 4 5 4 2" xfId="29777"/>
    <cellStyle name="Total 5 2 4 5 4 3" xfId="40622"/>
    <cellStyle name="Total 5 2 4 5 4 4" xfId="18966"/>
    <cellStyle name="Total 5 2 4 5 5" xfId="21601"/>
    <cellStyle name="Total 5 2 4 5 6" xfId="32446"/>
    <cellStyle name="Total 5 2 4 5 7" xfId="13112"/>
    <cellStyle name="Total 5 2 4 6" xfId="3009"/>
    <cellStyle name="Total 5 2 4 6 2" xfId="5860"/>
    <cellStyle name="Total 5 2 4 6 2 2" xfId="24832"/>
    <cellStyle name="Total 5 2 4 6 2 3" xfId="35677"/>
    <cellStyle name="Total 5 2 4 6 2 4" xfId="15425"/>
    <cellStyle name="Total 5 2 4 6 3" xfId="8531"/>
    <cellStyle name="Total 5 2 4 6 3 2" xfId="27503"/>
    <cellStyle name="Total 5 2 4 6 3 3" xfId="38348"/>
    <cellStyle name="Total 5 2 4 6 3 4" xfId="17338"/>
    <cellStyle name="Total 5 2 4 6 4" xfId="11190"/>
    <cellStyle name="Total 5 2 4 6 4 2" xfId="30162"/>
    <cellStyle name="Total 5 2 4 6 4 3" xfId="41007"/>
    <cellStyle name="Total 5 2 4 6 4 4" xfId="19242"/>
    <cellStyle name="Total 5 2 4 6 5" xfId="21986"/>
    <cellStyle name="Total 5 2 4 6 6" xfId="32831"/>
    <cellStyle name="Total 5 2 4 6 7" xfId="13388"/>
    <cellStyle name="Total 5 2 4 7" xfId="3698"/>
    <cellStyle name="Total 5 2 4 7 2" xfId="22670"/>
    <cellStyle name="Total 5 2 4 7 3" xfId="33515"/>
    <cellStyle name="Total 5 2 4 7 4" xfId="13869"/>
    <cellStyle name="Total 5 2 4 8" xfId="6373"/>
    <cellStyle name="Total 5 2 4 8 2" xfId="25345"/>
    <cellStyle name="Total 5 2 4 8 3" xfId="36190"/>
    <cellStyle name="Total 5 2 4 8 4" xfId="15785"/>
    <cellStyle name="Total 5 2 4 9" xfId="9032"/>
    <cellStyle name="Total 5 2 4 9 2" xfId="28004"/>
    <cellStyle name="Total 5 2 4 9 3" xfId="38849"/>
    <cellStyle name="Total 5 2 4 9 4" xfId="17689"/>
    <cellStyle name="Total 5 2 5" xfId="902"/>
    <cellStyle name="Total 5 2 5 10" xfId="19887"/>
    <cellStyle name="Total 5 2 5 11" xfId="30732"/>
    <cellStyle name="Total 5 2 5 12" xfId="11874"/>
    <cellStyle name="Total 5 2 5 2" xfId="1489"/>
    <cellStyle name="Total 5 2 5 2 2" xfId="4342"/>
    <cellStyle name="Total 5 2 5 2 2 2" xfId="23314"/>
    <cellStyle name="Total 5 2 5 2 2 3" xfId="34159"/>
    <cellStyle name="Total 5 2 5 2 2 4" xfId="14335"/>
    <cellStyle name="Total 5 2 5 2 3" xfId="7015"/>
    <cellStyle name="Total 5 2 5 2 3 2" xfId="25987"/>
    <cellStyle name="Total 5 2 5 2 3 3" xfId="36832"/>
    <cellStyle name="Total 5 2 5 2 3 4" xfId="16250"/>
    <cellStyle name="Total 5 2 5 2 4" xfId="9674"/>
    <cellStyle name="Total 5 2 5 2 4 2" xfId="28646"/>
    <cellStyle name="Total 5 2 5 2 4 3" xfId="39491"/>
    <cellStyle name="Total 5 2 5 2 4 4" xfId="18154"/>
    <cellStyle name="Total 5 2 5 2 5" xfId="20470"/>
    <cellStyle name="Total 5 2 5 2 6" xfId="31315"/>
    <cellStyle name="Total 5 2 5 2 7" xfId="12300"/>
    <cellStyle name="Total 5 2 5 3" xfId="1888"/>
    <cellStyle name="Total 5 2 5 3 2" xfId="4741"/>
    <cellStyle name="Total 5 2 5 3 2 2" xfId="23713"/>
    <cellStyle name="Total 5 2 5 3 2 3" xfId="34558"/>
    <cellStyle name="Total 5 2 5 3 2 4" xfId="14622"/>
    <cellStyle name="Total 5 2 5 3 3" xfId="7413"/>
    <cellStyle name="Total 5 2 5 3 3 2" xfId="26385"/>
    <cellStyle name="Total 5 2 5 3 3 3" xfId="37230"/>
    <cellStyle name="Total 5 2 5 3 3 4" xfId="16536"/>
    <cellStyle name="Total 5 2 5 3 4" xfId="10072"/>
    <cellStyle name="Total 5 2 5 3 4 2" xfId="29044"/>
    <cellStyle name="Total 5 2 5 3 4 3" xfId="39889"/>
    <cellStyle name="Total 5 2 5 3 4 4" xfId="18440"/>
    <cellStyle name="Total 5 2 5 3 5" xfId="20868"/>
    <cellStyle name="Total 5 2 5 3 6" xfId="31713"/>
    <cellStyle name="Total 5 2 5 3 7" xfId="12586"/>
    <cellStyle name="Total 5 2 5 4" xfId="2292"/>
    <cellStyle name="Total 5 2 5 4 2" xfId="5145"/>
    <cellStyle name="Total 5 2 5 4 2 2" xfId="24117"/>
    <cellStyle name="Total 5 2 5 4 2 3" xfId="34962"/>
    <cellStyle name="Total 5 2 5 4 2 4" xfId="14909"/>
    <cellStyle name="Total 5 2 5 4 3" xfId="7816"/>
    <cellStyle name="Total 5 2 5 4 3 2" xfId="26788"/>
    <cellStyle name="Total 5 2 5 4 3 3" xfId="37633"/>
    <cellStyle name="Total 5 2 5 4 3 4" xfId="16822"/>
    <cellStyle name="Total 5 2 5 4 4" xfId="10475"/>
    <cellStyle name="Total 5 2 5 4 4 2" xfId="29447"/>
    <cellStyle name="Total 5 2 5 4 4 3" xfId="40292"/>
    <cellStyle name="Total 5 2 5 4 4 4" xfId="18726"/>
    <cellStyle name="Total 5 2 5 4 5" xfId="21271"/>
    <cellStyle name="Total 5 2 5 4 6" xfId="32116"/>
    <cellStyle name="Total 5 2 5 4 7" xfId="12872"/>
    <cellStyle name="Total 5 2 5 5" xfId="2682"/>
    <cellStyle name="Total 5 2 5 5 2" xfId="5534"/>
    <cellStyle name="Total 5 2 5 5 2 2" xfId="24506"/>
    <cellStyle name="Total 5 2 5 5 2 3" xfId="35351"/>
    <cellStyle name="Total 5 2 5 5 2 4" xfId="15188"/>
    <cellStyle name="Total 5 2 5 5 3" xfId="8205"/>
    <cellStyle name="Total 5 2 5 5 3 2" xfId="27177"/>
    <cellStyle name="Total 5 2 5 5 3 3" xfId="38022"/>
    <cellStyle name="Total 5 2 5 5 3 4" xfId="17101"/>
    <cellStyle name="Total 5 2 5 5 4" xfId="10864"/>
    <cellStyle name="Total 5 2 5 5 4 2" xfId="29836"/>
    <cellStyle name="Total 5 2 5 5 4 3" xfId="40681"/>
    <cellStyle name="Total 5 2 5 5 4 4" xfId="19005"/>
    <cellStyle name="Total 5 2 5 5 5" xfId="21660"/>
    <cellStyle name="Total 5 2 5 5 6" xfId="32505"/>
    <cellStyle name="Total 5 2 5 5 7" xfId="13151"/>
    <cellStyle name="Total 5 2 5 6" xfId="3068"/>
    <cellStyle name="Total 5 2 5 6 2" xfId="5919"/>
    <cellStyle name="Total 5 2 5 6 2 2" xfId="24891"/>
    <cellStyle name="Total 5 2 5 6 2 3" xfId="35736"/>
    <cellStyle name="Total 5 2 5 6 2 4" xfId="15464"/>
    <cellStyle name="Total 5 2 5 6 3" xfId="8590"/>
    <cellStyle name="Total 5 2 5 6 3 2" xfId="27562"/>
    <cellStyle name="Total 5 2 5 6 3 3" xfId="38407"/>
    <cellStyle name="Total 5 2 5 6 3 4" xfId="17377"/>
    <cellStyle name="Total 5 2 5 6 4" xfId="11249"/>
    <cellStyle name="Total 5 2 5 6 4 2" xfId="30221"/>
    <cellStyle name="Total 5 2 5 6 4 3" xfId="41066"/>
    <cellStyle name="Total 5 2 5 6 4 4" xfId="19281"/>
    <cellStyle name="Total 5 2 5 6 5" xfId="22045"/>
    <cellStyle name="Total 5 2 5 6 6" xfId="32890"/>
    <cellStyle name="Total 5 2 5 6 7" xfId="13427"/>
    <cellStyle name="Total 5 2 5 7" xfId="3757"/>
    <cellStyle name="Total 5 2 5 7 2" xfId="22729"/>
    <cellStyle name="Total 5 2 5 7 3" xfId="33574"/>
    <cellStyle name="Total 5 2 5 7 4" xfId="13908"/>
    <cellStyle name="Total 5 2 5 8" xfId="6432"/>
    <cellStyle name="Total 5 2 5 8 2" xfId="25404"/>
    <cellStyle name="Total 5 2 5 8 3" xfId="36249"/>
    <cellStyle name="Total 5 2 5 8 4" xfId="15824"/>
    <cellStyle name="Total 5 2 5 9" xfId="9091"/>
    <cellStyle name="Total 5 2 5 9 2" xfId="28063"/>
    <cellStyle name="Total 5 2 5 9 3" xfId="38908"/>
    <cellStyle name="Total 5 2 5 9 4" xfId="17728"/>
    <cellStyle name="Total 5 2 6" xfId="1132"/>
    <cellStyle name="Total 5 2 6 2" xfId="3985"/>
    <cellStyle name="Total 5 2 6 2 2" xfId="22957"/>
    <cellStyle name="Total 5 2 6 2 3" xfId="33802"/>
    <cellStyle name="Total 5 2 6 2 4" xfId="14077"/>
    <cellStyle name="Total 5 2 6 3" xfId="6658"/>
    <cellStyle name="Total 5 2 6 3 2" xfId="25630"/>
    <cellStyle name="Total 5 2 6 3 3" xfId="36475"/>
    <cellStyle name="Total 5 2 6 3 4" xfId="15992"/>
    <cellStyle name="Total 5 2 6 4" xfId="9317"/>
    <cellStyle name="Total 5 2 6 4 2" xfId="28289"/>
    <cellStyle name="Total 5 2 6 4 3" xfId="39134"/>
    <cellStyle name="Total 5 2 6 4 4" xfId="17896"/>
    <cellStyle name="Total 5 2 6 5" xfId="20113"/>
    <cellStyle name="Total 5 2 6 6" xfId="30958"/>
    <cellStyle name="Total 5 2 6 7" xfId="12042"/>
    <cellStyle name="Total 5 2 7" xfId="1528"/>
    <cellStyle name="Total 5 2 7 2" xfId="4381"/>
    <cellStyle name="Total 5 2 7 2 2" xfId="23353"/>
    <cellStyle name="Total 5 2 7 2 3" xfId="34198"/>
    <cellStyle name="Total 5 2 7 2 4" xfId="14363"/>
    <cellStyle name="Total 5 2 7 3" xfId="7054"/>
    <cellStyle name="Total 5 2 7 3 2" xfId="26026"/>
    <cellStyle name="Total 5 2 7 3 3" xfId="36871"/>
    <cellStyle name="Total 5 2 7 3 4" xfId="16278"/>
    <cellStyle name="Total 5 2 7 4" xfId="9713"/>
    <cellStyle name="Total 5 2 7 4 2" xfId="28685"/>
    <cellStyle name="Total 5 2 7 4 3" xfId="39530"/>
    <cellStyle name="Total 5 2 7 4 4" xfId="18182"/>
    <cellStyle name="Total 5 2 7 5" xfId="20509"/>
    <cellStyle name="Total 5 2 7 6" xfId="31354"/>
    <cellStyle name="Total 5 2 7 7" xfId="12328"/>
    <cellStyle name="Total 5 2 8" xfId="1934"/>
    <cellStyle name="Total 5 2 8 2" xfId="4787"/>
    <cellStyle name="Total 5 2 8 2 2" xfId="23759"/>
    <cellStyle name="Total 5 2 8 2 3" xfId="34604"/>
    <cellStyle name="Total 5 2 8 2 4" xfId="14652"/>
    <cellStyle name="Total 5 2 8 3" xfId="7459"/>
    <cellStyle name="Total 5 2 8 3 2" xfId="26431"/>
    <cellStyle name="Total 5 2 8 3 3" xfId="37276"/>
    <cellStyle name="Total 5 2 8 3 4" xfId="16566"/>
    <cellStyle name="Total 5 2 8 4" xfId="10118"/>
    <cellStyle name="Total 5 2 8 4 2" xfId="29090"/>
    <cellStyle name="Total 5 2 8 4 3" xfId="39935"/>
    <cellStyle name="Total 5 2 8 4 4" xfId="18470"/>
    <cellStyle name="Total 5 2 8 5" xfId="20914"/>
    <cellStyle name="Total 5 2 8 6" xfId="31759"/>
    <cellStyle name="Total 5 2 8 7" xfId="12616"/>
    <cellStyle name="Total 5 2 9" xfId="2327"/>
    <cellStyle name="Total 5 2 9 2" xfId="5180"/>
    <cellStyle name="Total 5 2 9 2 2" xfId="24152"/>
    <cellStyle name="Total 5 2 9 2 3" xfId="34997"/>
    <cellStyle name="Total 5 2 9 2 4" xfId="14934"/>
    <cellStyle name="Total 5 2 9 3" xfId="7851"/>
    <cellStyle name="Total 5 2 9 3 2" xfId="26823"/>
    <cellStyle name="Total 5 2 9 3 3" xfId="37668"/>
    <cellStyle name="Total 5 2 9 3 4" xfId="16847"/>
    <cellStyle name="Total 5 2 9 4" xfId="10510"/>
    <cellStyle name="Total 5 2 9 4 2" xfId="29482"/>
    <cellStyle name="Total 5 2 9 4 3" xfId="40327"/>
    <cellStyle name="Total 5 2 9 4 4" xfId="18751"/>
    <cellStyle name="Total 5 2 9 5" xfId="21306"/>
    <cellStyle name="Total 5 2 9 6" xfId="32151"/>
    <cellStyle name="Total 5 2 9 7" xfId="12897"/>
    <cellStyle name="Total 5 3" xfId="622"/>
    <cellStyle name="Total 5 3 10" xfId="19629"/>
    <cellStyle name="Total 5 3 11" xfId="30474"/>
    <cellStyle name="Total 5 3 12" xfId="11677"/>
    <cellStyle name="Total 5 3 2" xfId="1226"/>
    <cellStyle name="Total 5 3 2 2" xfId="4079"/>
    <cellStyle name="Total 5 3 2 2 2" xfId="23051"/>
    <cellStyle name="Total 5 3 2 2 3" xfId="33896"/>
    <cellStyle name="Total 5 3 2 2 4" xfId="14152"/>
    <cellStyle name="Total 5 3 2 3" xfId="6752"/>
    <cellStyle name="Total 5 3 2 3 2" xfId="25724"/>
    <cellStyle name="Total 5 3 2 3 3" xfId="36569"/>
    <cellStyle name="Total 5 3 2 3 4" xfId="16067"/>
    <cellStyle name="Total 5 3 2 4" xfId="9411"/>
    <cellStyle name="Total 5 3 2 4 2" xfId="28383"/>
    <cellStyle name="Total 5 3 2 4 3" xfId="39228"/>
    <cellStyle name="Total 5 3 2 4 4" xfId="17971"/>
    <cellStyle name="Total 5 3 2 5" xfId="20207"/>
    <cellStyle name="Total 5 3 2 6" xfId="31052"/>
    <cellStyle name="Total 5 3 2 7" xfId="12117"/>
    <cellStyle name="Total 5 3 3" xfId="1624"/>
    <cellStyle name="Total 5 3 3 2" xfId="4477"/>
    <cellStyle name="Total 5 3 3 2 2" xfId="23449"/>
    <cellStyle name="Total 5 3 3 2 3" xfId="34294"/>
    <cellStyle name="Total 5 3 3 2 4" xfId="14439"/>
    <cellStyle name="Total 5 3 3 3" xfId="7149"/>
    <cellStyle name="Total 5 3 3 3 2" xfId="26121"/>
    <cellStyle name="Total 5 3 3 3 3" xfId="36966"/>
    <cellStyle name="Total 5 3 3 3 4" xfId="16353"/>
    <cellStyle name="Total 5 3 3 4" xfId="9808"/>
    <cellStyle name="Total 5 3 3 4 2" xfId="28780"/>
    <cellStyle name="Total 5 3 3 4 3" xfId="39625"/>
    <cellStyle name="Total 5 3 3 4 4" xfId="18257"/>
    <cellStyle name="Total 5 3 3 5" xfId="20604"/>
    <cellStyle name="Total 5 3 3 6" xfId="31449"/>
    <cellStyle name="Total 5 3 3 7" xfId="12403"/>
    <cellStyle name="Total 5 3 4" xfId="2026"/>
    <cellStyle name="Total 5 3 4 2" xfId="4879"/>
    <cellStyle name="Total 5 3 4 2 2" xfId="23851"/>
    <cellStyle name="Total 5 3 4 2 3" xfId="34696"/>
    <cellStyle name="Total 5 3 4 2 4" xfId="14725"/>
    <cellStyle name="Total 5 3 4 3" xfId="7551"/>
    <cellStyle name="Total 5 3 4 3 2" xfId="26523"/>
    <cellStyle name="Total 5 3 4 3 3" xfId="37368"/>
    <cellStyle name="Total 5 3 4 3 4" xfId="16639"/>
    <cellStyle name="Total 5 3 4 4" xfId="10210"/>
    <cellStyle name="Total 5 3 4 4 2" xfId="29182"/>
    <cellStyle name="Total 5 3 4 4 3" xfId="40027"/>
    <cellStyle name="Total 5 3 4 4 4" xfId="18543"/>
    <cellStyle name="Total 5 3 4 5" xfId="21006"/>
    <cellStyle name="Total 5 3 4 6" xfId="31851"/>
    <cellStyle name="Total 5 3 4 7" xfId="12689"/>
    <cellStyle name="Total 5 3 5" xfId="2418"/>
    <cellStyle name="Total 5 3 5 2" xfId="5271"/>
    <cellStyle name="Total 5 3 5 2 2" xfId="24243"/>
    <cellStyle name="Total 5 3 5 2 3" xfId="35088"/>
    <cellStyle name="Total 5 3 5 2 4" xfId="15006"/>
    <cellStyle name="Total 5 3 5 3" xfId="7942"/>
    <cellStyle name="Total 5 3 5 3 2" xfId="26914"/>
    <cellStyle name="Total 5 3 5 3 3" xfId="37759"/>
    <cellStyle name="Total 5 3 5 3 4" xfId="16919"/>
    <cellStyle name="Total 5 3 5 4" xfId="10601"/>
    <cellStyle name="Total 5 3 5 4 2" xfId="29573"/>
    <cellStyle name="Total 5 3 5 4 3" xfId="40418"/>
    <cellStyle name="Total 5 3 5 4 4" xfId="18823"/>
    <cellStyle name="Total 5 3 5 5" xfId="21397"/>
    <cellStyle name="Total 5 3 5 6" xfId="32242"/>
    <cellStyle name="Total 5 3 5 7" xfId="12969"/>
    <cellStyle name="Total 5 3 6" xfId="2807"/>
    <cellStyle name="Total 5 3 6 2" xfId="5659"/>
    <cellStyle name="Total 5 3 6 2 2" xfId="24631"/>
    <cellStyle name="Total 5 3 6 2 3" xfId="35476"/>
    <cellStyle name="Total 5 3 6 2 4" xfId="15284"/>
    <cellStyle name="Total 5 3 6 3" xfId="8330"/>
    <cellStyle name="Total 5 3 6 3 2" xfId="27302"/>
    <cellStyle name="Total 5 3 6 3 3" xfId="38147"/>
    <cellStyle name="Total 5 3 6 3 4" xfId="17197"/>
    <cellStyle name="Total 5 3 6 4" xfId="10989"/>
    <cellStyle name="Total 5 3 6 4 2" xfId="29961"/>
    <cellStyle name="Total 5 3 6 4 3" xfId="40806"/>
    <cellStyle name="Total 5 3 6 4 4" xfId="19101"/>
    <cellStyle name="Total 5 3 6 5" xfId="21785"/>
    <cellStyle name="Total 5 3 6 6" xfId="32630"/>
    <cellStyle name="Total 5 3 6 7" xfId="13247"/>
    <cellStyle name="Total 5 3 7" xfId="3498"/>
    <cellStyle name="Total 5 3 7 2" xfId="22470"/>
    <cellStyle name="Total 5 3 7 3" xfId="33315"/>
    <cellStyle name="Total 5 3 7 4" xfId="13729"/>
    <cellStyle name="Total 5 3 8" xfId="6174"/>
    <cellStyle name="Total 5 3 8 2" xfId="25146"/>
    <cellStyle name="Total 5 3 8 3" xfId="35991"/>
    <cellStyle name="Total 5 3 8 4" xfId="15646"/>
    <cellStyle name="Total 5 3 9" xfId="8833"/>
    <cellStyle name="Total 5 3 9 2" xfId="27805"/>
    <cellStyle name="Total 5 3 9 3" xfId="38650"/>
    <cellStyle name="Total 5 3 9 4" xfId="17550"/>
    <cellStyle name="Total 5 4" xfId="11493"/>
    <cellStyle name="Total 6" xfId="328"/>
    <cellStyle name="Total 6 2" xfId="435"/>
    <cellStyle name="Total 6 2 10" xfId="2717"/>
    <cellStyle name="Total 6 2 10 2" xfId="5569"/>
    <cellStyle name="Total 6 2 10 2 2" xfId="24541"/>
    <cellStyle name="Total 6 2 10 2 3" xfId="35386"/>
    <cellStyle name="Total 6 2 10 2 4" xfId="15213"/>
    <cellStyle name="Total 6 2 10 3" xfId="8240"/>
    <cellStyle name="Total 6 2 10 3 2" xfId="27212"/>
    <cellStyle name="Total 6 2 10 3 3" xfId="38057"/>
    <cellStyle name="Total 6 2 10 3 4" xfId="17126"/>
    <cellStyle name="Total 6 2 10 4" xfId="10899"/>
    <cellStyle name="Total 6 2 10 4 2" xfId="29871"/>
    <cellStyle name="Total 6 2 10 4 3" xfId="40716"/>
    <cellStyle name="Total 6 2 10 4 4" xfId="19030"/>
    <cellStyle name="Total 6 2 10 5" xfId="21695"/>
    <cellStyle name="Total 6 2 10 6" xfId="32540"/>
    <cellStyle name="Total 6 2 10 7" xfId="13176"/>
    <cellStyle name="Total 6 2 11" xfId="3102"/>
    <cellStyle name="Total 6 2 11 2" xfId="5953"/>
    <cellStyle name="Total 6 2 11 2 2" xfId="24925"/>
    <cellStyle name="Total 6 2 11 2 3" xfId="35770"/>
    <cellStyle name="Total 6 2 11 2 4" xfId="15488"/>
    <cellStyle name="Total 6 2 11 3" xfId="8624"/>
    <cellStyle name="Total 6 2 11 3 2" xfId="27596"/>
    <cellStyle name="Total 6 2 11 3 3" xfId="38441"/>
    <cellStyle name="Total 6 2 11 3 4" xfId="17401"/>
    <cellStyle name="Total 6 2 11 4" xfId="11283"/>
    <cellStyle name="Total 6 2 11 4 2" xfId="30255"/>
    <cellStyle name="Total 6 2 11 4 3" xfId="41100"/>
    <cellStyle name="Total 6 2 11 4 4" xfId="19305"/>
    <cellStyle name="Total 6 2 11 5" xfId="22079"/>
    <cellStyle name="Total 6 2 11 6" xfId="32924"/>
    <cellStyle name="Total 6 2 11 7" xfId="13451"/>
    <cellStyle name="Total 6 2 12" xfId="3159"/>
    <cellStyle name="Total 6 2 12 2" xfId="6010"/>
    <cellStyle name="Total 6 2 12 2 2" xfId="24982"/>
    <cellStyle name="Total 6 2 12 2 3" xfId="35827"/>
    <cellStyle name="Total 6 2 12 2 4" xfId="15525"/>
    <cellStyle name="Total 6 2 12 3" xfId="8681"/>
    <cellStyle name="Total 6 2 12 3 2" xfId="27653"/>
    <cellStyle name="Total 6 2 12 3 3" xfId="38498"/>
    <cellStyle name="Total 6 2 12 3 4" xfId="17438"/>
    <cellStyle name="Total 6 2 12 4" xfId="11340"/>
    <cellStyle name="Total 6 2 12 4 2" xfId="30312"/>
    <cellStyle name="Total 6 2 12 4 3" xfId="41157"/>
    <cellStyle name="Total 6 2 12 4 4" xfId="19342"/>
    <cellStyle name="Total 6 2 12 5" xfId="22136"/>
    <cellStyle name="Total 6 2 12 6" xfId="32981"/>
    <cellStyle name="Total 6 2 12 7" xfId="13488"/>
    <cellStyle name="Total 6 2 13" xfId="3216"/>
    <cellStyle name="Total 6 2 13 2" xfId="6067"/>
    <cellStyle name="Total 6 2 13 2 2" xfId="25039"/>
    <cellStyle name="Total 6 2 13 2 3" xfId="35884"/>
    <cellStyle name="Total 6 2 13 2 4" xfId="15562"/>
    <cellStyle name="Total 6 2 13 3" xfId="8738"/>
    <cellStyle name="Total 6 2 13 3 2" xfId="27710"/>
    <cellStyle name="Total 6 2 13 3 3" xfId="38555"/>
    <cellStyle name="Total 6 2 13 3 4" xfId="17475"/>
    <cellStyle name="Total 6 2 13 4" xfId="11397"/>
    <cellStyle name="Total 6 2 13 4 2" xfId="30369"/>
    <cellStyle name="Total 6 2 13 4 3" xfId="41214"/>
    <cellStyle name="Total 6 2 13 4 4" xfId="19379"/>
    <cellStyle name="Total 6 2 13 5" xfId="22193"/>
    <cellStyle name="Total 6 2 13 6" xfId="33038"/>
    <cellStyle name="Total 6 2 13 7" xfId="13525"/>
    <cellStyle name="Total 6 2 14" xfId="3385"/>
    <cellStyle name="Total 6 2 14 2" xfId="22359"/>
    <cellStyle name="Total 6 2 14 3" xfId="33204"/>
    <cellStyle name="Total 6 2 14 4" xfId="13642"/>
    <cellStyle name="Total 6 2 15" xfId="3271"/>
    <cellStyle name="Total 6 2 15 2" xfId="22245"/>
    <cellStyle name="Total 6 2 15 3" xfId="33090"/>
    <cellStyle name="Total 6 2 15 4" xfId="13569"/>
    <cellStyle name="Total 6 2 16" xfId="3322"/>
    <cellStyle name="Total 6 2 16 2" xfId="22296"/>
    <cellStyle name="Total 6 2 16 3" xfId="33141"/>
    <cellStyle name="Total 6 2 16 4" xfId="13603"/>
    <cellStyle name="Total 6 2 17" xfId="19513"/>
    <cellStyle name="Total 6 2 18" xfId="19421"/>
    <cellStyle name="Total 6 2 19" xfId="11555"/>
    <cellStyle name="Total 6 2 2" xfId="726"/>
    <cellStyle name="Total 6 2 2 10" xfId="19711"/>
    <cellStyle name="Total 6 2 2 11" xfId="30556"/>
    <cellStyle name="Total 6 2 2 12" xfId="11758"/>
    <cellStyle name="Total 6 2 2 2" xfId="1313"/>
    <cellStyle name="Total 6 2 2 2 2" xfId="4166"/>
    <cellStyle name="Total 6 2 2 2 2 2" xfId="23138"/>
    <cellStyle name="Total 6 2 2 2 2 3" xfId="33983"/>
    <cellStyle name="Total 6 2 2 2 2 4" xfId="14219"/>
    <cellStyle name="Total 6 2 2 2 3" xfId="6839"/>
    <cellStyle name="Total 6 2 2 2 3 2" xfId="25811"/>
    <cellStyle name="Total 6 2 2 2 3 3" xfId="36656"/>
    <cellStyle name="Total 6 2 2 2 3 4" xfId="16134"/>
    <cellStyle name="Total 6 2 2 2 4" xfId="9498"/>
    <cellStyle name="Total 6 2 2 2 4 2" xfId="28470"/>
    <cellStyle name="Total 6 2 2 2 4 3" xfId="39315"/>
    <cellStyle name="Total 6 2 2 2 4 4" xfId="18038"/>
    <cellStyle name="Total 6 2 2 2 5" xfId="20294"/>
    <cellStyle name="Total 6 2 2 2 6" xfId="31139"/>
    <cellStyle name="Total 6 2 2 2 7" xfId="12184"/>
    <cellStyle name="Total 6 2 2 3" xfId="1712"/>
    <cellStyle name="Total 6 2 2 3 2" xfId="4565"/>
    <cellStyle name="Total 6 2 2 3 2 2" xfId="23537"/>
    <cellStyle name="Total 6 2 2 3 2 3" xfId="34382"/>
    <cellStyle name="Total 6 2 2 3 2 4" xfId="14506"/>
    <cellStyle name="Total 6 2 2 3 3" xfId="7237"/>
    <cellStyle name="Total 6 2 2 3 3 2" xfId="26209"/>
    <cellStyle name="Total 6 2 2 3 3 3" xfId="37054"/>
    <cellStyle name="Total 6 2 2 3 3 4" xfId="16420"/>
    <cellStyle name="Total 6 2 2 3 4" xfId="9896"/>
    <cellStyle name="Total 6 2 2 3 4 2" xfId="28868"/>
    <cellStyle name="Total 6 2 2 3 4 3" xfId="39713"/>
    <cellStyle name="Total 6 2 2 3 4 4" xfId="18324"/>
    <cellStyle name="Total 6 2 2 3 5" xfId="20692"/>
    <cellStyle name="Total 6 2 2 3 6" xfId="31537"/>
    <cellStyle name="Total 6 2 2 3 7" xfId="12470"/>
    <cellStyle name="Total 6 2 2 4" xfId="2116"/>
    <cellStyle name="Total 6 2 2 4 2" xfId="4969"/>
    <cellStyle name="Total 6 2 2 4 2 2" xfId="23941"/>
    <cellStyle name="Total 6 2 2 4 2 3" xfId="34786"/>
    <cellStyle name="Total 6 2 2 4 2 4" xfId="14793"/>
    <cellStyle name="Total 6 2 2 4 3" xfId="7640"/>
    <cellStyle name="Total 6 2 2 4 3 2" xfId="26612"/>
    <cellStyle name="Total 6 2 2 4 3 3" xfId="37457"/>
    <cellStyle name="Total 6 2 2 4 3 4" xfId="16706"/>
    <cellStyle name="Total 6 2 2 4 4" xfId="10299"/>
    <cellStyle name="Total 6 2 2 4 4 2" xfId="29271"/>
    <cellStyle name="Total 6 2 2 4 4 3" xfId="40116"/>
    <cellStyle name="Total 6 2 2 4 4 4" xfId="18610"/>
    <cellStyle name="Total 6 2 2 4 5" xfId="21095"/>
    <cellStyle name="Total 6 2 2 4 6" xfId="31940"/>
    <cellStyle name="Total 6 2 2 4 7" xfId="12756"/>
    <cellStyle name="Total 6 2 2 5" xfId="2506"/>
    <cellStyle name="Total 6 2 2 5 2" xfId="5358"/>
    <cellStyle name="Total 6 2 2 5 2 2" xfId="24330"/>
    <cellStyle name="Total 6 2 2 5 2 3" xfId="35175"/>
    <cellStyle name="Total 6 2 2 5 2 4" xfId="15072"/>
    <cellStyle name="Total 6 2 2 5 3" xfId="8029"/>
    <cellStyle name="Total 6 2 2 5 3 2" xfId="27001"/>
    <cellStyle name="Total 6 2 2 5 3 3" xfId="37846"/>
    <cellStyle name="Total 6 2 2 5 3 4" xfId="16985"/>
    <cellStyle name="Total 6 2 2 5 4" xfId="10688"/>
    <cellStyle name="Total 6 2 2 5 4 2" xfId="29660"/>
    <cellStyle name="Total 6 2 2 5 4 3" xfId="40505"/>
    <cellStyle name="Total 6 2 2 5 4 4" xfId="18889"/>
    <cellStyle name="Total 6 2 2 5 5" xfId="21484"/>
    <cellStyle name="Total 6 2 2 5 6" xfId="32329"/>
    <cellStyle name="Total 6 2 2 5 7" xfId="13035"/>
    <cellStyle name="Total 6 2 2 6" xfId="2892"/>
    <cellStyle name="Total 6 2 2 6 2" xfId="5743"/>
    <cellStyle name="Total 6 2 2 6 2 2" xfId="24715"/>
    <cellStyle name="Total 6 2 2 6 2 3" xfId="35560"/>
    <cellStyle name="Total 6 2 2 6 2 4" xfId="15348"/>
    <cellStyle name="Total 6 2 2 6 3" xfId="8414"/>
    <cellStyle name="Total 6 2 2 6 3 2" xfId="27386"/>
    <cellStyle name="Total 6 2 2 6 3 3" xfId="38231"/>
    <cellStyle name="Total 6 2 2 6 3 4" xfId="17261"/>
    <cellStyle name="Total 6 2 2 6 4" xfId="11073"/>
    <cellStyle name="Total 6 2 2 6 4 2" xfId="30045"/>
    <cellStyle name="Total 6 2 2 6 4 3" xfId="40890"/>
    <cellStyle name="Total 6 2 2 6 4 4" xfId="19165"/>
    <cellStyle name="Total 6 2 2 6 5" xfId="21869"/>
    <cellStyle name="Total 6 2 2 6 6" xfId="32714"/>
    <cellStyle name="Total 6 2 2 6 7" xfId="13311"/>
    <cellStyle name="Total 6 2 2 7" xfId="3581"/>
    <cellStyle name="Total 6 2 2 7 2" xfId="22553"/>
    <cellStyle name="Total 6 2 2 7 3" xfId="33398"/>
    <cellStyle name="Total 6 2 2 7 4" xfId="13792"/>
    <cellStyle name="Total 6 2 2 8" xfId="6256"/>
    <cellStyle name="Total 6 2 2 8 2" xfId="25228"/>
    <cellStyle name="Total 6 2 2 8 3" xfId="36073"/>
    <cellStyle name="Total 6 2 2 8 4" xfId="15708"/>
    <cellStyle name="Total 6 2 2 9" xfId="8915"/>
    <cellStyle name="Total 6 2 2 9 2" xfId="27887"/>
    <cellStyle name="Total 6 2 2 9 3" xfId="38732"/>
    <cellStyle name="Total 6 2 2 9 4" xfId="17612"/>
    <cellStyle name="Total 6 2 3" xfId="785"/>
    <cellStyle name="Total 6 2 3 10" xfId="19770"/>
    <cellStyle name="Total 6 2 3 11" xfId="30615"/>
    <cellStyle name="Total 6 2 3 12" xfId="11797"/>
    <cellStyle name="Total 6 2 3 2" xfId="1372"/>
    <cellStyle name="Total 6 2 3 2 2" xfId="4225"/>
    <cellStyle name="Total 6 2 3 2 2 2" xfId="23197"/>
    <cellStyle name="Total 6 2 3 2 2 3" xfId="34042"/>
    <cellStyle name="Total 6 2 3 2 2 4" xfId="14258"/>
    <cellStyle name="Total 6 2 3 2 3" xfId="6898"/>
    <cellStyle name="Total 6 2 3 2 3 2" xfId="25870"/>
    <cellStyle name="Total 6 2 3 2 3 3" xfId="36715"/>
    <cellStyle name="Total 6 2 3 2 3 4" xfId="16173"/>
    <cellStyle name="Total 6 2 3 2 4" xfId="9557"/>
    <cellStyle name="Total 6 2 3 2 4 2" xfId="28529"/>
    <cellStyle name="Total 6 2 3 2 4 3" xfId="39374"/>
    <cellStyle name="Total 6 2 3 2 4 4" xfId="18077"/>
    <cellStyle name="Total 6 2 3 2 5" xfId="20353"/>
    <cellStyle name="Total 6 2 3 2 6" xfId="31198"/>
    <cellStyle name="Total 6 2 3 2 7" xfId="12223"/>
    <cellStyle name="Total 6 2 3 3" xfId="1771"/>
    <cellStyle name="Total 6 2 3 3 2" xfId="4624"/>
    <cellStyle name="Total 6 2 3 3 2 2" xfId="23596"/>
    <cellStyle name="Total 6 2 3 3 2 3" xfId="34441"/>
    <cellStyle name="Total 6 2 3 3 2 4" xfId="14545"/>
    <cellStyle name="Total 6 2 3 3 3" xfId="7296"/>
    <cellStyle name="Total 6 2 3 3 3 2" xfId="26268"/>
    <cellStyle name="Total 6 2 3 3 3 3" xfId="37113"/>
    <cellStyle name="Total 6 2 3 3 3 4" xfId="16459"/>
    <cellStyle name="Total 6 2 3 3 4" xfId="9955"/>
    <cellStyle name="Total 6 2 3 3 4 2" xfId="28927"/>
    <cellStyle name="Total 6 2 3 3 4 3" xfId="39772"/>
    <cellStyle name="Total 6 2 3 3 4 4" xfId="18363"/>
    <cellStyle name="Total 6 2 3 3 5" xfId="20751"/>
    <cellStyle name="Total 6 2 3 3 6" xfId="31596"/>
    <cellStyle name="Total 6 2 3 3 7" xfId="12509"/>
    <cellStyle name="Total 6 2 3 4" xfId="2175"/>
    <cellStyle name="Total 6 2 3 4 2" xfId="5028"/>
    <cellStyle name="Total 6 2 3 4 2 2" xfId="24000"/>
    <cellStyle name="Total 6 2 3 4 2 3" xfId="34845"/>
    <cellStyle name="Total 6 2 3 4 2 4" xfId="14832"/>
    <cellStyle name="Total 6 2 3 4 3" xfId="7699"/>
    <cellStyle name="Total 6 2 3 4 3 2" xfId="26671"/>
    <cellStyle name="Total 6 2 3 4 3 3" xfId="37516"/>
    <cellStyle name="Total 6 2 3 4 3 4" xfId="16745"/>
    <cellStyle name="Total 6 2 3 4 4" xfId="10358"/>
    <cellStyle name="Total 6 2 3 4 4 2" xfId="29330"/>
    <cellStyle name="Total 6 2 3 4 4 3" xfId="40175"/>
    <cellStyle name="Total 6 2 3 4 4 4" xfId="18649"/>
    <cellStyle name="Total 6 2 3 4 5" xfId="21154"/>
    <cellStyle name="Total 6 2 3 4 6" xfId="31999"/>
    <cellStyle name="Total 6 2 3 4 7" xfId="12795"/>
    <cellStyle name="Total 6 2 3 5" xfId="2565"/>
    <cellStyle name="Total 6 2 3 5 2" xfId="5417"/>
    <cellStyle name="Total 6 2 3 5 2 2" xfId="24389"/>
    <cellStyle name="Total 6 2 3 5 2 3" xfId="35234"/>
    <cellStyle name="Total 6 2 3 5 2 4" xfId="15111"/>
    <cellStyle name="Total 6 2 3 5 3" xfId="8088"/>
    <cellStyle name="Total 6 2 3 5 3 2" xfId="27060"/>
    <cellStyle name="Total 6 2 3 5 3 3" xfId="37905"/>
    <cellStyle name="Total 6 2 3 5 3 4" xfId="17024"/>
    <cellStyle name="Total 6 2 3 5 4" xfId="10747"/>
    <cellStyle name="Total 6 2 3 5 4 2" xfId="29719"/>
    <cellStyle name="Total 6 2 3 5 4 3" xfId="40564"/>
    <cellStyle name="Total 6 2 3 5 4 4" xfId="18928"/>
    <cellStyle name="Total 6 2 3 5 5" xfId="21543"/>
    <cellStyle name="Total 6 2 3 5 6" xfId="32388"/>
    <cellStyle name="Total 6 2 3 5 7" xfId="13074"/>
    <cellStyle name="Total 6 2 3 6" xfId="2951"/>
    <cellStyle name="Total 6 2 3 6 2" xfId="5802"/>
    <cellStyle name="Total 6 2 3 6 2 2" xfId="24774"/>
    <cellStyle name="Total 6 2 3 6 2 3" xfId="35619"/>
    <cellStyle name="Total 6 2 3 6 2 4" xfId="15387"/>
    <cellStyle name="Total 6 2 3 6 3" xfId="8473"/>
    <cellStyle name="Total 6 2 3 6 3 2" xfId="27445"/>
    <cellStyle name="Total 6 2 3 6 3 3" xfId="38290"/>
    <cellStyle name="Total 6 2 3 6 3 4" xfId="17300"/>
    <cellStyle name="Total 6 2 3 6 4" xfId="11132"/>
    <cellStyle name="Total 6 2 3 6 4 2" xfId="30104"/>
    <cellStyle name="Total 6 2 3 6 4 3" xfId="40949"/>
    <cellStyle name="Total 6 2 3 6 4 4" xfId="19204"/>
    <cellStyle name="Total 6 2 3 6 5" xfId="21928"/>
    <cellStyle name="Total 6 2 3 6 6" xfId="32773"/>
    <cellStyle name="Total 6 2 3 6 7" xfId="13350"/>
    <cellStyle name="Total 6 2 3 7" xfId="3640"/>
    <cellStyle name="Total 6 2 3 7 2" xfId="22612"/>
    <cellStyle name="Total 6 2 3 7 3" xfId="33457"/>
    <cellStyle name="Total 6 2 3 7 4" xfId="13831"/>
    <cellStyle name="Total 6 2 3 8" xfId="6315"/>
    <cellStyle name="Total 6 2 3 8 2" xfId="25287"/>
    <cellStyle name="Total 6 2 3 8 3" xfId="36132"/>
    <cellStyle name="Total 6 2 3 8 4" xfId="15747"/>
    <cellStyle name="Total 6 2 3 9" xfId="8974"/>
    <cellStyle name="Total 6 2 3 9 2" xfId="27946"/>
    <cellStyle name="Total 6 2 3 9 3" xfId="38791"/>
    <cellStyle name="Total 6 2 3 9 4" xfId="17651"/>
    <cellStyle name="Total 6 2 4" xfId="844"/>
    <cellStyle name="Total 6 2 4 10" xfId="19829"/>
    <cellStyle name="Total 6 2 4 11" xfId="30674"/>
    <cellStyle name="Total 6 2 4 12" xfId="11836"/>
    <cellStyle name="Total 6 2 4 2" xfId="1431"/>
    <cellStyle name="Total 6 2 4 2 2" xfId="4284"/>
    <cellStyle name="Total 6 2 4 2 2 2" xfId="23256"/>
    <cellStyle name="Total 6 2 4 2 2 3" xfId="34101"/>
    <cellStyle name="Total 6 2 4 2 2 4" xfId="14297"/>
    <cellStyle name="Total 6 2 4 2 3" xfId="6957"/>
    <cellStyle name="Total 6 2 4 2 3 2" xfId="25929"/>
    <cellStyle name="Total 6 2 4 2 3 3" xfId="36774"/>
    <cellStyle name="Total 6 2 4 2 3 4" xfId="16212"/>
    <cellStyle name="Total 6 2 4 2 4" xfId="9616"/>
    <cellStyle name="Total 6 2 4 2 4 2" xfId="28588"/>
    <cellStyle name="Total 6 2 4 2 4 3" xfId="39433"/>
    <cellStyle name="Total 6 2 4 2 4 4" xfId="18116"/>
    <cellStyle name="Total 6 2 4 2 5" xfId="20412"/>
    <cellStyle name="Total 6 2 4 2 6" xfId="31257"/>
    <cellStyle name="Total 6 2 4 2 7" xfId="12262"/>
    <cellStyle name="Total 6 2 4 3" xfId="1830"/>
    <cellStyle name="Total 6 2 4 3 2" xfId="4683"/>
    <cellStyle name="Total 6 2 4 3 2 2" xfId="23655"/>
    <cellStyle name="Total 6 2 4 3 2 3" xfId="34500"/>
    <cellStyle name="Total 6 2 4 3 2 4" xfId="14584"/>
    <cellStyle name="Total 6 2 4 3 3" xfId="7355"/>
    <cellStyle name="Total 6 2 4 3 3 2" xfId="26327"/>
    <cellStyle name="Total 6 2 4 3 3 3" xfId="37172"/>
    <cellStyle name="Total 6 2 4 3 3 4" xfId="16498"/>
    <cellStyle name="Total 6 2 4 3 4" xfId="10014"/>
    <cellStyle name="Total 6 2 4 3 4 2" xfId="28986"/>
    <cellStyle name="Total 6 2 4 3 4 3" xfId="39831"/>
    <cellStyle name="Total 6 2 4 3 4 4" xfId="18402"/>
    <cellStyle name="Total 6 2 4 3 5" xfId="20810"/>
    <cellStyle name="Total 6 2 4 3 6" xfId="31655"/>
    <cellStyle name="Total 6 2 4 3 7" xfId="12548"/>
    <cellStyle name="Total 6 2 4 4" xfId="2234"/>
    <cellStyle name="Total 6 2 4 4 2" xfId="5087"/>
    <cellStyle name="Total 6 2 4 4 2 2" xfId="24059"/>
    <cellStyle name="Total 6 2 4 4 2 3" xfId="34904"/>
    <cellStyle name="Total 6 2 4 4 2 4" xfId="14871"/>
    <cellStyle name="Total 6 2 4 4 3" xfId="7758"/>
    <cellStyle name="Total 6 2 4 4 3 2" xfId="26730"/>
    <cellStyle name="Total 6 2 4 4 3 3" xfId="37575"/>
    <cellStyle name="Total 6 2 4 4 3 4" xfId="16784"/>
    <cellStyle name="Total 6 2 4 4 4" xfId="10417"/>
    <cellStyle name="Total 6 2 4 4 4 2" xfId="29389"/>
    <cellStyle name="Total 6 2 4 4 4 3" xfId="40234"/>
    <cellStyle name="Total 6 2 4 4 4 4" xfId="18688"/>
    <cellStyle name="Total 6 2 4 4 5" xfId="21213"/>
    <cellStyle name="Total 6 2 4 4 6" xfId="32058"/>
    <cellStyle name="Total 6 2 4 4 7" xfId="12834"/>
    <cellStyle name="Total 6 2 4 5" xfId="2624"/>
    <cellStyle name="Total 6 2 4 5 2" xfId="5476"/>
    <cellStyle name="Total 6 2 4 5 2 2" xfId="24448"/>
    <cellStyle name="Total 6 2 4 5 2 3" xfId="35293"/>
    <cellStyle name="Total 6 2 4 5 2 4" xfId="15150"/>
    <cellStyle name="Total 6 2 4 5 3" xfId="8147"/>
    <cellStyle name="Total 6 2 4 5 3 2" xfId="27119"/>
    <cellStyle name="Total 6 2 4 5 3 3" xfId="37964"/>
    <cellStyle name="Total 6 2 4 5 3 4" xfId="17063"/>
    <cellStyle name="Total 6 2 4 5 4" xfId="10806"/>
    <cellStyle name="Total 6 2 4 5 4 2" xfId="29778"/>
    <cellStyle name="Total 6 2 4 5 4 3" xfId="40623"/>
    <cellStyle name="Total 6 2 4 5 4 4" xfId="18967"/>
    <cellStyle name="Total 6 2 4 5 5" xfId="21602"/>
    <cellStyle name="Total 6 2 4 5 6" xfId="32447"/>
    <cellStyle name="Total 6 2 4 5 7" xfId="13113"/>
    <cellStyle name="Total 6 2 4 6" xfId="3010"/>
    <cellStyle name="Total 6 2 4 6 2" xfId="5861"/>
    <cellStyle name="Total 6 2 4 6 2 2" xfId="24833"/>
    <cellStyle name="Total 6 2 4 6 2 3" xfId="35678"/>
    <cellStyle name="Total 6 2 4 6 2 4" xfId="15426"/>
    <cellStyle name="Total 6 2 4 6 3" xfId="8532"/>
    <cellStyle name="Total 6 2 4 6 3 2" xfId="27504"/>
    <cellStyle name="Total 6 2 4 6 3 3" xfId="38349"/>
    <cellStyle name="Total 6 2 4 6 3 4" xfId="17339"/>
    <cellStyle name="Total 6 2 4 6 4" xfId="11191"/>
    <cellStyle name="Total 6 2 4 6 4 2" xfId="30163"/>
    <cellStyle name="Total 6 2 4 6 4 3" xfId="41008"/>
    <cellStyle name="Total 6 2 4 6 4 4" xfId="19243"/>
    <cellStyle name="Total 6 2 4 6 5" xfId="21987"/>
    <cellStyle name="Total 6 2 4 6 6" xfId="32832"/>
    <cellStyle name="Total 6 2 4 6 7" xfId="13389"/>
    <cellStyle name="Total 6 2 4 7" xfId="3699"/>
    <cellStyle name="Total 6 2 4 7 2" xfId="22671"/>
    <cellStyle name="Total 6 2 4 7 3" xfId="33516"/>
    <cellStyle name="Total 6 2 4 7 4" xfId="13870"/>
    <cellStyle name="Total 6 2 4 8" xfId="6374"/>
    <cellStyle name="Total 6 2 4 8 2" xfId="25346"/>
    <cellStyle name="Total 6 2 4 8 3" xfId="36191"/>
    <cellStyle name="Total 6 2 4 8 4" xfId="15786"/>
    <cellStyle name="Total 6 2 4 9" xfId="9033"/>
    <cellStyle name="Total 6 2 4 9 2" xfId="28005"/>
    <cellStyle name="Total 6 2 4 9 3" xfId="38850"/>
    <cellStyle name="Total 6 2 4 9 4" xfId="17690"/>
    <cellStyle name="Total 6 2 5" xfId="903"/>
    <cellStyle name="Total 6 2 5 10" xfId="19888"/>
    <cellStyle name="Total 6 2 5 11" xfId="30733"/>
    <cellStyle name="Total 6 2 5 12" xfId="11875"/>
    <cellStyle name="Total 6 2 5 2" xfId="1490"/>
    <cellStyle name="Total 6 2 5 2 2" xfId="4343"/>
    <cellStyle name="Total 6 2 5 2 2 2" xfId="23315"/>
    <cellStyle name="Total 6 2 5 2 2 3" xfId="34160"/>
    <cellStyle name="Total 6 2 5 2 2 4" xfId="14336"/>
    <cellStyle name="Total 6 2 5 2 3" xfId="7016"/>
    <cellStyle name="Total 6 2 5 2 3 2" xfId="25988"/>
    <cellStyle name="Total 6 2 5 2 3 3" xfId="36833"/>
    <cellStyle name="Total 6 2 5 2 3 4" xfId="16251"/>
    <cellStyle name="Total 6 2 5 2 4" xfId="9675"/>
    <cellStyle name="Total 6 2 5 2 4 2" xfId="28647"/>
    <cellStyle name="Total 6 2 5 2 4 3" xfId="39492"/>
    <cellStyle name="Total 6 2 5 2 4 4" xfId="18155"/>
    <cellStyle name="Total 6 2 5 2 5" xfId="20471"/>
    <cellStyle name="Total 6 2 5 2 6" xfId="31316"/>
    <cellStyle name="Total 6 2 5 2 7" xfId="12301"/>
    <cellStyle name="Total 6 2 5 3" xfId="1889"/>
    <cellStyle name="Total 6 2 5 3 2" xfId="4742"/>
    <cellStyle name="Total 6 2 5 3 2 2" xfId="23714"/>
    <cellStyle name="Total 6 2 5 3 2 3" xfId="34559"/>
    <cellStyle name="Total 6 2 5 3 2 4" xfId="14623"/>
    <cellStyle name="Total 6 2 5 3 3" xfId="7414"/>
    <cellStyle name="Total 6 2 5 3 3 2" xfId="26386"/>
    <cellStyle name="Total 6 2 5 3 3 3" xfId="37231"/>
    <cellStyle name="Total 6 2 5 3 3 4" xfId="16537"/>
    <cellStyle name="Total 6 2 5 3 4" xfId="10073"/>
    <cellStyle name="Total 6 2 5 3 4 2" xfId="29045"/>
    <cellStyle name="Total 6 2 5 3 4 3" xfId="39890"/>
    <cellStyle name="Total 6 2 5 3 4 4" xfId="18441"/>
    <cellStyle name="Total 6 2 5 3 5" xfId="20869"/>
    <cellStyle name="Total 6 2 5 3 6" xfId="31714"/>
    <cellStyle name="Total 6 2 5 3 7" xfId="12587"/>
    <cellStyle name="Total 6 2 5 4" xfId="2293"/>
    <cellStyle name="Total 6 2 5 4 2" xfId="5146"/>
    <cellStyle name="Total 6 2 5 4 2 2" xfId="24118"/>
    <cellStyle name="Total 6 2 5 4 2 3" xfId="34963"/>
    <cellStyle name="Total 6 2 5 4 2 4" xfId="14910"/>
    <cellStyle name="Total 6 2 5 4 3" xfId="7817"/>
    <cellStyle name="Total 6 2 5 4 3 2" xfId="26789"/>
    <cellStyle name="Total 6 2 5 4 3 3" xfId="37634"/>
    <cellStyle name="Total 6 2 5 4 3 4" xfId="16823"/>
    <cellStyle name="Total 6 2 5 4 4" xfId="10476"/>
    <cellStyle name="Total 6 2 5 4 4 2" xfId="29448"/>
    <cellStyle name="Total 6 2 5 4 4 3" xfId="40293"/>
    <cellStyle name="Total 6 2 5 4 4 4" xfId="18727"/>
    <cellStyle name="Total 6 2 5 4 5" xfId="21272"/>
    <cellStyle name="Total 6 2 5 4 6" xfId="32117"/>
    <cellStyle name="Total 6 2 5 4 7" xfId="12873"/>
    <cellStyle name="Total 6 2 5 5" xfId="2683"/>
    <cellStyle name="Total 6 2 5 5 2" xfId="5535"/>
    <cellStyle name="Total 6 2 5 5 2 2" xfId="24507"/>
    <cellStyle name="Total 6 2 5 5 2 3" xfId="35352"/>
    <cellStyle name="Total 6 2 5 5 2 4" xfId="15189"/>
    <cellStyle name="Total 6 2 5 5 3" xfId="8206"/>
    <cellStyle name="Total 6 2 5 5 3 2" xfId="27178"/>
    <cellStyle name="Total 6 2 5 5 3 3" xfId="38023"/>
    <cellStyle name="Total 6 2 5 5 3 4" xfId="17102"/>
    <cellStyle name="Total 6 2 5 5 4" xfId="10865"/>
    <cellStyle name="Total 6 2 5 5 4 2" xfId="29837"/>
    <cellStyle name="Total 6 2 5 5 4 3" xfId="40682"/>
    <cellStyle name="Total 6 2 5 5 4 4" xfId="19006"/>
    <cellStyle name="Total 6 2 5 5 5" xfId="21661"/>
    <cellStyle name="Total 6 2 5 5 6" xfId="32506"/>
    <cellStyle name="Total 6 2 5 5 7" xfId="13152"/>
    <cellStyle name="Total 6 2 5 6" xfId="3069"/>
    <cellStyle name="Total 6 2 5 6 2" xfId="5920"/>
    <cellStyle name="Total 6 2 5 6 2 2" xfId="24892"/>
    <cellStyle name="Total 6 2 5 6 2 3" xfId="35737"/>
    <cellStyle name="Total 6 2 5 6 2 4" xfId="15465"/>
    <cellStyle name="Total 6 2 5 6 3" xfId="8591"/>
    <cellStyle name="Total 6 2 5 6 3 2" xfId="27563"/>
    <cellStyle name="Total 6 2 5 6 3 3" xfId="38408"/>
    <cellStyle name="Total 6 2 5 6 3 4" xfId="17378"/>
    <cellStyle name="Total 6 2 5 6 4" xfId="11250"/>
    <cellStyle name="Total 6 2 5 6 4 2" xfId="30222"/>
    <cellStyle name="Total 6 2 5 6 4 3" xfId="41067"/>
    <cellStyle name="Total 6 2 5 6 4 4" xfId="19282"/>
    <cellStyle name="Total 6 2 5 6 5" xfId="22046"/>
    <cellStyle name="Total 6 2 5 6 6" xfId="32891"/>
    <cellStyle name="Total 6 2 5 6 7" xfId="13428"/>
    <cellStyle name="Total 6 2 5 7" xfId="3758"/>
    <cellStyle name="Total 6 2 5 7 2" xfId="22730"/>
    <cellStyle name="Total 6 2 5 7 3" xfId="33575"/>
    <cellStyle name="Total 6 2 5 7 4" xfId="13909"/>
    <cellStyle name="Total 6 2 5 8" xfId="6433"/>
    <cellStyle name="Total 6 2 5 8 2" xfId="25405"/>
    <cellStyle name="Total 6 2 5 8 3" xfId="36250"/>
    <cellStyle name="Total 6 2 5 8 4" xfId="15825"/>
    <cellStyle name="Total 6 2 5 9" xfId="9092"/>
    <cellStyle name="Total 6 2 5 9 2" xfId="28064"/>
    <cellStyle name="Total 6 2 5 9 3" xfId="38909"/>
    <cellStyle name="Total 6 2 5 9 4" xfId="17729"/>
    <cellStyle name="Total 6 2 6" xfId="1133"/>
    <cellStyle name="Total 6 2 6 2" xfId="3986"/>
    <cellStyle name="Total 6 2 6 2 2" xfId="22958"/>
    <cellStyle name="Total 6 2 6 2 3" xfId="33803"/>
    <cellStyle name="Total 6 2 6 2 4" xfId="14078"/>
    <cellStyle name="Total 6 2 6 3" xfId="6659"/>
    <cellStyle name="Total 6 2 6 3 2" xfId="25631"/>
    <cellStyle name="Total 6 2 6 3 3" xfId="36476"/>
    <cellStyle name="Total 6 2 6 3 4" xfId="15993"/>
    <cellStyle name="Total 6 2 6 4" xfId="9318"/>
    <cellStyle name="Total 6 2 6 4 2" xfId="28290"/>
    <cellStyle name="Total 6 2 6 4 3" xfId="39135"/>
    <cellStyle name="Total 6 2 6 4 4" xfId="17897"/>
    <cellStyle name="Total 6 2 6 5" xfId="20114"/>
    <cellStyle name="Total 6 2 6 6" xfId="30959"/>
    <cellStyle name="Total 6 2 6 7" xfId="12043"/>
    <cellStyle name="Total 6 2 7" xfId="1529"/>
    <cellStyle name="Total 6 2 7 2" xfId="4382"/>
    <cellStyle name="Total 6 2 7 2 2" xfId="23354"/>
    <cellStyle name="Total 6 2 7 2 3" xfId="34199"/>
    <cellStyle name="Total 6 2 7 2 4" xfId="14364"/>
    <cellStyle name="Total 6 2 7 3" xfId="7055"/>
    <cellStyle name="Total 6 2 7 3 2" xfId="26027"/>
    <cellStyle name="Total 6 2 7 3 3" xfId="36872"/>
    <cellStyle name="Total 6 2 7 3 4" xfId="16279"/>
    <cellStyle name="Total 6 2 7 4" xfId="9714"/>
    <cellStyle name="Total 6 2 7 4 2" xfId="28686"/>
    <cellStyle name="Total 6 2 7 4 3" xfId="39531"/>
    <cellStyle name="Total 6 2 7 4 4" xfId="18183"/>
    <cellStyle name="Total 6 2 7 5" xfId="20510"/>
    <cellStyle name="Total 6 2 7 6" xfId="31355"/>
    <cellStyle name="Total 6 2 7 7" xfId="12329"/>
    <cellStyle name="Total 6 2 8" xfId="1935"/>
    <cellStyle name="Total 6 2 8 2" xfId="4788"/>
    <cellStyle name="Total 6 2 8 2 2" xfId="23760"/>
    <cellStyle name="Total 6 2 8 2 3" xfId="34605"/>
    <cellStyle name="Total 6 2 8 2 4" xfId="14653"/>
    <cellStyle name="Total 6 2 8 3" xfId="7460"/>
    <cellStyle name="Total 6 2 8 3 2" xfId="26432"/>
    <cellStyle name="Total 6 2 8 3 3" xfId="37277"/>
    <cellStyle name="Total 6 2 8 3 4" xfId="16567"/>
    <cellStyle name="Total 6 2 8 4" xfId="10119"/>
    <cellStyle name="Total 6 2 8 4 2" xfId="29091"/>
    <cellStyle name="Total 6 2 8 4 3" xfId="39936"/>
    <cellStyle name="Total 6 2 8 4 4" xfId="18471"/>
    <cellStyle name="Total 6 2 8 5" xfId="20915"/>
    <cellStyle name="Total 6 2 8 6" xfId="31760"/>
    <cellStyle name="Total 6 2 8 7" xfId="12617"/>
    <cellStyle name="Total 6 2 9" xfId="2328"/>
    <cellStyle name="Total 6 2 9 2" xfId="5181"/>
    <cellStyle name="Total 6 2 9 2 2" xfId="24153"/>
    <cellStyle name="Total 6 2 9 2 3" xfId="34998"/>
    <cellStyle name="Total 6 2 9 2 4" xfId="14935"/>
    <cellStyle name="Total 6 2 9 3" xfId="7852"/>
    <cellStyle name="Total 6 2 9 3 2" xfId="26824"/>
    <cellStyle name="Total 6 2 9 3 3" xfId="37669"/>
    <cellStyle name="Total 6 2 9 3 4" xfId="16848"/>
    <cellStyle name="Total 6 2 9 4" xfId="10511"/>
    <cellStyle name="Total 6 2 9 4 2" xfId="29483"/>
    <cellStyle name="Total 6 2 9 4 3" xfId="40328"/>
    <cellStyle name="Total 6 2 9 4 4" xfId="18752"/>
    <cellStyle name="Total 6 2 9 5" xfId="21307"/>
    <cellStyle name="Total 6 2 9 6" xfId="32152"/>
    <cellStyle name="Total 6 2 9 7" xfId="12898"/>
    <cellStyle name="Total 6 3" xfId="623"/>
    <cellStyle name="Total 6 3 10" xfId="19630"/>
    <cellStyle name="Total 6 3 11" xfId="30475"/>
    <cellStyle name="Total 6 3 12" xfId="11678"/>
    <cellStyle name="Total 6 3 2" xfId="1227"/>
    <cellStyle name="Total 6 3 2 2" xfId="4080"/>
    <cellStyle name="Total 6 3 2 2 2" xfId="23052"/>
    <cellStyle name="Total 6 3 2 2 3" xfId="33897"/>
    <cellStyle name="Total 6 3 2 2 4" xfId="14153"/>
    <cellStyle name="Total 6 3 2 3" xfId="6753"/>
    <cellStyle name="Total 6 3 2 3 2" xfId="25725"/>
    <cellStyle name="Total 6 3 2 3 3" xfId="36570"/>
    <cellStyle name="Total 6 3 2 3 4" xfId="16068"/>
    <cellStyle name="Total 6 3 2 4" xfId="9412"/>
    <cellStyle name="Total 6 3 2 4 2" xfId="28384"/>
    <cellStyle name="Total 6 3 2 4 3" xfId="39229"/>
    <cellStyle name="Total 6 3 2 4 4" xfId="17972"/>
    <cellStyle name="Total 6 3 2 5" xfId="20208"/>
    <cellStyle name="Total 6 3 2 6" xfId="31053"/>
    <cellStyle name="Total 6 3 2 7" xfId="12118"/>
    <cellStyle name="Total 6 3 3" xfId="1625"/>
    <cellStyle name="Total 6 3 3 2" xfId="4478"/>
    <cellStyle name="Total 6 3 3 2 2" xfId="23450"/>
    <cellStyle name="Total 6 3 3 2 3" xfId="34295"/>
    <cellStyle name="Total 6 3 3 2 4" xfId="14440"/>
    <cellStyle name="Total 6 3 3 3" xfId="7150"/>
    <cellStyle name="Total 6 3 3 3 2" xfId="26122"/>
    <cellStyle name="Total 6 3 3 3 3" xfId="36967"/>
    <cellStyle name="Total 6 3 3 3 4" xfId="16354"/>
    <cellStyle name="Total 6 3 3 4" xfId="9809"/>
    <cellStyle name="Total 6 3 3 4 2" xfId="28781"/>
    <cellStyle name="Total 6 3 3 4 3" xfId="39626"/>
    <cellStyle name="Total 6 3 3 4 4" xfId="18258"/>
    <cellStyle name="Total 6 3 3 5" xfId="20605"/>
    <cellStyle name="Total 6 3 3 6" xfId="31450"/>
    <cellStyle name="Total 6 3 3 7" xfId="12404"/>
    <cellStyle name="Total 6 3 4" xfId="2027"/>
    <cellStyle name="Total 6 3 4 2" xfId="4880"/>
    <cellStyle name="Total 6 3 4 2 2" xfId="23852"/>
    <cellStyle name="Total 6 3 4 2 3" xfId="34697"/>
    <cellStyle name="Total 6 3 4 2 4" xfId="14726"/>
    <cellStyle name="Total 6 3 4 3" xfId="7552"/>
    <cellStyle name="Total 6 3 4 3 2" xfId="26524"/>
    <cellStyle name="Total 6 3 4 3 3" xfId="37369"/>
    <cellStyle name="Total 6 3 4 3 4" xfId="16640"/>
    <cellStyle name="Total 6 3 4 4" xfId="10211"/>
    <cellStyle name="Total 6 3 4 4 2" xfId="29183"/>
    <cellStyle name="Total 6 3 4 4 3" xfId="40028"/>
    <cellStyle name="Total 6 3 4 4 4" xfId="18544"/>
    <cellStyle name="Total 6 3 4 5" xfId="21007"/>
    <cellStyle name="Total 6 3 4 6" xfId="31852"/>
    <cellStyle name="Total 6 3 4 7" xfId="12690"/>
    <cellStyle name="Total 6 3 5" xfId="2419"/>
    <cellStyle name="Total 6 3 5 2" xfId="5272"/>
    <cellStyle name="Total 6 3 5 2 2" xfId="24244"/>
    <cellStyle name="Total 6 3 5 2 3" xfId="35089"/>
    <cellStyle name="Total 6 3 5 2 4" xfId="15007"/>
    <cellStyle name="Total 6 3 5 3" xfId="7943"/>
    <cellStyle name="Total 6 3 5 3 2" xfId="26915"/>
    <cellStyle name="Total 6 3 5 3 3" xfId="37760"/>
    <cellStyle name="Total 6 3 5 3 4" xfId="16920"/>
    <cellStyle name="Total 6 3 5 4" xfId="10602"/>
    <cellStyle name="Total 6 3 5 4 2" xfId="29574"/>
    <cellStyle name="Total 6 3 5 4 3" xfId="40419"/>
    <cellStyle name="Total 6 3 5 4 4" xfId="18824"/>
    <cellStyle name="Total 6 3 5 5" xfId="21398"/>
    <cellStyle name="Total 6 3 5 6" xfId="32243"/>
    <cellStyle name="Total 6 3 5 7" xfId="12970"/>
    <cellStyle name="Total 6 3 6" xfId="2808"/>
    <cellStyle name="Total 6 3 6 2" xfId="5660"/>
    <cellStyle name="Total 6 3 6 2 2" xfId="24632"/>
    <cellStyle name="Total 6 3 6 2 3" xfId="35477"/>
    <cellStyle name="Total 6 3 6 2 4" xfId="15285"/>
    <cellStyle name="Total 6 3 6 3" xfId="8331"/>
    <cellStyle name="Total 6 3 6 3 2" xfId="27303"/>
    <cellStyle name="Total 6 3 6 3 3" xfId="38148"/>
    <cellStyle name="Total 6 3 6 3 4" xfId="17198"/>
    <cellStyle name="Total 6 3 6 4" xfId="10990"/>
    <cellStyle name="Total 6 3 6 4 2" xfId="29962"/>
    <cellStyle name="Total 6 3 6 4 3" xfId="40807"/>
    <cellStyle name="Total 6 3 6 4 4" xfId="19102"/>
    <cellStyle name="Total 6 3 6 5" xfId="21786"/>
    <cellStyle name="Total 6 3 6 6" xfId="32631"/>
    <cellStyle name="Total 6 3 6 7" xfId="13248"/>
    <cellStyle name="Total 6 3 7" xfId="3499"/>
    <cellStyle name="Total 6 3 7 2" xfId="22471"/>
    <cellStyle name="Total 6 3 7 3" xfId="33316"/>
    <cellStyle name="Total 6 3 7 4" xfId="13730"/>
    <cellStyle name="Total 6 3 8" xfId="6175"/>
    <cellStyle name="Total 6 3 8 2" xfId="25147"/>
    <cellStyle name="Total 6 3 8 3" xfId="35992"/>
    <cellStyle name="Total 6 3 8 4" xfId="15647"/>
    <cellStyle name="Total 6 3 9" xfId="8834"/>
    <cellStyle name="Total 6 3 9 2" xfId="27806"/>
    <cellStyle name="Total 6 3 9 3" xfId="38651"/>
    <cellStyle name="Total 6 3 9 4" xfId="17551"/>
    <cellStyle name="Total 6 4" xfId="11494"/>
    <cellStyle name="Total 7" xfId="398"/>
    <cellStyle name="Total 7 10" xfId="2689"/>
    <cellStyle name="Total 7 10 2" xfId="5541"/>
    <cellStyle name="Total 7 10 2 2" xfId="24513"/>
    <cellStyle name="Total 7 10 2 3" xfId="35358"/>
    <cellStyle name="Total 7 10 2 4" xfId="15195"/>
    <cellStyle name="Total 7 10 3" xfId="8212"/>
    <cellStyle name="Total 7 10 3 2" xfId="27184"/>
    <cellStyle name="Total 7 10 3 3" xfId="38029"/>
    <cellStyle name="Total 7 10 3 4" xfId="17108"/>
    <cellStyle name="Total 7 10 4" xfId="10871"/>
    <cellStyle name="Total 7 10 4 2" xfId="29843"/>
    <cellStyle name="Total 7 10 4 3" xfId="40688"/>
    <cellStyle name="Total 7 10 4 4" xfId="19012"/>
    <cellStyle name="Total 7 10 5" xfId="21667"/>
    <cellStyle name="Total 7 10 6" xfId="32512"/>
    <cellStyle name="Total 7 10 7" xfId="13158"/>
    <cellStyle name="Total 7 11" xfId="3075"/>
    <cellStyle name="Total 7 11 2" xfId="5926"/>
    <cellStyle name="Total 7 11 2 2" xfId="24898"/>
    <cellStyle name="Total 7 11 2 3" xfId="35743"/>
    <cellStyle name="Total 7 11 2 4" xfId="15471"/>
    <cellStyle name="Total 7 11 3" xfId="8597"/>
    <cellStyle name="Total 7 11 3 2" xfId="27569"/>
    <cellStyle name="Total 7 11 3 3" xfId="38414"/>
    <cellStyle name="Total 7 11 3 4" xfId="17384"/>
    <cellStyle name="Total 7 11 4" xfId="11256"/>
    <cellStyle name="Total 7 11 4 2" xfId="30228"/>
    <cellStyle name="Total 7 11 4 3" xfId="41073"/>
    <cellStyle name="Total 7 11 4 4" xfId="19288"/>
    <cellStyle name="Total 7 11 5" xfId="22052"/>
    <cellStyle name="Total 7 11 6" xfId="32897"/>
    <cellStyle name="Total 7 11 7" xfId="13434"/>
    <cellStyle name="Total 7 12" xfId="3132"/>
    <cellStyle name="Total 7 12 2" xfId="5983"/>
    <cellStyle name="Total 7 12 2 2" xfId="24955"/>
    <cellStyle name="Total 7 12 2 3" xfId="35800"/>
    <cellStyle name="Total 7 12 2 4" xfId="15508"/>
    <cellStyle name="Total 7 12 3" xfId="8654"/>
    <cellStyle name="Total 7 12 3 2" xfId="27626"/>
    <cellStyle name="Total 7 12 3 3" xfId="38471"/>
    <cellStyle name="Total 7 12 3 4" xfId="17421"/>
    <cellStyle name="Total 7 12 4" xfId="11313"/>
    <cellStyle name="Total 7 12 4 2" xfId="30285"/>
    <cellStyle name="Total 7 12 4 3" xfId="41130"/>
    <cellStyle name="Total 7 12 4 4" xfId="19325"/>
    <cellStyle name="Total 7 12 5" xfId="22109"/>
    <cellStyle name="Total 7 12 6" xfId="32954"/>
    <cellStyle name="Total 7 12 7" xfId="13471"/>
    <cellStyle name="Total 7 13" xfId="3189"/>
    <cellStyle name="Total 7 13 2" xfId="6040"/>
    <cellStyle name="Total 7 13 2 2" xfId="25012"/>
    <cellStyle name="Total 7 13 2 3" xfId="35857"/>
    <cellStyle name="Total 7 13 2 4" xfId="15545"/>
    <cellStyle name="Total 7 13 3" xfId="8711"/>
    <cellStyle name="Total 7 13 3 2" xfId="27683"/>
    <cellStyle name="Total 7 13 3 3" xfId="38528"/>
    <cellStyle name="Total 7 13 3 4" xfId="17458"/>
    <cellStyle name="Total 7 13 4" xfId="11370"/>
    <cellStyle name="Total 7 13 4 2" xfId="30342"/>
    <cellStyle name="Total 7 13 4 3" xfId="41187"/>
    <cellStyle name="Total 7 13 4 4" xfId="19362"/>
    <cellStyle name="Total 7 13 5" xfId="22166"/>
    <cellStyle name="Total 7 13 6" xfId="33011"/>
    <cellStyle name="Total 7 13 7" xfId="13508"/>
    <cellStyle name="Total 7 14" xfId="3356"/>
    <cellStyle name="Total 7 14 2" xfId="22330"/>
    <cellStyle name="Total 7 14 3" xfId="33175"/>
    <cellStyle name="Total 7 14 4" xfId="13625"/>
    <cellStyle name="Total 7 15" xfId="3288"/>
    <cellStyle name="Total 7 15 2" xfId="22262"/>
    <cellStyle name="Total 7 15 3" xfId="33107"/>
    <cellStyle name="Total 7 15 4" xfId="13579"/>
    <cellStyle name="Total 7 16" xfId="3970"/>
    <cellStyle name="Total 7 16 2" xfId="22942"/>
    <cellStyle name="Total 7 16 3" xfId="33787"/>
    <cellStyle name="Total 7 16 4" xfId="14069"/>
    <cellStyle name="Total 7 17" xfId="19486"/>
    <cellStyle name="Total 7 18" xfId="19428"/>
    <cellStyle name="Total 7 19" xfId="11535"/>
    <cellStyle name="Total 7 2" xfId="697"/>
    <cellStyle name="Total 7 2 10" xfId="19682"/>
    <cellStyle name="Total 7 2 11" xfId="30527"/>
    <cellStyle name="Total 7 2 12" xfId="11739"/>
    <cellStyle name="Total 7 2 2" xfId="1284"/>
    <cellStyle name="Total 7 2 2 2" xfId="4137"/>
    <cellStyle name="Total 7 2 2 2 2" xfId="23109"/>
    <cellStyle name="Total 7 2 2 2 3" xfId="33954"/>
    <cellStyle name="Total 7 2 2 2 4" xfId="14200"/>
    <cellStyle name="Total 7 2 2 3" xfId="6810"/>
    <cellStyle name="Total 7 2 2 3 2" xfId="25782"/>
    <cellStyle name="Total 7 2 2 3 3" xfId="36627"/>
    <cellStyle name="Total 7 2 2 3 4" xfId="16115"/>
    <cellStyle name="Total 7 2 2 4" xfId="9469"/>
    <cellStyle name="Total 7 2 2 4 2" xfId="28441"/>
    <cellStyle name="Total 7 2 2 4 3" xfId="39286"/>
    <cellStyle name="Total 7 2 2 4 4" xfId="18019"/>
    <cellStyle name="Total 7 2 2 5" xfId="20265"/>
    <cellStyle name="Total 7 2 2 6" xfId="31110"/>
    <cellStyle name="Total 7 2 2 7" xfId="12165"/>
    <cellStyle name="Total 7 2 3" xfId="1683"/>
    <cellStyle name="Total 7 2 3 2" xfId="4536"/>
    <cellStyle name="Total 7 2 3 2 2" xfId="23508"/>
    <cellStyle name="Total 7 2 3 2 3" xfId="34353"/>
    <cellStyle name="Total 7 2 3 2 4" xfId="14487"/>
    <cellStyle name="Total 7 2 3 3" xfId="7208"/>
    <cellStyle name="Total 7 2 3 3 2" xfId="26180"/>
    <cellStyle name="Total 7 2 3 3 3" xfId="37025"/>
    <cellStyle name="Total 7 2 3 3 4" xfId="16401"/>
    <cellStyle name="Total 7 2 3 4" xfId="9867"/>
    <cellStyle name="Total 7 2 3 4 2" xfId="28839"/>
    <cellStyle name="Total 7 2 3 4 3" xfId="39684"/>
    <cellStyle name="Total 7 2 3 4 4" xfId="18305"/>
    <cellStyle name="Total 7 2 3 5" xfId="20663"/>
    <cellStyle name="Total 7 2 3 6" xfId="31508"/>
    <cellStyle name="Total 7 2 3 7" xfId="12451"/>
    <cellStyle name="Total 7 2 4" xfId="2087"/>
    <cellStyle name="Total 7 2 4 2" xfId="4940"/>
    <cellStyle name="Total 7 2 4 2 2" xfId="23912"/>
    <cellStyle name="Total 7 2 4 2 3" xfId="34757"/>
    <cellStyle name="Total 7 2 4 2 4" xfId="14774"/>
    <cellStyle name="Total 7 2 4 3" xfId="7611"/>
    <cellStyle name="Total 7 2 4 3 2" xfId="26583"/>
    <cellStyle name="Total 7 2 4 3 3" xfId="37428"/>
    <cellStyle name="Total 7 2 4 3 4" xfId="16687"/>
    <cellStyle name="Total 7 2 4 4" xfId="10270"/>
    <cellStyle name="Total 7 2 4 4 2" xfId="29242"/>
    <cellStyle name="Total 7 2 4 4 3" xfId="40087"/>
    <cellStyle name="Total 7 2 4 4 4" xfId="18591"/>
    <cellStyle name="Total 7 2 4 5" xfId="21066"/>
    <cellStyle name="Total 7 2 4 6" xfId="31911"/>
    <cellStyle name="Total 7 2 4 7" xfId="12737"/>
    <cellStyle name="Total 7 2 5" xfId="2477"/>
    <cellStyle name="Total 7 2 5 2" xfId="5329"/>
    <cellStyle name="Total 7 2 5 2 2" xfId="24301"/>
    <cellStyle name="Total 7 2 5 2 3" xfId="35146"/>
    <cellStyle name="Total 7 2 5 2 4" xfId="15053"/>
    <cellStyle name="Total 7 2 5 3" xfId="8000"/>
    <cellStyle name="Total 7 2 5 3 2" xfId="26972"/>
    <cellStyle name="Total 7 2 5 3 3" xfId="37817"/>
    <cellStyle name="Total 7 2 5 3 4" xfId="16966"/>
    <cellStyle name="Total 7 2 5 4" xfId="10659"/>
    <cellStyle name="Total 7 2 5 4 2" xfId="29631"/>
    <cellStyle name="Total 7 2 5 4 3" xfId="40476"/>
    <cellStyle name="Total 7 2 5 4 4" xfId="18870"/>
    <cellStyle name="Total 7 2 5 5" xfId="21455"/>
    <cellStyle name="Total 7 2 5 6" xfId="32300"/>
    <cellStyle name="Total 7 2 5 7" xfId="13016"/>
    <cellStyle name="Total 7 2 6" xfId="2863"/>
    <cellStyle name="Total 7 2 6 2" xfId="5714"/>
    <cellStyle name="Total 7 2 6 2 2" xfId="24686"/>
    <cellStyle name="Total 7 2 6 2 3" xfId="35531"/>
    <cellStyle name="Total 7 2 6 2 4" xfId="15329"/>
    <cellStyle name="Total 7 2 6 3" xfId="8385"/>
    <cellStyle name="Total 7 2 6 3 2" xfId="27357"/>
    <cellStyle name="Total 7 2 6 3 3" xfId="38202"/>
    <cellStyle name="Total 7 2 6 3 4" xfId="17242"/>
    <cellStyle name="Total 7 2 6 4" xfId="11044"/>
    <cellStyle name="Total 7 2 6 4 2" xfId="30016"/>
    <cellStyle name="Total 7 2 6 4 3" xfId="40861"/>
    <cellStyle name="Total 7 2 6 4 4" xfId="19146"/>
    <cellStyle name="Total 7 2 6 5" xfId="21840"/>
    <cellStyle name="Total 7 2 6 6" xfId="32685"/>
    <cellStyle name="Total 7 2 6 7" xfId="13292"/>
    <cellStyle name="Total 7 2 7" xfId="3552"/>
    <cellStyle name="Total 7 2 7 2" xfId="22524"/>
    <cellStyle name="Total 7 2 7 3" xfId="33369"/>
    <cellStyle name="Total 7 2 7 4" xfId="13773"/>
    <cellStyle name="Total 7 2 8" xfId="6227"/>
    <cellStyle name="Total 7 2 8 2" xfId="25199"/>
    <cellStyle name="Total 7 2 8 3" xfId="36044"/>
    <cellStyle name="Total 7 2 8 4" xfId="15689"/>
    <cellStyle name="Total 7 2 9" xfId="8886"/>
    <cellStyle name="Total 7 2 9 2" xfId="27858"/>
    <cellStyle name="Total 7 2 9 3" xfId="38703"/>
    <cellStyle name="Total 7 2 9 4" xfId="17593"/>
    <cellStyle name="Total 7 3" xfId="757"/>
    <cellStyle name="Total 7 3 10" xfId="19742"/>
    <cellStyle name="Total 7 3 11" xfId="30587"/>
    <cellStyle name="Total 7 3 12" xfId="11779"/>
    <cellStyle name="Total 7 3 2" xfId="1344"/>
    <cellStyle name="Total 7 3 2 2" xfId="4197"/>
    <cellStyle name="Total 7 3 2 2 2" xfId="23169"/>
    <cellStyle name="Total 7 3 2 2 3" xfId="34014"/>
    <cellStyle name="Total 7 3 2 2 4" xfId="14240"/>
    <cellStyle name="Total 7 3 2 3" xfId="6870"/>
    <cellStyle name="Total 7 3 2 3 2" xfId="25842"/>
    <cellStyle name="Total 7 3 2 3 3" xfId="36687"/>
    <cellStyle name="Total 7 3 2 3 4" xfId="16155"/>
    <cellStyle name="Total 7 3 2 4" xfId="9529"/>
    <cellStyle name="Total 7 3 2 4 2" xfId="28501"/>
    <cellStyle name="Total 7 3 2 4 3" xfId="39346"/>
    <cellStyle name="Total 7 3 2 4 4" xfId="18059"/>
    <cellStyle name="Total 7 3 2 5" xfId="20325"/>
    <cellStyle name="Total 7 3 2 6" xfId="31170"/>
    <cellStyle name="Total 7 3 2 7" xfId="12205"/>
    <cellStyle name="Total 7 3 3" xfId="1743"/>
    <cellStyle name="Total 7 3 3 2" xfId="4596"/>
    <cellStyle name="Total 7 3 3 2 2" xfId="23568"/>
    <cellStyle name="Total 7 3 3 2 3" xfId="34413"/>
    <cellStyle name="Total 7 3 3 2 4" xfId="14527"/>
    <cellStyle name="Total 7 3 3 3" xfId="7268"/>
    <cellStyle name="Total 7 3 3 3 2" xfId="26240"/>
    <cellStyle name="Total 7 3 3 3 3" xfId="37085"/>
    <cellStyle name="Total 7 3 3 3 4" xfId="16441"/>
    <cellStyle name="Total 7 3 3 4" xfId="9927"/>
    <cellStyle name="Total 7 3 3 4 2" xfId="28899"/>
    <cellStyle name="Total 7 3 3 4 3" xfId="39744"/>
    <cellStyle name="Total 7 3 3 4 4" xfId="18345"/>
    <cellStyle name="Total 7 3 3 5" xfId="20723"/>
    <cellStyle name="Total 7 3 3 6" xfId="31568"/>
    <cellStyle name="Total 7 3 3 7" xfId="12491"/>
    <cellStyle name="Total 7 3 4" xfId="2147"/>
    <cellStyle name="Total 7 3 4 2" xfId="5000"/>
    <cellStyle name="Total 7 3 4 2 2" xfId="23972"/>
    <cellStyle name="Total 7 3 4 2 3" xfId="34817"/>
    <cellStyle name="Total 7 3 4 2 4" xfId="14814"/>
    <cellStyle name="Total 7 3 4 3" xfId="7671"/>
    <cellStyle name="Total 7 3 4 3 2" xfId="26643"/>
    <cellStyle name="Total 7 3 4 3 3" xfId="37488"/>
    <cellStyle name="Total 7 3 4 3 4" xfId="16727"/>
    <cellStyle name="Total 7 3 4 4" xfId="10330"/>
    <cellStyle name="Total 7 3 4 4 2" xfId="29302"/>
    <cellStyle name="Total 7 3 4 4 3" xfId="40147"/>
    <cellStyle name="Total 7 3 4 4 4" xfId="18631"/>
    <cellStyle name="Total 7 3 4 5" xfId="21126"/>
    <cellStyle name="Total 7 3 4 6" xfId="31971"/>
    <cellStyle name="Total 7 3 4 7" xfId="12777"/>
    <cellStyle name="Total 7 3 5" xfId="2537"/>
    <cellStyle name="Total 7 3 5 2" xfId="5389"/>
    <cellStyle name="Total 7 3 5 2 2" xfId="24361"/>
    <cellStyle name="Total 7 3 5 2 3" xfId="35206"/>
    <cellStyle name="Total 7 3 5 2 4" xfId="15093"/>
    <cellStyle name="Total 7 3 5 3" xfId="8060"/>
    <cellStyle name="Total 7 3 5 3 2" xfId="27032"/>
    <cellStyle name="Total 7 3 5 3 3" xfId="37877"/>
    <cellStyle name="Total 7 3 5 3 4" xfId="17006"/>
    <cellStyle name="Total 7 3 5 4" xfId="10719"/>
    <cellStyle name="Total 7 3 5 4 2" xfId="29691"/>
    <cellStyle name="Total 7 3 5 4 3" xfId="40536"/>
    <cellStyle name="Total 7 3 5 4 4" xfId="18910"/>
    <cellStyle name="Total 7 3 5 5" xfId="21515"/>
    <cellStyle name="Total 7 3 5 6" xfId="32360"/>
    <cellStyle name="Total 7 3 5 7" xfId="13056"/>
    <cellStyle name="Total 7 3 6" xfId="2923"/>
    <cellStyle name="Total 7 3 6 2" xfId="5774"/>
    <cellStyle name="Total 7 3 6 2 2" xfId="24746"/>
    <cellStyle name="Total 7 3 6 2 3" xfId="35591"/>
    <cellStyle name="Total 7 3 6 2 4" xfId="15369"/>
    <cellStyle name="Total 7 3 6 3" xfId="8445"/>
    <cellStyle name="Total 7 3 6 3 2" xfId="27417"/>
    <cellStyle name="Total 7 3 6 3 3" xfId="38262"/>
    <cellStyle name="Total 7 3 6 3 4" xfId="17282"/>
    <cellStyle name="Total 7 3 6 4" xfId="11104"/>
    <cellStyle name="Total 7 3 6 4 2" xfId="30076"/>
    <cellStyle name="Total 7 3 6 4 3" xfId="40921"/>
    <cellStyle name="Total 7 3 6 4 4" xfId="19186"/>
    <cellStyle name="Total 7 3 6 5" xfId="21900"/>
    <cellStyle name="Total 7 3 6 6" xfId="32745"/>
    <cellStyle name="Total 7 3 6 7" xfId="13332"/>
    <cellStyle name="Total 7 3 7" xfId="3612"/>
    <cellStyle name="Total 7 3 7 2" xfId="22584"/>
    <cellStyle name="Total 7 3 7 3" xfId="33429"/>
    <cellStyle name="Total 7 3 7 4" xfId="13813"/>
    <cellStyle name="Total 7 3 8" xfId="6287"/>
    <cellStyle name="Total 7 3 8 2" xfId="25259"/>
    <cellStyle name="Total 7 3 8 3" xfId="36104"/>
    <cellStyle name="Total 7 3 8 4" xfId="15729"/>
    <cellStyle name="Total 7 3 9" xfId="8946"/>
    <cellStyle name="Total 7 3 9 2" xfId="27918"/>
    <cellStyle name="Total 7 3 9 3" xfId="38763"/>
    <cellStyle name="Total 7 3 9 4" xfId="17633"/>
    <cellStyle name="Total 7 4" xfId="817"/>
    <cellStyle name="Total 7 4 10" xfId="19802"/>
    <cellStyle name="Total 7 4 11" xfId="30647"/>
    <cellStyle name="Total 7 4 12" xfId="11819"/>
    <cellStyle name="Total 7 4 2" xfId="1404"/>
    <cellStyle name="Total 7 4 2 2" xfId="4257"/>
    <cellStyle name="Total 7 4 2 2 2" xfId="23229"/>
    <cellStyle name="Total 7 4 2 2 3" xfId="34074"/>
    <cellStyle name="Total 7 4 2 2 4" xfId="14280"/>
    <cellStyle name="Total 7 4 2 3" xfId="6930"/>
    <cellStyle name="Total 7 4 2 3 2" xfId="25902"/>
    <cellStyle name="Total 7 4 2 3 3" xfId="36747"/>
    <cellStyle name="Total 7 4 2 3 4" xfId="16195"/>
    <cellStyle name="Total 7 4 2 4" xfId="9589"/>
    <cellStyle name="Total 7 4 2 4 2" xfId="28561"/>
    <cellStyle name="Total 7 4 2 4 3" xfId="39406"/>
    <cellStyle name="Total 7 4 2 4 4" xfId="18099"/>
    <cellStyle name="Total 7 4 2 5" xfId="20385"/>
    <cellStyle name="Total 7 4 2 6" xfId="31230"/>
    <cellStyle name="Total 7 4 2 7" xfId="12245"/>
    <cellStyle name="Total 7 4 3" xfId="1803"/>
    <cellStyle name="Total 7 4 3 2" xfId="4656"/>
    <cellStyle name="Total 7 4 3 2 2" xfId="23628"/>
    <cellStyle name="Total 7 4 3 2 3" xfId="34473"/>
    <cellStyle name="Total 7 4 3 2 4" xfId="14567"/>
    <cellStyle name="Total 7 4 3 3" xfId="7328"/>
    <cellStyle name="Total 7 4 3 3 2" xfId="26300"/>
    <cellStyle name="Total 7 4 3 3 3" xfId="37145"/>
    <cellStyle name="Total 7 4 3 3 4" xfId="16481"/>
    <cellStyle name="Total 7 4 3 4" xfId="9987"/>
    <cellStyle name="Total 7 4 3 4 2" xfId="28959"/>
    <cellStyle name="Total 7 4 3 4 3" xfId="39804"/>
    <cellStyle name="Total 7 4 3 4 4" xfId="18385"/>
    <cellStyle name="Total 7 4 3 5" xfId="20783"/>
    <cellStyle name="Total 7 4 3 6" xfId="31628"/>
    <cellStyle name="Total 7 4 3 7" xfId="12531"/>
    <cellStyle name="Total 7 4 4" xfId="2207"/>
    <cellStyle name="Total 7 4 4 2" xfId="5060"/>
    <cellStyle name="Total 7 4 4 2 2" xfId="24032"/>
    <cellStyle name="Total 7 4 4 2 3" xfId="34877"/>
    <cellStyle name="Total 7 4 4 2 4" xfId="14854"/>
    <cellStyle name="Total 7 4 4 3" xfId="7731"/>
    <cellStyle name="Total 7 4 4 3 2" xfId="26703"/>
    <cellStyle name="Total 7 4 4 3 3" xfId="37548"/>
    <cellStyle name="Total 7 4 4 3 4" xfId="16767"/>
    <cellStyle name="Total 7 4 4 4" xfId="10390"/>
    <cellStyle name="Total 7 4 4 4 2" xfId="29362"/>
    <cellStyle name="Total 7 4 4 4 3" xfId="40207"/>
    <cellStyle name="Total 7 4 4 4 4" xfId="18671"/>
    <cellStyle name="Total 7 4 4 5" xfId="21186"/>
    <cellStyle name="Total 7 4 4 6" xfId="32031"/>
    <cellStyle name="Total 7 4 4 7" xfId="12817"/>
    <cellStyle name="Total 7 4 5" xfId="2597"/>
    <cellStyle name="Total 7 4 5 2" xfId="5449"/>
    <cellStyle name="Total 7 4 5 2 2" xfId="24421"/>
    <cellStyle name="Total 7 4 5 2 3" xfId="35266"/>
    <cellStyle name="Total 7 4 5 2 4" xfId="15133"/>
    <cellStyle name="Total 7 4 5 3" xfId="8120"/>
    <cellStyle name="Total 7 4 5 3 2" xfId="27092"/>
    <cellStyle name="Total 7 4 5 3 3" xfId="37937"/>
    <cellStyle name="Total 7 4 5 3 4" xfId="17046"/>
    <cellStyle name="Total 7 4 5 4" xfId="10779"/>
    <cellStyle name="Total 7 4 5 4 2" xfId="29751"/>
    <cellStyle name="Total 7 4 5 4 3" xfId="40596"/>
    <cellStyle name="Total 7 4 5 4 4" xfId="18950"/>
    <cellStyle name="Total 7 4 5 5" xfId="21575"/>
    <cellStyle name="Total 7 4 5 6" xfId="32420"/>
    <cellStyle name="Total 7 4 5 7" xfId="13096"/>
    <cellStyle name="Total 7 4 6" xfId="2983"/>
    <cellStyle name="Total 7 4 6 2" xfId="5834"/>
    <cellStyle name="Total 7 4 6 2 2" xfId="24806"/>
    <cellStyle name="Total 7 4 6 2 3" xfId="35651"/>
    <cellStyle name="Total 7 4 6 2 4" xfId="15409"/>
    <cellStyle name="Total 7 4 6 3" xfId="8505"/>
    <cellStyle name="Total 7 4 6 3 2" xfId="27477"/>
    <cellStyle name="Total 7 4 6 3 3" xfId="38322"/>
    <cellStyle name="Total 7 4 6 3 4" xfId="17322"/>
    <cellStyle name="Total 7 4 6 4" xfId="11164"/>
    <cellStyle name="Total 7 4 6 4 2" xfId="30136"/>
    <cellStyle name="Total 7 4 6 4 3" xfId="40981"/>
    <cellStyle name="Total 7 4 6 4 4" xfId="19226"/>
    <cellStyle name="Total 7 4 6 5" xfId="21960"/>
    <cellStyle name="Total 7 4 6 6" xfId="32805"/>
    <cellStyle name="Total 7 4 6 7" xfId="13372"/>
    <cellStyle name="Total 7 4 7" xfId="3672"/>
    <cellStyle name="Total 7 4 7 2" xfId="22644"/>
    <cellStyle name="Total 7 4 7 3" xfId="33489"/>
    <cellStyle name="Total 7 4 7 4" xfId="13853"/>
    <cellStyle name="Total 7 4 8" xfId="6347"/>
    <cellStyle name="Total 7 4 8 2" xfId="25319"/>
    <cellStyle name="Total 7 4 8 3" xfId="36164"/>
    <cellStyle name="Total 7 4 8 4" xfId="15769"/>
    <cellStyle name="Total 7 4 9" xfId="9006"/>
    <cellStyle name="Total 7 4 9 2" xfId="27978"/>
    <cellStyle name="Total 7 4 9 3" xfId="38823"/>
    <cellStyle name="Total 7 4 9 4" xfId="17673"/>
    <cellStyle name="Total 7 5" xfId="876"/>
    <cellStyle name="Total 7 5 10" xfId="19861"/>
    <cellStyle name="Total 7 5 11" xfId="30706"/>
    <cellStyle name="Total 7 5 12" xfId="11858"/>
    <cellStyle name="Total 7 5 2" xfId="1463"/>
    <cellStyle name="Total 7 5 2 2" xfId="4316"/>
    <cellStyle name="Total 7 5 2 2 2" xfId="23288"/>
    <cellStyle name="Total 7 5 2 2 3" xfId="34133"/>
    <cellStyle name="Total 7 5 2 2 4" xfId="14319"/>
    <cellStyle name="Total 7 5 2 3" xfId="6989"/>
    <cellStyle name="Total 7 5 2 3 2" xfId="25961"/>
    <cellStyle name="Total 7 5 2 3 3" xfId="36806"/>
    <cellStyle name="Total 7 5 2 3 4" xfId="16234"/>
    <cellStyle name="Total 7 5 2 4" xfId="9648"/>
    <cellStyle name="Total 7 5 2 4 2" xfId="28620"/>
    <cellStyle name="Total 7 5 2 4 3" xfId="39465"/>
    <cellStyle name="Total 7 5 2 4 4" xfId="18138"/>
    <cellStyle name="Total 7 5 2 5" xfId="20444"/>
    <cellStyle name="Total 7 5 2 6" xfId="31289"/>
    <cellStyle name="Total 7 5 2 7" xfId="12284"/>
    <cellStyle name="Total 7 5 3" xfId="1862"/>
    <cellStyle name="Total 7 5 3 2" xfId="4715"/>
    <cellStyle name="Total 7 5 3 2 2" xfId="23687"/>
    <cellStyle name="Total 7 5 3 2 3" xfId="34532"/>
    <cellStyle name="Total 7 5 3 2 4" xfId="14606"/>
    <cellStyle name="Total 7 5 3 3" xfId="7387"/>
    <cellStyle name="Total 7 5 3 3 2" xfId="26359"/>
    <cellStyle name="Total 7 5 3 3 3" xfId="37204"/>
    <cellStyle name="Total 7 5 3 3 4" xfId="16520"/>
    <cellStyle name="Total 7 5 3 4" xfId="10046"/>
    <cellStyle name="Total 7 5 3 4 2" xfId="29018"/>
    <cellStyle name="Total 7 5 3 4 3" xfId="39863"/>
    <cellStyle name="Total 7 5 3 4 4" xfId="18424"/>
    <cellStyle name="Total 7 5 3 5" xfId="20842"/>
    <cellStyle name="Total 7 5 3 6" xfId="31687"/>
    <cellStyle name="Total 7 5 3 7" xfId="12570"/>
    <cellStyle name="Total 7 5 4" xfId="2266"/>
    <cellStyle name="Total 7 5 4 2" xfId="5119"/>
    <cellStyle name="Total 7 5 4 2 2" xfId="24091"/>
    <cellStyle name="Total 7 5 4 2 3" xfId="34936"/>
    <cellStyle name="Total 7 5 4 2 4" xfId="14893"/>
    <cellStyle name="Total 7 5 4 3" xfId="7790"/>
    <cellStyle name="Total 7 5 4 3 2" xfId="26762"/>
    <cellStyle name="Total 7 5 4 3 3" xfId="37607"/>
    <cellStyle name="Total 7 5 4 3 4" xfId="16806"/>
    <cellStyle name="Total 7 5 4 4" xfId="10449"/>
    <cellStyle name="Total 7 5 4 4 2" xfId="29421"/>
    <cellStyle name="Total 7 5 4 4 3" xfId="40266"/>
    <cellStyle name="Total 7 5 4 4 4" xfId="18710"/>
    <cellStyle name="Total 7 5 4 5" xfId="21245"/>
    <cellStyle name="Total 7 5 4 6" xfId="32090"/>
    <cellStyle name="Total 7 5 4 7" xfId="12856"/>
    <cellStyle name="Total 7 5 5" xfId="2656"/>
    <cellStyle name="Total 7 5 5 2" xfId="5508"/>
    <cellStyle name="Total 7 5 5 2 2" xfId="24480"/>
    <cellStyle name="Total 7 5 5 2 3" xfId="35325"/>
    <cellStyle name="Total 7 5 5 2 4" xfId="15172"/>
    <cellStyle name="Total 7 5 5 3" xfId="8179"/>
    <cellStyle name="Total 7 5 5 3 2" xfId="27151"/>
    <cellStyle name="Total 7 5 5 3 3" xfId="37996"/>
    <cellStyle name="Total 7 5 5 3 4" xfId="17085"/>
    <cellStyle name="Total 7 5 5 4" xfId="10838"/>
    <cellStyle name="Total 7 5 5 4 2" xfId="29810"/>
    <cellStyle name="Total 7 5 5 4 3" xfId="40655"/>
    <cellStyle name="Total 7 5 5 4 4" xfId="18989"/>
    <cellStyle name="Total 7 5 5 5" xfId="21634"/>
    <cellStyle name="Total 7 5 5 6" xfId="32479"/>
    <cellStyle name="Total 7 5 5 7" xfId="13135"/>
    <cellStyle name="Total 7 5 6" xfId="3042"/>
    <cellStyle name="Total 7 5 6 2" xfId="5893"/>
    <cellStyle name="Total 7 5 6 2 2" xfId="24865"/>
    <cellStyle name="Total 7 5 6 2 3" xfId="35710"/>
    <cellStyle name="Total 7 5 6 2 4" xfId="15448"/>
    <cellStyle name="Total 7 5 6 3" xfId="8564"/>
    <cellStyle name="Total 7 5 6 3 2" xfId="27536"/>
    <cellStyle name="Total 7 5 6 3 3" xfId="38381"/>
    <cellStyle name="Total 7 5 6 3 4" xfId="17361"/>
    <cellStyle name="Total 7 5 6 4" xfId="11223"/>
    <cellStyle name="Total 7 5 6 4 2" xfId="30195"/>
    <cellStyle name="Total 7 5 6 4 3" xfId="41040"/>
    <cellStyle name="Total 7 5 6 4 4" xfId="19265"/>
    <cellStyle name="Total 7 5 6 5" xfId="22019"/>
    <cellStyle name="Total 7 5 6 6" xfId="32864"/>
    <cellStyle name="Total 7 5 6 7" xfId="13411"/>
    <cellStyle name="Total 7 5 7" xfId="3731"/>
    <cellStyle name="Total 7 5 7 2" xfId="22703"/>
    <cellStyle name="Total 7 5 7 3" xfId="33548"/>
    <cellStyle name="Total 7 5 7 4" xfId="13892"/>
    <cellStyle name="Total 7 5 8" xfId="6406"/>
    <cellStyle name="Total 7 5 8 2" xfId="25378"/>
    <cellStyle name="Total 7 5 8 3" xfId="36223"/>
    <cellStyle name="Total 7 5 8 4" xfId="15808"/>
    <cellStyle name="Total 7 5 9" xfId="9065"/>
    <cellStyle name="Total 7 5 9 2" xfId="28037"/>
    <cellStyle name="Total 7 5 9 3" xfId="38882"/>
    <cellStyle name="Total 7 5 9 4" xfId="17712"/>
    <cellStyle name="Total 7 6" xfId="1098"/>
    <cellStyle name="Total 7 6 2" xfId="3951"/>
    <cellStyle name="Total 7 6 2 2" xfId="22923"/>
    <cellStyle name="Total 7 6 2 3" xfId="33768"/>
    <cellStyle name="Total 7 6 2 4" xfId="14054"/>
    <cellStyle name="Total 7 6 3" xfId="6625"/>
    <cellStyle name="Total 7 6 3 2" xfId="25597"/>
    <cellStyle name="Total 7 6 3 3" xfId="36442"/>
    <cellStyle name="Total 7 6 3 4" xfId="15970"/>
    <cellStyle name="Total 7 6 4" xfId="9284"/>
    <cellStyle name="Total 7 6 4 2" xfId="28256"/>
    <cellStyle name="Total 7 6 4 3" xfId="39101"/>
    <cellStyle name="Total 7 6 4 4" xfId="17874"/>
    <cellStyle name="Total 7 6 5" xfId="20080"/>
    <cellStyle name="Total 7 6 6" xfId="30925"/>
    <cellStyle name="Total 7 6 7" xfId="12020"/>
    <cellStyle name="Total 7 7" xfId="1498"/>
    <cellStyle name="Total 7 7 2" xfId="4351"/>
    <cellStyle name="Total 7 7 2 2" xfId="23323"/>
    <cellStyle name="Total 7 7 2 3" xfId="34168"/>
    <cellStyle name="Total 7 7 2 4" xfId="14344"/>
    <cellStyle name="Total 7 7 3" xfId="7024"/>
    <cellStyle name="Total 7 7 3 2" xfId="25996"/>
    <cellStyle name="Total 7 7 3 3" xfId="36841"/>
    <cellStyle name="Total 7 7 3 4" xfId="16259"/>
    <cellStyle name="Total 7 7 4" xfId="9683"/>
    <cellStyle name="Total 7 7 4 2" xfId="28655"/>
    <cellStyle name="Total 7 7 4 3" xfId="39500"/>
    <cellStyle name="Total 7 7 4 4" xfId="18163"/>
    <cellStyle name="Total 7 7 5" xfId="20479"/>
    <cellStyle name="Total 7 7 6" xfId="31324"/>
    <cellStyle name="Total 7 7 7" xfId="12309"/>
    <cellStyle name="Total 7 8" xfId="1906"/>
    <cellStyle name="Total 7 8 2" xfId="4759"/>
    <cellStyle name="Total 7 8 2 2" xfId="23731"/>
    <cellStyle name="Total 7 8 2 3" xfId="34576"/>
    <cellStyle name="Total 7 8 2 4" xfId="14635"/>
    <cellStyle name="Total 7 8 3" xfId="7431"/>
    <cellStyle name="Total 7 8 3 2" xfId="26403"/>
    <cellStyle name="Total 7 8 3 3" xfId="37248"/>
    <cellStyle name="Total 7 8 3 4" xfId="16549"/>
    <cellStyle name="Total 7 8 4" xfId="10090"/>
    <cellStyle name="Total 7 8 4 2" xfId="29062"/>
    <cellStyle name="Total 7 8 4 3" xfId="39907"/>
    <cellStyle name="Total 7 8 4 4" xfId="18453"/>
    <cellStyle name="Total 7 8 5" xfId="20886"/>
    <cellStyle name="Total 7 8 6" xfId="31731"/>
    <cellStyle name="Total 7 8 7" xfId="12599"/>
    <cellStyle name="Total 7 9" xfId="2300"/>
    <cellStyle name="Total 7 9 2" xfId="5153"/>
    <cellStyle name="Total 7 9 2 2" xfId="24125"/>
    <cellStyle name="Total 7 9 2 3" xfId="34970"/>
    <cellStyle name="Total 7 9 2 4" xfId="14917"/>
    <cellStyle name="Total 7 9 3" xfId="7824"/>
    <cellStyle name="Total 7 9 3 2" xfId="26796"/>
    <cellStyle name="Total 7 9 3 3" xfId="37641"/>
    <cellStyle name="Total 7 9 3 4" xfId="16830"/>
    <cellStyle name="Total 7 9 4" xfId="10483"/>
    <cellStyle name="Total 7 9 4 2" xfId="29455"/>
    <cellStyle name="Total 7 9 4 3" xfId="40300"/>
    <cellStyle name="Total 7 9 4 4" xfId="18734"/>
    <cellStyle name="Total 7 9 5" xfId="21279"/>
    <cellStyle name="Total 7 9 6" xfId="32124"/>
    <cellStyle name="Total 7 9 7" xfId="12880"/>
    <cellStyle name="Total 8" xfId="580"/>
    <cellStyle name="Total 8 10" xfId="19590"/>
    <cellStyle name="Total 8 11" xfId="30435"/>
    <cellStyle name="Total 8 12" xfId="11644"/>
    <cellStyle name="Total 8 2" xfId="1186"/>
    <cellStyle name="Total 8 2 2" xfId="4039"/>
    <cellStyle name="Total 8 2 2 2" xfId="23011"/>
    <cellStyle name="Total 8 2 2 3" xfId="33856"/>
    <cellStyle name="Total 8 2 2 4" xfId="14121"/>
    <cellStyle name="Total 8 2 3" xfId="6712"/>
    <cellStyle name="Total 8 2 3 2" xfId="25684"/>
    <cellStyle name="Total 8 2 3 3" xfId="36529"/>
    <cellStyle name="Total 8 2 3 4" xfId="16036"/>
    <cellStyle name="Total 8 2 4" xfId="9371"/>
    <cellStyle name="Total 8 2 4 2" xfId="28343"/>
    <cellStyle name="Total 8 2 4 3" xfId="39188"/>
    <cellStyle name="Total 8 2 4 4" xfId="17940"/>
    <cellStyle name="Total 8 2 5" xfId="20167"/>
    <cellStyle name="Total 8 2 6" xfId="31012"/>
    <cellStyle name="Total 8 2 7" xfId="12086"/>
    <cellStyle name="Total 8 3" xfId="1583"/>
    <cellStyle name="Total 8 3 2" xfId="4436"/>
    <cellStyle name="Total 8 3 2 2" xfId="23408"/>
    <cellStyle name="Total 8 3 2 3" xfId="34253"/>
    <cellStyle name="Total 8 3 2 4" xfId="14407"/>
    <cellStyle name="Total 8 3 3" xfId="7108"/>
    <cellStyle name="Total 8 3 3 2" xfId="26080"/>
    <cellStyle name="Total 8 3 3 3" xfId="36925"/>
    <cellStyle name="Total 8 3 3 4" xfId="16321"/>
    <cellStyle name="Total 8 3 4" xfId="9767"/>
    <cellStyle name="Total 8 3 4 2" xfId="28739"/>
    <cellStyle name="Total 8 3 4 3" xfId="39584"/>
    <cellStyle name="Total 8 3 4 4" xfId="18225"/>
    <cellStyle name="Total 8 3 5" xfId="20563"/>
    <cellStyle name="Total 8 3 6" xfId="31408"/>
    <cellStyle name="Total 8 3 7" xfId="12371"/>
    <cellStyle name="Total 8 4" xfId="1987"/>
    <cellStyle name="Total 8 4 2" xfId="4840"/>
    <cellStyle name="Total 8 4 2 2" xfId="23812"/>
    <cellStyle name="Total 8 4 2 3" xfId="34657"/>
    <cellStyle name="Total 8 4 2 4" xfId="14695"/>
    <cellStyle name="Total 8 4 3" xfId="7512"/>
    <cellStyle name="Total 8 4 3 2" xfId="26484"/>
    <cellStyle name="Total 8 4 3 3" xfId="37329"/>
    <cellStyle name="Total 8 4 3 4" xfId="16609"/>
    <cellStyle name="Total 8 4 4" xfId="10171"/>
    <cellStyle name="Total 8 4 4 2" xfId="29143"/>
    <cellStyle name="Total 8 4 4 3" xfId="39988"/>
    <cellStyle name="Total 8 4 4 4" xfId="18513"/>
    <cellStyle name="Total 8 4 5" xfId="20967"/>
    <cellStyle name="Total 8 4 6" xfId="31812"/>
    <cellStyle name="Total 8 4 7" xfId="12659"/>
    <cellStyle name="Total 8 5" xfId="2379"/>
    <cellStyle name="Total 8 5 2" xfId="5232"/>
    <cellStyle name="Total 8 5 2 2" xfId="24204"/>
    <cellStyle name="Total 8 5 2 3" xfId="35049"/>
    <cellStyle name="Total 8 5 2 4" xfId="14976"/>
    <cellStyle name="Total 8 5 3" xfId="7903"/>
    <cellStyle name="Total 8 5 3 2" xfId="26875"/>
    <cellStyle name="Total 8 5 3 3" xfId="37720"/>
    <cellStyle name="Total 8 5 3 4" xfId="16889"/>
    <cellStyle name="Total 8 5 4" xfId="10562"/>
    <cellStyle name="Total 8 5 4 2" xfId="29534"/>
    <cellStyle name="Total 8 5 4 3" xfId="40379"/>
    <cellStyle name="Total 8 5 4 4" xfId="18793"/>
    <cellStyle name="Total 8 5 5" xfId="21358"/>
    <cellStyle name="Total 8 5 6" xfId="32203"/>
    <cellStyle name="Total 8 5 7" xfId="12939"/>
    <cellStyle name="Total 8 6" xfId="2768"/>
    <cellStyle name="Total 8 6 2" xfId="5620"/>
    <cellStyle name="Total 8 6 2 2" xfId="24592"/>
    <cellStyle name="Total 8 6 2 3" xfId="35437"/>
    <cellStyle name="Total 8 6 2 4" xfId="15254"/>
    <cellStyle name="Total 8 6 3" xfId="8291"/>
    <cellStyle name="Total 8 6 3 2" xfId="27263"/>
    <cellStyle name="Total 8 6 3 3" xfId="38108"/>
    <cellStyle name="Total 8 6 3 4" xfId="17167"/>
    <cellStyle name="Total 8 6 4" xfId="10950"/>
    <cellStyle name="Total 8 6 4 2" xfId="29922"/>
    <cellStyle name="Total 8 6 4 3" xfId="40767"/>
    <cellStyle name="Total 8 6 4 4" xfId="19071"/>
    <cellStyle name="Total 8 6 5" xfId="21746"/>
    <cellStyle name="Total 8 6 6" xfId="32591"/>
    <cellStyle name="Total 8 6 7" xfId="13217"/>
    <cellStyle name="Total 8 7" xfId="3459"/>
    <cellStyle name="Total 8 7 2" xfId="22431"/>
    <cellStyle name="Total 8 7 3" xfId="33276"/>
    <cellStyle name="Total 8 7 4" xfId="13699"/>
    <cellStyle name="Total 8 8" xfId="6135"/>
    <cellStyle name="Total 8 8 2" xfId="25107"/>
    <cellStyle name="Total 8 8 3" xfId="35952"/>
    <cellStyle name="Total 8 8 4" xfId="15616"/>
    <cellStyle name="Total 8 9" xfId="8794"/>
    <cellStyle name="Total 8 9 2" xfId="27766"/>
    <cellStyle name="Total 8 9 3" xfId="38611"/>
    <cellStyle name="Total 8 9 4" xfId="17520"/>
    <cellStyle name="Total 9" xfId="492"/>
    <cellStyle name="Total 9 2" xfId="3408"/>
    <cellStyle name="Total 9 2 2" xfId="22380"/>
    <cellStyle name="Total 9 2 3" xfId="33225"/>
    <cellStyle name="Total 9 2 4" xfId="13658"/>
    <cellStyle name="Total 9 3" xfId="6084"/>
    <cellStyle name="Total 9 3 2" xfId="25056"/>
    <cellStyle name="Total 9 3 3" xfId="35901"/>
    <cellStyle name="Total 9 3 4" xfId="15575"/>
    <cellStyle name="Total 9 4" xfId="8743"/>
    <cellStyle name="Total 9 4 2" xfId="27715"/>
    <cellStyle name="Total 9 4 3" xfId="38560"/>
    <cellStyle name="Total 9 4 4" xfId="17479"/>
    <cellStyle name="Total 9 5" xfId="19529"/>
    <cellStyle name="Total 9 6" xfId="30374"/>
    <cellStyle name="Total 9 7" xfId="11572"/>
    <cellStyle name="Warning Text" xfId="165" builtinId="11" customBuiltin="1"/>
    <cellStyle name="Warning Text 2" xfId="166"/>
    <cellStyle name="Warning Text 3" xfId="329"/>
    <cellStyle name="Warning Text 4" xfId="493"/>
    <cellStyle name="Warning Text 5" xfId="11483"/>
    <cellStyle name="Year" xfId="167"/>
  </cellStyles>
  <dxfs count="12"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00FF00"/>
      <color rgb="FF66FF33"/>
      <color rgb="FFFFD9D9"/>
      <color rgb="FFCCFFCC"/>
      <color rgb="FFFFCDCD"/>
      <color rgb="FF99FF66"/>
      <color rgb="FF276B7B"/>
      <color rgb="FF680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55EEAE76-50ED-447D-95B6-F967AFA7961C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4EA91718-F652-43EC-B6E2-D11F0C087CF4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DA82EFCE-C731-4DA4-AC79-02C4C3F2E259}"/>
            </a:ext>
          </a:extLst>
        </xdr:cNvPr>
        <xdr:cNvSpPr txBox="1"/>
      </xdr:nvSpPr>
      <xdr:spPr>
        <a:xfrm>
          <a:off x="0" y="8888365"/>
          <a:ext cx="4422121" cy="10225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17</xdr:col>
      <xdr:colOff>495300</xdr:colOff>
      <xdr:row>4</xdr:row>
      <xdr:rowOff>66675</xdr:rowOff>
    </xdr:to>
    <xdr:sp macro="" textlink="Lookups!$B$2">
      <xdr:nvSpPr>
        <xdr:cNvPr id="2" name="TextBox 1">
          <a:extLst>
            <a:ext uri="{FF2B5EF4-FFF2-40B4-BE49-F238E27FC236}">
              <a16:creationId xmlns="" xmlns:a16="http://schemas.microsoft.com/office/drawing/2014/main" id="{D0AE3404-67EE-4E8D-9CE4-0C5E5405DD53}"/>
            </a:ext>
          </a:extLst>
        </xdr:cNvPr>
        <xdr:cNvSpPr txBox="1"/>
      </xdr:nvSpPr>
      <xdr:spPr>
        <a:xfrm>
          <a:off x="9496425" y="161925"/>
          <a:ext cx="4152900" cy="55245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BEC6F50-DCDA-483A-9045-2021D1E27924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n-US" sz="1050" i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907676</xdr:colOff>
      <xdr:row>3</xdr:row>
      <xdr:rowOff>74519</xdr:rowOff>
    </xdr:to>
    <xdr:sp macro="" textlink="Lookups!$B$2">
      <xdr:nvSpPr>
        <xdr:cNvPr id="3" name="TextBox 2">
          <a:extLst>
            <a:ext uri="{FF2B5EF4-FFF2-40B4-BE49-F238E27FC236}">
              <a16:creationId xmlns="" xmlns:a16="http://schemas.microsoft.com/office/drawing/2014/main" id="{B639866E-95B1-4B65-A4D6-9079FF7D2B29}"/>
            </a:ext>
          </a:extLst>
        </xdr:cNvPr>
        <xdr:cNvSpPr txBox="1"/>
      </xdr:nvSpPr>
      <xdr:spPr>
        <a:xfrm>
          <a:off x="0" y="0"/>
          <a:ext cx="3193676" cy="56029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DCCEFA9-BADF-4C49-9854-82B7219C6F76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n-US" sz="1050" i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@2020%20Core%20Programs\Core%20Filing\BC%20Models\Unitil%20NH%20ADR%2020191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Costs"/>
      <sheetName val="ADRYr1"/>
      <sheetName val="ADRYr2"/>
      <sheetName val="ADRYr3"/>
      <sheetName val="CalcsYr1"/>
      <sheetName val="CalcsYr2"/>
      <sheetName val="CalcsYr3"/>
      <sheetName val="AESC"/>
      <sheetName val="DemandLookups"/>
      <sheetName val="AvoidedEnergy"/>
      <sheetName val="AvoidedDemand"/>
      <sheetName val="Master Data"/>
      <sheetName val="1. Att E1 Cost Eff"/>
      <sheetName val="2. Att E1 Ben"/>
      <sheetName val="3. Att E1 PI"/>
      <sheetName val="2020 Plan"/>
    </sheetNames>
    <sheetDataSet>
      <sheetData sheetId="0" refreshError="1">
        <row r="28">
          <cell r="G28">
            <v>0.85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O245"/>
  <sheetViews>
    <sheetView showGridLines="0" zoomScale="90" zoomScaleNormal="90" workbookViewId="0">
      <selection activeCell="B2" sqref="B2:G3"/>
    </sheetView>
  </sheetViews>
  <sheetFormatPr defaultColWidth="10" defaultRowHeight="12.75"/>
  <cols>
    <col min="1" max="4" width="2.7109375" style="242" customWidth="1"/>
    <col min="5" max="5" width="43.5703125" style="250" customWidth="1"/>
    <col min="6" max="6" width="20" style="242" customWidth="1"/>
    <col min="7" max="7" width="22.42578125" style="242" customWidth="1"/>
    <col min="8" max="8" width="20.28515625" style="242" customWidth="1"/>
    <col min="9" max="9" width="18" style="242" customWidth="1"/>
    <col min="10" max="11" width="21" style="242" customWidth="1"/>
    <col min="12" max="12" width="32.28515625" style="242" customWidth="1"/>
    <col min="13" max="14" width="2.7109375" style="242" customWidth="1"/>
    <col min="15" max="16" width="17.42578125" style="242" bestFit="1" customWidth="1"/>
    <col min="17" max="17" width="15" style="242" bestFit="1" customWidth="1"/>
    <col min="18" max="18" width="15.42578125" style="242" bestFit="1" customWidth="1"/>
    <col min="19" max="19" width="15.28515625" style="242" bestFit="1" customWidth="1"/>
    <col min="20" max="22" width="17.42578125" style="242" bestFit="1" customWidth="1"/>
    <col min="23" max="16384" width="10" style="242"/>
  </cols>
  <sheetData>
    <row r="2" spans="2:15">
      <c r="B2" s="1416"/>
      <c r="C2" s="1416"/>
      <c r="D2" s="1416"/>
      <c r="E2" s="1416"/>
      <c r="F2" s="1416"/>
      <c r="G2" s="1416"/>
    </row>
    <row r="3" spans="2:15">
      <c r="B3" s="1416"/>
      <c r="C3" s="1416"/>
      <c r="D3" s="1416"/>
      <c r="E3" s="1416"/>
      <c r="F3" s="1416"/>
      <c r="G3" s="1416"/>
    </row>
    <row r="5" spans="2:15" ht="26.25">
      <c r="B5" s="264" t="s">
        <v>556</v>
      </c>
    </row>
    <row r="7" spans="2:15" ht="21.75" thickBot="1">
      <c r="B7" s="276" t="s">
        <v>561</v>
      </c>
      <c r="C7" s="277"/>
      <c r="D7" s="277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2:15">
      <c r="C8" s="260"/>
      <c r="D8" s="260"/>
      <c r="E8" s="293" t="s">
        <v>214</v>
      </c>
      <c r="F8" s="294" t="s">
        <v>213</v>
      </c>
    </row>
    <row r="9" spans="2:15">
      <c r="E9" s="293" t="s">
        <v>83</v>
      </c>
      <c r="F9" s="294" t="s">
        <v>371</v>
      </c>
    </row>
    <row r="10" spans="2:15">
      <c r="E10" s="293" t="s">
        <v>219</v>
      </c>
      <c r="F10" s="294" t="s">
        <v>217</v>
      </c>
    </row>
    <row r="11" spans="2:15">
      <c r="E11" s="293" t="s">
        <v>557</v>
      </c>
      <c r="F11" s="295">
        <v>2021</v>
      </c>
    </row>
    <row r="12" spans="2:15">
      <c r="E12" s="293" t="s">
        <v>558</v>
      </c>
      <c r="F12" s="295">
        <v>2022</v>
      </c>
    </row>
    <row r="13" spans="2:15">
      <c r="E13" s="292" t="s">
        <v>559</v>
      </c>
      <c r="F13" s="296">
        <v>2023</v>
      </c>
    </row>
    <row r="16" spans="2:15" ht="21.75" thickBot="1">
      <c r="B16" s="276" t="s">
        <v>564</v>
      </c>
      <c r="C16" s="277"/>
      <c r="D16" s="277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</row>
    <row r="17" spans="3:15" ht="18.75">
      <c r="C17" s="271" t="s">
        <v>580</v>
      </c>
      <c r="D17" s="271"/>
      <c r="E17" s="272"/>
      <c r="F17" s="272"/>
      <c r="G17" s="273"/>
      <c r="H17" s="274"/>
      <c r="I17" s="274"/>
      <c r="J17" s="274"/>
      <c r="K17" s="274"/>
      <c r="L17" s="274"/>
      <c r="M17" s="274"/>
      <c r="N17" s="274"/>
    </row>
    <row r="18" spans="3:15">
      <c r="E18" s="318" t="s">
        <v>573</v>
      </c>
      <c r="F18" s="319" t="s">
        <v>574</v>
      </c>
      <c r="G18" s="319" t="str">
        <f>Year1&amp;"-"&amp;Year3</f>
        <v>2021-2023</v>
      </c>
      <c r="H18" s="319" t="s">
        <v>585</v>
      </c>
      <c r="I18" s="756"/>
      <c r="J18" s="756"/>
      <c r="K18" s="756"/>
      <c r="L18" s="756"/>
      <c r="M18" s="756"/>
      <c r="N18" s="756"/>
    </row>
    <row r="19" spans="3:15">
      <c r="E19" s="265" t="s">
        <v>591</v>
      </c>
      <c r="F19" s="265" t="s">
        <v>76</v>
      </c>
      <c r="G19" s="320">
        <v>2018</v>
      </c>
      <c r="H19" s="265" t="s">
        <v>688</v>
      </c>
      <c r="I19" s="243"/>
      <c r="J19" s="243"/>
    </row>
    <row r="20" spans="3:15">
      <c r="E20" s="265" t="s">
        <v>584</v>
      </c>
      <c r="F20" s="265" t="s">
        <v>575</v>
      </c>
      <c r="G20" s="825">
        <v>0.5</v>
      </c>
      <c r="H20" s="265" t="s">
        <v>707</v>
      </c>
      <c r="I20" s="243"/>
      <c r="J20" s="243"/>
    </row>
    <row r="21" spans="3:15">
      <c r="E21" s="243" t="s">
        <v>253</v>
      </c>
      <c r="F21" s="265" t="s">
        <v>575</v>
      </c>
      <c r="G21" s="825">
        <v>0.08</v>
      </c>
      <c r="H21" s="243" t="s">
        <v>715</v>
      </c>
      <c r="I21" s="243"/>
      <c r="J21" s="243"/>
    </row>
    <row r="22" spans="3:15">
      <c r="E22" s="243" t="s">
        <v>90</v>
      </c>
      <c r="F22" s="265" t="s">
        <v>575</v>
      </c>
      <c r="G22" s="825">
        <v>6.9000000000000006E-2</v>
      </c>
      <c r="H22" s="243"/>
      <c r="I22" s="243"/>
      <c r="J22" s="243"/>
    </row>
    <row r="23" spans="3:15">
      <c r="E23" s="243" t="s">
        <v>91</v>
      </c>
      <c r="F23" s="265" t="s">
        <v>575</v>
      </c>
      <c r="G23" s="1006">
        <v>0</v>
      </c>
      <c r="H23" s="243" t="s">
        <v>921</v>
      </c>
      <c r="I23" s="243"/>
      <c r="J23" s="243"/>
      <c r="K23" s="266"/>
      <c r="L23" s="266"/>
    </row>
    <row r="24" spans="3:15">
      <c r="E24" s="243" t="s">
        <v>651</v>
      </c>
      <c r="F24" s="265" t="s">
        <v>575</v>
      </c>
      <c r="G24" s="825">
        <v>1.6E-2</v>
      </c>
      <c r="H24" s="243" t="s">
        <v>715</v>
      </c>
      <c r="I24" s="243"/>
      <c r="J24" s="243"/>
    </row>
    <row r="25" spans="3:15">
      <c r="E25" s="265" t="s">
        <v>719</v>
      </c>
      <c r="F25" s="265" t="s">
        <v>724</v>
      </c>
      <c r="G25" s="822">
        <v>2000</v>
      </c>
      <c r="H25" s="265" t="s">
        <v>707</v>
      </c>
      <c r="I25" s="243"/>
      <c r="J25" s="243"/>
    </row>
    <row r="26" spans="3:15">
      <c r="E26" s="265" t="s">
        <v>720</v>
      </c>
      <c r="F26" s="265" t="s">
        <v>722</v>
      </c>
      <c r="G26" s="824">
        <f>0.0034121415</f>
        <v>3.4121415000000002E-3</v>
      </c>
      <c r="H26" s="265" t="s">
        <v>707</v>
      </c>
      <c r="I26" s="243"/>
      <c r="J26" s="243"/>
    </row>
    <row r="27" spans="3:15">
      <c r="E27" s="265" t="s">
        <v>721</v>
      </c>
      <c r="F27" s="265" t="s">
        <v>723</v>
      </c>
      <c r="G27" s="823">
        <f>1/G26</f>
        <v>293.07108160666843</v>
      </c>
      <c r="H27" s="265" t="s">
        <v>707</v>
      </c>
      <c r="I27" s="243"/>
      <c r="J27" s="243"/>
    </row>
    <row r="28" spans="3:15">
      <c r="E28" s="244"/>
      <c r="F28" s="244"/>
      <c r="G28" s="244"/>
      <c r="H28" s="243"/>
      <c r="I28" s="243"/>
      <c r="J28" s="243"/>
    </row>
    <row r="29" spans="3:15" ht="18.75">
      <c r="C29" s="271" t="s">
        <v>581</v>
      </c>
      <c r="D29" s="271"/>
      <c r="E29" s="272"/>
      <c r="F29" s="272"/>
      <c r="G29" s="273"/>
      <c r="H29" s="274"/>
      <c r="I29" s="274"/>
      <c r="J29" s="274"/>
      <c r="K29" s="274"/>
      <c r="L29" s="274"/>
      <c r="M29" s="274"/>
      <c r="N29" s="274"/>
    </row>
    <row r="30" spans="3:15">
      <c r="E30" s="318" t="s">
        <v>573</v>
      </c>
      <c r="F30" s="319" t="s">
        <v>574</v>
      </c>
      <c r="G30" s="319">
        <f>Year1</f>
        <v>2021</v>
      </c>
      <c r="H30" s="319">
        <f>Year2</f>
        <v>2022</v>
      </c>
      <c r="I30" s="319">
        <f>Year3</f>
        <v>2023</v>
      </c>
      <c r="J30" s="319" t="s">
        <v>585</v>
      </c>
      <c r="K30" s="756"/>
      <c r="L30" s="756"/>
      <c r="M30" s="756"/>
      <c r="N30" s="756"/>
    </row>
    <row r="31" spans="3:15" ht="42" customHeight="1">
      <c r="E31" s="816" t="s">
        <v>53</v>
      </c>
      <c r="F31" s="817" t="s">
        <v>575</v>
      </c>
      <c r="G31" s="818">
        <v>3.2500000000000001E-2</v>
      </c>
      <c r="H31" s="818">
        <f>nomdiscrt1</f>
        <v>3.2500000000000001E-2</v>
      </c>
      <c r="I31" s="818">
        <f>nomdiscrt2</f>
        <v>3.2500000000000001E-2</v>
      </c>
      <c r="J31" s="1418" t="s">
        <v>754</v>
      </c>
      <c r="K31" s="1418"/>
      <c r="L31" s="1418"/>
      <c r="M31" s="1418"/>
      <c r="N31" s="1418"/>
      <c r="O31" s="266" t="s">
        <v>87</v>
      </c>
    </row>
    <row r="32" spans="3:15" ht="25.5" customHeight="1">
      <c r="E32" s="816" t="s">
        <v>59</v>
      </c>
      <c r="F32" s="817" t="s">
        <v>575</v>
      </c>
      <c r="G32" s="818">
        <v>1.8100000000000002E-2</v>
      </c>
      <c r="H32" s="818">
        <f>Inflation1</f>
        <v>1.8100000000000002E-2</v>
      </c>
      <c r="I32" s="818">
        <f>Inflation2</f>
        <v>1.8100000000000002E-2</v>
      </c>
      <c r="J32" s="1417" t="s">
        <v>755</v>
      </c>
      <c r="K32" s="1417"/>
      <c r="L32" s="1417"/>
      <c r="M32" s="1417"/>
      <c r="N32" s="1417"/>
      <c r="O32" s="266" t="s">
        <v>87</v>
      </c>
    </row>
    <row r="33" spans="3:15">
      <c r="E33" s="816" t="s">
        <v>61</v>
      </c>
      <c r="F33" s="817" t="s">
        <v>575</v>
      </c>
      <c r="G33" s="818">
        <f>(1+nomdiscrt1)/(1+Inflation1)-1</f>
        <v>1.4143993713780612E-2</v>
      </c>
      <c r="H33" s="818">
        <f>realdiscrt1</f>
        <v>1.4143993713780612E-2</v>
      </c>
      <c r="I33" s="818">
        <f>(1+nomdiscrt3)/(1+Inflation3)-1</f>
        <v>1.4143993713780612E-2</v>
      </c>
      <c r="J33" s="1417" t="s">
        <v>567</v>
      </c>
      <c r="K33" s="1417"/>
      <c r="L33" s="1417"/>
      <c r="M33" s="1417"/>
      <c r="N33" s="1417"/>
      <c r="O33" s="266" t="s">
        <v>87</v>
      </c>
    </row>
    <row r="34" spans="3:15" ht="12.75" customHeight="1">
      <c r="E34" s="817" t="s">
        <v>666</v>
      </c>
      <c r="F34" s="817" t="s">
        <v>576</v>
      </c>
      <c r="G34" s="819">
        <v>94</v>
      </c>
      <c r="H34" s="819">
        <f>PTFyear1</f>
        <v>94</v>
      </c>
      <c r="I34" s="819">
        <f>PTFyear1</f>
        <v>94</v>
      </c>
      <c r="J34" s="1419" t="s">
        <v>714</v>
      </c>
      <c r="K34" s="1419"/>
      <c r="L34" s="1419"/>
      <c r="M34" s="1419"/>
      <c r="N34" s="1419"/>
      <c r="O34" s="266" t="s">
        <v>87</v>
      </c>
    </row>
    <row r="35" spans="3:15">
      <c r="E35" s="817" t="s">
        <v>665</v>
      </c>
      <c r="F35" s="817" t="s">
        <v>583</v>
      </c>
      <c r="G35" s="820">
        <v>2018</v>
      </c>
      <c r="H35" s="816"/>
      <c r="I35" s="816"/>
      <c r="J35" s="1420" t="s">
        <v>714</v>
      </c>
      <c r="K35" s="1420"/>
      <c r="L35" s="1420"/>
      <c r="M35" s="1420"/>
      <c r="N35" s="1420"/>
      <c r="O35" s="266" t="s">
        <v>87</v>
      </c>
    </row>
    <row r="36" spans="3:15" ht="26.25" customHeight="1">
      <c r="E36" s="817" t="s">
        <v>756</v>
      </c>
      <c r="F36" s="817" t="s">
        <v>576</v>
      </c>
      <c r="G36" s="819"/>
      <c r="H36" s="819"/>
      <c r="I36" s="819"/>
      <c r="J36" s="1417" t="s">
        <v>713</v>
      </c>
      <c r="K36" s="1417"/>
      <c r="L36" s="1417"/>
      <c r="M36" s="1417"/>
      <c r="N36" s="1417"/>
      <c r="O36" s="266" t="s">
        <v>87</v>
      </c>
    </row>
    <row r="37" spans="3:15">
      <c r="E37" s="817" t="s">
        <v>664</v>
      </c>
      <c r="F37" s="817" t="s">
        <v>576</v>
      </c>
      <c r="G37" s="819">
        <v>79.983439534534796</v>
      </c>
      <c r="H37" s="819">
        <f>distributionyear1</f>
        <v>79.983439534534796</v>
      </c>
      <c r="I37" s="819">
        <f>distributionyear1</f>
        <v>79.983439534534796</v>
      </c>
      <c r="J37" s="1417"/>
      <c r="K37" s="1417"/>
      <c r="L37" s="1417"/>
      <c r="M37" s="1417"/>
      <c r="N37" s="1417"/>
      <c r="O37" s="266" t="s">
        <v>87</v>
      </c>
    </row>
    <row r="38" spans="3:15">
      <c r="E38" s="817" t="s">
        <v>577</v>
      </c>
      <c r="F38" s="817" t="s">
        <v>583</v>
      </c>
      <c r="G38" s="820">
        <v>2017</v>
      </c>
      <c r="H38" s="816"/>
      <c r="I38" s="816"/>
      <c r="J38" s="1417"/>
      <c r="K38" s="1417"/>
      <c r="L38" s="1417"/>
      <c r="M38" s="1417"/>
      <c r="N38" s="1417"/>
      <c r="O38" s="266" t="s">
        <v>87</v>
      </c>
    </row>
    <row r="39" spans="3:15">
      <c r="E39" s="817" t="s">
        <v>242</v>
      </c>
      <c r="F39" s="816" t="s">
        <v>582</v>
      </c>
      <c r="G39" s="821">
        <v>7.9050802139037438E-3</v>
      </c>
      <c r="H39" s="821">
        <f>G39</f>
        <v>7.9050802139037438E-3</v>
      </c>
      <c r="I39" s="821">
        <f>H39</f>
        <v>7.9050802139037438E-3</v>
      </c>
      <c r="J39" s="1417"/>
      <c r="K39" s="1417"/>
      <c r="L39" s="1417"/>
      <c r="M39" s="1417"/>
      <c r="N39" s="1417"/>
      <c r="O39" s="266" t="s">
        <v>87</v>
      </c>
    </row>
    <row r="40" spans="3:15">
      <c r="E40" s="817" t="s">
        <v>243</v>
      </c>
      <c r="F40" s="816" t="s">
        <v>582</v>
      </c>
      <c r="G40" s="821">
        <v>7.9050802139037438E-3</v>
      </c>
      <c r="H40" s="821">
        <f>G40</f>
        <v>7.9050802139037438E-3</v>
      </c>
      <c r="I40" s="821">
        <f>H40</f>
        <v>7.9050802139037438E-3</v>
      </c>
      <c r="J40" s="1417"/>
      <c r="K40" s="1417"/>
      <c r="L40" s="1417"/>
      <c r="M40" s="1417"/>
      <c r="N40" s="1417"/>
      <c r="O40" s="266" t="s">
        <v>87</v>
      </c>
    </row>
    <row r="41" spans="3:15">
      <c r="E41" s="813" t="s">
        <v>577</v>
      </c>
      <c r="F41" s="813" t="s">
        <v>583</v>
      </c>
      <c r="G41" s="814">
        <v>2016</v>
      </c>
      <c r="H41" s="815"/>
      <c r="I41" s="815"/>
      <c r="J41" s="1417"/>
      <c r="K41" s="1417"/>
      <c r="L41" s="1417"/>
      <c r="M41" s="1417"/>
      <c r="N41" s="1417"/>
    </row>
    <row r="42" spans="3:15">
      <c r="E42" s="261"/>
      <c r="F42" s="261"/>
      <c r="J42" s="243"/>
    </row>
    <row r="43" spans="3:15" ht="18.75">
      <c r="C43" s="271" t="s">
        <v>572</v>
      </c>
      <c r="D43" s="271"/>
      <c r="E43" s="272"/>
      <c r="F43" s="272"/>
      <c r="G43" s="273"/>
      <c r="H43" s="274"/>
      <c r="I43" s="274"/>
      <c r="J43" s="274"/>
      <c r="K43" s="274"/>
      <c r="L43" s="274"/>
      <c r="M43" s="274"/>
      <c r="N43" s="274"/>
    </row>
    <row r="44" spans="3:15">
      <c r="E44" s="318" t="s">
        <v>573</v>
      </c>
      <c r="F44" s="319" t="s">
        <v>574</v>
      </c>
      <c r="G44" s="319" t="s">
        <v>578</v>
      </c>
      <c r="H44" s="319" t="s">
        <v>579</v>
      </c>
      <c r="I44" s="319" t="s">
        <v>585</v>
      </c>
      <c r="J44" s="756"/>
      <c r="K44" s="756"/>
      <c r="L44" s="756"/>
      <c r="M44" s="756"/>
      <c r="N44" s="756"/>
    </row>
    <row r="45" spans="3:15">
      <c r="E45" s="243" t="s">
        <v>57</v>
      </c>
      <c r="F45" s="265" t="s">
        <v>575</v>
      </c>
      <c r="G45" s="279">
        <f>G47</f>
        <v>0.08</v>
      </c>
      <c r="H45" s="279">
        <v>0.159</v>
      </c>
      <c r="I45" s="1414" t="s">
        <v>943</v>
      </c>
      <c r="J45" s="243"/>
      <c r="L45" s="242">
        <f>SumPeakEnergyLL*H45</f>
        <v>1.272E-2</v>
      </c>
    </row>
    <row r="46" spans="3:15">
      <c r="E46" s="243" t="s">
        <v>58</v>
      </c>
      <c r="F46" s="265" t="s">
        <v>575</v>
      </c>
      <c r="G46" s="279">
        <f>G48</f>
        <v>0.08</v>
      </c>
      <c r="H46" s="279">
        <v>0.17499999999999999</v>
      </c>
      <c r="I46" s="1415"/>
      <c r="J46" s="243"/>
      <c r="L46" s="242">
        <f>SumPeakEnergyLL*H46</f>
        <v>1.3999999999999999E-2</v>
      </c>
    </row>
    <row r="47" spans="3:15">
      <c r="E47" s="243" t="s">
        <v>55</v>
      </c>
      <c r="F47" s="265" t="s">
        <v>575</v>
      </c>
      <c r="G47" s="279">
        <v>0.08</v>
      </c>
      <c r="H47" s="279">
        <v>0.317</v>
      </c>
      <c r="I47" s="1415"/>
      <c r="J47" s="243"/>
      <c r="L47" s="242">
        <f>SumPeakEnergyLL*H47</f>
        <v>2.5360000000000001E-2</v>
      </c>
    </row>
    <row r="48" spans="3:15">
      <c r="E48" s="243" t="s">
        <v>56</v>
      </c>
      <c r="F48" s="265" t="s">
        <v>575</v>
      </c>
      <c r="G48" s="279">
        <v>0.08</v>
      </c>
      <c r="H48" s="279">
        <v>0.34899999999999998</v>
      </c>
      <c r="I48" s="1415"/>
      <c r="J48" s="243"/>
      <c r="L48" s="242">
        <f>SumPeakEnergyLL*H48</f>
        <v>2.792E-2</v>
      </c>
    </row>
    <row r="49" spans="3:14">
      <c r="E49" s="243" t="s">
        <v>533</v>
      </c>
      <c r="F49" s="265" t="s">
        <v>575</v>
      </c>
      <c r="G49" s="321">
        <f>SUMPRODUCT(G45:G48,H45:H48)</f>
        <v>0.08</v>
      </c>
      <c r="I49" s="266"/>
      <c r="J49" s="265" t="s">
        <v>712</v>
      </c>
    </row>
    <row r="50" spans="3:14">
      <c r="E50" s="261"/>
      <c r="F50" s="261"/>
      <c r="J50" s="243"/>
    </row>
    <row r="51" spans="3:14" ht="18.75">
      <c r="C51" s="271" t="s">
        <v>586</v>
      </c>
      <c r="D51" s="271"/>
      <c r="E51" s="272"/>
      <c r="F51" s="272"/>
      <c r="G51" s="273"/>
      <c r="H51" s="274"/>
      <c r="I51" s="274"/>
      <c r="J51" s="274"/>
      <c r="K51" s="274"/>
      <c r="L51" s="274"/>
      <c r="M51" s="274"/>
      <c r="N51" s="274"/>
    </row>
    <row r="52" spans="3:14">
      <c r="E52" s="318" t="s">
        <v>573</v>
      </c>
      <c r="F52" s="319" t="s">
        <v>574</v>
      </c>
      <c r="G52" s="319" t="s">
        <v>588</v>
      </c>
      <c r="H52" s="319" t="s">
        <v>585</v>
      </c>
      <c r="I52" s="756"/>
      <c r="J52" s="756"/>
      <c r="K52" s="756"/>
      <c r="L52" s="756"/>
      <c r="M52" s="756"/>
      <c r="N52" s="756"/>
    </row>
    <row r="53" spans="3:14">
      <c r="E53" s="243" t="s">
        <v>63</v>
      </c>
      <c r="F53" s="243" t="s">
        <v>587</v>
      </c>
      <c r="G53" s="279" t="s">
        <v>391</v>
      </c>
      <c r="J53" s="243"/>
    </row>
    <row r="54" spans="3:14">
      <c r="E54" s="243" t="s">
        <v>119</v>
      </c>
      <c r="F54" s="243" t="s">
        <v>587</v>
      </c>
      <c r="G54" s="279" t="s">
        <v>391</v>
      </c>
      <c r="J54" s="243"/>
    </row>
    <row r="55" spans="3:14">
      <c r="E55" s="243" t="s">
        <v>62</v>
      </c>
      <c r="F55" s="243" t="s">
        <v>587</v>
      </c>
      <c r="G55" s="279" t="s">
        <v>391</v>
      </c>
      <c r="J55" s="243"/>
    </row>
    <row r="56" spans="3:14">
      <c r="E56" s="265" t="s">
        <v>621</v>
      </c>
      <c r="F56" s="243" t="s">
        <v>587</v>
      </c>
      <c r="G56" s="1350" t="s">
        <v>276</v>
      </c>
      <c r="J56" s="243"/>
    </row>
    <row r="57" spans="3:14">
      <c r="E57" s="243" t="s">
        <v>88</v>
      </c>
      <c r="F57" s="243" t="s">
        <v>587</v>
      </c>
      <c r="G57" s="279" t="s">
        <v>391</v>
      </c>
      <c r="J57" s="243"/>
    </row>
    <row r="58" spans="3:14">
      <c r="E58" s="243" t="s">
        <v>115</v>
      </c>
      <c r="F58" s="243" t="s">
        <v>587</v>
      </c>
      <c r="G58" s="279" t="s">
        <v>391</v>
      </c>
      <c r="J58" s="243"/>
    </row>
    <row r="59" spans="3:14">
      <c r="E59" s="265" t="s">
        <v>632</v>
      </c>
      <c r="F59" s="243" t="s">
        <v>587</v>
      </c>
      <c r="G59" s="279" t="s">
        <v>391</v>
      </c>
      <c r="J59" s="243"/>
    </row>
    <row r="60" spans="3:14">
      <c r="E60" s="243" t="s">
        <v>541</v>
      </c>
      <c r="F60" s="243" t="s">
        <v>587</v>
      </c>
      <c r="G60" s="757" t="s">
        <v>276</v>
      </c>
      <c r="J60" s="243"/>
    </row>
    <row r="61" spans="3:14">
      <c r="E61" s="243" t="s">
        <v>553</v>
      </c>
      <c r="F61" s="243" t="s">
        <v>587</v>
      </c>
      <c r="G61" s="279" t="s">
        <v>391</v>
      </c>
      <c r="J61" s="243"/>
    </row>
    <row r="62" spans="3:14">
      <c r="E62" s="265" t="s">
        <v>64</v>
      </c>
      <c r="F62" s="243" t="s">
        <v>587</v>
      </c>
      <c r="G62" s="757" t="s">
        <v>391</v>
      </c>
      <c r="J62" s="243"/>
    </row>
    <row r="63" spans="3:14">
      <c r="E63" s="243" t="s">
        <v>431</v>
      </c>
      <c r="F63" s="243" t="s">
        <v>587</v>
      </c>
      <c r="G63" s="1350" t="s">
        <v>391</v>
      </c>
      <c r="J63" s="243"/>
    </row>
    <row r="64" spans="3:14">
      <c r="E64" s="261"/>
      <c r="F64" s="261"/>
      <c r="J64" s="243"/>
    </row>
    <row r="65" spans="2:15">
      <c r="E65" s="261"/>
      <c r="F65" s="261"/>
      <c r="J65" s="243"/>
    </row>
    <row r="66" spans="2:15" ht="21.75" thickBot="1">
      <c r="B66" s="276" t="s">
        <v>565</v>
      </c>
      <c r="C66" s="277"/>
      <c r="D66" s="277"/>
      <c r="E66" s="278"/>
      <c r="F66" s="278"/>
      <c r="G66" s="278"/>
      <c r="H66" s="278"/>
      <c r="I66" s="278"/>
      <c r="J66" s="278"/>
      <c r="K66" s="278"/>
      <c r="L66" s="278"/>
      <c r="M66" s="278"/>
      <c r="N66" s="278"/>
      <c r="O66" s="278"/>
    </row>
    <row r="67" spans="2:15">
      <c r="E67" s="318" t="s">
        <v>566</v>
      </c>
      <c r="F67" s="319" t="s">
        <v>574</v>
      </c>
      <c r="G67" s="319" t="s">
        <v>589</v>
      </c>
      <c r="H67" s="319" t="s">
        <v>585</v>
      </c>
      <c r="I67" s="756"/>
      <c r="J67" s="756"/>
      <c r="K67" s="756"/>
      <c r="L67" s="756"/>
      <c r="M67" s="756"/>
      <c r="N67" s="756"/>
      <c r="O67" s="756"/>
    </row>
    <row r="68" spans="2:15">
      <c r="E68" s="268" t="str">
        <f>E137</f>
        <v>A - Residential</v>
      </c>
      <c r="F68" s="265" t="s">
        <v>575</v>
      </c>
      <c r="G68" s="267">
        <v>0.1</v>
      </c>
      <c r="H68" s="266" t="s">
        <v>706</v>
      </c>
      <c r="J68" s="243"/>
    </row>
    <row r="69" spans="2:15">
      <c r="E69" s="268" t="str">
        <f>E138</f>
        <v>B - Low-Income</v>
      </c>
      <c r="F69" s="265" t="s">
        <v>575</v>
      </c>
      <c r="G69" s="267">
        <v>0.2</v>
      </c>
      <c r="H69" s="266" t="s">
        <v>706</v>
      </c>
      <c r="J69" s="243"/>
    </row>
    <row r="70" spans="2:15">
      <c r="E70" s="268" t="str">
        <f>E139</f>
        <v>C - Commercial &amp; Industrial</v>
      </c>
      <c r="F70" s="265" t="s">
        <v>575</v>
      </c>
      <c r="G70" s="267">
        <v>0.1</v>
      </c>
      <c r="H70" s="266" t="s">
        <v>706</v>
      </c>
      <c r="J70" s="243"/>
    </row>
    <row r="71" spans="2:15">
      <c r="E71" s="252"/>
      <c r="F71" s="252"/>
    </row>
    <row r="72" spans="2:15">
      <c r="E72" s="252"/>
      <c r="F72" s="252"/>
    </row>
    <row r="73" spans="2:15" ht="21.75" thickBot="1">
      <c r="B73" s="276" t="s">
        <v>678</v>
      </c>
      <c r="C73" s="277"/>
      <c r="D73" s="277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</row>
    <row r="74" spans="2:15" ht="18.75">
      <c r="C74" s="271" t="s">
        <v>679</v>
      </c>
      <c r="D74" s="271"/>
      <c r="E74" s="272"/>
      <c r="F74" s="272"/>
      <c r="G74" s="273"/>
      <c r="H74" s="274"/>
      <c r="I74" s="274"/>
      <c r="J74" s="274"/>
      <c r="K74" s="274"/>
      <c r="L74" s="274"/>
      <c r="M74" s="274"/>
      <c r="N74" s="274"/>
    </row>
    <row r="75" spans="2:15">
      <c r="E75" s="243" t="s">
        <v>590</v>
      </c>
      <c r="F75" s="243" t="s">
        <v>575</v>
      </c>
      <c r="G75" s="279">
        <v>0.1</v>
      </c>
      <c r="J75" s="243"/>
    </row>
    <row r="76" spans="2:15">
      <c r="E76" s="252"/>
      <c r="F76" s="252"/>
    </row>
    <row r="77" spans="2:15" ht="19.5" thickBot="1">
      <c r="C77" s="271" t="s">
        <v>535</v>
      </c>
      <c r="D77" s="271"/>
      <c r="E77" s="272"/>
      <c r="F77" s="272"/>
      <c r="G77" s="273"/>
      <c r="H77" s="274"/>
      <c r="I77" s="274"/>
      <c r="J77" s="274"/>
      <c r="K77" s="274"/>
      <c r="L77" s="274"/>
      <c r="M77" s="274"/>
      <c r="N77" s="274"/>
    </row>
    <row r="78" spans="2:15" ht="13.5" thickBot="1">
      <c r="E78" s="253"/>
      <c r="F78" s="755" t="s">
        <v>534</v>
      </c>
      <c r="G78" s="755" t="s">
        <v>680</v>
      </c>
      <c r="H78" s="755" t="s">
        <v>681</v>
      </c>
      <c r="I78" s="755" t="s">
        <v>682</v>
      </c>
      <c r="J78" s="755" t="s">
        <v>716</v>
      </c>
      <c r="K78" s="755" t="s">
        <v>717</v>
      </c>
      <c r="L78" s="254" t="s">
        <v>718</v>
      </c>
    </row>
    <row r="79" spans="2:15" ht="13.5" thickTop="1">
      <c r="E79" s="251" t="s">
        <v>536</v>
      </c>
      <c r="F79" s="269">
        <v>116.6</v>
      </c>
      <c r="G79" s="269">
        <v>9.1350000000000001E-2</v>
      </c>
      <c r="H79" s="269">
        <v>100</v>
      </c>
      <c r="I79" s="269">
        <v>11954.587007460295</v>
      </c>
      <c r="J79" s="255">
        <v>5.83</v>
      </c>
      <c r="K79" s="255">
        <v>0.546025761565749</v>
      </c>
      <c r="L79" s="256">
        <f>J79+K79</f>
        <v>6.3760257615657494</v>
      </c>
    </row>
    <row r="80" spans="2:15">
      <c r="E80" s="251" t="s">
        <v>537</v>
      </c>
      <c r="F80" s="269">
        <v>161.30000000000001</v>
      </c>
      <c r="G80" s="269">
        <v>0.12978999999999999</v>
      </c>
      <c r="H80" s="269">
        <v>100</v>
      </c>
      <c r="I80" s="269">
        <f>I79</f>
        <v>11954.587007460295</v>
      </c>
      <c r="J80" s="255">
        <v>8.0649999999999995</v>
      </c>
      <c r="K80" s="255">
        <v>0.77579292384913578</v>
      </c>
      <c r="L80" s="256">
        <f>J80+K80</f>
        <v>8.8407929238491345</v>
      </c>
    </row>
    <row r="81" spans="2:15">
      <c r="E81" s="251" t="s">
        <v>538</v>
      </c>
      <c r="F81" s="269">
        <v>136.9</v>
      </c>
      <c r="G81" s="269">
        <v>0.14233999999999999</v>
      </c>
      <c r="H81" s="269">
        <v>100</v>
      </c>
      <c r="I81" s="269">
        <f>I80</f>
        <v>11954.587007460295</v>
      </c>
      <c r="J81" s="255">
        <v>6.8449999999999998</v>
      </c>
      <c r="K81" s="255">
        <v>0.85080795732094916</v>
      </c>
      <c r="L81" s="256">
        <f>J81+K81</f>
        <v>7.695807957320949</v>
      </c>
    </row>
    <row r="82" spans="2:15" ht="13.5" thickBot="1">
      <c r="E82" s="257" t="s">
        <v>539</v>
      </c>
      <c r="F82" s="270">
        <v>159.4</v>
      </c>
      <c r="G82" s="270">
        <f>G80</f>
        <v>0.12978999999999999</v>
      </c>
      <c r="H82" s="270">
        <v>100</v>
      </c>
      <c r="I82" s="270">
        <f>I81</f>
        <v>11954.587007460295</v>
      </c>
      <c r="J82" s="258">
        <v>7.9700000000000006</v>
      </c>
      <c r="K82" s="258">
        <v>0.77579292384913578</v>
      </c>
      <c r="L82" s="259">
        <f>J82+K82</f>
        <v>8.7457929238491356</v>
      </c>
    </row>
    <row r="83" spans="2:15">
      <c r="C83" s="280"/>
      <c r="D83" s="282" t="s">
        <v>585</v>
      </c>
      <c r="E83" s="283"/>
      <c r="F83" s="283"/>
      <c r="G83" s="284"/>
      <c r="H83" s="284"/>
      <c r="I83" s="284"/>
      <c r="J83" s="284"/>
      <c r="K83" s="284"/>
      <c r="L83" s="284"/>
      <c r="M83" s="284"/>
    </row>
    <row r="84" spans="2:15">
      <c r="E84" s="266" t="s">
        <v>684</v>
      </c>
    </row>
    <row r="85" spans="2:15">
      <c r="E85" s="266" t="s">
        <v>685</v>
      </c>
    </row>
    <row r="86" spans="2:15">
      <c r="E86" s="266" t="s">
        <v>686</v>
      </c>
    </row>
    <row r="87" spans="2:15">
      <c r="E87" s="266" t="s">
        <v>687</v>
      </c>
    </row>
    <row r="90" spans="2:15" ht="21.75" thickBot="1">
      <c r="B90" s="276" t="s">
        <v>563</v>
      </c>
      <c r="C90" s="277"/>
      <c r="D90" s="277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</row>
    <row r="91" spans="2:15">
      <c r="C91" s="280"/>
      <c r="D91" s="282" t="s">
        <v>944</v>
      </c>
      <c r="E91" s="283"/>
      <c r="F91" s="283"/>
      <c r="G91" s="284"/>
      <c r="H91" s="284"/>
      <c r="I91" s="284"/>
      <c r="J91" s="284"/>
      <c r="K91" s="284"/>
      <c r="L91" s="284"/>
      <c r="M91" s="284"/>
    </row>
    <row r="92" spans="2:15">
      <c r="E92" s="289" t="s">
        <v>368</v>
      </c>
      <c r="F92" s="317"/>
      <c r="G92" s="1351">
        <v>7685115046.1074305</v>
      </c>
    </row>
    <row r="93" spans="2:15">
      <c r="E93" s="290" t="s">
        <v>371</v>
      </c>
      <c r="F93" s="243"/>
      <c r="G93" s="1352">
        <v>1162491979</v>
      </c>
    </row>
    <row r="94" spans="2:15">
      <c r="E94" s="290" t="s">
        <v>372</v>
      </c>
      <c r="F94" s="243"/>
      <c r="G94" s="1352">
        <v>899231963</v>
      </c>
    </row>
    <row r="95" spans="2:15">
      <c r="E95" s="290" t="s">
        <v>373</v>
      </c>
      <c r="F95" s="243"/>
      <c r="G95" s="1352"/>
    </row>
    <row r="96" spans="2:15">
      <c r="E96" s="291" t="s">
        <v>562</v>
      </c>
      <c r="F96" s="265"/>
      <c r="G96" s="1353">
        <f>SUM(G92:G95)</f>
        <v>9746838988.1074295</v>
      </c>
    </row>
    <row r="97" spans="2:14">
      <c r="E97" s="292" t="s">
        <v>367</v>
      </c>
      <c r="F97" s="316"/>
      <c r="G97" s="1354">
        <f>IF(PA="Eversource Energy",G92,IF(PA="Unitil Energy Systems Inc",G93,IF(PA="Liberty",G94,IF(PA="New Hampshire Electric Cooperative Inc",G95,0))))</f>
        <v>1162491979</v>
      </c>
      <c r="H97" s="266" t="s">
        <v>945</v>
      </c>
    </row>
    <row r="100" spans="2:14" ht="21.75" thickBot="1">
      <c r="B100" s="276" t="s">
        <v>560</v>
      </c>
      <c r="C100" s="277"/>
      <c r="D100" s="277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</row>
    <row r="101" spans="2:14" ht="18.75">
      <c r="C101" s="271" t="s">
        <v>163</v>
      </c>
      <c r="D101" s="271"/>
      <c r="E101" s="272"/>
      <c r="F101" s="273"/>
      <c r="G101" s="274"/>
      <c r="H101" s="274"/>
      <c r="I101" s="274"/>
      <c r="J101" s="274"/>
      <c r="K101" s="274"/>
      <c r="L101" s="274"/>
      <c r="M101" s="274"/>
    </row>
    <row r="102" spans="2:14">
      <c r="C102" s="280"/>
      <c r="D102" s="282" t="s">
        <v>164</v>
      </c>
      <c r="E102" s="283"/>
      <c r="F102" s="284"/>
      <c r="G102" s="284"/>
      <c r="H102" s="284"/>
      <c r="I102" s="284"/>
      <c r="J102" s="284"/>
      <c r="K102" s="284"/>
      <c r="L102" s="284"/>
    </row>
    <row r="103" spans="2:14">
      <c r="E103" s="286" t="s">
        <v>116</v>
      </c>
      <c r="J103" s="243"/>
      <c r="K103" s="243"/>
    </row>
    <row r="104" spans="2:14">
      <c r="E104" s="221" t="s">
        <v>32</v>
      </c>
      <c r="J104" s="243"/>
      <c r="K104" s="243"/>
    </row>
    <row r="105" spans="2:14">
      <c r="E105" s="221" t="s">
        <v>374</v>
      </c>
      <c r="J105" s="243"/>
      <c r="K105" s="243"/>
    </row>
    <row r="106" spans="2:14">
      <c r="E106" s="221" t="s">
        <v>375</v>
      </c>
      <c r="J106" s="243"/>
      <c r="K106" s="243"/>
    </row>
    <row r="107" spans="2:14">
      <c r="E107" s="221" t="s">
        <v>376</v>
      </c>
      <c r="J107" s="243"/>
      <c r="K107" s="243"/>
    </row>
    <row r="108" spans="2:14">
      <c r="E108" s="221" t="s">
        <v>34</v>
      </c>
      <c r="J108" s="243"/>
      <c r="K108" s="243"/>
    </row>
    <row r="109" spans="2:14">
      <c r="E109" s="221" t="s">
        <v>48</v>
      </c>
      <c r="J109" s="243"/>
      <c r="K109" s="243"/>
    </row>
    <row r="110" spans="2:14">
      <c r="E110" s="221" t="s">
        <v>29</v>
      </c>
      <c r="J110" s="243"/>
      <c r="K110" s="243"/>
    </row>
    <row r="111" spans="2:14">
      <c r="E111" s="221" t="s">
        <v>377</v>
      </c>
      <c r="J111" s="243"/>
      <c r="K111" s="243"/>
    </row>
    <row r="112" spans="2:14">
      <c r="E112" s="751" t="s">
        <v>676</v>
      </c>
      <c r="J112" s="243"/>
      <c r="K112" s="243"/>
    </row>
    <row r="113" spans="3:13">
      <c r="E113" s="221" t="s">
        <v>65</v>
      </c>
      <c r="J113" s="243"/>
      <c r="K113" s="243"/>
    </row>
    <row r="114" spans="3:13">
      <c r="E114" s="221" t="s">
        <v>30</v>
      </c>
      <c r="J114" s="243"/>
      <c r="K114" s="243"/>
    </row>
    <row r="115" spans="3:13">
      <c r="E115" s="221" t="s">
        <v>114</v>
      </c>
      <c r="J115" s="243"/>
      <c r="K115" s="243"/>
    </row>
    <row r="116" spans="3:13">
      <c r="E116" s="221" t="s">
        <v>378</v>
      </c>
      <c r="J116" s="243"/>
      <c r="K116" s="243"/>
    </row>
    <row r="117" spans="3:13">
      <c r="E117" s="221" t="s">
        <v>49</v>
      </c>
      <c r="J117" s="243"/>
      <c r="K117" s="243"/>
    </row>
    <row r="118" spans="3:13">
      <c r="E118" s="287" t="s">
        <v>50</v>
      </c>
      <c r="J118" s="243"/>
      <c r="K118" s="243"/>
    </row>
    <row r="119" spans="3:13">
      <c r="K119" s="243"/>
      <c r="L119" s="243"/>
    </row>
    <row r="120" spans="3:13" ht="18.75">
      <c r="C120" s="271" t="s">
        <v>10</v>
      </c>
      <c r="D120" s="271"/>
      <c r="E120" s="272"/>
      <c r="F120" s="273"/>
      <c r="G120" s="274"/>
      <c r="H120" s="274"/>
      <c r="I120" s="274"/>
      <c r="J120" s="274"/>
      <c r="K120" s="273"/>
      <c r="L120" s="273"/>
      <c r="M120" s="273"/>
    </row>
    <row r="121" spans="3:13">
      <c r="E121" s="286" t="s">
        <v>230</v>
      </c>
      <c r="J121" s="243"/>
      <c r="K121" s="243"/>
    </row>
    <row r="122" spans="3:13">
      <c r="E122" s="221" t="s">
        <v>233</v>
      </c>
    </row>
    <row r="123" spans="3:13">
      <c r="E123" s="221" t="s">
        <v>234</v>
      </c>
    </row>
    <row r="124" spans="3:13">
      <c r="E124" s="221" t="s">
        <v>142</v>
      </c>
    </row>
    <row r="125" spans="3:13">
      <c r="E125" s="221" t="s">
        <v>232</v>
      </c>
    </row>
    <row r="126" spans="3:13">
      <c r="E126" s="221" t="s">
        <v>36</v>
      </c>
    </row>
    <row r="127" spans="3:13">
      <c r="E127" s="221" t="s">
        <v>141</v>
      </c>
      <c r="F127" s="243"/>
      <c r="G127" s="243"/>
    </row>
    <row r="128" spans="3:13">
      <c r="E128" s="221" t="s">
        <v>140</v>
      </c>
      <c r="F128" s="243"/>
      <c r="G128" s="243"/>
    </row>
    <row r="129" spans="3:13">
      <c r="E129" s="221" t="s">
        <v>33</v>
      </c>
      <c r="F129" s="261"/>
      <c r="G129" s="243"/>
    </row>
    <row r="130" spans="3:13">
      <c r="E130" s="221" t="s">
        <v>35</v>
      </c>
      <c r="F130" s="261"/>
      <c r="G130" s="243"/>
    </row>
    <row r="131" spans="3:13">
      <c r="E131" s="221" t="s">
        <v>169</v>
      </c>
      <c r="F131" s="243"/>
      <c r="G131" s="243"/>
    </row>
    <row r="132" spans="3:13">
      <c r="E132" s="221" t="s">
        <v>143</v>
      </c>
      <c r="F132" s="243"/>
      <c r="G132" s="243"/>
    </row>
    <row r="133" spans="3:13">
      <c r="E133" s="221" t="s">
        <v>231</v>
      </c>
    </row>
    <row r="134" spans="3:13">
      <c r="E134" s="287" t="s">
        <v>369</v>
      </c>
    </row>
    <row r="136" spans="3:13" ht="18.75">
      <c r="C136" s="271" t="s">
        <v>54</v>
      </c>
      <c r="D136" s="271"/>
      <c r="E136" s="272"/>
      <c r="F136" s="273"/>
      <c r="G136" s="274"/>
      <c r="H136" s="274"/>
      <c r="I136" s="274"/>
      <c r="J136" s="274"/>
      <c r="K136" s="274"/>
      <c r="L136" s="274"/>
      <c r="M136" s="274"/>
    </row>
    <row r="137" spans="3:13">
      <c r="E137" s="1376" t="s">
        <v>959</v>
      </c>
    </row>
    <row r="138" spans="3:13">
      <c r="E138" s="751" t="s">
        <v>960</v>
      </c>
    </row>
    <row r="139" spans="3:13">
      <c r="E139" s="1377" t="s">
        <v>961</v>
      </c>
    </row>
    <row r="141" spans="3:13" ht="18.75">
      <c r="C141" s="271" t="s">
        <v>282</v>
      </c>
      <c r="D141" s="271"/>
      <c r="E141" s="272"/>
      <c r="F141" s="275"/>
      <c r="G141" s="274"/>
      <c r="H141" s="274"/>
      <c r="I141" s="274"/>
      <c r="J141" s="274"/>
      <c r="K141" s="274"/>
      <c r="L141" s="274"/>
      <c r="M141" s="274"/>
    </row>
    <row r="142" spans="3:13">
      <c r="C142" s="280"/>
      <c r="D142" s="282" t="s">
        <v>281</v>
      </c>
      <c r="E142" s="283"/>
      <c r="F142" s="284"/>
      <c r="G142" s="284"/>
      <c r="H142" s="284"/>
      <c r="I142" s="284"/>
      <c r="J142" s="284"/>
      <c r="K142" s="284"/>
      <c r="L142" s="284"/>
    </row>
    <row r="143" spans="3:13">
      <c r="D143" s="243"/>
      <c r="E143" s="286" t="s">
        <v>271</v>
      </c>
      <c r="F143" s="243"/>
    </row>
    <row r="144" spans="3:13">
      <c r="D144" s="243"/>
      <c r="E144" s="221"/>
      <c r="F144" s="243"/>
    </row>
    <row r="145" spans="3:12">
      <c r="C145" s="280"/>
      <c r="D145" s="282" t="s">
        <v>66</v>
      </c>
      <c r="E145" s="283"/>
      <c r="F145" s="283"/>
      <c r="G145" s="284"/>
      <c r="H145" s="284"/>
      <c r="I145" s="284"/>
      <c r="J145" s="284"/>
      <c r="K145" s="284"/>
      <c r="L145" s="284"/>
    </row>
    <row r="146" spans="3:12">
      <c r="D146" s="243"/>
      <c r="E146" s="221" t="s">
        <v>234</v>
      </c>
      <c r="F146" s="243"/>
    </row>
    <row r="147" spans="3:12">
      <c r="D147" s="243"/>
      <c r="E147" s="221" t="s">
        <v>409</v>
      </c>
      <c r="F147" s="243"/>
    </row>
    <row r="148" spans="3:12">
      <c r="D148" s="243"/>
      <c r="E148" s="288" t="s">
        <v>410</v>
      </c>
      <c r="F148" s="243"/>
    </row>
    <row r="149" spans="3:12">
      <c r="D149" s="243"/>
      <c r="E149" s="288" t="s">
        <v>362</v>
      </c>
      <c r="F149" s="243"/>
    </row>
    <row r="150" spans="3:12">
      <c r="D150" s="243"/>
      <c r="E150" s="221" t="s">
        <v>390</v>
      </c>
      <c r="F150" s="243"/>
    </row>
    <row r="151" spans="3:12">
      <c r="D151" s="243"/>
      <c r="E151" s="221" t="s">
        <v>439</v>
      </c>
      <c r="F151" s="243"/>
    </row>
    <row r="152" spans="3:12">
      <c r="D152" s="243"/>
      <c r="E152" s="221" t="s">
        <v>411</v>
      </c>
      <c r="F152" s="243"/>
    </row>
    <row r="153" spans="3:12">
      <c r="D153" s="243"/>
      <c r="E153" s="221" t="s">
        <v>344</v>
      </c>
      <c r="F153" s="243"/>
    </row>
    <row r="154" spans="3:12">
      <c r="D154" s="243"/>
      <c r="E154" s="751" t="s">
        <v>962</v>
      </c>
      <c r="F154" s="243"/>
    </row>
    <row r="155" spans="3:12">
      <c r="D155" s="243"/>
      <c r="E155" s="221" t="s">
        <v>412</v>
      </c>
      <c r="F155" s="243"/>
    </row>
    <row r="156" spans="3:12">
      <c r="D156" s="243"/>
      <c r="E156" s="221" t="s">
        <v>413</v>
      </c>
      <c r="F156" s="243"/>
    </row>
    <row r="157" spans="3:12">
      <c r="D157" s="243"/>
      <c r="E157" s="221" t="s">
        <v>414</v>
      </c>
      <c r="F157" s="243"/>
    </row>
    <row r="158" spans="3:12">
      <c r="D158" s="243"/>
      <c r="E158" s="221"/>
      <c r="F158" s="243"/>
    </row>
    <row r="159" spans="3:12">
      <c r="C159" s="280"/>
      <c r="D159" s="282" t="s">
        <v>272</v>
      </c>
      <c r="E159" s="283"/>
      <c r="F159" s="283"/>
      <c r="G159" s="284"/>
      <c r="H159" s="284"/>
      <c r="I159" s="284"/>
      <c r="J159" s="284"/>
      <c r="K159" s="284"/>
      <c r="L159" s="284"/>
    </row>
    <row r="160" spans="3:12">
      <c r="D160" s="243"/>
      <c r="E160" s="221" t="s">
        <v>273</v>
      </c>
      <c r="F160" s="243"/>
    </row>
    <row r="161" spans="3:13">
      <c r="D161" s="243"/>
      <c r="E161" s="221" t="s">
        <v>274</v>
      </c>
      <c r="F161" s="243"/>
    </row>
    <row r="162" spans="3:13">
      <c r="D162" s="243"/>
      <c r="E162" s="221" t="s">
        <v>402</v>
      </c>
      <c r="F162" s="243"/>
    </row>
    <row r="163" spans="3:13">
      <c r="D163" s="243"/>
      <c r="E163" s="221" t="s">
        <v>399</v>
      </c>
      <c r="F163" s="243"/>
    </row>
    <row r="164" spans="3:13">
      <c r="D164" s="243"/>
      <c r="E164" s="221" t="s">
        <v>400</v>
      </c>
      <c r="F164" s="243"/>
    </row>
    <row r="165" spans="3:13">
      <c r="D165" s="243"/>
      <c r="E165" s="221" t="s">
        <v>403</v>
      </c>
      <c r="F165" s="243"/>
    </row>
    <row r="166" spans="3:13">
      <c r="D166" s="243"/>
      <c r="E166" s="221" t="s">
        <v>438</v>
      </c>
      <c r="F166" s="243"/>
    </row>
    <row r="167" spans="3:13">
      <c r="D167" s="243"/>
      <c r="E167" s="221" t="s">
        <v>362</v>
      </c>
      <c r="F167" s="243"/>
    </row>
    <row r="168" spans="3:13">
      <c r="D168" s="243"/>
      <c r="E168" s="221" t="s">
        <v>416</v>
      </c>
      <c r="F168" s="243"/>
    </row>
    <row r="169" spans="3:13">
      <c r="D169" s="243"/>
      <c r="E169" s="751" t="s">
        <v>963</v>
      </c>
      <c r="F169" s="243"/>
    </row>
    <row r="170" spans="3:13">
      <c r="D170" s="243"/>
      <c r="E170" s="221" t="s">
        <v>417</v>
      </c>
      <c r="F170" s="243"/>
    </row>
    <row r="171" spans="3:13">
      <c r="D171" s="243"/>
      <c r="E171" s="221" t="s">
        <v>418</v>
      </c>
      <c r="F171" s="243"/>
    </row>
    <row r="172" spans="3:13">
      <c r="D172" s="243"/>
      <c r="E172" s="287" t="s">
        <v>419</v>
      </c>
      <c r="F172" s="243"/>
    </row>
    <row r="173" spans="3:13">
      <c r="E173" s="241"/>
      <c r="F173" s="243"/>
    </row>
    <row r="174" spans="3:13" ht="18.75">
      <c r="C174" s="271" t="s">
        <v>283</v>
      </c>
      <c r="D174" s="271"/>
      <c r="E174" s="272"/>
      <c r="F174" s="275"/>
      <c r="G174" s="274"/>
      <c r="H174" s="274"/>
      <c r="I174" s="274"/>
      <c r="J174" s="274"/>
      <c r="K174" s="274"/>
      <c r="L174" s="274"/>
      <c r="M174" s="274"/>
    </row>
    <row r="175" spans="3:13">
      <c r="C175" s="280"/>
      <c r="D175" s="282" t="s">
        <v>281</v>
      </c>
      <c r="E175" s="283"/>
      <c r="F175" s="284"/>
      <c r="G175" s="284"/>
      <c r="H175" s="284"/>
      <c r="I175" s="284"/>
      <c r="J175" s="284"/>
      <c r="K175" s="284"/>
      <c r="L175" s="284"/>
    </row>
    <row r="176" spans="3:13">
      <c r="C176" s="280"/>
      <c r="D176" s="280"/>
      <c r="E176" s="286" t="s">
        <v>271</v>
      </c>
      <c r="F176" s="243"/>
    </row>
    <row r="177" spans="3:12">
      <c r="C177" s="280"/>
      <c r="D177" s="280"/>
      <c r="E177" s="221"/>
      <c r="F177" s="243"/>
    </row>
    <row r="178" spans="3:12">
      <c r="C178" s="280"/>
      <c r="D178" s="282" t="s">
        <v>66</v>
      </c>
      <c r="E178" s="283"/>
      <c r="F178" s="283"/>
      <c r="G178" s="284"/>
      <c r="H178" s="284"/>
      <c r="I178" s="284"/>
      <c r="J178" s="284"/>
      <c r="K178" s="284"/>
      <c r="L178" s="284"/>
    </row>
    <row r="179" spans="3:12">
      <c r="C179" s="280"/>
      <c r="D179" s="280"/>
      <c r="E179" s="221" t="s">
        <v>234</v>
      </c>
      <c r="F179" s="243"/>
    </row>
    <row r="180" spans="3:12">
      <c r="C180" s="280"/>
      <c r="D180" s="280"/>
      <c r="E180" s="221" t="s">
        <v>409</v>
      </c>
      <c r="F180" s="243"/>
    </row>
    <row r="181" spans="3:12">
      <c r="C181" s="280"/>
      <c r="D181" s="280"/>
      <c r="E181" s="288" t="s">
        <v>410</v>
      </c>
      <c r="F181" s="243"/>
    </row>
    <row r="182" spans="3:12">
      <c r="C182" s="280"/>
      <c r="D182" s="280"/>
      <c r="E182" s="221" t="s">
        <v>420</v>
      </c>
      <c r="F182" s="243"/>
    </row>
    <row r="183" spans="3:12">
      <c r="C183" s="280"/>
      <c r="D183" s="280"/>
      <c r="E183" s="221" t="s">
        <v>421</v>
      </c>
      <c r="F183" s="243"/>
    </row>
    <row r="184" spans="3:12">
      <c r="C184" s="280"/>
      <c r="D184" s="280"/>
      <c r="E184" s="221" t="s">
        <v>390</v>
      </c>
      <c r="F184" s="243"/>
    </row>
    <row r="185" spans="3:12">
      <c r="C185" s="280"/>
      <c r="D185" s="280"/>
      <c r="E185" s="221"/>
      <c r="F185" s="243"/>
    </row>
    <row r="186" spans="3:12">
      <c r="C186" s="280"/>
      <c r="D186" s="282" t="s">
        <v>272</v>
      </c>
      <c r="E186" s="283"/>
      <c r="F186" s="283"/>
      <c r="G186" s="284"/>
      <c r="H186" s="284"/>
      <c r="I186" s="284"/>
      <c r="J186" s="284"/>
      <c r="K186" s="284"/>
      <c r="L186" s="284"/>
    </row>
    <row r="187" spans="3:12">
      <c r="E187" s="221" t="s">
        <v>273</v>
      </c>
      <c r="F187" s="243"/>
    </row>
    <row r="188" spans="3:12">
      <c r="E188" s="221" t="s">
        <v>274</v>
      </c>
      <c r="F188" s="243"/>
    </row>
    <row r="189" spans="3:12">
      <c r="E189" s="221" t="s">
        <v>415</v>
      </c>
      <c r="F189" s="243"/>
    </row>
    <row r="190" spans="3:12">
      <c r="E190" s="221" t="s">
        <v>422</v>
      </c>
      <c r="F190" s="243"/>
    </row>
    <row r="191" spans="3:12">
      <c r="E191" s="287" t="s">
        <v>344</v>
      </c>
      <c r="F191" s="243"/>
    </row>
    <row r="192" spans="3:12">
      <c r="E192" s="244"/>
      <c r="F192" s="243"/>
    </row>
    <row r="193" spans="3:13" ht="18.75">
      <c r="C193" s="271" t="s">
        <v>275</v>
      </c>
      <c r="D193" s="271"/>
      <c r="E193" s="285"/>
      <c r="F193" s="273"/>
      <c r="G193" s="274"/>
      <c r="H193" s="274"/>
      <c r="I193" s="274"/>
      <c r="J193" s="274"/>
      <c r="K193" s="274"/>
      <c r="L193" s="274"/>
      <c r="M193" s="274"/>
    </row>
    <row r="194" spans="3:13">
      <c r="C194" s="280"/>
      <c r="D194" s="282" t="s">
        <v>281</v>
      </c>
      <c r="E194" s="283"/>
      <c r="F194" s="284"/>
      <c r="G194" s="284"/>
      <c r="H194" s="284"/>
      <c r="I194" s="284"/>
      <c r="J194" s="284"/>
      <c r="K194" s="284"/>
      <c r="L194" s="284"/>
    </row>
    <row r="195" spans="3:13">
      <c r="C195" s="280"/>
      <c r="D195" s="281"/>
      <c r="E195" s="286" t="s">
        <v>379</v>
      </c>
    </row>
    <row r="196" spans="3:13">
      <c r="C196" s="280"/>
      <c r="D196" s="281"/>
      <c r="E196" s="221" t="s">
        <v>336</v>
      </c>
    </row>
    <row r="197" spans="3:13">
      <c r="C197" s="280"/>
      <c r="D197" s="281"/>
      <c r="E197" s="221"/>
    </row>
    <row r="198" spans="3:13">
      <c r="C198" s="280"/>
      <c r="D198" s="282" t="s">
        <v>66</v>
      </c>
      <c r="E198" s="283"/>
      <c r="F198" s="283"/>
      <c r="G198" s="284"/>
      <c r="H198" s="284"/>
      <c r="I198" s="284"/>
      <c r="J198" s="284"/>
      <c r="K198" s="284"/>
      <c r="L198" s="284"/>
    </row>
    <row r="199" spans="3:13">
      <c r="C199" s="280"/>
      <c r="D199" s="281"/>
      <c r="E199" s="221" t="s">
        <v>370</v>
      </c>
    </row>
    <row r="200" spans="3:13">
      <c r="C200" s="280"/>
      <c r="D200" s="281"/>
      <c r="E200" s="288" t="s">
        <v>337</v>
      </c>
    </row>
    <row r="201" spans="3:13">
      <c r="C201" s="280"/>
      <c r="D201" s="281"/>
      <c r="E201" s="288" t="s">
        <v>338</v>
      </c>
    </row>
    <row r="202" spans="3:13">
      <c r="C202" s="280"/>
      <c r="D202" s="281"/>
      <c r="E202" s="288" t="s">
        <v>339</v>
      </c>
    </row>
    <row r="203" spans="3:13">
      <c r="C203" s="280"/>
      <c r="D203" s="281"/>
      <c r="E203" s="288" t="s">
        <v>380</v>
      </c>
    </row>
    <row r="204" spans="3:13">
      <c r="C204" s="280"/>
      <c r="D204" s="281"/>
      <c r="E204" s="856" t="s">
        <v>760</v>
      </c>
    </row>
    <row r="205" spans="3:13">
      <c r="C205" s="280"/>
      <c r="D205" s="281"/>
      <c r="E205" s="856" t="s">
        <v>759</v>
      </c>
    </row>
    <row r="206" spans="3:13">
      <c r="C206" s="280"/>
      <c r="D206" s="281"/>
      <c r="E206" s="288" t="s">
        <v>340</v>
      </c>
    </row>
    <row r="207" spans="3:13">
      <c r="C207" s="280"/>
      <c r="D207" s="281"/>
      <c r="E207" s="288" t="s">
        <v>341</v>
      </c>
    </row>
    <row r="208" spans="3:13">
      <c r="C208" s="280"/>
      <c r="D208" s="281"/>
      <c r="E208" s="288" t="s">
        <v>381</v>
      </c>
    </row>
    <row r="209" spans="3:12">
      <c r="C209" s="280"/>
      <c r="D209" s="281"/>
      <c r="E209" s="288" t="s">
        <v>382</v>
      </c>
    </row>
    <row r="210" spans="3:12">
      <c r="C210" s="280"/>
      <c r="D210" s="281"/>
      <c r="E210" s="856" t="s">
        <v>757</v>
      </c>
    </row>
    <row r="211" spans="3:12">
      <c r="C211" s="280"/>
      <c r="D211" s="281"/>
      <c r="E211" s="856" t="s">
        <v>758</v>
      </c>
    </row>
    <row r="212" spans="3:12">
      <c r="C212" s="280"/>
      <c r="D212" s="281"/>
      <c r="E212" s="288" t="s">
        <v>342</v>
      </c>
    </row>
    <row r="213" spans="3:12">
      <c r="C213" s="280"/>
      <c r="D213" s="281"/>
      <c r="E213" s="288" t="s">
        <v>388</v>
      </c>
    </row>
    <row r="214" spans="3:12">
      <c r="C214" s="280"/>
      <c r="D214" s="281"/>
      <c r="E214" s="288" t="s">
        <v>343</v>
      </c>
    </row>
    <row r="215" spans="3:12">
      <c r="C215" s="280"/>
      <c r="D215" s="281"/>
      <c r="E215" s="288" t="s">
        <v>344</v>
      </c>
    </row>
    <row r="216" spans="3:12">
      <c r="C216" s="280"/>
      <c r="D216" s="281"/>
      <c r="E216" s="751" t="s">
        <v>964</v>
      </c>
    </row>
    <row r="217" spans="3:12">
      <c r="C217" s="280"/>
      <c r="D217" s="281"/>
      <c r="E217" s="288" t="s">
        <v>345</v>
      </c>
    </row>
    <row r="218" spans="3:12">
      <c r="C218" s="280"/>
      <c r="D218" s="281"/>
      <c r="E218" s="288" t="s">
        <v>346</v>
      </c>
    </row>
    <row r="219" spans="3:12">
      <c r="C219" s="280"/>
      <c r="D219" s="281"/>
      <c r="E219" s="288" t="s">
        <v>347</v>
      </c>
    </row>
    <row r="220" spans="3:12">
      <c r="C220" s="280"/>
      <c r="D220" s="281"/>
      <c r="E220" s="288"/>
    </row>
    <row r="221" spans="3:12">
      <c r="C221" s="280"/>
      <c r="D221" s="282" t="s">
        <v>272</v>
      </c>
      <c r="E221" s="283"/>
      <c r="F221" s="283"/>
      <c r="G221" s="284"/>
      <c r="H221" s="284"/>
      <c r="I221" s="284"/>
      <c r="J221" s="284"/>
      <c r="K221" s="284"/>
      <c r="L221" s="284"/>
    </row>
    <row r="222" spans="3:12">
      <c r="D222" s="243"/>
      <c r="E222" s="221" t="s">
        <v>348</v>
      </c>
    </row>
    <row r="223" spans="3:12">
      <c r="D223" s="243"/>
      <c r="E223" s="221" t="s">
        <v>349</v>
      </c>
    </row>
    <row r="224" spans="3:12">
      <c r="D224" s="243"/>
      <c r="E224" s="221" t="s">
        <v>385</v>
      </c>
    </row>
    <row r="225" spans="4:5">
      <c r="D225" s="243"/>
      <c r="E225" s="221" t="s">
        <v>387</v>
      </c>
    </row>
    <row r="226" spans="4:5">
      <c r="D226" s="243"/>
      <c r="E226" s="288" t="s">
        <v>351</v>
      </c>
    </row>
    <row r="227" spans="4:5">
      <c r="D227" s="243"/>
      <c r="E227" s="288" t="s">
        <v>383</v>
      </c>
    </row>
    <row r="228" spans="4:5">
      <c r="D228" s="243"/>
      <c r="E228" s="221" t="s">
        <v>352</v>
      </c>
    </row>
    <row r="229" spans="4:5">
      <c r="D229" s="243"/>
      <c r="E229" s="288" t="s">
        <v>350</v>
      </c>
    </row>
    <row r="230" spans="4:5">
      <c r="D230" s="243"/>
      <c r="E230" s="221" t="s">
        <v>353</v>
      </c>
    </row>
    <row r="231" spans="4:5">
      <c r="D231" s="243"/>
      <c r="E231" s="221" t="s">
        <v>354</v>
      </c>
    </row>
    <row r="232" spans="4:5">
      <c r="D232" s="243"/>
      <c r="E232" s="221" t="s">
        <v>355</v>
      </c>
    </row>
    <row r="233" spans="4:5">
      <c r="D233" s="243"/>
      <c r="E233" s="221" t="s">
        <v>356</v>
      </c>
    </row>
    <row r="234" spans="4:5">
      <c r="D234" s="243"/>
      <c r="E234" s="221" t="s">
        <v>357</v>
      </c>
    </row>
    <row r="235" spans="4:5">
      <c r="D235" s="243"/>
      <c r="E235" s="221" t="s">
        <v>358</v>
      </c>
    </row>
    <row r="236" spans="4:5">
      <c r="D236" s="243"/>
      <c r="E236" s="221" t="s">
        <v>359</v>
      </c>
    </row>
    <row r="237" spans="4:5">
      <c r="D237" s="243"/>
      <c r="E237" s="221" t="s">
        <v>360</v>
      </c>
    </row>
    <row r="238" spans="4:5">
      <c r="D238" s="243"/>
      <c r="E238" s="221" t="s">
        <v>361</v>
      </c>
    </row>
    <row r="239" spans="4:5">
      <c r="D239" s="243"/>
      <c r="E239" s="221" t="s">
        <v>389</v>
      </c>
    </row>
    <row r="240" spans="4:5">
      <c r="D240" s="243"/>
      <c r="E240" s="221" t="s">
        <v>362</v>
      </c>
    </row>
    <row r="241" spans="4:5">
      <c r="D241" s="243"/>
      <c r="E241" s="221" t="s">
        <v>366</v>
      </c>
    </row>
    <row r="242" spans="4:5">
      <c r="D242" s="243"/>
      <c r="E242" s="751" t="s">
        <v>965</v>
      </c>
    </row>
    <row r="243" spans="4:5">
      <c r="D243" s="243"/>
      <c r="E243" s="221" t="s">
        <v>363</v>
      </c>
    </row>
    <row r="244" spans="4:5">
      <c r="D244" s="243"/>
      <c r="E244" s="221" t="s">
        <v>364</v>
      </c>
    </row>
    <row r="245" spans="4:5">
      <c r="D245" s="243"/>
      <c r="E245" s="287" t="s">
        <v>365</v>
      </c>
    </row>
  </sheetData>
  <mergeCells count="13">
    <mergeCell ref="I45:I48"/>
    <mergeCell ref="B2:G3"/>
    <mergeCell ref="J36:N36"/>
    <mergeCell ref="J33:N33"/>
    <mergeCell ref="J32:N32"/>
    <mergeCell ref="J31:N31"/>
    <mergeCell ref="J34:N34"/>
    <mergeCell ref="J35:N35"/>
    <mergeCell ref="J37:N37"/>
    <mergeCell ref="J38:N38"/>
    <mergeCell ref="J39:N39"/>
    <mergeCell ref="J40:N40"/>
    <mergeCell ref="J41:N41"/>
  </mergeCells>
  <dataValidations count="4">
    <dataValidation type="list" allowBlank="1" showInputMessage="1" showErrorMessage="1" sqref="F8">
      <formula1>"Electric, Gas"</formula1>
    </dataValidation>
    <dataValidation type="list" allowBlank="1" showInputMessage="1" showErrorMessage="1" sqref="F9">
      <formula1>$E$92:$E$95</formula1>
    </dataValidation>
    <dataValidation type="list" allowBlank="1" showInputMessage="1" showErrorMessage="1" sqref="J104:J113 J115:J117">
      <formula1>$E$8:$E$30</formula1>
    </dataValidation>
    <dataValidation type="list" allowBlank="1" showInputMessage="1" showErrorMessage="1" sqref="G53:G63">
      <formula1>"Yes, No"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34998626667073579"/>
    <pageSetUpPr fitToPage="1"/>
  </sheetPr>
  <dimension ref="A1:CR309"/>
  <sheetViews>
    <sheetView showGridLines="0" zoomScale="70" zoomScaleNormal="70" zoomScaleSheetLayoutView="80" zoomScalePageLayoutView="55" workbookViewId="0">
      <pane xSplit="2" ySplit="10" topLeftCell="C11" activePane="bottomRight" state="frozen"/>
      <selection activeCell="E5" sqref="E5"/>
      <selection pane="topRight" activeCell="E5" sqref="E5"/>
      <selection pane="bottomLeft" activeCell="E5" sqref="E5"/>
      <selection pane="bottomRight" activeCell="Q3" sqref="Q3"/>
    </sheetView>
  </sheetViews>
  <sheetFormatPr defaultColWidth="10" defaultRowHeight="12.75"/>
  <cols>
    <col min="1" max="1" width="4.7109375" style="331" customWidth="1"/>
    <col min="2" max="2" width="16" style="331"/>
    <col min="3" max="3" width="15.7109375" style="326" customWidth="1"/>
    <col min="4" max="4" width="22.7109375" style="326" customWidth="1"/>
    <col min="5" max="6" width="18.7109375" style="326" customWidth="1"/>
    <col min="7" max="7" width="19" style="326" customWidth="1"/>
    <col min="8" max="8" width="19.28515625" style="326" customWidth="1"/>
    <col min="9" max="9" width="17.28515625" style="326" customWidth="1"/>
    <col min="10" max="10" width="18.5703125" style="326" customWidth="1"/>
    <col min="11" max="11" width="18.28515625" style="326" customWidth="1"/>
    <col min="12" max="12" width="13" style="326" customWidth="1"/>
    <col min="13" max="13" width="12.7109375" style="326" customWidth="1"/>
    <col min="14" max="14" width="13" style="326" bestFit="1" customWidth="1"/>
    <col min="15" max="15" width="12.5703125" style="326" customWidth="1"/>
    <col min="16" max="17" width="14.42578125" style="326" customWidth="1"/>
    <col min="18" max="18" width="15.28515625" style="326" customWidth="1"/>
    <col min="19" max="21" width="13.7109375" style="326" customWidth="1"/>
    <col min="22" max="22" width="10" style="326" customWidth="1"/>
    <col min="23" max="23" width="18.42578125" style="326" customWidth="1"/>
    <col min="24" max="24" width="10" style="326" customWidth="1"/>
    <col min="25" max="25" width="13.42578125" style="326" customWidth="1"/>
    <col min="26" max="28" width="10" style="326" customWidth="1"/>
    <col min="29" max="29" width="16.28515625" style="326" customWidth="1"/>
    <col min="30" max="30" width="13" style="326" bestFit="1" customWidth="1"/>
    <col min="31" max="32" width="10" style="326" customWidth="1"/>
    <col min="33" max="33" width="10.85546875" style="326" customWidth="1"/>
    <col min="34" max="34" width="12" style="326" customWidth="1"/>
    <col min="35" max="35" width="13" style="326" customWidth="1"/>
    <col min="36" max="42" width="16" style="326"/>
    <col min="43" max="43" width="13.42578125" style="326" bestFit="1" customWidth="1"/>
    <col min="44" max="44" width="15.7109375" style="326" bestFit="1" customWidth="1"/>
    <col min="45" max="46" width="16" style="326"/>
    <col min="47" max="47" width="18.28515625" style="326" bestFit="1" customWidth="1"/>
    <col min="48" max="50" width="16" style="326"/>
    <col min="51" max="51" width="13.42578125" style="326" bestFit="1" customWidth="1"/>
    <col min="52" max="52" width="16" style="326"/>
    <col min="53" max="53" width="17.28515625" style="326" customWidth="1"/>
    <col min="54" max="54" width="20.7109375" style="326" bestFit="1" customWidth="1"/>
    <col min="55" max="55" width="15.28515625" style="326" customWidth="1"/>
    <col min="56" max="56" width="20.7109375" style="326" bestFit="1" customWidth="1"/>
    <col min="57" max="57" width="15.28515625" style="326" customWidth="1"/>
    <col min="58" max="58" width="20.7109375" style="326" bestFit="1" customWidth="1"/>
    <col min="59" max="59" width="15.28515625" style="326" customWidth="1"/>
    <col min="60" max="60" width="20.7109375" style="326" bestFit="1" customWidth="1"/>
    <col min="61" max="61" width="20.42578125" style="326" customWidth="1"/>
    <col min="62" max="62" width="17" style="326" bestFit="1" customWidth="1"/>
    <col min="63" max="63" width="20.42578125" style="326" customWidth="1"/>
    <col min="64" max="64" width="18.7109375" style="326" customWidth="1"/>
    <col min="65" max="65" width="20.42578125" style="326" customWidth="1"/>
    <col min="66" max="66" width="4.28515625" style="326" bestFit="1" customWidth="1"/>
    <col min="67" max="67" width="20.42578125" style="326" customWidth="1"/>
    <col min="68" max="68" width="4.28515625" style="326" bestFit="1" customWidth="1"/>
    <col min="69" max="69" width="20.42578125" style="326" customWidth="1"/>
    <col min="70" max="70" width="11.42578125" style="326" bestFit="1" customWidth="1"/>
    <col min="71" max="77" width="10" style="326"/>
    <col min="78" max="78" width="3.85546875" style="326" bestFit="1" customWidth="1"/>
    <col min="79" max="79" width="8.28515625" style="326" bestFit="1" customWidth="1"/>
    <col min="80" max="80" width="11.140625" style="326" bestFit="1" customWidth="1"/>
    <col min="81" max="81" width="10.140625" style="326" bestFit="1" customWidth="1"/>
    <col min="82" max="82" width="11.140625" style="326" bestFit="1" customWidth="1"/>
    <col min="83" max="83" width="8.28515625" style="326" bestFit="1" customWidth="1"/>
    <col min="84" max="84" width="11.140625" style="326" bestFit="1" customWidth="1"/>
    <col min="85" max="85" width="10.140625" style="326" bestFit="1" customWidth="1"/>
    <col min="86" max="86" width="11.140625" style="326" bestFit="1" customWidth="1"/>
    <col min="87" max="88" width="11.140625" style="326" customWidth="1"/>
    <col min="89" max="89" width="3.7109375" style="326" bestFit="1" customWidth="1"/>
    <col min="90" max="95" width="11.140625" style="326" customWidth="1"/>
    <col min="96" max="96" width="3.85546875" style="326" customWidth="1"/>
    <col min="97" max="101" width="10" style="326"/>
    <col min="102" max="102" width="11.5703125" style="326" customWidth="1"/>
    <col min="103" max="16384" width="10" style="326"/>
  </cols>
  <sheetData>
    <row r="1" spans="1:57" ht="23.25">
      <c r="A1" s="538" t="s">
        <v>634</v>
      </c>
      <c r="B1" s="539"/>
      <c r="C1" s="540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3" spans="1:57" s="331" customFormat="1">
      <c r="A3" s="322">
        <v>1</v>
      </c>
      <c r="B3" s="322">
        <f t="shared" ref="B3:K4" si="0">A3+1</f>
        <v>2</v>
      </c>
      <c r="C3" s="322">
        <f t="shared" si="0"/>
        <v>3</v>
      </c>
      <c r="D3" s="322">
        <f t="shared" si="0"/>
        <v>4</v>
      </c>
      <c r="E3" s="322">
        <f t="shared" si="0"/>
        <v>5</v>
      </c>
      <c r="F3" s="322">
        <f t="shared" si="0"/>
        <v>6</v>
      </c>
      <c r="G3" s="322">
        <f t="shared" si="0"/>
        <v>7</v>
      </c>
      <c r="H3" s="322">
        <f t="shared" si="0"/>
        <v>8</v>
      </c>
      <c r="I3" s="322">
        <f t="shared" si="0"/>
        <v>9</v>
      </c>
      <c r="J3" s="322">
        <f t="shared" si="0"/>
        <v>10</v>
      </c>
      <c r="K3" s="322">
        <f t="shared" si="0"/>
        <v>11</v>
      </c>
      <c r="L3" s="322">
        <f t="shared" ref="L3:U3" si="1">K3+1</f>
        <v>12</v>
      </c>
      <c r="M3" s="322">
        <f t="shared" si="1"/>
        <v>13</v>
      </c>
      <c r="N3" s="322">
        <f t="shared" si="1"/>
        <v>14</v>
      </c>
      <c r="O3" s="322">
        <f t="shared" si="1"/>
        <v>15</v>
      </c>
      <c r="P3" s="322">
        <f t="shared" si="1"/>
        <v>16</v>
      </c>
      <c r="Q3" s="322">
        <f t="shared" si="1"/>
        <v>17</v>
      </c>
      <c r="R3" s="322">
        <f t="shared" si="1"/>
        <v>18</v>
      </c>
      <c r="S3" s="322">
        <f t="shared" si="1"/>
        <v>19</v>
      </c>
      <c r="T3" s="322">
        <f t="shared" si="1"/>
        <v>20</v>
      </c>
      <c r="U3" s="322">
        <f t="shared" si="1"/>
        <v>21</v>
      </c>
      <c r="V3" s="322">
        <f t="shared" ref="V3:BC3" si="2">U3+1</f>
        <v>22</v>
      </c>
      <c r="W3" s="322">
        <f t="shared" si="2"/>
        <v>23</v>
      </c>
      <c r="X3" s="322">
        <f t="shared" si="2"/>
        <v>24</v>
      </c>
      <c r="Y3" s="322">
        <f t="shared" si="2"/>
        <v>25</v>
      </c>
      <c r="Z3" s="322">
        <f t="shared" si="2"/>
        <v>26</v>
      </c>
      <c r="AA3" s="322">
        <f t="shared" si="2"/>
        <v>27</v>
      </c>
      <c r="AB3" s="322">
        <f t="shared" si="2"/>
        <v>28</v>
      </c>
      <c r="AC3" s="322">
        <f t="shared" si="2"/>
        <v>29</v>
      </c>
      <c r="AD3" s="322">
        <f t="shared" si="2"/>
        <v>30</v>
      </c>
      <c r="AE3" s="322">
        <f t="shared" si="2"/>
        <v>31</v>
      </c>
      <c r="AF3" s="322">
        <f t="shared" si="2"/>
        <v>32</v>
      </c>
      <c r="AG3" s="322">
        <f t="shared" si="2"/>
        <v>33</v>
      </c>
      <c r="AH3" s="322">
        <f t="shared" si="2"/>
        <v>34</v>
      </c>
      <c r="AI3" s="322">
        <f t="shared" si="2"/>
        <v>35</v>
      </c>
      <c r="AJ3" s="322">
        <f t="shared" si="2"/>
        <v>36</v>
      </c>
      <c r="AK3" s="322">
        <f t="shared" si="2"/>
        <v>37</v>
      </c>
      <c r="AL3" s="322">
        <f t="shared" si="2"/>
        <v>38</v>
      </c>
      <c r="AM3" s="322">
        <f t="shared" si="2"/>
        <v>39</v>
      </c>
      <c r="AN3" s="322">
        <f t="shared" si="2"/>
        <v>40</v>
      </c>
      <c r="AO3" s="322">
        <f t="shared" si="2"/>
        <v>41</v>
      </c>
      <c r="AP3" s="322">
        <f t="shared" si="2"/>
        <v>42</v>
      </c>
      <c r="AQ3" s="322">
        <f t="shared" si="2"/>
        <v>43</v>
      </c>
      <c r="AR3" s="322">
        <f t="shared" si="2"/>
        <v>44</v>
      </c>
      <c r="AS3" s="322">
        <f t="shared" si="2"/>
        <v>45</v>
      </c>
      <c r="AT3" s="322">
        <f t="shared" si="2"/>
        <v>46</v>
      </c>
      <c r="AU3" s="322">
        <f t="shared" si="2"/>
        <v>47</v>
      </c>
      <c r="AV3" s="322">
        <f t="shared" si="2"/>
        <v>48</v>
      </c>
      <c r="AW3" s="322">
        <f t="shared" si="2"/>
        <v>49</v>
      </c>
      <c r="AX3" s="322">
        <f t="shared" si="2"/>
        <v>50</v>
      </c>
      <c r="AY3" s="322">
        <f t="shared" si="2"/>
        <v>51</v>
      </c>
      <c r="AZ3" s="322">
        <f t="shared" si="2"/>
        <v>52</v>
      </c>
      <c r="BA3" s="322">
        <f t="shared" si="2"/>
        <v>53</v>
      </c>
      <c r="BB3" s="322">
        <f t="shared" si="2"/>
        <v>54</v>
      </c>
      <c r="BC3" s="322">
        <f t="shared" si="2"/>
        <v>55</v>
      </c>
    </row>
    <row r="4" spans="1:57" s="331" customFormat="1">
      <c r="B4" s="542" t="str">
        <f>Year1&amp;" column -&gt;"</f>
        <v>2021 column -&gt;</v>
      </c>
      <c r="C4" s="437">
        <f>I174</f>
        <v>8</v>
      </c>
      <c r="D4" s="437">
        <f>J174</f>
        <v>9</v>
      </c>
      <c r="E4" s="437">
        <f>K174</f>
        <v>10</v>
      </c>
      <c r="F4" s="437">
        <f>L174</f>
        <v>11</v>
      </c>
      <c r="G4" s="437">
        <v>82</v>
      </c>
      <c r="H4" s="437">
        <f t="shared" si="0"/>
        <v>83</v>
      </c>
      <c r="I4" s="437">
        <f t="shared" si="0"/>
        <v>84</v>
      </c>
      <c r="J4" s="437">
        <f t="shared" si="0"/>
        <v>85</v>
      </c>
      <c r="K4" s="437">
        <v>87</v>
      </c>
      <c r="L4" s="437">
        <f>O174</f>
        <v>14</v>
      </c>
      <c r="M4" s="437">
        <f>P174</f>
        <v>15</v>
      </c>
      <c r="N4" s="437">
        <f>Q174</f>
        <v>16</v>
      </c>
      <c r="O4" s="332" t="s">
        <v>654</v>
      </c>
      <c r="P4" s="437">
        <f>P5</f>
        <v>39</v>
      </c>
      <c r="Q4" s="437">
        <f>Q5</f>
        <v>40</v>
      </c>
      <c r="R4" s="437">
        <f>R5</f>
        <v>41</v>
      </c>
      <c r="S4" s="437">
        <f>CL174</f>
        <v>89</v>
      </c>
      <c r="T4" s="437">
        <f>CM174</f>
        <v>90</v>
      </c>
      <c r="U4" s="437">
        <f>CN174</f>
        <v>91</v>
      </c>
      <c r="V4" s="332" t="s">
        <v>655</v>
      </c>
      <c r="W4" s="332" t="s">
        <v>655</v>
      </c>
      <c r="X4" s="332" t="s">
        <v>655</v>
      </c>
      <c r="Y4" s="491">
        <f>D221</f>
        <v>3</v>
      </c>
      <c r="Z4" s="491">
        <f>E221</f>
        <v>4</v>
      </c>
      <c r="AA4" s="491">
        <f>F221</f>
        <v>5</v>
      </c>
      <c r="AB4" s="491">
        <f>G221</f>
        <v>6</v>
      </c>
      <c r="AC4" s="491">
        <f>I221</f>
        <v>8</v>
      </c>
      <c r="AD4" s="491">
        <f>J221</f>
        <v>9</v>
      </c>
      <c r="AE4" s="491">
        <f>K221</f>
        <v>10</v>
      </c>
      <c r="AF4" s="491">
        <v>17</v>
      </c>
      <c r="AG4" s="491">
        <v>19</v>
      </c>
      <c r="AH4" s="491">
        <v>20</v>
      </c>
      <c r="AI4" s="491">
        <v>21</v>
      </c>
      <c r="AJ4" s="491">
        <v>22</v>
      </c>
      <c r="AK4" s="491">
        <v>24</v>
      </c>
      <c r="AL4" s="491">
        <v>25</v>
      </c>
      <c r="AM4" s="491">
        <v>26</v>
      </c>
      <c r="AN4" s="535">
        <f>C265</f>
        <v>2</v>
      </c>
      <c r="AO4" s="535">
        <f>F221</f>
        <v>5</v>
      </c>
      <c r="AP4" s="535">
        <v>8</v>
      </c>
      <c r="AQ4" s="535">
        <f>U265</f>
        <v>20</v>
      </c>
      <c r="AR4" s="535">
        <v>11</v>
      </c>
      <c r="AS4" s="535">
        <f>M265</f>
        <v>12</v>
      </c>
      <c r="AT4" s="535">
        <f>J265</f>
        <v>9</v>
      </c>
      <c r="AU4" s="535">
        <f>K265</f>
        <v>10</v>
      </c>
      <c r="AV4" s="332" t="s">
        <v>655</v>
      </c>
      <c r="AW4" s="332" t="s">
        <v>655</v>
      </c>
      <c r="AX4" s="332" t="s">
        <v>654</v>
      </c>
      <c r="AY4" s="491">
        <v>32</v>
      </c>
      <c r="AZ4" s="437">
        <f>R174</f>
        <v>17</v>
      </c>
      <c r="BA4" s="437">
        <f>S174</f>
        <v>18</v>
      </c>
      <c r="BB4" s="437">
        <f>T174</f>
        <v>19</v>
      </c>
      <c r="BC4" s="437">
        <f>U174</f>
        <v>20</v>
      </c>
    </row>
    <row r="5" spans="1:57">
      <c r="B5" s="542" t="str">
        <f>Year2&amp;" column -&gt;"</f>
        <v>2022 column -&gt;</v>
      </c>
      <c r="C5" s="737">
        <f>C4</f>
        <v>8</v>
      </c>
      <c r="D5" s="737">
        <f t="shared" ref="D5:F6" si="3">D4</f>
        <v>9</v>
      </c>
      <c r="E5" s="737">
        <f t="shared" si="3"/>
        <v>10</v>
      </c>
      <c r="F5" s="737">
        <f t="shared" si="3"/>
        <v>11</v>
      </c>
      <c r="G5" s="437">
        <v>82</v>
      </c>
      <c r="H5" s="437">
        <f>G5+1</f>
        <v>83</v>
      </c>
      <c r="I5" s="437">
        <f>H5+1</f>
        <v>84</v>
      </c>
      <c r="J5" s="437">
        <f>I5+1</f>
        <v>85</v>
      </c>
      <c r="K5" s="437">
        <v>87</v>
      </c>
      <c r="L5" s="737">
        <f t="shared" ref="L5:O6" si="4">L4</f>
        <v>14</v>
      </c>
      <c r="M5" s="737">
        <f t="shared" si="4"/>
        <v>15</v>
      </c>
      <c r="N5" s="737">
        <f t="shared" si="4"/>
        <v>16</v>
      </c>
      <c r="O5" s="737" t="str">
        <f t="shared" si="4"/>
        <v>n/a</v>
      </c>
      <c r="P5" s="437">
        <f>AN174</f>
        <v>39</v>
      </c>
      <c r="Q5" s="437">
        <f>AO174</f>
        <v>40</v>
      </c>
      <c r="R5" s="437">
        <f>AP174</f>
        <v>41</v>
      </c>
      <c r="S5" s="437">
        <f>CO174</f>
        <v>92</v>
      </c>
      <c r="T5" s="437">
        <f>CP174</f>
        <v>93</v>
      </c>
      <c r="U5" s="437">
        <f>CQ174</f>
        <v>94</v>
      </c>
      <c r="V5" s="737" t="str">
        <f t="shared" ref="V5:AE6" si="5">V4</f>
        <v>Lookups</v>
      </c>
      <c r="W5" s="737" t="str">
        <f t="shared" si="5"/>
        <v>Lookups</v>
      </c>
      <c r="X5" s="737" t="str">
        <f t="shared" si="5"/>
        <v>Lookups</v>
      </c>
      <c r="Y5" s="737">
        <f t="shared" si="5"/>
        <v>3</v>
      </c>
      <c r="Z5" s="737">
        <f t="shared" si="5"/>
        <v>4</v>
      </c>
      <c r="AA5" s="737">
        <f t="shared" si="5"/>
        <v>5</v>
      </c>
      <c r="AB5" s="737">
        <f t="shared" si="5"/>
        <v>6</v>
      </c>
      <c r="AC5" s="737">
        <f t="shared" si="5"/>
        <v>8</v>
      </c>
      <c r="AD5" s="737">
        <f t="shared" si="5"/>
        <v>9</v>
      </c>
      <c r="AE5" s="737">
        <f t="shared" si="5"/>
        <v>10</v>
      </c>
      <c r="AF5" s="737">
        <f t="shared" ref="AF5:AO6" si="6">AF4</f>
        <v>17</v>
      </c>
      <c r="AG5" s="737">
        <f t="shared" si="6"/>
        <v>19</v>
      </c>
      <c r="AH5" s="737">
        <f t="shared" si="6"/>
        <v>20</v>
      </c>
      <c r="AI5" s="737">
        <f t="shared" si="6"/>
        <v>21</v>
      </c>
      <c r="AJ5" s="737">
        <f t="shared" si="6"/>
        <v>22</v>
      </c>
      <c r="AK5" s="737">
        <f t="shared" si="6"/>
        <v>24</v>
      </c>
      <c r="AL5" s="737">
        <f t="shared" si="6"/>
        <v>25</v>
      </c>
      <c r="AM5" s="737">
        <f t="shared" si="6"/>
        <v>26</v>
      </c>
      <c r="AN5" s="737">
        <f t="shared" si="6"/>
        <v>2</v>
      </c>
      <c r="AO5" s="737">
        <f t="shared" si="6"/>
        <v>5</v>
      </c>
      <c r="AP5" s="737">
        <f t="shared" ref="AP5:AY6" si="7">AP4</f>
        <v>8</v>
      </c>
      <c r="AQ5" s="737">
        <f t="shared" si="7"/>
        <v>20</v>
      </c>
      <c r="AR5" s="737">
        <f>AR4</f>
        <v>11</v>
      </c>
      <c r="AS5" s="737">
        <f t="shared" si="7"/>
        <v>12</v>
      </c>
      <c r="AT5" s="737">
        <f t="shared" si="7"/>
        <v>9</v>
      </c>
      <c r="AU5" s="737">
        <f t="shared" si="7"/>
        <v>10</v>
      </c>
      <c r="AV5" s="737" t="str">
        <f t="shared" si="7"/>
        <v>Lookups</v>
      </c>
      <c r="AW5" s="737" t="str">
        <f t="shared" si="7"/>
        <v>Lookups</v>
      </c>
      <c r="AX5" s="737" t="str">
        <f t="shared" si="7"/>
        <v>n/a</v>
      </c>
      <c r="AY5" s="737">
        <f t="shared" si="7"/>
        <v>32</v>
      </c>
      <c r="AZ5" s="737">
        <f t="shared" ref="AZ5:BC6" si="8">AZ4</f>
        <v>17</v>
      </c>
      <c r="BA5" s="737">
        <f t="shared" si="8"/>
        <v>18</v>
      </c>
      <c r="BB5" s="737">
        <f t="shared" si="8"/>
        <v>19</v>
      </c>
      <c r="BC5" s="737">
        <f t="shared" si="8"/>
        <v>20</v>
      </c>
    </row>
    <row r="6" spans="1:57">
      <c r="B6" s="542" t="str">
        <f>Year3&amp;" column -&gt;"</f>
        <v>2023 column -&gt;</v>
      </c>
      <c r="C6" s="737">
        <f>C5</f>
        <v>8</v>
      </c>
      <c r="D6" s="737">
        <f t="shared" si="3"/>
        <v>9</v>
      </c>
      <c r="E6" s="737">
        <f t="shared" si="3"/>
        <v>10</v>
      </c>
      <c r="F6" s="737">
        <f t="shared" si="3"/>
        <v>11</v>
      </c>
      <c r="G6" s="737">
        <f>G5</f>
        <v>82</v>
      </c>
      <c r="H6" s="737">
        <f>H5</f>
        <v>83</v>
      </c>
      <c r="I6" s="737">
        <f>I5</f>
        <v>84</v>
      </c>
      <c r="J6" s="737">
        <f>J5</f>
        <v>85</v>
      </c>
      <c r="K6" s="737">
        <f>K5</f>
        <v>87</v>
      </c>
      <c r="L6" s="737">
        <f t="shared" si="4"/>
        <v>14</v>
      </c>
      <c r="M6" s="737">
        <f t="shared" si="4"/>
        <v>15</v>
      </c>
      <c r="N6" s="737">
        <f t="shared" si="4"/>
        <v>16</v>
      </c>
      <c r="O6" s="737" t="str">
        <f t="shared" si="4"/>
        <v>n/a</v>
      </c>
      <c r="P6" s="737">
        <f t="shared" ref="P6:U6" si="9">P5</f>
        <v>39</v>
      </c>
      <c r="Q6" s="737">
        <f t="shared" si="9"/>
        <v>40</v>
      </c>
      <c r="R6" s="737">
        <f t="shared" si="9"/>
        <v>41</v>
      </c>
      <c r="S6" s="737">
        <f t="shared" si="9"/>
        <v>92</v>
      </c>
      <c r="T6" s="737">
        <f t="shared" si="9"/>
        <v>93</v>
      </c>
      <c r="U6" s="737">
        <f t="shared" si="9"/>
        <v>94</v>
      </c>
      <c r="V6" s="737" t="str">
        <f t="shared" si="5"/>
        <v>Lookups</v>
      </c>
      <c r="W6" s="737" t="str">
        <f t="shared" si="5"/>
        <v>Lookups</v>
      </c>
      <c r="X6" s="737" t="str">
        <f t="shared" si="5"/>
        <v>Lookups</v>
      </c>
      <c r="Y6" s="737">
        <f t="shared" si="5"/>
        <v>3</v>
      </c>
      <c r="Z6" s="737">
        <f t="shared" si="5"/>
        <v>4</v>
      </c>
      <c r="AA6" s="737">
        <f t="shared" si="5"/>
        <v>5</v>
      </c>
      <c r="AB6" s="737">
        <f t="shared" si="5"/>
        <v>6</v>
      </c>
      <c r="AC6" s="737">
        <f t="shared" si="5"/>
        <v>8</v>
      </c>
      <c r="AD6" s="737">
        <f t="shared" si="5"/>
        <v>9</v>
      </c>
      <c r="AE6" s="737">
        <f t="shared" si="5"/>
        <v>10</v>
      </c>
      <c r="AF6" s="737">
        <f t="shared" si="6"/>
        <v>17</v>
      </c>
      <c r="AG6" s="737">
        <f t="shared" si="6"/>
        <v>19</v>
      </c>
      <c r="AH6" s="737">
        <f t="shared" si="6"/>
        <v>20</v>
      </c>
      <c r="AI6" s="737">
        <f t="shared" si="6"/>
        <v>21</v>
      </c>
      <c r="AJ6" s="737">
        <f t="shared" si="6"/>
        <v>22</v>
      </c>
      <c r="AK6" s="737">
        <f t="shared" si="6"/>
        <v>24</v>
      </c>
      <c r="AL6" s="737">
        <f t="shared" si="6"/>
        <v>25</v>
      </c>
      <c r="AM6" s="737">
        <f t="shared" si="6"/>
        <v>26</v>
      </c>
      <c r="AN6" s="737">
        <f t="shared" si="6"/>
        <v>2</v>
      </c>
      <c r="AO6" s="737">
        <f t="shared" si="6"/>
        <v>5</v>
      </c>
      <c r="AP6" s="737">
        <f t="shared" si="7"/>
        <v>8</v>
      </c>
      <c r="AQ6" s="737">
        <f t="shared" si="7"/>
        <v>20</v>
      </c>
      <c r="AR6" s="737">
        <f>AR5</f>
        <v>11</v>
      </c>
      <c r="AS6" s="737">
        <f t="shared" si="7"/>
        <v>12</v>
      </c>
      <c r="AT6" s="737">
        <f t="shared" si="7"/>
        <v>9</v>
      </c>
      <c r="AU6" s="737">
        <f t="shared" si="7"/>
        <v>10</v>
      </c>
      <c r="AV6" s="737" t="str">
        <f t="shared" si="7"/>
        <v>Lookups</v>
      </c>
      <c r="AW6" s="737" t="str">
        <f t="shared" si="7"/>
        <v>Lookups</v>
      </c>
      <c r="AX6" s="737" t="str">
        <f t="shared" si="7"/>
        <v>n/a</v>
      </c>
      <c r="AY6" s="737">
        <f t="shared" si="7"/>
        <v>32</v>
      </c>
      <c r="AZ6" s="737">
        <f t="shared" si="8"/>
        <v>17</v>
      </c>
      <c r="BA6" s="737">
        <f t="shared" si="8"/>
        <v>18</v>
      </c>
      <c r="BB6" s="737">
        <f t="shared" si="8"/>
        <v>19</v>
      </c>
      <c r="BC6" s="737">
        <f t="shared" si="8"/>
        <v>20</v>
      </c>
    </row>
    <row r="7" spans="1:57">
      <c r="B7" s="542" t="s">
        <v>587</v>
      </c>
      <c r="G7" s="737" t="s">
        <v>656</v>
      </c>
      <c r="H7" s="737" t="s">
        <v>656</v>
      </c>
      <c r="I7" s="737" t="s">
        <v>656</v>
      </c>
      <c r="J7" s="737" t="s">
        <v>656</v>
      </c>
      <c r="K7" s="737" t="s">
        <v>657</v>
      </c>
      <c r="L7" s="737"/>
      <c r="M7" s="737"/>
      <c r="P7" s="737" t="s">
        <v>658</v>
      </c>
      <c r="Q7" s="737" t="s">
        <v>658</v>
      </c>
      <c r="R7" s="737" t="s">
        <v>658</v>
      </c>
      <c r="S7" s="737" t="s">
        <v>621</v>
      </c>
      <c r="T7" s="737" t="s">
        <v>621</v>
      </c>
      <c r="U7" s="737" t="s">
        <v>621</v>
      </c>
      <c r="AF7" s="737" t="s">
        <v>659</v>
      </c>
      <c r="AG7" s="737" t="s">
        <v>660</v>
      </c>
      <c r="AH7" s="737" t="s">
        <v>660</v>
      </c>
      <c r="AI7" s="737" t="s">
        <v>660</v>
      </c>
      <c r="AJ7" s="737" t="s">
        <v>660</v>
      </c>
      <c r="AK7" s="737" t="s">
        <v>660</v>
      </c>
      <c r="AL7" s="737" t="s">
        <v>660</v>
      </c>
      <c r="AM7" s="737" t="s">
        <v>660</v>
      </c>
      <c r="AQ7" s="737" t="s">
        <v>661</v>
      </c>
      <c r="AY7" s="737" t="s">
        <v>663</v>
      </c>
      <c r="AZ7" s="737" t="s">
        <v>662</v>
      </c>
      <c r="BA7" s="737" t="s">
        <v>662</v>
      </c>
      <c r="BB7" s="737" t="s">
        <v>662</v>
      </c>
      <c r="BC7" s="737" t="s">
        <v>662</v>
      </c>
    </row>
    <row r="8" spans="1:57" ht="20.25">
      <c r="A8" s="543"/>
      <c r="B8" s="543"/>
      <c r="C8" s="544" t="s">
        <v>592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  <c r="AQ8" s="544"/>
      <c r="AR8" s="544"/>
      <c r="AS8" s="544"/>
      <c r="AT8" s="544"/>
      <c r="AU8" s="544"/>
      <c r="AV8" s="544"/>
      <c r="AW8" s="544"/>
      <c r="AX8" s="544"/>
      <c r="AY8" s="544"/>
      <c r="AZ8" s="544"/>
      <c r="BA8" s="544"/>
      <c r="BB8" s="544"/>
      <c r="BC8" s="544"/>
    </row>
    <row r="9" spans="1:57" ht="15" customHeight="1">
      <c r="A9" s="1569" t="s">
        <v>593</v>
      </c>
      <c r="B9" s="1570"/>
      <c r="C9" s="1573" t="s">
        <v>594</v>
      </c>
      <c r="D9" s="1574"/>
      <c r="E9" s="1574"/>
      <c r="F9" s="1575"/>
      <c r="G9" s="1573" t="s">
        <v>595</v>
      </c>
      <c r="H9" s="1574"/>
      <c r="I9" s="1574"/>
      <c r="J9" s="1574"/>
      <c r="K9" s="1520" t="s">
        <v>596</v>
      </c>
      <c r="L9" s="1532" t="s">
        <v>601</v>
      </c>
      <c r="M9" s="1533"/>
      <c r="N9" s="1533"/>
      <c r="O9" s="1534"/>
      <c r="P9" s="1533" t="s">
        <v>932</v>
      </c>
      <c r="Q9" s="1533"/>
      <c r="R9" s="1534"/>
      <c r="S9" s="1532" t="s">
        <v>933</v>
      </c>
      <c r="T9" s="1533"/>
      <c r="U9" s="1534"/>
      <c r="V9" s="1535" t="s">
        <v>602</v>
      </c>
      <c r="W9" s="1536"/>
      <c r="X9" s="1537"/>
      <c r="Y9" s="1522" t="s">
        <v>604</v>
      </c>
      <c r="Z9" s="1523"/>
      <c r="AA9" s="1523"/>
      <c r="AB9" s="1523"/>
      <c r="AC9" s="1523"/>
      <c r="AD9" s="1523"/>
      <c r="AE9" s="1524"/>
      <c r="AF9" s="545" t="s">
        <v>605</v>
      </c>
      <c r="AG9" s="1522" t="s">
        <v>623</v>
      </c>
      <c r="AH9" s="1523"/>
      <c r="AI9" s="1523"/>
      <c r="AJ9" s="1523"/>
      <c r="AK9" s="1523"/>
      <c r="AL9" s="1523"/>
      <c r="AM9" s="1523"/>
      <c r="AN9" s="1527" t="s">
        <v>614</v>
      </c>
      <c r="AO9" s="1528"/>
      <c r="AP9" s="1528"/>
      <c r="AQ9" s="1529"/>
      <c r="AR9" s="1530" t="s">
        <v>677</v>
      </c>
      <c r="AS9" s="1531"/>
      <c r="AT9" s="1525" t="s">
        <v>618</v>
      </c>
      <c r="AU9" s="1526"/>
      <c r="AV9" s="1606" t="s">
        <v>619</v>
      </c>
      <c r="AW9" s="1607"/>
      <c r="AX9" s="546" t="s">
        <v>620</v>
      </c>
      <c r="AY9" s="1604" t="s">
        <v>552</v>
      </c>
      <c r="AZ9" s="1608" t="s">
        <v>631</v>
      </c>
      <c r="BA9" s="1609"/>
      <c r="BB9" s="1609"/>
      <c r="BC9" s="1610"/>
    </row>
    <row r="10" spans="1:57" ht="28.5">
      <c r="A10" s="1571"/>
      <c r="B10" s="1572"/>
      <c r="C10" s="547" t="s">
        <v>55</v>
      </c>
      <c r="D10" s="548" t="s">
        <v>56</v>
      </c>
      <c r="E10" s="548" t="s">
        <v>57</v>
      </c>
      <c r="F10" s="549" t="s">
        <v>58</v>
      </c>
      <c r="G10" s="547" t="s">
        <v>55</v>
      </c>
      <c r="H10" s="548" t="s">
        <v>56</v>
      </c>
      <c r="I10" s="548" t="s">
        <v>57</v>
      </c>
      <c r="J10" s="548" t="s">
        <v>58</v>
      </c>
      <c r="K10" s="1521"/>
      <c r="L10" s="1303" t="s">
        <v>465</v>
      </c>
      <c r="M10" s="1307" t="s">
        <v>468</v>
      </c>
      <c r="N10" s="1304" t="s">
        <v>113</v>
      </c>
      <c r="O10" s="1305" t="s">
        <v>603</v>
      </c>
      <c r="P10" s="1303" t="s">
        <v>465</v>
      </c>
      <c r="Q10" s="1304" t="s">
        <v>468</v>
      </c>
      <c r="R10" s="1305" t="s">
        <v>113</v>
      </c>
      <c r="S10" s="1303" t="s">
        <v>465</v>
      </c>
      <c r="T10" s="1304" t="s">
        <v>468</v>
      </c>
      <c r="U10" s="1305" t="s">
        <v>113</v>
      </c>
      <c r="V10" s="550" t="s">
        <v>622</v>
      </c>
      <c r="W10" s="551" t="s">
        <v>667</v>
      </c>
      <c r="X10" s="552" t="s">
        <v>47</v>
      </c>
      <c r="Y10" s="553" t="s">
        <v>606</v>
      </c>
      <c r="Z10" s="554" t="s">
        <v>607</v>
      </c>
      <c r="AA10" s="554" t="s">
        <v>608</v>
      </c>
      <c r="AB10" s="554" t="s">
        <v>609</v>
      </c>
      <c r="AC10" s="554" t="s">
        <v>610</v>
      </c>
      <c r="AD10" s="554" t="s">
        <v>611</v>
      </c>
      <c r="AE10" s="555" t="s">
        <v>612</v>
      </c>
      <c r="AF10" s="556" t="s">
        <v>613</v>
      </c>
      <c r="AG10" s="553" t="s">
        <v>624</v>
      </c>
      <c r="AH10" s="554" t="s">
        <v>625</v>
      </c>
      <c r="AI10" s="554" t="s">
        <v>626</v>
      </c>
      <c r="AJ10" s="554" t="s">
        <v>627</v>
      </c>
      <c r="AK10" s="554" t="s">
        <v>628</v>
      </c>
      <c r="AL10" s="554" t="s">
        <v>629</v>
      </c>
      <c r="AM10" s="554" t="s">
        <v>630</v>
      </c>
      <c r="AN10" s="557" t="s">
        <v>615</v>
      </c>
      <c r="AO10" s="558" t="s">
        <v>616</v>
      </c>
      <c r="AP10" s="558" t="s">
        <v>617</v>
      </c>
      <c r="AQ10" s="559" t="s">
        <v>632</v>
      </c>
      <c r="AR10" s="752" t="s">
        <v>65</v>
      </c>
      <c r="AS10" s="753" t="s">
        <v>30</v>
      </c>
      <c r="AT10" s="560" t="s">
        <v>114</v>
      </c>
      <c r="AU10" s="561" t="s">
        <v>408</v>
      </c>
      <c r="AV10" s="562" t="s">
        <v>49</v>
      </c>
      <c r="AW10" s="563" t="s">
        <v>50</v>
      </c>
      <c r="AX10" s="564" t="s">
        <v>51</v>
      </c>
      <c r="AY10" s="1605"/>
      <c r="AZ10" s="565" t="s">
        <v>597</v>
      </c>
      <c r="BA10" s="566" t="s">
        <v>598</v>
      </c>
      <c r="BB10" s="566" t="s">
        <v>93</v>
      </c>
      <c r="BC10" s="567" t="s">
        <v>599</v>
      </c>
    </row>
    <row r="11" spans="1:57" ht="20.25">
      <c r="A11" s="568" t="s">
        <v>600</v>
      </c>
      <c r="B11" s="569"/>
      <c r="C11" s="569"/>
      <c r="D11" s="569"/>
      <c r="E11" s="569"/>
      <c r="F11" s="569"/>
      <c r="G11" s="569"/>
      <c r="H11" s="569"/>
      <c r="I11" s="569"/>
      <c r="J11" s="569"/>
      <c r="K11" s="569"/>
      <c r="L11" s="1138"/>
      <c r="M11" s="1138"/>
      <c r="N11" s="1138"/>
      <c r="O11" s="569"/>
      <c r="P11" s="1138"/>
      <c r="Q11" s="1138"/>
      <c r="R11" s="569"/>
      <c r="S11" s="1138"/>
      <c r="T11" s="1138"/>
      <c r="U11" s="569"/>
      <c r="V11" s="569"/>
      <c r="W11" s="569"/>
      <c r="X11" s="569"/>
      <c r="Y11" s="569"/>
      <c r="Z11" s="569"/>
      <c r="AA11" s="569"/>
      <c r="AB11" s="569"/>
      <c r="AC11" s="569"/>
      <c r="AD11" s="569"/>
      <c r="AE11" s="569"/>
      <c r="AF11" s="569"/>
      <c r="AG11" s="569"/>
      <c r="AH11" s="569"/>
      <c r="AI11" s="569"/>
      <c r="AJ11" s="569"/>
      <c r="AK11" s="569"/>
      <c r="AL11" s="569"/>
      <c r="AM11" s="569"/>
      <c r="AN11" s="569"/>
      <c r="AO11" s="569"/>
      <c r="AP11" s="569"/>
      <c r="AQ11" s="569"/>
      <c r="AR11" s="569"/>
      <c r="AS11" s="569"/>
      <c r="AT11" s="569"/>
      <c r="AU11" s="569"/>
      <c r="AV11" s="569"/>
      <c r="AW11" s="569"/>
      <c r="AX11" s="569"/>
      <c r="AY11" s="569"/>
      <c r="AZ11" s="569"/>
      <c r="BA11" s="569"/>
      <c r="BB11" s="569"/>
      <c r="BC11" s="570"/>
    </row>
    <row r="12" spans="1:57" ht="20.25">
      <c r="A12" s="1498" t="str">
        <f>Year1&amp;", "&amp;Year1&amp;"$"</f>
        <v>2021, 2021$</v>
      </c>
      <c r="B12" s="1499"/>
      <c r="C12" s="571"/>
      <c r="D12" s="571"/>
      <c r="E12" s="571"/>
      <c r="F12" s="571"/>
      <c r="G12" s="1356" t="s">
        <v>727</v>
      </c>
      <c r="H12" s="571"/>
      <c r="I12" s="571"/>
      <c r="J12" s="571"/>
      <c r="K12" s="1356" t="s">
        <v>727</v>
      </c>
      <c r="L12" s="1300"/>
      <c r="M12" s="1300"/>
      <c r="N12" s="1300"/>
      <c r="O12" s="571"/>
      <c r="P12" s="830" t="s">
        <v>727</v>
      </c>
      <c r="Q12" s="830" t="s">
        <v>727</v>
      </c>
      <c r="R12" s="830" t="s">
        <v>727</v>
      </c>
      <c r="S12" s="1300"/>
      <c r="T12" s="1300"/>
      <c r="U12" s="571"/>
      <c r="V12" s="571"/>
      <c r="W12" s="571"/>
      <c r="X12" s="571"/>
      <c r="Y12" s="571"/>
      <c r="Z12" s="571"/>
      <c r="AA12" s="571"/>
      <c r="AB12" s="571"/>
      <c r="AC12" s="571"/>
      <c r="AD12" s="571"/>
      <c r="AE12" s="571"/>
      <c r="AF12" s="1358" t="s">
        <v>727</v>
      </c>
      <c r="AG12" s="1358" t="s">
        <v>727</v>
      </c>
      <c r="AH12" s="1300"/>
      <c r="AI12" s="1300"/>
      <c r="AJ12" s="1300"/>
      <c r="AK12" s="1300"/>
      <c r="AL12" s="1300"/>
      <c r="AM12" s="1300"/>
      <c r="AN12" s="571"/>
      <c r="AO12" s="571"/>
      <c r="AP12" s="571"/>
      <c r="AQ12" s="571"/>
      <c r="AR12" s="571"/>
      <c r="AS12" s="571"/>
      <c r="AT12" s="571"/>
      <c r="AU12" s="571"/>
      <c r="AV12" s="571"/>
      <c r="AW12" s="571"/>
      <c r="AX12" s="571"/>
      <c r="AY12" s="571"/>
      <c r="AZ12" s="571"/>
      <c r="BA12" s="571"/>
      <c r="BB12" s="571"/>
      <c r="BC12" s="572"/>
    </row>
    <row r="13" spans="1:57" s="201" customFormat="1" ht="14.25">
      <c r="A13" s="573">
        <v>1</v>
      </c>
      <c r="B13" s="573">
        <f>Year1</f>
        <v>2021</v>
      </c>
      <c r="C13" s="574">
        <f t="shared" ref="C13:F37" si="10">VLOOKUP($B13,$B$184:$CR$216,C$4,FALSE)*(1+Inflation1)^(Year1-Real_Year)</f>
        <v>7.3660627050532432E-2</v>
      </c>
      <c r="D13" s="575">
        <f t="shared" si="10"/>
        <v>6.9388131477916323E-2</v>
      </c>
      <c r="E13" s="575">
        <f t="shared" si="10"/>
        <v>6.3641114303784996E-2</v>
      </c>
      <c r="F13" s="576">
        <f t="shared" si="10"/>
        <v>5.4287391128350432E-2</v>
      </c>
      <c r="G13" s="1355">
        <f>IF(ED="Yes",VLOOKUP($B13-2,$B$184:$CK$216,G$4,FALSE)*(1+Inflation1)^(Year1-Real_Year),"")</f>
        <v>4.4789128931824644E-3</v>
      </c>
      <c r="H13" s="835">
        <f t="shared" ref="G13:J37" si="11">IF(ED="Yes",VLOOKUP($B13-2,$B$184:$CK$216,H$4,FALSE)*(1+Inflation1)^(Year1-Real_Year),"")</f>
        <v>3.2509905970055635E-3</v>
      </c>
      <c r="I13" s="835">
        <f t="shared" si="11"/>
        <v>2.8553761018593714E-3</v>
      </c>
      <c r="J13" s="835">
        <f t="shared" si="11"/>
        <v>2.0348560805778502E-3</v>
      </c>
      <c r="K13" s="1355">
        <f t="shared" ref="K13:K37" si="12">IF(ECD="Yes",VLOOKUP($B13-2,$B$184:$CK$216,K$4,FALSE)*(1+Inflation1)^(Year1-Real_Year),"")</f>
        <v>1.7086131498131856E-3</v>
      </c>
      <c r="L13" s="1306">
        <f>VLOOKUP($B13,$B$184:$CR$216,L$4,FALSE)*(1+Inflation1)^(Year1-Real_Year)</f>
        <v>67.607253791896326</v>
      </c>
      <c r="M13" s="577">
        <f>VLOOKUP($B13,$B$184:$CR$216,M$4,FALSE)*(1+Inflation1)^(Year1-Real_Year)</f>
        <v>0</v>
      </c>
      <c r="N13" s="580">
        <f>VLOOKUP($B13,$B$184:$CR$216,N$4,FALSE)*(1+Inflation1)^(Year1-Real_Year)</f>
        <v>0</v>
      </c>
      <c r="O13" s="1309">
        <f>0*((1+Inflation1)^(Year1-Real_Year))</f>
        <v>0</v>
      </c>
      <c r="P13" s="831">
        <f t="shared" ref="P13:R37" si="13">IF(CD="Yes",VLOOKUP($B13-2,$B$184:$CR$216,P$4,FALSE)*(1+Inflation1)^(Year1-Real_Year),"")</f>
        <v>35.016576780358761</v>
      </c>
      <c r="Q13" s="831">
        <f t="shared" si="13"/>
        <v>0</v>
      </c>
      <c r="R13" s="1312">
        <f t="shared" si="13"/>
        <v>0</v>
      </c>
      <c r="S13" s="580" t="str">
        <f t="shared" ref="S13:U37" si="14">IF(Reliability="Yes",VLOOKUP($B13,$B$184:$CR$216,S$4,FALSE)*(1+Inflation1)^(Year1-Real_Year),"")</f>
        <v/>
      </c>
      <c r="T13" s="580" t="str">
        <f t="shared" si="14"/>
        <v/>
      </c>
      <c r="U13" s="576" t="str">
        <f t="shared" si="14"/>
        <v/>
      </c>
      <c r="V13" s="579">
        <f t="shared" ref="V13:V37" si="15">PTFyear1*(1+Inflation1)^(Year1-PTF_Year)</f>
        <v>99.197143415654011</v>
      </c>
      <c r="W13" s="580">
        <f t="shared" ref="W13:W37" si="16">transmissionyear1*(1+Inflation1)^(Year1-TD_Year)</f>
        <v>0</v>
      </c>
      <c r="X13" s="581">
        <f>distributionyear1*(1+Inflation1)^(Year1-TD_Year)</f>
        <v>85.933366513401054</v>
      </c>
      <c r="Y13" s="579">
        <f t="shared" ref="Y13:AE22" si="17">VLOOKUP($B13,$B$228:$AG$260,Y$4,FALSE)*(1+Inflation1)^(Year1-Real_Year)</f>
        <v>6.4264802356586941</v>
      </c>
      <c r="Z13" s="580">
        <f t="shared" si="17"/>
        <v>8.2181784832719593</v>
      </c>
      <c r="AA13" s="580">
        <f t="shared" si="17"/>
        <v>9.4555000994419007</v>
      </c>
      <c r="AB13" s="580">
        <f t="shared" si="17"/>
        <v>8.8730972433901574</v>
      </c>
      <c r="AC13" s="580">
        <f t="shared" si="17"/>
        <v>7.1575306370520737</v>
      </c>
      <c r="AD13" s="580">
        <f t="shared" si="17"/>
        <v>8.4513082170352725</v>
      </c>
      <c r="AE13" s="581">
        <f t="shared" si="17"/>
        <v>7.8859274145826141</v>
      </c>
      <c r="AF13" s="845">
        <f t="shared" ref="AF13:AF37" si="18">IF(GD="Yes",VLOOKUP($B13-3,$B$228:$AG$260,AF$4,FALSE)*(1+Inflation1)^(Year1-Real_Year),"")</f>
        <v>0</v>
      </c>
      <c r="AG13" s="1355">
        <f t="shared" ref="AG13:AM22" si="19">IF(GECD="Yes",VLOOKUP($B13-3,$B$228:$AG$260,AG$4,FALSE)*(1+Inflation1)^(Year1-Real_Year),"")</f>
        <v>0.26382218993525003</v>
      </c>
      <c r="AH13" s="835">
        <f t="shared" si="19"/>
        <v>0.26382218993525003</v>
      </c>
      <c r="AI13" s="835">
        <f t="shared" si="19"/>
        <v>0.49598571707827005</v>
      </c>
      <c r="AJ13" s="835">
        <f t="shared" si="19"/>
        <v>0.41472848257821304</v>
      </c>
      <c r="AK13" s="835">
        <f t="shared" si="19"/>
        <v>0.26382218993525003</v>
      </c>
      <c r="AL13" s="835">
        <f t="shared" si="19"/>
        <v>0.49598571707827005</v>
      </c>
      <c r="AM13" s="835">
        <f t="shared" si="19"/>
        <v>0.39453025571677025</v>
      </c>
      <c r="AN13" s="579">
        <f t="shared" ref="AN13:AP37" si="20">VLOOKUP($B13,$B$275:$W$307,AN$4,FALSE)*(1+Inflation1)^(Year1-Real_Year)</f>
        <v>20.446109730293045</v>
      </c>
      <c r="AO13" s="580">
        <f t="shared" si="20"/>
        <v>16.76071059404207</v>
      </c>
      <c r="AP13" s="580">
        <f t="shared" si="20"/>
        <v>17.10024433957771</v>
      </c>
      <c r="AQ13" s="576">
        <f t="shared" ref="AQ13:AQ37" si="21">IF(OilDRIPE="Yes",VLOOKUP($B13,$B$275:$W$307,AQ$4,FALSE)*(1+Inflation1)^(Year1-Real_Year),"")</f>
        <v>1.208937507677285E-2</v>
      </c>
      <c r="AR13" s="580">
        <f t="shared" ref="AR13:AR37" si="22">VLOOKUP($B13,$B$275:$W$307,AR$4,FALSE)*(1+Inflation1)^(Year1-Real_Year)</f>
        <v>18.333958121616934</v>
      </c>
      <c r="AS13" s="581">
        <f t="shared" ref="AS13:AU37" si="23">VLOOKUP($B13,$B$275:$N$307,AS$4,FALSE)*(1+Inflation1)^(Year1-Real_Year)</f>
        <v>29.096340499940361</v>
      </c>
      <c r="AT13" s="579">
        <f t="shared" si="23"/>
        <v>12.363723428610054</v>
      </c>
      <c r="AU13" s="580">
        <f t="shared" si="23"/>
        <v>19.925546518948089</v>
      </c>
      <c r="AV13" s="578">
        <f t="shared" ref="AV13:AV37" si="24">reswater1*(1+Inflation1)^(Year1-Wt_Year)</f>
        <v>8.6468608148846573E-3</v>
      </c>
      <c r="AW13" s="584">
        <f t="shared" ref="AW13:AW37" si="25">ciwater1*(1+Inflation1)^(Year1-Wt_Year)</f>
        <v>8.6468608148846573E-3</v>
      </c>
      <c r="AX13" s="582">
        <f t="shared" ref="AX13:AX37" si="26">1*(1+Inflation1)</f>
        <v>1.0181</v>
      </c>
      <c r="AY13" s="583">
        <f t="shared" ref="AY13:AY37" si="27">IF(RGGI="Yes",VLOOKUP($B13,B$228:AG$260,AY$4,FALSE)*(1+Inflation1)^(Year1-Real_Year),0)</f>
        <v>12.953947577725854</v>
      </c>
      <c r="AZ13" s="578">
        <f t="shared" ref="AZ13:BC37" si="28">IF(EE="YES",VLOOKUP($B13,$B$184:$CR$216,AZ$4,FALSE)*(1+Inflation1)^(Year1-Real_Year),"")</f>
        <v>4.5595938742933585E-2</v>
      </c>
      <c r="BA13" s="577">
        <f t="shared" si="28"/>
        <v>4.6567684410987506E-2</v>
      </c>
      <c r="BB13" s="577">
        <f t="shared" si="28"/>
        <v>4.4418003954950089E-2</v>
      </c>
      <c r="BC13" s="584">
        <f t="shared" si="28"/>
        <v>4.4700258837226774E-2</v>
      </c>
      <c r="BE13" s="829"/>
    </row>
    <row r="14" spans="1:57" s="325" customFormat="1" ht="14.25">
      <c r="A14" s="585">
        <v>2</v>
      </c>
      <c r="B14" s="585">
        <f t="shared" ref="B14:B37" si="29">B13+1</f>
        <v>2022</v>
      </c>
      <c r="C14" s="574">
        <f t="shared" si="10"/>
        <v>7.1212143163108005E-2</v>
      </c>
      <c r="D14" s="575">
        <f t="shared" si="10"/>
        <v>6.5212556057641743E-2</v>
      </c>
      <c r="E14" s="575">
        <f t="shared" si="10"/>
        <v>6.0502689954291138E-2</v>
      </c>
      <c r="F14" s="576">
        <f t="shared" si="10"/>
        <v>4.9921944838776967E-2</v>
      </c>
      <c r="G14" s="1355">
        <f t="shared" si="11"/>
        <v>7.4034043281884223E-3</v>
      </c>
      <c r="H14" s="835">
        <f t="shared" si="11"/>
        <v>5.5128179318080029E-3</v>
      </c>
      <c r="I14" s="835">
        <f t="shared" si="11"/>
        <v>5.1865022370826339E-3</v>
      </c>
      <c r="J14" s="835">
        <f t="shared" si="11"/>
        <v>3.5751978765937204E-3</v>
      </c>
      <c r="K14" s="1355">
        <f t="shared" si="12"/>
        <v>2.6705498699874002E-3</v>
      </c>
      <c r="L14" s="1301">
        <f t="shared" ref="L14:N37" si="30">VLOOKUP($B14,$B$184:$U$215,L$4,FALSE)*(1+Inflation1)^(Year1-Real_Year)</f>
        <v>64.956210134112965</v>
      </c>
      <c r="M14" s="577">
        <f t="shared" si="30"/>
        <v>0</v>
      </c>
      <c r="N14" s="586">
        <f t="shared" si="30"/>
        <v>0</v>
      </c>
      <c r="O14" s="1310">
        <f t="shared" ref="O14:O37" si="31">0*((1+Inflation1)^(Year1-Real_Year))</f>
        <v>0</v>
      </c>
      <c r="P14" s="831">
        <f t="shared" si="13"/>
        <v>43.690552013861101</v>
      </c>
      <c r="Q14" s="831">
        <f t="shared" si="13"/>
        <v>0</v>
      </c>
      <c r="R14" s="1313">
        <f t="shared" si="13"/>
        <v>0</v>
      </c>
      <c r="S14" s="580" t="str">
        <f t="shared" si="14"/>
        <v/>
      </c>
      <c r="T14" s="580" t="str">
        <f t="shared" si="14"/>
        <v/>
      </c>
      <c r="U14" s="576" t="str">
        <f t="shared" si="14"/>
        <v/>
      </c>
      <c r="V14" s="579">
        <f t="shared" si="15"/>
        <v>99.197143415654011</v>
      </c>
      <c r="W14" s="580">
        <f t="shared" si="16"/>
        <v>0</v>
      </c>
      <c r="X14" s="581">
        <f t="shared" ref="X14:X37" si="32">distributionyear1*(1+Inflation1)^(Year1-TD_Year)</f>
        <v>85.933366513401054</v>
      </c>
      <c r="Y14" s="579">
        <f t="shared" si="17"/>
        <v>6.3598333887021807</v>
      </c>
      <c r="Z14" s="580">
        <f t="shared" si="17"/>
        <v>8.1428151767468986</v>
      </c>
      <c r="AA14" s="580">
        <f t="shared" si="17"/>
        <v>9.377854114997259</v>
      </c>
      <c r="AB14" s="580">
        <f t="shared" si="17"/>
        <v>8.7975576651526506</v>
      </c>
      <c r="AC14" s="580">
        <f t="shared" si="17"/>
        <v>7.0873122842096823</v>
      </c>
      <c r="AD14" s="580">
        <f t="shared" si="17"/>
        <v>8.375994400106439</v>
      </c>
      <c r="AE14" s="581">
        <f t="shared" si="17"/>
        <v>7.8128403154595558</v>
      </c>
      <c r="AF14" s="845">
        <f t="shared" si="18"/>
        <v>0</v>
      </c>
      <c r="AG14" s="1355">
        <f t="shared" si="19"/>
        <v>0.41156261629899005</v>
      </c>
      <c r="AH14" s="835">
        <f t="shared" si="19"/>
        <v>0.41156261629899005</v>
      </c>
      <c r="AI14" s="835">
        <f t="shared" si="19"/>
        <v>0.78091368220834012</v>
      </c>
      <c r="AJ14" s="835">
        <f t="shared" si="19"/>
        <v>0.6516408091400675</v>
      </c>
      <c r="AK14" s="835">
        <f t="shared" si="19"/>
        <v>0.41156261629899005</v>
      </c>
      <c r="AL14" s="835">
        <f t="shared" si="19"/>
        <v>0.78091368220834012</v>
      </c>
      <c r="AM14" s="835">
        <f t="shared" si="19"/>
        <v>0.6195072664059541</v>
      </c>
      <c r="AN14" s="579">
        <f t="shared" si="20"/>
        <v>22.104780595261058</v>
      </c>
      <c r="AO14" s="580">
        <f t="shared" si="20"/>
        <v>18.257048798792113</v>
      </c>
      <c r="AP14" s="580">
        <f t="shared" si="20"/>
        <v>18.689857170990653</v>
      </c>
      <c r="AQ14" s="576">
        <f t="shared" si="21"/>
        <v>1.2355580027384318E-2</v>
      </c>
      <c r="AR14" s="580">
        <f t="shared" si="22"/>
        <v>19.82128273138434</v>
      </c>
      <c r="AS14" s="581">
        <f t="shared" si="23"/>
        <v>31.745713849218941</v>
      </c>
      <c r="AT14" s="579">
        <f t="shared" si="23"/>
        <v>13.366718526654264</v>
      </c>
      <c r="AU14" s="580">
        <f t="shared" si="23"/>
        <v>21.541987197175356</v>
      </c>
      <c r="AV14" s="578">
        <f t="shared" si="24"/>
        <v>8.6468608148846573E-3</v>
      </c>
      <c r="AW14" s="584">
        <f t="shared" si="25"/>
        <v>8.6468608148846573E-3</v>
      </c>
      <c r="AX14" s="582">
        <f t="shared" si="26"/>
        <v>1.0181</v>
      </c>
      <c r="AY14" s="583">
        <f t="shared" si="27"/>
        <v>13.739035309709239</v>
      </c>
      <c r="AZ14" s="578">
        <f t="shared" si="28"/>
        <v>4.5361396244465828E-2</v>
      </c>
      <c r="BA14" s="577">
        <f t="shared" si="28"/>
        <v>4.6328143316961799E-2</v>
      </c>
      <c r="BB14" s="577">
        <f t="shared" si="28"/>
        <v>4.4189520675259754E-2</v>
      </c>
      <c r="BC14" s="584">
        <f t="shared" si="28"/>
        <v>4.4470323657057602E-2</v>
      </c>
      <c r="BE14" s="829"/>
    </row>
    <row r="15" spans="1:57" s="325" customFormat="1" ht="14.25">
      <c r="A15" s="585">
        <f t="shared" ref="A15:A37" si="33">A14+1</f>
        <v>3</v>
      </c>
      <c r="B15" s="585">
        <f t="shared" si="29"/>
        <v>2023</v>
      </c>
      <c r="C15" s="574">
        <f t="shared" si="10"/>
        <v>7.3478045833358527E-2</v>
      </c>
      <c r="D15" s="575">
        <f t="shared" si="10"/>
        <v>6.5729750247943489E-2</v>
      </c>
      <c r="E15" s="575">
        <f t="shared" si="10"/>
        <v>5.750498910284392E-2</v>
      </c>
      <c r="F15" s="576">
        <f t="shared" si="10"/>
        <v>4.6550334476333166E-2</v>
      </c>
      <c r="G15" s="1355">
        <f t="shared" si="11"/>
        <v>8.2722343239357999E-3</v>
      </c>
      <c r="H15" s="835">
        <f t="shared" si="11"/>
        <v>6.1567908279617162E-3</v>
      </c>
      <c r="I15" s="835">
        <f t="shared" si="11"/>
        <v>6.7634442023924131E-3</v>
      </c>
      <c r="J15" s="835">
        <f t="shared" si="11"/>
        <v>4.4970613649416916E-3</v>
      </c>
      <c r="K15" s="1355">
        <f t="shared" si="12"/>
        <v>2.7364155914773184E-3</v>
      </c>
      <c r="L15" s="1301">
        <f t="shared" si="30"/>
        <v>66.309934555108725</v>
      </c>
      <c r="M15" s="577">
        <f t="shared" si="30"/>
        <v>25.735411836478328</v>
      </c>
      <c r="N15" s="586">
        <f t="shared" si="30"/>
        <v>25.735411836478328</v>
      </c>
      <c r="O15" s="1310">
        <f t="shared" si="31"/>
        <v>0</v>
      </c>
      <c r="P15" s="831">
        <f t="shared" si="13"/>
        <v>7.8631502415407555</v>
      </c>
      <c r="Q15" s="831">
        <f t="shared" si="13"/>
        <v>0</v>
      </c>
      <c r="R15" s="1313">
        <f t="shared" si="13"/>
        <v>0</v>
      </c>
      <c r="S15" s="580" t="str">
        <f t="shared" si="14"/>
        <v/>
      </c>
      <c r="T15" s="580" t="str">
        <f t="shared" si="14"/>
        <v/>
      </c>
      <c r="U15" s="576" t="str">
        <f t="shared" si="14"/>
        <v/>
      </c>
      <c r="V15" s="579">
        <f t="shared" si="15"/>
        <v>99.197143415654011</v>
      </c>
      <c r="W15" s="580">
        <f t="shared" si="16"/>
        <v>0</v>
      </c>
      <c r="X15" s="581">
        <f t="shared" si="32"/>
        <v>85.933366513401054</v>
      </c>
      <c r="Y15" s="579">
        <f t="shared" si="17"/>
        <v>6.3788340922974545</v>
      </c>
      <c r="Z15" s="580">
        <f t="shared" si="17"/>
        <v>8.1562900734217347</v>
      </c>
      <c r="AA15" s="580">
        <f t="shared" si="17"/>
        <v>9.3898931887931809</v>
      </c>
      <c r="AB15" s="580">
        <f t="shared" si="17"/>
        <v>8.8109281479942592</v>
      </c>
      <c r="AC15" s="580">
        <f t="shared" si="17"/>
        <v>7.1041960861795239</v>
      </c>
      <c r="AD15" s="580">
        <f t="shared" si="17"/>
        <v>8.3895325572083141</v>
      </c>
      <c r="AE15" s="581">
        <f t="shared" si="17"/>
        <v>7.827840519368733</v>
      </c>
      <c r="AF15" s="845">
        <f t="shared" si="18"/>
        <v>0</v>
      </c>
      <c r="AG15" s="1355">
        <f t="shared" si="19"/>
        <v>0.46432705428604004</v>
      </c>
      <c r="AH15" s="835">
        <f t="shared" si="19"/>
        <v>0.46432705428604004</v>
      </c>
      <c r="AI15" s="835">
        <f t="shared" si="19"/>
        <v>0.85478389539021016</v>
      </c>
      <c r="AJ15" s="835">
        <f t="shared" si="19"/>
        <v>0.71812400100375073</v>
      </c>
      <c r="AK15" s="835">
        <f t="shared" si="19"/>
        <v>0.46432705428604004</v>
      </c>
      <c r="AL15" s="835">
        <f t="shared" si="19"/>
        <v>0.85478389539021016</v>
      </c>
      <c r="AM15" s="835">
        <f t="shared" si="19"/>
        <v>0.68415425582768774</v>
      </c>
      <c r="AN15" s="579">
        <f t="shared" si="20"/>
        <v>24.175875437323576</v>
      </c>
      <c r="AO15" s="580">
        <f t="shared" si="20"/>
        <v>19.999526444381786</v>
      </c>
      <c r="AP15" s="580">
        <f t="shared" si="20"/>
        <v>20.497387882796243</v>
      </c>
      <c r="AQ15" s="576">
        <f t="shared" si="21"/>
        <v>1.2400767411471163E-2</v>
      </c>
      <c r="AR15" s="580">
        <f t="shared" si="22"/>
        <v>21.678426540214268</v>
      </c>
      <c r="AS15" s="581">
        <f t="shared" si="23"/>
        <v>34.676881097637761</v>
      </c>
      <c r="AT15" s="579">
        <f t="shared" si="23"/>
        <v>14.619105614440612</v>
      </c>
      <c r="AU15" s="580">
        <f t="shared" si="23"/>
        <v>23.560351431987602</v>
      </c>
      <c r="AV15" s="578">
        <f t="shared" si="24"/>
        <v>8.6468608148846573E-3</v>
      </c>
      <c r="AW15" s="584">
        <f t="shared" si="25"/>
        <v>8.6468608148846573E-3</v>
      </c>
      <c r="AX15" s="582">
        <f t="shared" si="26"/>
        <v>1.0181</v>
      </c>
      <c r="AY15" s="583">
        <f t="shared" si="27"/>
        <v>14.524123041692624</v>
      </c>
      <c r="AZ15" s="578">
        <f t="shared" si="28"/>
        <v>4.5138355372558524E-2</v>
      </c>
      <c r="BA15" s="577">
        <f t="shared" si="28"/>
        <v>4.6100348973428504E-2</v>
      </c>
      <c r="BB15" s="577">
        <f t="shared" si="28"/>
        <v>4.3972241886761743E-2</v>
      </c>
      <c r="BC15" s="584">
        <f t="shared" si="28"/>
        <v>4.4251664167190591E-2</v>
      </c>
      <c r="BE15" s="829"/>
    </row>
    <row r="16" spans="1:57" s="325" customFormat="1" ht="14.25">
      <c r="A16" s="585">
        <f t="shared" si="33"/>
        <v>4</v>
      </c>
      <c r="B16" s="585">
        <f t="shared" si="29"/>
        <v>2024</v>
      </c>
      <c r="C16" s="574">
        <f t="shared" si="10"/>
        <v>7.6811433188031561E-2</v>
      </c>
      <c r="D16" s="575">
        <f t="shared" si="10"/>
        <v>7.2474635979007218E-2</v>
      </c>
      <c r="E16" s="575">
        <f t="shared" si="10"/>
        <v>5.5887153792760644E-2</v>
      </c>
      <c r="F16" s="576">
        <f t="shared" si="10"/>
        <v>5.1484814311336384E-2</v>
      </c>
      <c r="G16" s="1355">
        <f t="shared" si="11"/>
        <v>8.2738260237421833E-3</v>
      </c>
      <c r="H16" s="835">
        <f t="shared" si="11"/>
        <v>5.9546973310458202E-3</v>
      </c>
      <c r="I16" s="835">
        <f t="shared" si="11"/>
        <v>6.6878960868145708E-3</v>
      </c>
      <c r="J16" s="835">
        <f t="shared" si="11"/>
        <v>4.2517858605918817E-3</v>
      </c>
      <c r="K16" s="1355">
        <f t="shared" si="12"/>
        <v>2.7401666524104274E-3</v>
      </c>
      <c r="L16" s="1301">
        <f t="shared" si="30"/>
        <v>69.08506961815003</v>
      </c>
      <c r="M16" s="577">
        <f t="shared" si="30"/>
        <v>44.611633964670254</v>
      </c>
      <c r="N16" s="586">
        <f t="shared" si="30"/>
        <v>44.611633964670254</v>
      </c>
      <c r="O16" s="1310">
        <f t="shared" si="31"/>
        <v>0</v>
      </c>
      <c r="P16" s="831">
        <f t="shared" si="13"/>
        <v>5.9423521943431172</v>
      </c>
      <c r="Q16" s="831">
        <f t="shared" si="13"/>
        <v>0</v>
      </c>
      <c r="R16" s="1313">
        <f t="shared" si="13"/>
        <v>0</v>
      </c>
      <c r="S16" s="580" t="str">
        <f t="shared" si="14"/>
        <v/>
      </c>
      <c r="T16" s="580" t="str">
        <f t="shared" si="14"/>
        <v/>
      </c>
      <c r="U16" s="576" t="str">
        <f t="shared" si="14"/>
        <v/>
      </c>
      <c r="V16" s="579">
        <f t="shared" si="15"/>
        <v>99.197143415654011</v>
      </c>
      <c r="W16" s="580">
        <f t="shared" si="16"/>
        <v>0</v>
      </c>
      <c r="X16" s="581">
        <f t="shared" si="32"/>
        <v>85.933366513401054</v>
      </c>
      <c r="Y16" s="579">
        <f t="shared" si="17"/>
        <v>6.4703371068673228</v>
      </c>
      <c r="Z16" s="580">
        <f t="shared" si="17"/>
        <v>8.2454619202005297</v>
      </c>
      <c r="AA16" s="580">
        <f t="shared" si="17"/>
        <v>9.4784809113858675</v>
      </c>
      <c r="AB16" s="580">
        <f t="shared" si="17"/>
        <v>8.9000699892207447</v>
      </c>
      <c r="AC16" s="580">
        <f t="shared" si="17"/>
        <v>7.195015587111941</v>
      </c>
      <c r="AD16" s="580">
        <f t="shared" si="17"/>
        <v>8.4787821689254219</v>
      </c>
      <c r="AE16" s="581">
        <f t="shared" si="17"/>
        <v>7.9177761726729292</v>
      </c>
      <c r="AF16" s="845">
        <f t="shared" si="18"/>
        <v>1.0552887597410002E-2</v>
      </c>
      <c r="AG16" s="1355">
        <f t="shared" si="19"/>
        <v>0.46432705428604004</v>
      </c>
      <c r="AH16" s="835">
        <f t="shared" si="19"/>
        <v>0.46432705428604004</v>
      </c>
      <c r="AI16" s="835">
        <f t="shared" si="19"/>
        <v>0.86533678298762007</v>
      </c>
      <c r="AJ16" s="835">
        <f t="shared" si="19"/>
        <v>0.72498337794206713</v>
      </c>
      <c r="AK16" s="835">
        <f t="shared" si="19"/>
        <v>0.46432705428604004</v>
      </c>
      <c r="AL16" s="835">
        <f t="shared" si="19"/>
        <v>0.86533678298762007</v>
      </c>
      <c r="AM16" s="835">
        <f t="shared" si="19"/>
        <v>0.69009553154502956</v>
      </c>
      <c r="AN16" s="579">
        <f t="shared" si="20"/>
        <v>24.516211168720538</v>
      </c>
      <c r="AO16" s="580">
        <f t="shared" si="20"/>
        <v>20.287475728183416</v>
      </c>
      <c r="AP16" s="580">
        <f t="shared" si="20"/>
        <v>20.806466039942045</v>
      </c>
      <c r="AQ16" s="576">
        <f t="shared" si="21"/>
        <v>1.2454505696749912E-2</v>
      </c>
      <c r="AR16" s="580">
        <f t="shared" si="22"/>
        <v>21.98360445078163</v>
      </c>
      <c r="AS16" s="581">
        <f t="shared" si="23"/>
        <v>34.830902654587888</v>
      </c>
      <c r="AT16" s="579">
        <f t="shared" si="23"/>
        <v>14.824905979956181</v>
      </c>
      <c r="AU16" s="580">
        <f t="shared" si="23"/>
        <v>23.892022128147623</v>
      </c>
      <c r="AV16" s="578">
        <f t="shared" si="24"/>
        <v>8.6468608148846573E-3</v>
      </c>
      <c r="AW16" s="584">
        <f t="shared" si="25"/>
        <v>8.6468608148846573E-3</v>
      </c>
      <c r="AX16" s="582">
        <f t="shared" si="26"/>
        <v>1.0181</v>
      </c>
      <c r="AY16" s="583">
        <f t="shared" si="27"/>
        <v>15.701754639667701</v>
      </c>
      <c r="AZ16" s="578">
        <f t="shared" si="28"/>
        <v>4.4748819989077752E-2</v>
      </c>
      <c r="BA16" s="577">
        <f t="shared" si="28"/>
        <v>4.5702511768954741E-2</v>
      </c>
      <c r="BB16" s="577">
        <f t="shared" si="28"/>
        <v>4.3592769839885123E-2</v>
      </c>
      <c r="BC16" s="584">
        <f t="shared" si="28"/>
        <v>4.3869780759415652E-2</v>
      </c>
      <c r="BE16" s="829"/>
    </row>
    <row r="17" spans="1:57" s="325" customFormat="1" ht="14.25">
      <c r="A17" s="585">
        <f t="shared" si="33"/>
        <v>5</v>
      </c>
      <c r="B17" s="585">
        <f t="shared" si="29"/>
        <v>2025</v>
      </c>
      <c r="C17" s="574">
        <f t="shared" si="10"/>
        <v>7.1905571509509797E-2</v>
      </c>
      <c r="D17" s="575">
        <f t="shared" si="10"/>
        <v>6.8313648184297554E-2</v>
      </c>
      <c r="E17" s="575">
        <f t="shared" si="10"/>
        <v>5.7559894987808495E-2</v>
      </c>
      <c r="F17" s="576">
        <f t="shared" si="10"/>
        <v>5.2038663235457777E-2</v>
      </c>
      <c r="G17" s="1355">
        <f t="shared" si="11"/>
        <v>7.743386674706281E-3</v>
      </c>
      <c r="H17" s="835">
        <f t="shared" si="11"/>
        <v>5.4076685023849045E-3</v>
      </c>
      <c r="I17" s="835">
        <f t="shared" si="11"/>
        <v>5.6935363502108273E-3</v>
      </c>
      <c r="J17" s="835">
        <f t="shared" si="11"/>
        <v>3.565240864145074E-3</v>
      </c>
      <c r="K17" s="1355">
        <f t="shared" si="12"/>
        <v>2.0007050657533834E-3</v>
      </c>
      <c r="L17" s="1301">
        <f t="shared" si="30"/>
        <v>74.060006865309433</v>
      </c>
      <c r="M17" s="577">
        <f t="shared" si="30"/>
        <v>66.726333773963205</v>
      </c>
      <c r="N17" s="586">
        <f t="shared" si="30"/>
        <v>66.726333773963205</v>
      </c>
      <c r="O17" s="1310">
        <f t="shared" si="31"/>
        <v>0</v>
      </c>
      <c r="P17" s="831">
        <f t="shared" si="13"/>
        <v>3.9512517118149919</v>
      </c>
      <c r="Q17" s="831">
        <f t="shared" si="13"/>
        <v>0</v>
      </c>
      <c r="R17" s="1313">
        <f t="shared" si="13"/>
        <v>0</v>
      </c>
      <c r="S17" s="580" t="str">
        <f t="shared" si="14"/>
        <v/>
      </c>
      <c r="T17" s="580" t="str">
        <f t="shared" si="14"/>
        <v/>
      </c>
      <c r="U17" s="576" t="str">
        <f t="shared" si="14"/>
        <v/>
      </c>
      <c r="V17" s="579">
        <f t="shared" si="15"/>
        <v>99.197143415654011</v>
      </c>
      <c r="W17" s="580">
        <f t="shared" si="16"/>
        <v>0</v>
      </c>
      <c r="X17" s="581">
        <f t="shared" si="32"/>
        <v>85.933366513401054</v>
      </c>
      <c r="Y17" s="579">
        <f t="shared" si="17"/>
        <v>6.4952658933476863</v>
      </c>
      <c r="Z17" s="580">
        <f t="shared" si="17"/>
        <v>8.2650517482949226</v>
      </c>
      <c r="AA17" s="580">
        <f t="shared" si="17"/>
        <v>9.4966812006517642</v>
      </c>
      <c r="AB17" s="580">
        <f t="shared" si="17"/>
        <v>8.9195574608345094</v>
      </c>
      <c r="AC17" s="580">
        <f t="shared" si="17"/>
        <v>7.2179099203729509</v>
      </c>
      <c r="AD17" s="580">
        <f t="shared" si="17"/>
        <v>8.4984322865710595</v>
      </c>
      <c r="AE17" s="581">
        <f t="shared" si="17"/>
        <v>7.9388440125424857</v>
      </c>
      <c r="AF17" s="845">
        <f t="shared" si="18"/>
        <v>1.0552887597410002E-2</v>
      </c>
      <c r="AG17" s="1355">
        <f t="shared" si="19"/>
        <v>0.42211550389640007</v>
      </c>
      <c r="AH17" s="835">
        <f t="shared" si="19"/>
        <v>0.42211550389640007</v>
      </c>
      <c r="AI17" s="835">
        <f t="shared" si="19"/>
        <v>0.78091368220834012</v>
      </c>
      <c r="AJ17" s="835">
        <f t="shared" si="19"/>
        <v>0.65533431979916101</v>
      </c>
      <c r="AK17" s="835">
        <f t="shared" si="19"/>
        <v>0.42211550389640007</v>
      </c>
      <c r="AL17" s="835">
        <f t="shared" si="19"/>
        <v>0.78091368220834012</v>
      </c>
      <c r="AM17" s="835">
        <f t="shared" si="19"/>
        <v>0.62411887828602219</v>
      </c>
      <c r="AN17" s="579">
        <f t="shared" si="20"/>
        <v>25.02071663008396</v>
      </c>
      <c r="AO17" s="580">
        <f t="shared" si="20"/>
        <v>20.815370144369197</v>
      </c>
      <c r="AP17" s="580">
        <f t="shared" si="20"/>
        <v>21.382435281807254</v>
      </c>
      <c r="AQ17" s="576">
        <f t="shared" si="21"/>
        <v>1.2642367451620066E-2</v>
      </c>
      <c r="AR17" s="580">
        <f t="shared" si="22"/>
        <v>22.435992808409374</v>
      </c>
      <c r="AS17" s="581">
        <f t="shared" si="23"/>
        <v>34.758943096865586</v>
      </c>
      <c r="AT17" s="579">
        <f t="shared" si="23"/>
        <v>15.129979467030305</v>
      </c>
      <c r="AU17" s="580">
        <f t="shared" si="23"/>
        <v>24.383682750733751</v>
      </c>
      <c r="AV17" s="578">
        <f t="shared" si="24"/>
        <v>8.6468608148846573E-3</v>
      </c>
      <c r="AW17" s="584">
        <f t="shared" si="25"/>
        <v>8.6468608148846573E-3</v>
      </c>
      <c r="AX17" s="582">
        <f t="shared" si="26"/>
        <v>1.0181</v>
      </c>
      <c r="AY17" s="583">
        <f t="shared" si="27"/>
        <v>16.87938623764278</v>
      </c>
      <c r="AZ17" s="578">
        <f t="shared" si="28"/>
        <v>4.4377040310451032E-2</v>
      </c>
      <c r="BA17" s="577">
        <f t="shared" si="28"/>
        <v>4.5322808680872358E-2</v>
      </c>
      <c r="BB17" s="577">
        <f t="shared" si="28"/>
        <v>4.3230594793359292E-2</v>
      </c>
      <c r="BC17" s="584">
        <f t="shared" si="28"/>
        <v>4.3505304266043529E-2</v>
      </c>
      <c r="BE17" s="829"/>
    </row>
    <row r="18" spans="1:57" s="325" customFormat="1" ht="14.25">
      <c r="A18" s="585">
        <f t="shared" si="33"/>
        <v>6</v>
      </c>
      <c r="B18" s="585">
        <f t="shared" si="29"/>
        <v>2026</v>
      </c>
      <c r="C18" s="574">
        <f t="shared" si="10"/>
        <v>7.1362259658067168E-2</v>
      </c>
      <c r="D18" s="575">
        <f t="shared" si="10"/>
        <v>6.7198952615355953E-2</v>
      </c>
      <c r="E18" s="575">
        <f t="shared" si="10"/>
        <v>6.1126138368850259E-2</v>
      </c>
      <c r="F18" s="576">
        <f t="shared" si="10"/>
        <v>5.4034790005751988E-2</v>
      </c>
      <c r="G18" s="1355">
        <f t="shared" si="11"/>
        <v>6.3802286729877063E-3</v>
      </c>
      <c r="H18" s="835">
        <f t="shared" si="11"/>
        <v>4.8250277377960074E-3</v>
      </c>
      <c r="I18" s="835">
        <f t="shared" si="11"/>
        <v>4.2973685997746485E-3</v>
      </c>
      <c r="J18" s="835">
        <f t="shared" si="11"/>
        <v>3.1312146905457059E-3</v>
      </c>
      <c r="K18" s="1355">
        <f t="shared" si="12"/>
        <v>1.2881700264078372E-3</v>
      </c>
      <c r="L18" s="1301">
        <f t="shared" si="30"/>
        <v>80.275858165048263</v>
      </c>
      <c r="M18" s="577">
        <f t="shared" si="30"/>
        <v>92.674327026370818</v>
      </c>
      <c r="N18" s="586">
        <f t="shared" si="30"/>
        <v>92.674327026370818</v>
      </c>
      <c r="O18" s="1310">
        <f t="shared" si="31"/>
        <v>0</v>
      </c>
      <c r="P18" s="831">
        <f t="shared" si="13"/>
        <v>0</v>
      </c>
      <c r="Q18" s="831">
        <f t="shared" si="13"/>
        <v>4.1924628906365751</v>
      </c>
      <c r="R18" s="1313">
        <f t="shared" si="13"/>
        <v>4.1924628906365751</v>
      </c>
      <c r="S18" s="580" t="str">
        <f t="shared" si="14"/>
        <v/>
      </c>
      <c r="T18" s="580" t="str">
        <f t="shared" si="14"/>
        <v/>
      </c>
      <c r="U18" s="576" t="str">
        <f t="shared" si="14"/>
        <v/>
      </c>
      <c r="V18" s="579">
        <f t="shared" si="15"/>
        <v>99.197143415654011</v>
      </c>
      <c r="W18" s="580">
        <f t="shared" si="16"/>
        <v>0</v>
      </c>
      <c r="X18" s="581">
        <f t="shared" si="32"/>
        <v>85.933366513401054</v>
      </c>
      <c r="Y18" s="579">
        <f t="shared" si="17"/>
        <v>6.577357334461631</v>
      </c>
      <c r="Z18" s="580">
        <f t="shared" si="17"/>
        <v>8.3442924428518968</v>
      </c>
      <c r="AA18" s="580">
        <f t="shared" si="17"/>
        <v>9.5751952341635409</v>
      </c>
      <c r="AB18" s="580">
        <f t="shared" si="17"/>
        <v>8.9987534376956511</v>
      </c>
      <c r="AC18" s="580">
        <f t="shared" si="17"/>
        <v>7.2990841286899988</v>
      </c>
      <c r="AD18" s="580">
        <f t="shared" si="17"/>
        <v>8.577744178423913</v>
      </c>
      <c r="AE18" s="581">
        <f t="shared" si="17"/>
        <v>8.0189697366901918</v>
      </c>
      <c r="AF18" s="845">
        <f t="shared" si="18"/>
        <v>1.0552887597410002E-2</v>
      </c>
      <c r="AG18" s="1355">
        <f t="shared" si="19"/>
        <v>0.30603374032489</v>
      </c>
      <c r="AH18" s="835">
        <f t="shared" si="19"/>
        <v>0.30603374032489</v>
      </c>
      <c r="AI18" s="835">
        <f t="shared" si="19"/>
        <v>0.55930304266273012</v>
      </c>
      <c r="AJ18" s="835">
        <f t="shared" si="19"/>
        <v>0.47065878684448603</v>
      </c>
      <c r="AK18" s="835">
        <f t="shared" si="19"/>
        <v>0.30603374032489</v>
      </c>
      <c r="AL18" s="835">
        <f t="shared" si="19"/>
        <v>0.55930304266273012</v>
      </c>
      <c r="AM18" s="835">
        <f t="shared" si="19"/>
        <v>0.44862435754109392</v>
      </c>
      <c r="AN18" s="579">
        <f t="shared" si="20"/>
        <v>25.412267497016721</v>
      </c>
      <c r="AO18" s="580">
        <f t="shared" si="20"/>
        <v>21.158165842088366</v>
      </c>
      <c r="AP18" s="580">
        <f t="shared" si="20"/>
        <v>21.751864814927398</v>
      </c>
      <c r="AQ18" s="576">
        <f t="shared" si="21"/>
        <v>1.2785047366591583E-2</v>
      </c>
      <c r="AR18" s="580">
        <f t="shared" si="22"/>
        <v>22.787095159493411</v>
      </c>
      <c r="AS18" s="581">
        <f t="shared" si="23"/>
        <v>34.82263433130592</v>
      </c>
      <c r="AT18" s="579">
        <f t="shared" si="23"/>
        <v>15.366749527000033</v>
      </c>
      <c r="AU18" s="580">
        <f t="shared" si="23"/>
        <v>24.765264631909119</v>
      </c>
      <c r="AV18" s="578">
        <f t="shared" si="24"/>
        <v>8.6468608148846573E-3</v>
      </c>
      <c r="AW18" s="584">
        <f t="shared" si="25"/>
        <v>8.6468608148846573E-3</v>
      </c>
      <c r="AX18" s="582">
        <f t="shared" si="26"/>
        <v>1.0181</v>
      </c>
      <c r="AY18" s="583">
        <f t="shared" si="27"/>
        <v>18.057017835617856</v>
      </c>
      <c r="AZ18" s="578">
        <f t="shared" si="28"/>
        <v>4.402246979822716E-2</v>
      </c>
      <c r="BA18" s="577">
        <f t="shared" si="28"/>
        <v>4.4960681522842466E-2</v>
      </c>
      <c r="BB18" s="577">
        <f t="shared" si="28"/>
        <v>4.28851843281189E-2</v>
      </c>
      <c r="BC18" s="584">
        <f t="shared" si="28"/>
        <v>4.3157698884743814E-2</v>
      </c>
      <c r="BE18" s="829"/>
    </row>
    <row r="19" spans="1:57" s="325" customFormat="1" ht="14.25">
      <c r="A19" s="585">
        <f t="shared" si="33"/>
        <v>7</v>
      </c>
      <c r="B19" s="585">
        <f t="shared" si="29"/>
        <v>2027</v>
      </c>
      <c r="C19" s="574">
        <f t="shared" si="10"/>
        <v>7.5852755412991954E-2</v>
      </c>
      <c r="D19" s="575">
        <f t="shared" si="10"/>
        <v>7.1266083224678076E-2</v>
      </c>
      <c r="E19" s="575">
        <f t="shared" si="10"/>
        <v>5.78184617905129E-2</v>
      </c>
      <c r="F19" s="576">
        <f t="shared" si="10"/>
        <v>5.0573032743859117E-2</v>
      </c>
      <c r="G19" s="1355">
        <f t="shared" si="11"/>
        <v>4.5985507951780882E-3</v>
      </c>
      <c r="H19" s="835">
        <f t="shared" si="11"/>
        <v>3.4754048783842907E-3</v>
      </c>
      <c r="I19" s="835">
        <f t="shared" si="11"/>
        <v>3.4747241812367242E-3</v>
      </c>
      <c r="J19" s="835">
        <f t="shared" si="11"/>
        <v>2.482618022603062E-3</v>
      </c>
      <c r="K19" s="1355">
        <f t="shared" si="12"/>
        <v>9.7555149120367199E-4</v>
      </c>
      <c r="L19" s="1301">
        <f t="shared" si="30"/>
        <v>86.69476812793647</v>
      </c>
      <c r="M19" s="577">
        <f t="shared" si="30"/>
        <v>110.82462697470679</v>
      </c>
      <c r="N19" s="586">
        <f t="shared" si="30"/>
        <v>110.82462697470679</v>
      </c>
      <c r="O19" s="1310">
        <f t="shared" si="31"/>
        <v>0</v>
      </c>
      <c r="P19" s="831">
        <f t="shared" si="13"/>
        <v>0</v>
      </c>
      <c r="Q19" s="831">
        <f t="shared" si="13"/>
        <v>92.764148679407512</v>
      </c>
      <c r="R19" s="1313">
        <f t="shared" si="13"/>
        <v>92.764148679407512</v>
      </c>
      <c r="S19" s="580" t="str">
        <f t="shared" si="14"/>
        <v/>
      </c>
      <c r="T19" s="580" t="str">
        <f t="shared" si="14"/>
        <v/>
      </c>
      <c r="U19" s="576" t="str">
        <f t="shared" si="14"/>
        <v/>
      </c>
      <c r="V19" s="579">
        <f t="shared" si="15"/>
        <v>99.197143415654011</v>
      </c>
      <c r="W19" s="580">
        <f t="shared" si="16"/>
        <v>0</v>
      </c>
      <c r="X19" s="581">
        <f t="shared" si="32"/>
        <v>85.933366513401054</v>
      </c>
      <c r="Y19" s="579">
        <f t="shared" si="17"/>
        <v>6.6169570653160426</v>
      </c>
      <c r="Z19" s="580">
        <f t="shared" si="17"/>
        <v>8.3795536179032375</v>
      </c>
      <c r="AA19" s="580">
        <f t="shared" si="17"/>
        <v>9.6093333285581135</v>
      </c>
      <c r="AB19" s="580">
        <f t="shared" si="17"/>
        <v>9.0339353936905535</v>
      </c>
      <c r="AC19" s="580">
        <f t="shared" si="17"/>
        <v>7.3370807003389169</v>
      </c>
      <c r="AD19" s="580">
        <f t="shared" si="17"/>
        <v>8.6130675051881571</v>
      </c>
      <c r="AE19" s="581">
        <f t="shared" si="17"/>
        <v>8.0554612714690386</v>
      </c>
      <c r="AF19" s="845">
        <f t="shared" si="18"/>
        <v>1.0552887597410002E-2</v>
      </c>
      <c r="AG19" s="1355">
        <f t="shared" si="19"/>
        <v>0.18995197675338002</v>
      </c>
      <c r="AH19" s="835">
        <f t="shared" si="19"/>
        <v>0.18995197675338002</v>
      </c>
      <c r="AI19" s="835">
        <f t="shared" si="19"/>
        <v>0.34824529071453003</v>
      </c>
      <c r="AJ19" s="835">
        <f t="shared" si="19"/>
        <v>0.29284263082812756</v>
      </c>
      <c r="AK19" s="835">
        <f t="shared" si="19"/>
        <v>0.18995197675338002</v>
      </c>
      <c r="AL19" s="835">
        <f t="shared" si="19"/>
        <v>0.34824529071453003</v>
      </c>
      <c r="AM19" s="835">
        <f t="shared" si="19"/>
        <v>0.27907111251350747</v>
      </c>
      <c r="AN19" s="579">
        <f t="shared" si="20"/>
        <v>25.620738218909526</v>
      </c>
      <c r="AO19" s="580">
        <f t="shared" si="20"/>
        <v>21.38654847345915</v>
      </c>
      <c r="AP19" s="580">
        <f t="shared" si="20"/>
        <v>21.999436126977205</v>
      </c>
      <c r="AQ19" s="576">
        <f t="shared" si="21"/>
        <v>1.2746924294998491E-2</v>
      </c>
      <c r="AR19" s="580">
        <f t="shared" si="22"/>
        <v>22.974030157651182</v>
      </c>
      <c r="AS19" s="581">
        <f t="shared" si="23"/>
        <v>35.151238962316228</v>
      </c>
      <c r="AT19" s="579">
        <f t="shared" si="23"/>
        <v>15.492811373602889</v>
      </c>
      <c r="AU19" s="580">
        <f t="shared" si="23"/>
        <v>24.96842763561536</v>
      </c>
      <c r="AV19" s="578">
        <f t="shared" si="24"/>
        <v>8.6468608148846573E-3</v>
      </c>
      <c r="AW19" s="584">
        <f t="shared" si="25"/>
        <v>8.6468608148846573E-3</v>
      </c>
      <c r="AX19" s="582">
        <f t="shared" si="26"/>
        <v>1.0181</v>
      </c>
      <c r="AY19" s="583">
        <f t="shared" si="27"/>
        <v>19.234649433592935</v>
      </c>
      <c r="AZ19" s="578">
        <f t="shared" si="28"/>
        <v>4.3698009551029579E-2</v>
      </c>
      <c r="BA19" s="577">
        <f t="shared" si="28"/>
        <v>4.4629306343123204E-2</v>
      </c>
      <c r="BB19" s="577">
        <f t="shared" si="28"/>
        <v>4.2569106253172367E-2</v>
      </c>
      <c r="BC19" s="584">
        <f t="shared" si="28"/>
        <v>4.2839612286858592E-2</v>
      </c>
      <c r="BE19" s="829"/>
    </row>
    <row r="20" spans="1:57" s="325" customFormat="1" ht="14.25">
      <c r="A20" s="585">
        <f t="shared" si="33"/>
        <v>8</v>
      </c>
      <c r="B20" s="585">
        <f t="shared" si="29"/>
        <v>2028</v>
      </c>
      <c r="C20" s="574">
        <f t="shared" si="10"/>
        <v>7.7816741564339695E-2</v>
      </c>
      <c r="D20" s="575">
        <f t="shared" si="10"/>
        <v>6.8875193725353195E-2</v>
      </c>
      <c r="E20" s="575">
        <f t="shared" si="10"/>
        <v>6.2494080270703807E-2</v>
      </c>
      <c r="F20" s="576">
        <f t="shared" si="10"/>
        <v>5.1521527642563167E-2</v>
      </c>
      <c r="G20" s="1355">
        <f t="shared" si="11"/>
        <v>3.2787367327127529E-3</v>
      </c>
      <c r="H20" s="835">
        <f t="shared" si="11"/>
        <v>2.4258103093645314E-3</v>
      </c>
      <c r="I20" s="835">
        <f t="shared" si="11"/>
        <v>2.6846789989342385E-3</v>
      </c>
      <c r="J20" s="835">
        <f t="shared" si="11"/>
        <v>1.8616352769694837E-3</v>
      </c>
      <c r="K20" s="1355">
        <f t="shared" si="12"/>
        <v>6.731103467780378E-4</v>
      </c>
      <c r="L20" s="1301">
        <f t="shared" si="30"/>
        <v>93.057272906616518</v>
      </c>
      <c r="M20" s="577">
        <f t="shared" si="30"/>
        <v>117.32425719280305</v>
      </c>
      <c r="N20" s="586">
        <f t="shared" si="30"/>
        <v>117.32425719280305</v>
      </c>
      <c r="O20" s="1310">
        <f t="shared" si="31"/>
        <v>0</v>
      </c>
      <c r="P20" s="831">
        <f t="shared" si="13"/>
        <v>0</v>
      </c>
      <c r="Q20" s="831">
        <f t="shared" si="13"/>
        <v>126.2398496688449</v>
      </c>
      <c r="R20" s="1313">
        <f t="shared" si="13"/>
        <v>126.2398496688449</v>
      </c>
      <c r="S20" s="580" t="str">
        <f t="shared" si="14"/>
        <v/>
      </c>
      <c r="T20" s="580" t="str">
        <f t="shared" si="14"/>
        <v/>
      </c>
      <c r="U20" s="576" t="str">
        <f t="shared" si="14"/>
        <v/>
      </c>
      <c r="V20" s="579">
        <f t="shared" si="15"/>
        <v>99.197143415654011</v>
      </c>
      <c r="W20" s="580">
        <f t="shared" si="16"/>
        <v>0</v>
      </c>
      <c r="X20" s="581">
        <f t="shared" si="32"/>
        <v>85.933366513401054</v>
      </c>
      <c r="Y20" s="579">
        <f t="shared" si="17"/>
        <v>6.746562583772052</v>
      </c>
      <c r="Z20" s="580">
        <f t="shared" si="17"/>
        <v>8.5089108867276124</v>
      </c>
      <c r="AA20" s="580">
        <f t="shared" si="17"/>
        <v>9.7386593681109073</v>
      </c>
      <c r="AB20" s="580">
        <f t="shared" si="17"/>
        <v>9.1633096009331449</v>
      </c>
      <c r="AC20" s="580">
        <f t="shared" si="17"/>
        <v>7.4669142049645476</v>
      </c>
      <c r="AD20" s="580">
        <f t="shared" si="17"/>
        <v>8.7425063331889579</v>
      </c>
      <c r="AE20" s="581">
        <f t="shared" si="17"/>
        <v>8.1850725731548906</v>
      </c>
      <c r="AF20" s="845">
        <f t="shared" si="18"/>
        <v>1.0552887597410002E-2</v>
      </c>
      <c r="AG20" s="1355">
        <f t="shared" si="19"/>
        <v>0.14774042636374002</v>
      </c>
      <c r="AH20" s="835">
        <f t="shared" si="19"/>
        <v>0.14774042636374002</v>
      </c>
      <c r="AI20" s="835">
        <f t="shared" si="19"/>
        <v>0.26382218993525003</v>
      </c>
      <c r="AJ20" s="835">
        <f t="shared" si="19"/>
        <v>0.22319357268522155</v>
      </c>
      <c r="AK20" s="835">
        <f t="shared" si="19"/>
        <v>0.14774042636374002</v>
      </c>
      <c r="AL20" s="835">
        <f t="shared" si="19"/>
        <v>0.26382218993525003</v>
      </c>
      <c r="AM20" s="835">
        <f t="shared" si="19"/>
        <v>0.21309445925450016</v>
      </c>
      <c r="AN20" s="579">
        <f t="shared" si="20"/>
        <v>25.664371871379384</v>
      </c>
      <c r="AO20" s="580">
        <f t="shared" si="20"/>
        <v>21.450415730275409</v>
      </c>
      <c r="AP20" s="580">
        <f t="shared" si="20"/>
        <v>22.07224961748242</v>
      </c>
      <c r="AQ20" s="576">
        <f t="shared" si="21"/>
        <v>1.262821977682198E-2</v>
      </c>
      <c r="AR20" s="580">
        <f t="shared" si="22"/>
        <v>23.013156307692835</v>
      </c>
      <c r="AS20" s="581">
        <f t="shared" si="23"/>
        <v>35.247436490971246</v>
      </c>
      <c r="AT20" s="579">
        <f t="shared" si="23"/>
        <v>15.519196559754858</v>
      </c>
      <c r="AU20" s="580">
        <f t="shared" si="23"/>
        <v>25.010950364073164</v>
      </c>
      <c r="AV20" s="578">
        <f t="shared" si="24"/>
        <v>8.6468608148846573E-3</v>
      </c>
      <c r="AW20" s="584">
        <f t="shared" si="25"/>
        <v>8.6468608148846573E-3</v>
      </c>
      <c r="AX20" s="582">
        <f t="shared" si="26"/>
        <v>1.0181</v>
      </c>
      <c r="AY20" s="583">
        <f t="shared" si="27"/>
        <v>20.412281031568011</v>
      </c>
      <c r="AZ20" s="578">
        <f t="shared" si="28"/>
        <v>4.33891820643083E-2</v>
      </c>
      <c r="BA20" s="577">
        <f t="shared" si="28"/>
        <v>4.4313897090993183E-2</v>
      </c>
      <c r="BB20" s="577">
        <f t="shared" si="28"/>
        <v>4.2268257078777224E-2</v>
      </c>
      <c r="BC20" s="584">
        <f t="shared" si="28"/>
        <v>4.2536851361805142E-2</v>
      </c>
      <c r="BE20" s="829"/>
    </row>
    <row r="21" spans="1:57" s="325" customFormat="1" ht="14.25">
      <c r="A21" s="585">
        <f t="shared" si="33"/>
        <v>9</v>
      </c>
      <c r="B21" s="585">
        <f t="shared" si="29"/>
        <v>2029</v>
      </c>
      <c r="C21" s="574">
        <f t="shared" si="10"/>
        <v>7.9941884329131588E-2</v>
      </c>
      <c r="D21" s="575">
        <f t="shared" si="10"/>
        <v>7.3412985664303543E-2</v>
      </c>
      <c r="E21" s="575">
        <f t="shared" si="10"/>
        <v>6.1201032279519292E-2</v>
      </c>
      <c r="F21" s="576">
        <f t="shared" si="10"/>
        <v>5.220211602686145E-2</v>
      </c>
      <c r="G21" s="1355">
        <f t="shared" si="11"/>
        <v>1.8221115143110301E-3</v>
      </c>
      <c r="H21" s="835">
        <f t="shared" si="11"/>
        <v>1.3669150245469222E-3</v>
      </c>
      <c r="I21" s="835">
        <f t="shared" si="11"/>
        <v>1.3257978011693198E-3</v>
      </c>
      <c r="J21" s="835">
        <f t="shared" si="11"/>
        <v>9.1571343032038671E-4</v>
      </c>
      <c r="K21" s="1355">
        <f t="shared" si="12"/>
        <v>3.843749862968126E-4</v>
      </c>
      <c r="L21" s="1301">
        <f t="shared" si="30"/>
        <v>99.419777685296552</v>
      </c>
      <c r="M21" s="577">
        <f t="shared" si="30"/>
        <v>125.01866837266645</v>
      </c>
      <c r="N21" s="586">
        <f t="shared" si="30"/>
        <v>125.01866837266645</v>
      </c>
      <c r="O21" s="1310">
        <f t="shared" si="31"/>
        <v>0</v>
      </c>
      <c r="P21" s="831">
        <f t="shared" si="13"/>
        <v>0</v>
      </c>
      <c r="Q21" s="831">
        <f t="shared" si="13"/>
        <v>146.98098166338991</v>
      </c>
      <c r="R21" s="1313">
        <f t="shared" si="13"/>
        <v>146.98098166338991</v>
      </c>
      <c r="S21" s="580" t="str">
        <f t="shared" si="14"/>
        <v/>
      </c>
      <c r="T21" s="580" t="str">
        <f t="shared" si="14"/>
        <v/>
      </c>
      <c r="U21" s="576" t="str">
        <f t="shared" si="14"/>
        <v/>
      </c>
      <c r="V21" s="579">
        <f t="shared" si="15"/>
        <v>99.197143415654011</v>
      </c>
      <c r="W21" s="580">
        <f t="shared" si="16"/>
        <v>0</v>
      </c>
      <c r="X21" s="581">
        <f t="shared" si="32"/>
        <v>85.933366513401054</v>
      </c>
      <c r="Y21" s="579">
        <f t="shared" si="17"/>
        <v>6.8588543033604532</v>
      </c>
      <c r="Z21" s="580">
        <f t="shared" si="17"/>
        <v>8.6195451390583351</v>
      </c>
      <c r="AA21" s="580">
        <f t="shared" si="17"/>
        <v>9.8488803984269122</v>
      </c>
      <c r="AB21" s="580">
        <f t="shared" si="17"/>
        <v>9.2739238790429539</v>
      </c>
      <c r="AC21" s="580">
        <f t="shared" si="17"/>
        <v>7.5788241310657076</v>
      </c>
      <c r="AD21" s="580">
        <f t="shared" si="17"/>
        <v>8.8532123829587697</v>
      </c>
      <c r="AE21" s="581">
        <f t="shared" si="17"/>
        <v>8.296304716881501</v>
      </c>
      <c r="AF21" s="845">
        <f t="shared" si="18"/>
        <v>1.0552887597410002E-2</v>
      </c>
      <c r="AG21" s="1355">
        <f t="shared" si="19"/>
        <v>9.497598837669001E-2</v>
      </c>
      <c r="AH21" s="835">
        <f t="shared" si="19"/>
        <v>9.497598837669001E-2</v>
      </c>
      <c r="AI21" s="835">
        <f t="shared" si="19"/>
        <v>0.16884620155856003</v>
      </c>
      <c r="AJ21" s="835">
        <f t="shared" si="19"/>
        <v>0.14299162694490553</v>
      </c>
      <c r="AK21" s="835">
        <f t="shared" si="19"/>
        <v>9.497598837669001E-2</v>
      </c>
      <c r="AL21" s="835">
        <f t="shared" si="19"/>
        <v>0.16884620155856003</v>
      </c>
      <c r="AM21" s="835">
        <f t="shared" si="19"/>
        <v>0.13656491839808282</v>
      </c>
      <c r="AN21" s="579">
        <f t="shared" si="20"/>
        <v>25.895770772003903</v>
      </c>
      <c r="AO21" s="580">
        <f t="shared" si="20"/>
        <v>21.709105598335089</v>
      </c>
      <c r="AP21" s="580">
        <f t="shared" si="20"/>
        <v>22.360217002981877</v>
      </c>
      <c r="AQ21" s="576">
        <f t="shared" si="21"/>
        <v>1.2572818095399107E-2</v>
      </c>
      <c r="AR21" s="580">
        <f t="shared" si="22"/>
        <v>23.220650926933409</v>
      </c>
      <c r="AS21" s="581">
        <f t="shared" si="23"/>
        <v>35.286455877049647</v>
      </c>
      <c r="AT21" s="579">
        <f t="shared" si="23"/>
        <v>15.659123032161839</v>
      </c>
      <c r="AU21" s="580">
        <f t="shared" si="23"/>
        <v>25.236457789184747</v>
      </c>
      <c r="AV21" s="578">
        <f t="shared" si="24"/>
        <v>8.6468608148846573E-3</v>
      </c>
      <c r="AW21" s="584">
        <f t="shared" si="25"/>
        <v>8.6468608148846573E-3</v>
      </c>
      <c r="AX21" s="582">
        <f t="shared" si="26"/>
        <v>1.0181</v>
      </c>
      <c r="AY21" s="583">
        <f t="shared" si="27"/>
        <v>21.58991262954309</v>
      </c>
      <c r="AZ21" s="578">
        <f t="shared" si="28"/>
        <v>4.3095499033057011E-2</v>
      </c>
      <c r="BA21" s="577">
        <f t="shared" si="28"/>
        <v>4.4013955054636018E-2</v>
      </c>
      <c r="BB21" s="577">
        <f t="shared" si="28"/>
        <v>4.1982161114898373E-2</v>
      </c>
      <c r="BC21" s="584">
        <f t="shared" si="28"/>
        <v>4.2248937396768771E-2</v>
      </c>
      <c r="BE21" s="829"/>
    </row>
    <row r="22" spans="1:57" s="325" customFormat="1" ht="14.25">
      <c r="A22" s="585">
        <f t="shared" si="33"/>
        <v>10</v>
      </c>
      <c r="B22" s="585">
        <f t="shared" si="29"/>
        <v>2030</v>
      </c>
      <c r="C22" s="574">
        <f t="shared" si="10"/>
        <v>7.3641708600458836E-2</v>
      </c>
      <c r="D22" s="575">
        <f t="shared" si="10"/>
        <v>6.9707893350599251E-2</v>
      </c>
      <c r="E22" s="575">
        <f t="shared" si="10"/>
        <v>6.4407920355194659E-2</v>
      </c>
      <c r="F22" s="576">
        <f t="shared" si="10"/>
        <v>5.9068961878051281E-2</v>
      </c>
      <c r="G22" s="1355">
        <f t="shared" si="11"/>
        <v>1.0663700725283237E-3</v>
      </c>
      <c r="H22" s="835">
        <f t="shared" si="11"/>
        <v>7.5608155703115203E-4</v>
      </c>
      <c r="I22" s="835">
        <f t="shared" si="11"/>
        <v>8.2129056181272375E-4</v>
      </c>
      <c r="J22" s="835">
        <f t="shared" si="11"/>
        <v>5.3965129532875184E-4</v>
      </c>
      <c r="K22" s="1355">
        <f t="shared" si="12"/>
        <v>1.0899612494459419E-4</v>
      </c>
      <c r="L22" s="1301">
        <f t="shared" si="30"/>
        <v>94.647899101286527</v>
      </c>
      <c r="M22" s="577">
        <f t="shared" si="30"/>
        <v>120.99136243562656</v>
      </c>
      <c r="N22" s="586">
        <f t="shared" si="30"/>
        <v>120.99136243562656</v>
      </c>
      <c r="O22" s="1310">
        <f t="shared" si="31"/>
        <v>0</v>
      </c>
      <c r="P22" s="831">
        <f t="shared" si="13"/>
        <v>0</v>
      </c>
      <c r="Q22" s="831">
        <f t="shared" si="13"/>
        <v>144.38073321146521</v>
      </c>
      <c r="R22" s="1313">
        <f t="shared" si="13"/>
        <v>144.38073321146521</v>
      </c>
      <c r="S22" s="580" t="str">
        <f t="shared" si="14"/>
        <v/>
      </c>
      <c r="T22" s="580" t="str">
        <f t="shared" si="14"/>
        <v/>
      </c>
      <c r="U22" s="576" t="str">
        <f t="shared" si="14"/>
        <v/>
      </c>
      <c r="V22" s="579">
        <f t="shared" si="15"/>
        <v>99.197143415654011</v>
      </c>
      <c r="W22" s="580">
        <f t="shared" si="16"/>
        <v>0</v>
      </c>
      <c r="X22" s="581">
        <f t="shared" si="32"/>
        <v>85.933366513401054</v>
      </c>
      <c r="Y22" s="579">
        <f t="shared" si="17"/>
        <v>6.9242616634302721</v>
      </c>
      <c r="Z22" s="580">
        <f t="shared" si="17"/>
        <v>8.6818311938793631</v>
      </c>
      <c r="AA22" s="580">
        <f t="shared" si="17"/>
        <v>9.9103646982572737</v>
      </c>
      <c r="AB22" s="580">
        <f t="shared" si="17"/>
        <v>9.3361569889073674</v>
      </c>
      <c r="AC22" s="580">
        <f t="shared" si="17"/>
        <v>7.6431660677895117</v>
      </c>
      <c r="AD22" s="580">
        <f t="shared" si="17"/>
        <v>8.9155616701266815</v>
      </c>
      <c r="AE22" s="581">
        <f t="shared" si="17"/>
        <v>8.3595247919053364</v>
      </c>
      <c r="AF22" s="845">
        <f t="shared" si="18"/>
        <v>1.0552887597410002E-2</v>
      </c>
      <c r="AG22" s="1355">
        <f t="shared" si="19"/>
        <v>5.2764437987050009E-2</v>
      </c>
      <c r="AH22" s="835">
        <f t="shared" si="19"/>
        <v>5.2764437987050009E-2</v>
      </c>
      <c r="AI22" s="835">
        <f t="shared" si="19"/>
        <v>8.4423100779280016E-2</v>
      </c>
      <c r="AJ22" s="835">
        <f t="shared" si="19"/>
        <v>7.3342568801999519E-2</v>
      </c>
      <c r="AK22" s="835">
        <f t="shared" si="19"/>
        <v>5.2764437987050009E-2</v>
      </c>
      <c r="AL22" s="835">
        <f t="shared" si="19"/>
        <v>8.4423100779280016E-2</v>
      </c>
      <c r="AM22" s="835">
        <f t="shared" si="19"/>
        <v>7.0588265139075498E-2</v>
      </c>
      <c r="AN22" s="579">
        <f t="shared" si="20"/>
        <v>26.381650915846436</v>
      </c>
      <c r="AO22" s="580">
        <f t="shared" si="20"/>
        <v>22.150972976507152</v>
      </c>
      <c r="AP22" s="580">
        <f t="shared" si="20"/>
        <v>22.832829515633222</v>
      </c>
      <c r="AQ22" s="576">
        <f t="shared" si="21"/>
        <v>1.2738140789664979E-2</v>
      </c>
      <c r="AR22" s="580">
        <f t="shared" si="22"/>
        <v>23.656338024715925</v>
      </c>
      <c r="AS22" s="581">
        <f t="shared" si="23"/>
        <v>35.560013952701944</v>
      </c>
      <c r="AT22" s="579">
        <f t="shared" si="23"/>
        <v>15.952933825372146</v>
      </c>
      <c r="AU22" s="580">
        <f t="shared" si="23"/>
        <v>25.709967299623475</v>
      </c>
      <c r="AV22" s="578">
        <f t="shared" si="24"/>
        <v>8.6468608148846573E-3</v>
      </c>
      <c r="AW22" s="584">
        <f t="shared" si="25"/>
        <v>8.6468608148846573E-3</v>
      </c>
      <c r="AX22" s="582">
        <f t="shared" si="26"/>
        <v>1.0181</v>
      </c>
      <c r="AY22" s="583">
        <f t="shared" si="27"/>
        <v>23.290936048840425</v>
      </c>
      <c r="AZ22" s="578">
        <f t="shared" si="28"/>
        <v>4.2569173468004512E-2</v>
      </c>
      <c r="BA22" s="577">
        <f t="shared" si="28"/>
        <v>4.3476412381175916E-2</v>
      </c>
      <c r="BB22" s="577">
        <f t="shared" si="28"/>
        <v>4.1469432751920721E-2</v>
      </c>
      <c r="BC22" s="584">
        <f t="shared" si="28"/>
        <v>4.1732950893603661E-2</v>
      </c>
      <c r="BE22" s="829"/>
    </row>
    <row r="23" spans="1:57" s="325" customFormat="1" ht="14.25">
      <c r="A23" s="585">
        <f t="shared" si="33"/>
        <v>11</v>
      </c>
      <c r="B23" s="585">
        <f t="shared" si="29"/>
        <v>2031</v>
      </c>
      <c r="C23" s="574">
        <f t="shared" si="10"/>
        <v>7.3173215075348075E-2</v>
      </c>
      <c r="D23" s="575">
        <f t="shared" si="10"/>
        <v>6.883232936548446E-2</v>
      </c>
      <c r="E23" s="575">
        <f t="shared" si="10"/>
        <v>5.8779955590820561E-2</v>
      </c>
      <c r="F23" s="576">
        <f t="shared" si="10"/>
        <v>5.160897847847476E-2</v>
      </c>
      <c r="G23" s="1355">
        <f t="shared" si="11"/>
        <v>0</v>
      </c>
      <c r="H23" s="835">
        <f t="shared" si="11"/>
        <v>0</v>
      </c>
      <c r="I23" s="835">
        <f t="shared" si="11"/>
        <v>0</v>
      </c>
      <c r="J23" s="835">
        <f t="shared" si="11"/>
        <v>0</v>
      </c>
      <c r="K23" s="1355">
        <f t="shared" si="12"/>
        <v>1.0981278533639571E-4</v>
      </c>
      <c r="L23" s="1301">
        <f t="shared" si="30"/>
        <v>93.057272906616518</v>
      </c>
      <c r="M23" s="577">
        <f t="shared" si="30"/>
        <v>117.32425719280305</v>
      </c>
      <c r="N23" s="586">
        <f t="shared" si="30"/>
        <v>117.32425719280305</v>
      </c>
      <c r="O23" s="1310">
        <f t="shared" si="31"/>
        <v>0</v>
      </c>
      <c r="P23" s="831">
        <f t="shared" si="13"/>
        <v>0</v>
      </c>
      <c r="Q23" s="831">
        <f t="shared" si="13"/>
        <v>111.29405808227806</v>
      </c>
      <c r="R23" s="1313">
        <f t="shared" si="13"/>
        <v>111.29405808227806</v>
      </c>
      <c r="S23" s="580" t="str">
        <f t="shared" si="14"/>
        <v/>
      </c>
      <c r="T23" s="580" t="str">
        <f t="shared" si="14"/>
        <v/>
      </c>
      <c r="U23" s="576" t="str">
        <f t="shared" si="14"/>
        <v/>
      </c>
      <c r="V23" s="579">
        <f t="shared" si="15"/>
        <v>99.197143415654011</v>
      </c>
      <c r="W23" s="580">
        <f t="shared" si="16"/>
        <v>0</v>
      </c>
      <c r="X23" s="581">
        <f t="shared" si="32"/>
        <v>85.933366513401054</v>
      </c>
      <c r="Y23" s="579">
        <f t="shared" ref="Y23:AE37" si="34">VLOOKUP($B23,$B$228:$AG$260,Y$4,FALSE)*(1+Inflation1)^(Year1-Real_Year)</f>
        <v>7.0938983499930801</v>
      </c>
      <c r="Z23" s="580">
        <f t="shared" si="34"/>
        <v>8.8526754965971364</v>
      </c>
      <c r="AA23" s="580">
        <f t="shared" si="34"/>
        <v>10.081560422403525</v>
      </c>
      <c r="AB23" s="580">
        <f t="shared" si="34"/>
        <v>9.5070485731304064</v>
      </c>
      <c r="AC23" s="580">
        <f t="shared" si="34"/>
        <v>7.8136911689728814</v>
      </c>
      <c r="AD23" s="580">
        <f t="shared" si="34"/>
        <v>9.0864894958829208</v>
      </c>
      <c r="AE23" s="581">
        <f t="shared" si="34"/>
        <v>8.530276627023234</v>
      </c>
      <c r="AF23" s="845">
        <f t="shared" si="18"/>
        <v>1.0552887597410002E-2</v>
      </c>
      <c r="AG23" s="1355">
        <f t="shared" ref="AG23:AM37" si="35">IF(GECD="Yes",VLOOKUP($B23-3,$B$228:$AG$260,AG$4,FALSE)*(1+Inflation1)^(Year1-Real_Year),"")</f>
        <v>1.0552887597410002E-2</v>
      </c>
      <c r="AH23" s="835">
        <f t="shared" si="35"/>
        <v>1.0552887597410002E-2</v>
      </c>
      <c r="AI23" s="835">
        <f t="shared" si="35"/>
        <v>0</v>
      </c>
      <c r="AJ23" s="835">
        <f t="shared" si="35"/>
        <v>3.6935106590935004E-3</v>
      </c>
      <c r="AK23" s="835">
        <f t="shared" si="35"/>
        <v>1.0552887597410002E-2</v>
      </c>
      <c r="AL23" s="835">
        <f t="shared" si="35"/>
        <v>0</v>
      </c>
      <c r="AM23" s="835">
        <f t="shared" si="35"/>
        <v>4.6116118800681701E-3</v>
      </c>
      <c r="AN23" s="579">
        <f t="shared" si="20"/>
        <v>26.8143624779593</v>
      </c>
      <c r="AO23" s="580">
        <f t="shared" si="20"/>
        <v>22.524533436245392</v>
      </c>
      <c r="AP23" s="580">
        <f t="shared" si="20"/>
        <v>23.232622108914562</v>
      </c>
      <c r="AQ23" s="576">
        <f t="shared" si="21"/>
        <v>1.2738140789664979E-2</v>
      </c>
      <c r="AR23" s="580">
        <f t="shared" si="22"/>
        <v>24.044349033321765</v>
      </c>
      <c r="AS23" s="581">
        <f t="shared" si="23"/>
        <v>36.267599013815961</v>
      </c>
      <c r="AT23" s="579">
        <f t="shared" si="23"/>
        <v>16.214593678952937</v>
      </c>
      <c r="AU23" s="580">
        <f t="shared" si="23"/>
        <v>26.1316619140954</v>
      </c>
      <c r="AV23" s="578">
        <f t="shared" si="24"/>
        <v>8.6468608148846573E-3</v>
      </c>
      <c r="AW23" s="584">
        <f t="shared" si="25"/>
        <v>8.6468608148846573E-3</v>
      </c>
      <c r="AX23" s="582">
        <f t="shared" si="26"/>
        <v>1.0181</v>
      </c>
      <c r="AY23" s="583">
        <f t="shared" si="27"/>
        <v>25.12280742346832</v>
      </c>
      <c r="AZ23" s="578">
        <f t="shared" si="28"/>
        <v>4.2066753340547249E-2</v>
      </c>
      <c r="BA23" s="577">
        <f t="shared" si="28"/>
        <v>4.2963284620629837E-2</v>
      </c>
      <c r="BB23" s="577">
        <f t="shared" si="28"/>
        <v>4.0979992248584181E-2</v>
      </c>
      <c r="BC23" s="584">
        <f t="shared" si="28"/>
        <v>4.1240400233138255E-2</v>
      </c>
      <c r="BE23" s="829"/>
    </row>
    <row r="24" spans="1:57" s="325" customFormat="1" ht="14.25">
      <c r="A24" s="585">
        <f t="shared" si="33"/>
        <v>12</v>
      </c>
      <c r="B24" s="585">
        <f t="shared" si="29"/>
        <v>2032</v>
      </c>
      <c r="C24" s="574">
        <f t="shared" si="10"/>
        <v>7.2114904966836785E-2</v>
      </c>
      <c r="D24" s="575">
        <f t="shared" si="10"/>
        <v>6.7447195589768555E-2</v>
      </c>
      <c r="E24" s="575">
        <f t="shared" si="10"/>
        <v>6.0396456254413595E-2</v>
      </c>
      <c r="F24" s="576">
        <f t="shared" si="10"/>
        <v>5.2760537958418292E-2</v>
      </c>
      <c r="G24" s="1355">
        <f t="shared" si="11"/>
        <v>0</v>
      </c>
      <c r="H24" s="835">
        <f t="shared" si="11"/>
        <v>0</v>
      </c>
      <c r="I24" s="835">
        <f t="shared" si="11"/>
        <v>0</v>
      </c>
      <c r="J24" s="835">
        <f t="shared" si="11"/>
        <v>0</v>
      </c>
      <c r="K24" s="1355">
        <f t="shared" si="12"/>
        <v>1.1043995757995617E-4</v>
      </c>
      <c r="L24" s="1301">
        <f t="shared" si="30"/>
        <v>99.419777685296552</v>
      </c>
      <c r="M24" s="577">
        <f t="shared" si="30"/>
        <v>125.01866837266645</v>
      </c>
      <c r="N24" s="586">
        <f t="shared" si="30"/>
        <v>125.01866837266645</v>
      </c>
      <c r="O24" s="1310">
        <f t="shared" si="31"/>
        <v>0</v>
      </c>
      <c r="P24" s="831">
        <f t="shared" si="13"/>
        <v>0</v>
      </c>
      <c r="Q24" s="831">
        <f t="shared" si="13"/>
        <v>61.333925299324001</v>
      </c>
      <c r="R24" s="1313">
        <f t="shared" si="13"/>
        <v>61.333925299324001</v>
      </c>
      <c r="S24" s="580" t="str">
        <f t="shared" si="14"/>
        <v/>
      </c>
      <c r="T24" s="580" t="str">
        <f t="shared" si="14"/>
        <v/>
      </c>
      <c r="U24" s="576" t="str">
        <f t="shared" si="14"/>
        <v/>
      </c>
      <c r="V24" s="579">
        <f t="shared" si="15"/>
        <v>99.197143415654011</v>
      </c>
      <c r="W24" s="580">
        <f t="shared" si="16"/>
        <v>0</v>
      </c>
      <c r="X24" s="581">
        <f t="shared" si="32"/>
        <v>85.933366513401054</v>
      </c>
      <c r="Y24" s="579">
        <f t="shared" si="34"/>
        <v>7.1115174596032267</v>
      </c>
      <c r="Z24" s="580">
        <f t="shared" si="34"/>
        <v>8.8654949170629855</v>
      </c>
      <c r="AA24" s="580">
        <f t="shared" si="34"/>
        <v>10.09312979928599</v>
      </c>
      <c r="AB24" s="580">
        <f t="shared" si="34"/>
        <v>9.5197754186387016</v>
      </c>
      <c r="AC24" s="580">
        <f t="shared" si="34"/>
        <v>7.8294698344585383</v>
      </c>
      <c r="AD24" s="580">
        <f t="shared" si="34"/>
        <v>9.0993606529827886</v>
      </c>
      <c r="AE24" s="581">
        <f t="shared" si="34"/>
        <v>8.5444183652876919</v>
      </c>
      <c r="AF24" s="845">
        <f t="shared" si="18"/>
        <v>1.0552887597410002E-2</v>
      </c>
      <c r="AG24" s="1355">
        <f t="shared" si="35"/>
        <v>1.0552887597410002E-2</v>
      </c>
      <c r="AH24" s="835">
        <f t="shared" si="35"/>
        <v>1.0552887597410002E-2</v>
      </c>
      <c r="AI24" s="835">
        <f t="shared" si="35"/>
        <v>0</v>
      </c>
      <c r="AJ24" s="835">
        <f t="shared" si="35"/>
        <v>3.6935106590935004E-3</v>
      </c>
      <c r="AK24" s="835">
        <f t="shared" si="35"/>
        <v>1.0552887597410002E-2</v>
      </c>
      <c r="AL24" s="835">
        <f t="shared" si="35"/>
        <v>0</v>
      </c>
      <c r="AM24" s="835">
        <f t="shared" si="35"/>
        <v>4.6116118800681701E-3</v>
      </c>
      <c r="AN24" s="579">
        <f t="shared" si="20"/>
        <v>27.336955795161078</v>
      </c>
      <c r="AO24" s="580">
        <f t="shared" si="20"/>
        <v>22.961904955998168</v>
      </c>
      <c r="AP24" s="580">
        <f t="shared" si="20"/>
        <v>23.697496488433181</v>
      </c>
      <c r="AQ24" s="576">
        <f t="shared" si="21"/>
        <v>1.2738140789664979E-2</v>
      </c>
      <c r="AR24" s="580">
        <f t="shared" si="22"/>
        <v>24.512956710703971</v>
      </c>
      <c r="AS24" s="581">
        <f t="shared" si="23"/>
        <v>36.798406961596989</v>
      </c>
      <c r="AT24" s="579">
        <f t="shared" si="23"/>
        <v>16.530604857839929</v>
      </c>
      <c r="AU24" s="580">
        <f t="shared" si="23"/>
        <v>26.640949871059046</v>
      </c>
      <c r="AV24" s="578">
        <f t="shared" si="24"/>
        <v>8.6468608148846573E-3</v>
      </c>
      <c r="AW24" s="584">
        <f t="shared" si="25"/>
        <v>8.6468608148846573E-3</v>
      </c>
      <c r="AX24" s="582">
        <f t="shared" si="26"/>
        <v>1.0181</v>
      </c>
      <c r="AY24" s="583">
        <f t="shared" si="27"/>
        <v>26.954678798096221</v>
      </c>
      <c r="AZ24" s="578">
        <f t="shared" si="28"/>
        <v>4.1587503537624998E-2</v>
      </c>
      <c r="BA24" s="577">
        <f t="shared" si="28"/>
        <v>4.2473820993127041E-2</v>
      </c>
      <c r="BB24" s="577">
        <f t="shared" si="28"/>
        <v>4.0513123482889365E-2</v>
      </c>
      <c r="BC24" s="584">
        <f t="shared" si="28"/>
        <v>4.0770564742765011E-2</v>
      </c>
      <c r="BE24" s="829"/>
    </row>
    <row r="25" spans="1:57" s="325" customFormat="1" ht="14.25">
      <c r="A25" s="585">
        <f t="shared" si="33"/>
        <v>13</v>
      </c>
      <c r="B25" s="585">
        <f t="shared" si="29"/>
        <v>2033</v>
      </c>
      <c r="C25" s="574">
        <f t="shared" si="10"/>
        <v>7.7860003589007534E-2</v>
      </c>
      <c r="D25" s="575">
        <f t="shared" si="10"/>
        <v>6.886362853200767E-2</v>
      </c>
      <c r="E25" s="575">
        <f t="shared" si="10"/>
        <v>6.1403530951121416E-2</v>
      </c>
      <c r="F25" s="576">
        <f t="shared" si="10"/>
        <v>5.0834416392600869E-2</v>
      </c>
      <c r="G25" s="1355">
        <f t="shared" si="11"/>
        <v>0</v>
      </c>
      <c r="H25" s="835">
        <f t="shared" si="11"/>
        <v>0</v>
      </c>
      <c r="I25" s="835">
        <f t="shared" si="11"/>
        <v>0</v>
      </c>
      <c r="J25" s="835">
        <f t="shared" si="11"/>
        <v>0</v>
      </c>
      <c r="K25" s="1355">
        <f t="shared" si="12"/>
        <v>1.1043995757995617E-4</v>
      </c>
      <c r="L25" s="1301">
        <f t="shared" si="30"/>
        <v>94.647899101286527</v>
      </c>
      <c r="M25" s="577">
        <f t="shared" si="30"/>
        <v>120.99136243562656</v>
      </c>
      <c r="N25" s="586">
        <f t="shared" si="30"/>
        <v>120.99136243562656</v>
      </c>
      <c r="O25" s="1310">
        <f t="shared" si="31"/>
        <v>0</v>
      </c>
      <c r="P25" s="831">
        <f t="shared" si="13"/>
        <v>0</v>
      </c>
      <c r="Q25" s="831">
        <f t="shared" si="13"/>
        <v>35.404666752724637</v>
      </c>
      <c r="R25" s="1313">
        <f t="shared" si="13"/>
        <v>35.404666752724637</v>
      </c>
      <c r="S25" s="580" t="str">
        <f t="shared" si="14"/>
        <v/>
      </c>
      <c r="T25" s="580" t="str">
        <f t="shared" si="14"/>
        <v/>
      </c>
      <c r="U25" s="576" t="str">
        <f t="shared" si="14"/>
        <v/>
      </c>
      <c r="V25" s="579">
        <f t="shared" si="15"/>
        <v>99.197143415654011</v>
      </c>
      <c r="W25" s="580">
        <f t="shared" si="16"/>
        <v>0</v>
      </c>
      <c r="X25" s="581">
        <f t="shared" si="32"/>
        <v>85.933366513401054</v>
      </c>
      <c r="Y25" s="579">
        <f t="shared" si="34"/>
        <v>7.0570542215987757</v>
      </c>
      <c r="Z25" s="580">
        <f t="shared" si="34"/>
        <v>8.8037621789102207</v>
      </c>
      <c r="AA25" s="580">
        <f t="shared" si="34"/>
        <v>10.029490541126743</v>
      </c>
      <c r="AB25" s="580">
        <f t="shared" si="34"/>
        <v>9.4578938675039694</v>
      </c>
      <c r="AC25" s="580">
        <f t="shared" si="34"/>
        <v>7.772026440003609</v>
      </c>
      <c r="AD25" s="580">
        <f t="shared" si="34"/>
        <v>9.0376661274115317</v>
      </c>
      <c r="AE25" s="581">
        <f t="shared" si="34"/>
        <v>8.4845815840142702</v>
      </c>
      <c r="AF25" s="845">
        <f t="shared" si="18"/>
        <v>1.0552887597410002E-2</v>
      </c>
      <c r="AG25" s="1355">
        <f t="shared" si="35"/>
        <v>0</v>
      </c>
      <c r="AH25" s="835">
        <f t="shared" si="35"/>
        <v>0</v>
      </c>
      <c r="AI25" s="835">
        <f t="shared" si="35"/>
        <v>0</v>
      </c>
      <c r="AJ25" s="835">
        <f t="shared" si="35"/>
        <v>0</v>
      </c>
      <c r="AK25" s="835">
        <f t="shared" si="35"/>
        <v>0</v>
      </c>
      <c r="AL25" s="835">
        <f t="shared" si="35"/>
        <v>0</v>
      </c>
      <c r="AM25" s="835">
        <f t="shared" si="35"/>
        <v>0</v>
      </c>
      <c r="AN25" s="579">
        <f t="shared" si="20"/>
        <v>27.249779299071459</v>
      </c>
      <c r="AO25" s="580">
        <f t="shared" si="20"/>
        <v>22.946723796306504</v>
      </c>
      <c r="AP25" s="580">
        <f t="shared" si="20"/>
        <v>23.691103960153246</v>
      </c>
      <c r="AQ25" s="576">
        <f t="shared" si="21"/>
        <v>1.2738140789664979E-2</v>
      </c>
      <c r="AR25" s="580">
        <f t="shared" si="22"/>
        <v>24.434785838612431</v>
      </c>
      <c r="AS25" s="581">
        <f t="shared" si="23"/>
        <v>36.900731365464729</v>
      </c>
      <c r="AT25" s="579">
        <f t="shared" si="23"/>
        <v>16.477889397473866</v>
      </c>
      <c r="AU25" s="580">
        <f t="shared" si="23"/>
        <v>26.555992910976851</v>
      </c>
      <c r="AV25" s="578">
        <f t="shared" si="24"/>
        <v>8.6468608148846573E-3</v>
      </c>
      <c r="AW25" s="584">
        <f t="shared" si="25"/>
        <v>8.6468608148846573E-3</v>
      </c>
      <c r="AX25" s="582">
        <f t="shared" si="26"/>
        <v>1.0181</v>
      </c>
      <c r="AY25" s="583">
        <f t="shared" si="27"/>
        <v>28.78655017272412</v>
      </c>
      <c r="AZ25" s="578">
        <f t="shared" si="28"/>
        <v>4.113070858327654E-2</v>
      </c>
      <c r="BA25" s="577">
        <f t="shared" si="28"/>
        <v>4.2007290774403835E-2</v>
      </c>
      <c r="BB25" s="577">
        <f t="shared" si="28"/>
        <v>4.0068129462627083E-2</v>
      </c>
      <c r="BC25" s="584">
        <f t="shared" si="28"/>
        <v>4.0322743001227124E-2</v>
      </c>
      <c r="BE25" s="829"/>
    </row>
    <row r="26" spans="1:57" s="325" customFormat="1" ht="14.25">
      <c r="A26" s="585">
        <f t="shared" si="33"/>
        <v>14</v>
      </c>
      <c r="B26" s="585">
        <f t="shared" si="29"/>
        <v>2034</v>
      </c>
      <c r="C26" s="574">
        <f t="shared" si="10"/>
        <v>7.7015388096430021E-2</v>
      </c>
      <c r="D26" s="575">
        <f t="shared" si="10"/>
        <v>6.5174751567228545E-2</v>
      </c>
      <c r="E26" s="575">
        <f t="shared" si="10"/>
        <v>6.5119607375811822E-2</v>
      </c>
      <c r="F26" s="576">
        <f t="shared" si="10"/>
        <v>5.1972907812964118E-2</v>
      </c>
      <c r="G26" s="1355">
        <f t="shared" si="11"/>
        <v>0</v>
      </c>
      <c r="H26" s="835">
        <f t="shared" si="11"/>
        <v>0</v>
      </c>
      <c r="I26" s="835">
        <f t="shared" si="11"/>
        <v>0</v>
      </c>
      <c r="J26" s="835">
        <f t="shared" si="11"/>
        <v>0</v>
      </c>
      <c r="K26" s="1355">
        <f t="shared" si="12"/>
        <v>1.1043995757995617E-4</v>
      </c>
      <c r="L26" s="1301">
        <f t="shared" si="30"/>
        <v>93.057272906616518</v>
      </c>
      <c r="M26" s="577">
        <f t="shared" si="30"/>
        <v>117.32425719280305</v>
      </c>
      <c r="N26" s="586">
        <f t="shared" si="30"/>
        <v>117.32425719280305</v>
      </c>
      <c r="O26" s="1310">
        <f t="shared" si="31"/>
        <v>0</v>
      </c>
      <c r="P26" s="831">
        <f t="shared" si="13"/>
        <v>0</v>
      </c>
      <c r="Q26" s="831">
        <f t="shared" si="13"/>
        <v>16.644369706658651</v>
      </c>
      <c r="R26" s="1313">
        <f t="shared" si="13"/>
        <v>16.644369706658651</v>
      </c>
      <c r="S26" s="580" t="str">
        <f t="shared" si="14"/>
        <v/>
      </c>
      <c r="T26" s="580" t="str">
        <f t="shared" si="14"/>
        <v/>
      </c>
      <c r="U26" s="576" t="str">
        <f t="shared" si="14"/>
        <v/>
      </c>
      <c r="V26" s="579">
        <f t="shared" si="15"/>
        <v>99.197143415654011</v>
      </c>
      <c r="W26" s="580">
        <f t="shared" si="16"/>
        <v>0</v>
      </c>
      <c r="X26" s="581">
        <f t="shared" si="32"/>
        <v>85.933366513401054</v>
      </c>
      <c r="Y26" s="579">
        <f t="shared" si="34"/>
        <v>6.9666417180314468</v>
      </c>
      <c r="Z26" s="580">
        <f t="shared" si="34"/>
        <v>8.7059151174216556</v>
      </c>
      <c r="AA26" s="580">
        <f t="shared" si="34"/>
        <v>9.9297006867546198</v>
      </c>
      <c r="AB26" s="580">
        <f t="shared" si="34"/>
        <v>9.3598991743292785</v>
      </c>
      <c r="AC26" s="580">
        <f t="shared" si="34"/>
        <v>7.678501668875267</v>
      </c>
      <c r="AD26" s="580">
        <f t="shared" si="34"/>
        <v>8.9398564758635803</v>
      </c>
      <c r="AE26" s="581">
        <f t="shared" si="34"/>
        <v>8.3886444252096855</v>
      </c>
      <c r="AF26" s="845">
        <f t="shared" si="18"/>
        <v>1.0552887597410002E-2</v>
      </c>
      <c r="AG26" s="1355">
        <f t="shared" si="35"/>
        <v>0</v>
      </c>
      <c r="AH26" s="835">
        <f t="shared" si="35"/>
        <v>0</v>
      </c>
      <c r="AI26" s="835">
        <f t="shared" si="35"/>
        <v>0</v>
      </c>
      <c r="AJ26" s="835">
        <f t="shared" si="35"/>
        <v>0</v>
      </c>
      <c r="AK26" s="835">
        <f t="shared" si="35"/>
        <v>0</v>
      </c>
      <c r="AL26" s="835">
        <f t="shared" si="35"/>
        <v>0</v>
      </c>
      <c r="AM26" s="835">
        <f t="shared" si="35"/>
        <v>0</v>
      </c>
      <c r="AN26" s="579">
        <f t="shared" si="20"/>
        <v>27.576307861586798</v>
      </c>
      <c r="AO26" s="580">
        <f t="shared" si="20"/>
        <v>23.238187223073901</v>
      </c>
      <c r="AP26" s="580">
        <f t="shared" si="20"/>
        <v>24.00512112934215</v>
      </c>
      <c r="AQ26" s="576">
        <f t="shared" si="21"/>
        <v>1.2738140789664979E-2</v>
      </c>
      <c r="AR26" s="580">
        <f t="shared" si="22"/>
        <v>24.727582907083519</v>
      </c>
      <c r="AS26" s="581">
        <f t="shared" si="23"/>
        <v>37.293168569774899</v>
      </c>
      <c r="AT26" s="579">
        <f t="shared" si="23"/>
        <v>16.675340594387862</v>
      </c>
      <c r="AU26" s="580">
        <f t="shared" si="23"/>
        <v>26.874207972325415</v>
      </c>
      <c r="AV26" s="578">
        <f t="shared" si="24"/>
        <v>8.6468608148846573E-3</v>
      </c>
      <c r="AW26" s="584">
        <f t="shared" si="25"/>
        <v>8.6468608148846573E-3</v>
      </c>
      <c r="AX26" s="582">
        <f t="shared" si="26"/>
        <v>1.0181</v>
      </c>
      <c r="AY26" s="583">
        <f t="shared" si="27"/>
        <v>30.487573592021455</v>
      </c>
      <c r="AZ26" s="578">
        <f t="shared" si="28"/>
        <v>4.0695672151184463E-2</v>
      </c>
      <c r="BA26" s="577">
        <f t="shared" si="28"/>
        <v>4.1562982797959655E-2</v>
      </c>
      <c r="BB26" s="577">
        <f t="shared" si="28"/>
        <v>3.9644331850516114E-2</v>
      </c>
      <c r="BC26" s="584">
        <f t="shared" si="28"/>
        <v>3.9896252360738821E-2</v>
      </c>
      <c r="BE26" s="829"/>
    </row>
    <row r="27" spans="1:57" s="325" customFormat="1" ht="14.25">
      <c r="A27" s="585">
        <f t="shared" si="33"/>
        <v>15</v>
      </c>
      <c r="B27" s="585">
        <f t="shared" si="29"/>
        <v>2035</v>
      </c>
      <c r="C27" s="574">
        <f t="shared" si="10"/>
        <v>7.9619731260902354E-2</v>
      </c>
      <c r="D27" s="575">
        <f t="shared" si="10"/>
        <v>7.1456946717385811E-2</v>
      </c>
      <c r="E27" s="575">
        <f t="shared" si="10"/>
        <v>7.2283113101191079E-2</v>
      </c>
      <c r="F27" s="576">
        <f t="shared" si="10"/>
        <v>6.1814741261067438E-2</v>
      </c>
      <c r="G27" s="1355">
        <f t="shared" si="11"/>
        <v>0</v>
      </c>
      <c r="H27" s="835">
        <f t="shared" si="11"/>
        <v>0</v>
      </c>
      <c r="I27" s="835">
        <f t="shared" si="11"/>
        <v>0</v>
      </c>
      <c r="J27" s="835">
        <f t="shared" si="11"/>
        <v>0</v>
      </c>
      <c r="K27" s="1355">
        <f t="shared" si="12"/>
        <v>1.1043995757995617E-4</v>
      </c>
      <c r="L27" s="1301">
        <f t="shared" si="30"/>
        <v>99.419777685296552</v>
      </c>
      <c r="M27" s="577">
        <f t="shared" si="30"/>
        <v>125.01866837266645</v>
      </c>
      <c r="N27" s="586">
        <f t="shared" si="30"/>
        <v>125.01866837266645</v>
      </c>
      <c r="O27" s="1310">
        <f t="shared" si="31"/>
        <v>0</v>
      </c>
      <c r="P27" s="831">
        <f t="shared" si="13"/>
        <v>0</v>
      </c>
      <c r="Q27" s="831">
        <f t="shared" si="13"/>
        <v>4.0413826747617145</v>
      </c>
      <c r="R27" s="1313">
        <f t="shared" si="13"/>
        <v>4.0413826747617145</v>
      </c>
      <c r="S27" s="580" t="str">
        <f t="shared" si="14"/>
        <v/>
      </c>
      <c r="T27" s="580" t="str">
        <f t="shared" si="14"/>
        <v/>
      </c>
      <c r="U27" s="576" t="str">
        <f t="shared" si="14"/>
        <v/>
      </c>
      <c r="V27" s="579">
        <f t="shared" si="15"/>
        <v>99.197143415654011</v>
      </c>
      <c r="W27" s="580">
        <f t="shared" si="16"/>
        <v>0</v>
      </c>
      <c r="X27" s="581">
        <f t="shared" si="32"/>
        <v>85.933366513401054</v>
      </c>
      <c r="Y27" s="579">
        <f t="shared" si="34"/>
        <v>6.9968692158710626</v>
      </c>
      <c r="Z27" s="580">
        <f t="shared" si="34"/>
        <v>8.732304661431737</v>
      </c>
      <c r="AA27" s="580">
        <f t="shared" si="34"/>
        <v>9.955095766771386</v>
      </c>
      <c r="AB27" s="580">
        <f t="shared" si="34"/>
        <v>9.3862180098181351</v>
      </c>
      <c r="AC27" s="580">
        <f t="shared" si="34"/>
        <v>7.7072993199610069</v>
      </c>
      <c r="AD27" s="580">
        <f t="shared" si="34"/>
        <v>8.966298396312439</v>
      </c>
      <c r="AE27" s="581">
        <f t="shared" si="34"/>
        <v>8.4161157999468621</v>
      </c>
      <c r="AF27" s="845">
        <f t="shared" si="18"/>
        <v>1.0552887597410002E-2</v>
      </c>
      <c r="AG27" s="1355">
        <f t="shared" si="35"/>
        <v>0</v>
      </c>
      <c r="AH27" s="835">
        <f t="shared" si="35"/>
        <v>0</v>
      </c>
      <c r="AI27" s="835">
        <f t="shared" si="35"/>
        <v>0</v>
      </c>
      <c r="AJ27" s="835">
        <f t="shared" si="35"/>
        <v>0</v>
      </c>
      <c r="AK27" s="835">
        <f t="shared" si="35"/>
        <v>0</v>
      </c>
      <c r="AL27" s="835">
        <f t="shared" si="35"/>
        <v>0</v>
      </c>
      <c r="AM27" s="835">
        <f t="shared" si="35"/>
        <v>0</v>
      </c>
      <c r="AN27" s="579">
        <f t="shared" si="20"/>
        <v>27.80448832761731</v>
      </c>
      <c r="AO27" s="580">
        <f t="shared" si="20"/>
        <v>23.414018603607268</v>
      </c>
      <c r="AP27" s="580">
        <f t="shared" si="20"/>
        <v>24.188479466426198</v>
      </c>
      <c r="AQ27" s="576">
        <f t="shared" si="21"/>
        <v>1.2738140789664979E-2</v>
      </c>
      <c r="AR27" s="580">
        <f t="shared" si="22"/>
        <v>24.932191566802107</v>
      </c>
      <c r="AS27" s="581">
        <f t="shared" si="23"/>
        <v>37.47232872201841</v>
      </c>
      <c r="AT27" s="579">
        <f t="shared" si="23"/>
        <v>16.813320885554589</v>
      </c>
      <c r="AU27" s="580">
        <f t="shared" si="23"/>
        <v>27.09657890501536</v>
      </c>
      <c r="AV27" s="578">
        <f t="shared" si="24"/>
        <v>8.6468608148846573E-3</v>
      </c>
      <c r="AW27" s="584">
        <f t="shared" si="25"/>
        <v>8.6468608148846573E-3</v>
      </c>
      <c r="AX27" s="582">
        <f t="shared" si="26"/>
        <v>1.0181</v>
      </c>
      <c r="AY27" s="583">
        <f t="shared" si="27"/>
        <v>32.319444966649357</v>
      </c>
      <c r="AZ27" s="578">
        <f t="shared" si="28"/>
        <v>4.0281716588785973E-2</v>
      </c>
      <c r="BA27" s="577">
        <f t="shared" si="28"/>
        <v>4.1140204969025651E-2</v>
      </c>
      <c r="BB27" s="577">
        <f t="shared" si="28"/>
        <v>3.9241070500608301E-2</v>
      </c>
      <c r="BC27" s="584">
        <f t="shared" si="28"/>
        <v>3.9490428480444435E-2</v>
      </c>
      <c r="BE27" s="829"/>
    </row>
    <row r="28" spans="1:57" s="325" customFormat="1" ht="14.25">
      <c r="A28" s="585">
        <f t="shared" si="33"/>
        <v>16</v>
      </c>
      <c r="B28" s="585">
        <f t="shared" si="29"/>
        <v>2036</v>
      </c>
      <c r="C28" s="574">
        <f t="shared" si="10"/>
        <v>8.134336990987065E-2</v>
      </c>
      <c r="D28" s="575">
        <f t="shared" si="10"/>
        <v>7.2165915671476039E-2</v>
      </c>
      <c r="E28" s="575">
        <f t="shared" si="10"/>
        <v>7.6122578736434951E-2</v>
      </c>
      <c r="F28" s="576">
        <f t="shared" si="10"/>
        <v>6.4674686737299536E-2</v>
      </c>
      <c r="G28" s="1355">
        <f t="shared" si="11"/>
        <v>0</v>
      </c>
      <c r="H28" s="835">
        <f t="shared" si="11"/>
        <v>0</v>
      </c>
      <c r="I28" s="835">
        <f t="shared" si="11"/>
        <v>0</v>
      </c>
      <c r="J28" s="835">
        <f t="shared" si="11"/>
        <v>0</v>
      </c>
      <c r="K28" s="1355">
        <f t="shared" si="12"/>
        <v>1.1043995757995617E-4</v>
      </c>
      <c r="L28" s="1301">
        <f t="shared" si="30"/>
        <v>101.07724690508316</v>
      </c>
      <c r="M28" s="577">
        <f t="shared" si="30"/>
        <v>127.019860839996</v>
      </c>
      <c r="N28" s="586">
        <f t="shared" si="30"/>
        <v>127.019860839996</v>
      </c>
      <c r="O28" s="1310">
        <f t="shared" si="31"/>
        <v>0</v>
      </c>
      <c r="P28" s="831">
        <f t="shared" si="13"/>
        <v>0</v>
      </c>
      <c r="Q28" s="831">
        <f t="shared" si="13"/>
        <v>0</v>
      </c>
      <c r="R28" s="1313">
        <f t="shared" si="13"/>
        <v>0</v>
      </c>
      <c r="S28" s="580" t="str">
        <f t="shared" si="14"/>
        <v/>
      </c>
      <c r="T28" s="580" t="str">
        <f t="shared" si="14"/>
        <v/>
      </c>
      <c r="U28" s="576" t="str">
        <f t="shared" si="14"/>
        <v/>
      </c>
      <c r="V28" s="579">
        <f t="shared" si="15"/>
        <v>99.197143415654011</v>
      </c>
      <c r="W28" s="580">
        <f t="shared" si="16"/>
        <v>0</v>
      </c>
      <c r="X28" s="581">
        <f t="shared" si="32"/>
        <v>85.933366513401054</v>
      </c>
      <c r="Y28" s="579">
        <f t="shared" si="34"/>
        <v>7.0402647019242988</v>
      </c>
      <c r="Z28" s="580">
        <f t="shared" si="34"/>
        <v>8.7720846856538479</v>
      </c>
      <c r="AA28" s="580">
        <f t="shared" si="34"/>
        <v>9.9939051351393182</v>
      </c>
      <c r="AB28" s="580">
        <f t="shared" si="34"/>
        <v>9.425870431747903</v>
      </c>
      <c r="AC28" s="580">
        <f t="shared" si="34"/>
        <v>7.7493559753457912</v>
      </c>
      <c r="AD28" s="580">
        <f t="shared" si="34"/>
        <v>9.006108977875579</v>
      </c>
      <c r="AE28" s="581">
        <f t="shared" si="34"/>
        <v>8.4568964950153589</v>
      </c>
      <c r="AF28" s="845">
        <f t="shared" si="18"/>
        <v>1.0552887597410002E-2</v>
      </c>
      <c r="AG28" s="1355">
        <f t="shared" si="35"/>
        <v>0</v>
      </c>
      <c r="AH28" s="835">
        <f t="shared" si="35"/>
        <v>0</v>
      </c>
      <c r="AI28" s="835">
        <f t="shared" si="35"/>
        <v>0</v>
      </c>
      <c r="AJ28" s="835">
        <f t="shared" si="35"/>
        <v>0</v>
      </c>
      <c r="AK28" s="835">
        <f t="shared" si="35"/>
        <v>0</v>
      </c>
      <c r="AL28" s="835">
        <f t="shared" si="35"/>
        <v>0</v>
      </c>
      <c r="AM28" s="835">
        <f t="shared" si="35"/>
        <v>0</v>
      </c>
      <c r="AN28" s="579">
        <f t="shared" si="20"/>
        <v>28.363726183582347</v>
      </c>
      <c r="AO28" s="580">
        <f t="shared" si="20"/>
        <v>23.89728431991346</v>
      </c>
      <c r="AP28" s="580">
        <f t="shared" si="20"/>
        <v>24.705632188065174</v>
      </c>
      <c r="AQ28" s="576">
        <f t="shared" si="21"/>
        <v>1.2738140789664979E-2</v>
      </c>
      <c r="AR28" s="580">
        <f t="shared" si="22"/>
        <v>25.433658279371635</v>
      </c>
      <c r="AS28" s="581">
        <f t="shared" si="23"/>
        <v>38.030385487134964</v>
      </c>
      <c r="AT28" s="579">
        <f t="shared" si="23"/>
        <v>17.151490946909405</v>
      </c>
      <c r="AU28" s="580">
        <f t="shared" si="23"/>
        <v>27.641578421362393</v>
      </c>
      <c r="AV28" s="578">
        <f t="shared" si="24"/>
        <v>8.6468608148846573E-3</v>
      </c>
      <c r="AW28" s="584">
        <f t="shared" si="25"/>
        <v>8.6468608148846573E-3</v>
      </c>
      <c r="AX28" s="582">
        <f t="shared" si="26"/>
        <v>1.0181</v>
      </c>
      <c r="AY28" s="583">
        <f t="shared" si="27"/>
        <v>34.282164296607817</v>
      </c>
      <c r="AZ28" s="578">
        <f t="shared" si="28"/>
        <v>3.9847420532818645E-2</v>
      </c>
      <c r="BA28" s="577">
        <f t="shared" si="28"/>
        <v>4.0696653147683719E-2</v>
      </c>
      <c r="BB28" s="577">
        <f t="shared" si="28"/>
        <v>3.8817994137594146E-2</v>
      </c>
      <c r="BC28" s="584">
        <f t="shared" si="28"/>
        <v>3.9064663672241311E-2</v>
      </c>
      <c r="BE28" s="829"/>
    </row>
    <row r="29" spans="1:57" s="325" customFormat="1" ht="14.25">
      <c r="A29" s="585">
        <f t="shared" si="33"/>
        <v>17</v>
      </c>
      <c r="B29" s="585">
        <f t="shared" si="29"/>
        <v>2037</v>
      </c>
      <c r="C29" s="574">
        <f t="shared" si="10"/>
        <v>8.3115634194327423E-2</v>
      </c>
      <c r="D29" s="575">
        <f t="shared" si="10"/>
        <v>7.2898862127707839E-2</v>
      </c>
      <c r="E29" s="575">
        <f t="shared" si="10"/>
        <v>8.0167884170692941E-2</v>
      </c>
      <c r="F29" s="576">
        <f t="shared" si="10"/>
        <v>6.7670266163232226E-2</v>
      </c>
      <c r="G29" s="1355">
        <f t="shared" si="11"/>
        <v>0</v>
      </c>
      <c r="H29" s="835">
        <f t="shared" si="11"/>
        <v>0</v>
      </c>
      <c r="I29" s="835">
        <f t="shared" si="11"/>
        <v>0</v>
      </c>
      <c r="J29" s="835">
        <f t="shared" si="11"/>
        <v>0</v>
      </c>
      <c r="K29" s="1355">
        <f t="shared" si="12"/>
        <v>1.1043995757995617E-4</v>
      </c>
      <c r="L29" s="1301">
        <f t="shared" si="30"/>
        <v>102.76234849619969</v>
      </c>
      <c r="M29" s="577">
        <f t="shared" si="30"/>
        <v>129.05308669356634</v>
      </c>
      <c r="N29" s="586">
        <f t="shared" si="30"/>
        <v>129.05308669356634</v>
      </c>
      <c r="O29" s="1310">
        <f t="shared" si="31"/>
        <v>0</v>
      </c>
      <c r="P29" s="831">
        <f t="shared" si="13"/>
        <v>0</v>
      </c>
      <c r="Q29" s="831">
        <f t="shared" si="13"/>
        <v>0</v>
      </c>
      <c r="R29" s="1313">
        <f t="shared" si="13"/>
        <v>0</v>
      </c>
      <c r="S29" s="580" t="str">
        <f t="shared" si="14"/>
        <v/>
      </c>
      <c r="T29" s="580" t="str">
        <f t="shared" si="14"/>
        <v/>
      </c>
      <c r="U29" s="576" t="str">
        <f t="shared" si="14"/>
        <v/>
      </c>
      <c r="V29" s="579">
        <f t="shared" si="15"/>
        <v>99.197143415654011</v>
      </c>
      <c r="W29" s="580">
        <f t="shared" si="16"/>
        <v>0</v>
      </c>
      <c r="X29" s="581">
        <f t="shared" si="32"/>
        <v>85.933366513401054</v>
      </c>
      <c r="Y29" s="579">
        <f t="shared" si="34"/>
        <v>7.0839293323836534</v>
      </c>
      <c r="Z29" s="580">
        <f t="shared" si="34"/>
        <v>8.8120459278233909</v>
      </c>
      <c r="AA29" s="580">
        <f t="shared" si="34"/>
        <v>10.032865799598056</v>
      </c>
      <c r="AB29" s="580">
        <f t="shared" si="34"/>
        <v>9.4656903667871291</v>
      </c>
      <c r="AC29" s="580">
        <f t="shared" si="34"/>
        <v>7.7916421225653574</v>
      </c>
      <c r="AD29" s="580">
        <f t="shared" si="34"/>
        <v>9.0460963193829382</v>
      </c>
      <c r="AE29" s="581">
        <f t="shared" si="34"/>
        <v>8.4978747949089097</v>
      </c>
      <c r="AF29" s="845">
        <f t="shared" si="18"/>
        <v>1.0552887597410002E-2</v>
      </c>
      <c r="AG29" s="1355">
        <f t="shared" si="35"/>
        <v>0</v>
      </c>
      <c r="AH29" s="835">
        <f t="shared" si="35"/>
        <v>0</v>
      </c>
      <c r="AI29" s="835">
        <f t="shared" si="35"/>
        <v>0</v>
      </c>
      <c r="AJ29" s="835">
        <f t="shared" si="35"/>
        <v>0</v>
      </c>
      <c r="AK29" s="835">
        <f t="shared" si="35"/>
        <v>0</v>
      </c>
      <c r="AL29" s="835">
        <f t="shared" si="35"/>
        <v>0</v>
      </c>
      <c r="AM29" s="835">
        <f t="shared" si="35"/>
        <v>0</v>
      </c>
      <c r="AN29" s="579">
        <f t="shared" si="20"/>
        <v>28.44308150347846</v>
      </c>
      <c r="AO29" s="580">
        <f t="shared" si="20"/>
        <v>23.948593337076449</v>
      </c>
      <c r="AP29" s="580">
        <f t="shared" si="20"/>
        <v>24.760167674582835</v>
      </c>
      <c r="AQ29" s="576">
        <f t="shared" si="21"/>
        <v>1.2738140789664979E-2</v>
      </c>
      <c r="AR29" s="580">
        <f t="shared" si="22"/>
        <v>25.504815928963392</v>
      </c>
      <c r="AS29" s="581">
        <f t="shared" si="23"/>
        <v>38.286746239228819</v>
      </c>
      <c r="AT29" s="579">
        <f t="shared" si="23"/>
        <v>17.19947695699771</v>
      </c>
      <c r="AU29" s="580">
        <f t="shared" si="23"/>
        <v>27.718913334408136</v>
      </c>
      <c r="AV29" s="578">
        <f t="shared" si="24"/>
        <v>8.6468608148846573E-3</v>
      </c>
      <c r="AW29" s="584">
        <f t="shared" si="25"/>
        <v>8.6468608148846573E-3</v>
      </c>
      <c r="AX29" s="582">
        <f t="shared" si="26"/>
        <v>1.0181</v>
      </c>
      <c r="AY29" s="583">
        <f t="shared" si="27"/>
        <v>36.244883626566278</v>
      </c>
      <c r="AZ29" s="578">
        <f t="shared" si="28"/>
        <v>3.9417806826070795E-2</v>
      </c>
      <c r="BA29" s="577">
        <f t="shared" si="28"/>
        <v>4.0257883466303504E-2</v>
      </c>
      <c r="BB29" s="577">
        <f t="shared" si="28"/>
        <v>3.8399479159034036E-2</v>
      </c>
      <c r="BC29" s="584">
        <f t="shared" si="28"/>
        <v>3.8643489233879176E-2</v>
      </c>
      <c r="BE29" s="829"/>
    </row>
    <row r="30" spans="1:57" s="325" customFormat="1" ht="14.25">
      <c r="A30" s="585">
        <f t="shared" si="33"/>
        <v>18</v>
      </c>
      <c r="B30" s="585">
        <f t="shared" si="29"/>
        <v>2038</v>
      </c>
      <c r="C30" s="574">
        <f t="shared" si="10"/>
        <v>8.4938638294705049E-2</v>
      </c>
      <c r="D30" s="575">
        <f t="shared" si="10"/>
        <v>7.3657398673328142E-2</v>
      </c>
      <c r="E30" s="575">
        <f t="shared" si="10"/>
        <v>8.4430203712723348E-2</v>
      </c>
      <c r="F30" s="576">
        <f t="shared" si="10"/>
        <v>7.0808150113577897E-2</v>
      </c>
      <c r="G30" s="1355">
        <f t="shared" si="11"/>
        <v>0</v>
      </c>
      <c r="H30" s="835">
        <f t="shared" si="11"/>
        <v>0</v>
      </c>
      <c r="I30" s="835">
        <f t="shared" si="11"/>
        <v>0</v>
      </c>
      <c r="J30" s="835">
        <f t="shared" si="11"/>
        <v>0</v>
      </c>
      <c r="K30" s="1355">
        <f t="shared" si="12"/>
        <v>1.1043995757995617E-4</v>
      </c>
      <c r="L30" s="1301">
        <f t="shared" si="30"/>
        <v>104.47554312961137</v>
      </c>
      <c r="M30" s="577">
        <f t="shared" si="30"/>
        <v>131.11885869656788</v>
      </c>
      <c r="N30" s="586">
        <f t="shared" si="30"/>
        <v>131.11885869656788</v>
      </c>
      <c r="O30" s="1310">
        <f t="shared" si="31"/>
        <v>0</v>
      </c>
      <c r="P30" s="831">
        <f t="shared" si="13"/>
        <v>0</v>
      </c>
      <c r="Q30" s="831">
        <f t="shared" si="13"/>
        <v>0</v>
      </c>
      <c r="R30" s="1313">
        <f t="shared" si="13"/>
        <v>0</v>
      </c>
      <c r="S30" s="580" t="str">
        <f t="shared" si="14"/>
        <v/>
      </c>
      <c r="T30" s="580" t="str">
        <f t="shared" si="14"/>
        <v/>
      </c>
      <c r="U30" s="576" t="str">
        <f t="shared" si="14"/>
        <v/>
      </c>
      <c r="V30" s="579">
        <f t="shared" si="15"/>
        <v>99.197143415654011</v>
      </c>
      <c r="W30" s="580">
        <f t="shared" si="16"/>
        <v>0</v>
      </c>
      <c r="X30" s="581">
        <f t="shared" si="32"/>
        <v>85.933366513401054</v>
      </c>
      <c r="Y30" s="579">
        <f t="shared" si="34"/>
        <v>7.127864776517475</v>
      </c>
      <c r="Z30" s="580">
        <f t="shared" si="34"/>
        <v>8.8521892134789439</v>
      </c>
      <c r="AA30" s="580">
        <f t="shared" si="34"/>
        <v>10.071978349966711</v>
      </c>
      <c r="AB30" s="580">
        <f t="shared" si="34"/>
        <v>9.5056785226010856</v>
      </c>
      <c r="AC30" s="580">
        <f t="shared" si="34"/>
        <v>7.834159013894805</v>
      </c>
      <c r="AD30" s="580">
        <f t="shared" si="34"/>
        <v>9.0862612056529422</v>
      </c>
      <c r="AE30" s="581">
        <f t="shared" si="34"/>
        <v>8.5390516571312229</v>
      </c>
      <c r="AF30" s="845">
        <f t="shared" si="18"/>
        <v>1.0552887597410002E-2</v>
      </c>
      <c r="AG30" s="1355">
        <f t="shared" si="35"/>
        <v>0</v>
      </c>
      <c r="AH30" s="835">
        <f t="shared" si="35"/>
        <v>0</v>
      </c>
      <c r="AI30" s="835">
        <f t="shared" si="35"/>
        <v>0</v>
      </c>
      <c r="AJ30" s="835">
        <f t="shared" si="35"/>
        <v>0</v>
      </c>
      <c r="AK30" s="835">
        <f t="shared" si="35"/>
        <v>0</v>
      </c>
      <c r="AL30" s="835">
        <f t="shared" si="35"/>
        <v>0</v>
      </c>
      <c r="AM30" s="835">
        <f t="shared" si="35"/>
        <v>0</v>
      </c>
      <c r="AN30" s="579">
        <f t="shared" si="20"/>
        <v>28.61877551007187</v>
      </c>
      <c r="AO30" s="580">
        <f t="shared" si="20"/>
        <v>24.055872117912951</v>
      </c>
      <c r="AP30" s="580">
        <f t="shared" si="20"/>
        <v>24.868023484618295</v>
      </c>
      <c r="AQ30" s="576">
        <f t="shared" si="21"/>
        <v>1.2738140789664979E-2</v>
      </c>
      <c r="AR30" s="580">
        <f t="shared" si="22"/>
        <v>25.662360156280638</v>
      </c>
      <c r="AS30" s="581">
        <f t="shared" si="23"/>
        <v>38.796991026424685</v>
      </c>
      <c r="AT30" s="579">
        <f t="shared" si="23"/>
        <v>17.305718786579934</v>
      </c>
      <c r="AU30" s="580">
        <f t="shared" si="23"/>
        <v>27.890134126414871</v>
      </c>
      <c r="AV30" s="578">
        <f t="shared" si="24"/>
        <v>8.6468608148846573E-3</v>
      </c>
      <c r="AW30" s="584">
        <f t="shared" si="25"/>
        <v>8.6468608148846573E-3</v>
      </c>
      <c r="AX30" s="582">
        <f t="shared" si="26"/>
        <v>1.0181</v>
      </c>
      <c r="AY30" s="583">
        <f t="shared" si="27"/>
        <v>38.46929886718587</v>
      </c>
      <c r="AZ30" s="578">
        <f t="shared" si="28"/>
        <v>3.8992824985942108E-2</v>
      </c>
      <c r="BA30" s="577">
        <f t="shared" si="28"/>
        <v>3.9823844366393954E-2</v>
      </c>
      <c r="BB30" s="577">
        <f t="shared" si="28"/>
        <v>3.798547638650545E-2</v>
      </c>
      <c r="BC30" s="584">
        <f t="shared" si="28"/>
        <v>3.8226855674430474E-2</v>
      </c>
      <c r="BE30" s="829"/>
    </row>
    <row r="31" spans="1:57" s="325" customFormat="1" ht="14.25">
      <c r="A31" s="585">
        <f t="shared" si="33"/>
        <v>19</v>
      </c>
      <c r="B31" s="585">
        <f t="shared" si="29"/>
        <v>2039</v>
      </c>
      <c r="C31" s="574">
        <f t="shared" si="10"/>
        <v>8.6814625703486081E-2</v>
      </c>
      <c r="D31" s="575">
        <f t="shared" si="10"/>
        <v>7.4443257476095134E-2</v>
      </c>
      <c r="E31" s="575">
        <f t="shared" si="10"/>
        <v>8.8921328354004639E-2</v>
      </c>
      <c r="F31" s="576">
        <f t="shared" si="10"/>
        <v>7.4095353910437603E-2</v>
      </c>
      <c r="G31" s="1355">
        <f t="shared" si="11"/>
        <v>0</v>
      </c>
      <c r="H31" s="835">
        <f t="shared" si="11"/>
        <v>0</v>
      </c>
      <c r="I31" s="835">
        <f t="shared" si="11"/>
        <v>0</v>
      </c>
      <c r="J31" s="835">
        <f t="shared" si="11"/>
        <v>0</v>
      </c>
      <c r="K31" s="1355">
        <f t="shared" si="12"/>
        <v>1.1043995757995617E-4</v>
      </c>
      <c r="L31" s="1301">
        <f t="shared" si="30"/>
        <v>106.21729915632424</v>
      </c>
      <c r="M31" s="577">
        <f t="shared" si="30"/>
        <v>133.21769782006783</v>
      </c>
      <c r="N31" s="586">
        <f t="shared" si="30"/>
        <v>133.21769782006783</v>
      </c>
      <c r="O31" s="1310">
        <f t="shared" si="31"/>
        <v>0</v>
      </c>
      <c r="P31" s="831">
        <f t="shared" si="13"/>
        <v>0</v>
      </c>
      <c r="Q31" s="831">
        <f t="shared" si="13"/>
        <v>0</v>
      </c>
      <c r="R31" s="1313">
        <f t="shared" si="13"/>
        <v>0</v>
      </c>
      <c r="S31" s="580" t="str">
        <f t="shared" si="14"/>
        <v/>
      </c>
      <c r="T31" s="580" t="str">
        <f t="shared" si="14"/>
        <v/>
      </c>
      <c r="U31" s="576" t="str">
        <f t="shared" si="14"/>
        <v/>
      </c>
      <c r="V31" s="579">
        <f t="shared" si="15"/>
        <v>99.197143415654011</v>
      </c>
      <c r="W31" s="580">
        <f t="shared" si="16"/>
        <v>0</v>
      </c>
      <c r="X31" s="581">
        <f t="shared" si="32"/>
        <v>85.933366513401054</v>
      </c>
      <c r="Y31" s="579">
        <f t="shared" si="34"/>
        <v>7.1720727139471316</v>
      </c>
      <c r="Z31" s="580">
        <f t="shared" si="34"/>
        <v>8.8925153719198189</v>
      </c>
      <c r="AA31" s="580">
        <f t="shared" si="34"/>
        <v>10.111243378363767</v>
      </c>
      <c r="AB31" s="580">
        <f t="shared" si="34"/>
        <v>9.5458356098445982</v>
      </c>
      <c r="AC31" s="580">
        <f t="shared" si="34"/>
        <v>7.8769079084425568</v>
      </c>
      <c r="AD31" s="580">
        <f t="shared" si="34"/>
        <v>9.1266044249886278</v>
      </c>
      <c r="AE31" s="581">
        <f t="shared" si="34"/>
        <v>8.5804280438256413</v>
      </c>
      <c r="AF31" s="845">
        <f t="shared" si="18"/>
        <v>1.0552887597410002E-2</v>
      </c>
      <c r="AG31" s="1355">
        <f t="shared" si="35"/>
        <v>0</v>
      </c>
      <c r="AH31" s="835">
        <f t="shared" si="35"/>
        <v>0</v>
      </c>
      <c r="AI31" s="835">
        <f t="shared" si="35"/>
        <v>0</v>
      </c>
      <c r="AJ31" s="835">
        <f t="shared" si="35"/>
        <v>0</v>
      </c>
      <c r="AK31" s="835">
        <f t="shared" si="35"/>
        <v>0</v>
      </c>
      <c r="AL31" s="835">
        <f t="shared" si="35"/>
        <v>0</v>
      </c>
      <c r="AM31" s="835">
        <f t="shared" si="35"/>
        <v>0</v>
      </c>
      <c r="AN31" s="579">
        <f t="shared" si="20"/>
        <v>29.01155018464717</v>
      </c>
      <c r="AO31" s="580">
        <f t="shared" si="20"/>
        <v>24.375661686505843</v>
      </c>
      <c r="AP31" s="580">
        <f t="shared" si="20"/>
        <v>25.202034192462381</v>
      </c>
      <c r="AQ31" s="576">
        <f t="shared" si="21"/>
        <v>1.2738140789664979E-2</v>
      </c>
      <c r="AR31" s="580">
        <f t="shared" si="22"/>
        <v>26.014559891579236</v>
      </c>
      <c r="AS31" s="581">
        <f t="shared" si="23"/>
        <v>39.519515276295031</v>
      </c>
      <c r="AT31" s="579">
        <f t="shared" si="23"/>
        <v>17.543228880689252</v>
      </c>
      <c r="AU31" s="580">
        <f t="shared" si="23"/>
        <v>28.272908656775503</v>
      </c>
      <c r="AV31" s="578">
        <f t="shared" si="24"/>
        <v>8.6468608148846573E-3</v>
      </c>
      <c r="AW31" s="584">
        <f t="shared" si="25"/>
        <v>8.6468608148846573E-3</v>
      </c>
      <c r="AX31" s="582">
        <f t="shared" si="26"/>
        <v>1.0181</v>
      </c>
      <c r="AY31" s="583">
        <f t="shared" si="27"/>
        <v>40.824562063136021</v>
      </c>
      <c r="AZ31" s="578">
        <f t="shared" si="28"/>
        <v>3.8572425074108817E-2</v>
      </c>
      <c r="BA31" s="577">
        <f t="shared" si="28"/>
        <v>3.9394484845340264E-2</v>
      </c>
      <c r="BB31" s="577">
        <f t="shared" si="28"/>
        <v>3.7575937171801473E-2</v>
      </c>
      <c r="BC31" s="584">
        <f t="shared" si="28"/>
        <v>3.7814714036552524E-2</v>
      </c>
      <c r="BE31" s="829"/>
    </row>
    <row r="32" spans="1:57" s="325" customFormat="1" ht="14.25">
      <c r="A32" s="585">
        <f t="shared" si="33"/>
        <v>20</v>
      </c>
      <c r="B32" s="585">
        <f t="shared" si="29"/>
        <v>2040</v>
      </c>
      <c r="C32" s="574">
        <f t="shared" si="10"/>
        <v>8.8745978356318811E-2</v>
      </c>
      <c r="D32" s="575">
        <f t="shared" si="10"/>
        <v>7.5258299229373077E-2</v>
      </c>
      <c r="E32" s="575">
        <f t="shared" si="10"/>
        <v>9.3653700522762978E-2</v>
      </c>
      <c r="F32" s="576">
        <f t="shared" si="10"/>
        <v>7.753925656785042E-2</v>
      </c>
      <c r="G32" s="1355">
        <f t="shared" si="11"/>
        <v>0</v>
      </c>
      <c r="H32" s="835">
        <f t="shared" si="11"/>
        <v>0</v>
      </c>
      <c r="I32" s="835">
        <f t="shared" si="11"/>
        <v>0</v>
      </c>
      <c r="J32" s="835">
        <f t="shared" si="11"/>
        <v>0</v>
      </c>
      <c r="K32" s="1355">
        <f t="shared" si="12"/>
        <v>1.1043995757995617E-4</v>
      </c>
      <c r="L32" s="1301">
        <f t="shared" si="30"/>
        <v>107.98809273542223</v>
      </c>
      <c r="M32" s="577">
        <f t="shared" si="30"/>
        <v>135.35013337439489</v>
      </c>
      <c r="N32" s="586">
        <f t="shared" si="30"/>
        <v>135.35013337439489</v>
      </c>
      <c r="O32" s="1310">
        <f t="shared" si="31"/>
        <v>0</v>
      </c>
      <c r="P32" s="831">
        <f t="shared" si="13"/>
        <v>0</v>
      </c>
      <c r="Q32" s="831">
        <f t="shared" si="13"/>
        <v>0</v>
      </c>
      <c r="R32" s="1313">
        <f t="shared" si="13"/>
        <v>0</v>
      </c>
      <c r="S32" s="580" t="str">
        <f t="shared" si="14"/>
        <v/>
      </c>
      <c r="T32" s="580" t="str">
        <f t="shared" si="14"/>
        <v/>
      </c>
      <c r="U32" s="576" t="str">
        <f t="shared" si="14"/>
        <v/>
      </c>
      <c r="V32" s="579">
        <f t="shared" si="15"/>
        <v>99.197143415654011</v>
      </c>
      <c r="W32" s="580">
        <f t="shared" si="16"/>
        <v>0</v>
      </c>
      <c r="X32" s="581">
        <f t="shared" si="32"/>
        <v>85.933366513401054</v>
      </c>
      <c r="Y32" s="579">
        <f t="shared" si="34"/>
        <v>7.2165548347112169</v>
      </c>
      <c r="Z32" s="580">
        <f t="shared" si="34"/>
        <v>8.9330252362232088</v>
      </c>
      <c r="AA32" s="580">
        <f t="shared" si="34"/>
        <v>10.150661479216051</v>
      </c>
      <c r="AB32" s="580">
        <f t="shared" si="34"/>
        <v>9.5861623421746831</v>
      </c>
      <c r="AC32" s="580">
        <f t="shared" si="34"/>
        <v>7.9198900721876555</v>
      </c>
      <c r="AD32" s="580">
        <f t="shared" si="34"/>
        <v>9.167126769193116</v>
      </c>
      <c r="AE32" s="581">
        <f t="shared" si="34"/>
        <v>8.62200492179762</v>
      </c>
      <c r="AF32" s="845">
        <f t="shared" si="18"/>
        <v>1.0552887597410002E-2</v>
      </c>
      <c r="AG32" s="1355">
        <f t="shared" si="35"/>
        <v>0</v>
      </c>
      <c r="AH32" s="835">
        <f t="shared" si="35"/>
        <v>0</v>
      </c>
      <c r="AI32" s="835">
        <f t="shared" si="35"/>
        <v>0</v>
      </c>
      <c r="AJ32" s="835">
        <f t="shared" si="35"/>
        <v>0</v>
      </c>
      <c r="AK32" s="835">
        <f t="shared" si="35"/>
        <v>0</v>
      </c>
      <c r="AL32" s="835">
        <f t="shared" si="35"/>
        <v>0</v>
      </c>
      <c r="AM32" s="835">
        <f t="shared" si="35"/>
        <v>0</v>
      </c>
      <c r="AN32" s="579">
        <f t="shared" si="20"/>
        <v>29.221037754477649</v>
      </c>
      <c r="AO32" s="580">
        <f t="shared" si="20"/>
        <v>24.518410933529026</v>
      </c>
      <c r="AP32" s="580">
        <f t="shared" si="20"/>
        <v>25.351558573494327</v>
      </c>
      <c r="AQ32" s="576">
        <f t="shared" si="21"/>
        <v>1.2738140789664979E-2</v>
      </c>
      <c r="AR32" s="580">
        <f t="shared" si="22"/>
        <v>26.202406693877318</v>
      </c>
      <c r="AS32" s="581">
        <f t="shared" si="23"/>
        <v>39.788938368568779</v>
      </c>
      <c r="AT32" s="579">
        <f t="shared" si="23"/>
        <v>17.669905613294198</v>
      </c>
      <c r="AU32" s="580">
        <f t="shared" si="23"/>
        <v>28.477062619209448</v>
      </c>
      <c r="AV32" s="578">
        <f t="shared" si="24"/>
        <v>8.6468608148846573E-3</v>
      </c>
      <c r="AW32" s="584">
        <f t="shared" si="25"/>
        <v>8.6468608148846573E-3</v>
      </c>
      <c r="AX32" s="582">
        <f t="shared" si="26"/>
        <v>1.0181</v>
      </c>
      <c r="AY32" s="583">
        <f t="shared" si="27"/>
        <v>43.179825259086179</v>
      </c>
      <c r="AZ32" s="578">
        <f t="shared" si="28"/>
        <v>3.8156557690655638E-2</v>
      </c>
      <c r="BA32" s="577">
        <f t="shared" si="28"/>
        <v>3.8969754450410697E-2</v>
      </c>
      <c r="BB32" s="577">
        <f t="shared" si="28"/>
        <v>3.7170813391214308E-2</v>
      </c>
      <c r="BC32" s="584">
        <f t="shared" si="28"/>
        <v>3.7407015890734696E-2</v>
      </c>
      <c r="BE32" s="829"/>
    </row>
    <row r="33" spans="1:57" s="325" customFormat="1" ht="14.25">
      <c r="A33" s="585">
        <f t="shared" si="33"/>
        <v>21</v>
      </c>
      <c r="B33" s="585">
        <f t="shared" si="29"/>
        <v>2041</v>
      </c>
      <c r="C33" s="574">
        <f t="shared" si="10"/>
        <v>9.0735226436291602E-2</v>
      </c>
      <c r="D33" s="575">
        <f t="shared" si="10"/>
        <v>7.6104522766846913E-2</v>
      </c>
      <c r="E33" s="575">
        <f t="shared" si="10"/>
        <v>9.8640450847369929E-2</v>
      </c>
      <c r="F33" s="576">
        <f t="shared" si="10"/>
        <v>8.1147620849877394E-2</v>
      </c>
      <c r="G33" s="1355">
        <f t="shared" si="11"/>
        <v>0</v>
      </c>
      <c r="H33" s="835">
        <f t="shared" si="11"/>
        <v>0</v>
      </c>
      <c r="I33" s="835">
        <f t="shared" si="11"/>
        <v>0</v>
      </c>
      <c r="J33" s="835">
        <f t="shared" si="11"/>
        <v>0</v>
      </c>
      <c r="K33" s="1355">
        <f t="shared" si="12"/>
        <v>1.1043995757995617E-4</v>
      </c>
      <c r="L33" s="1301">
        <f t="shared" si="30"/>
        <v>109.78840796423906</v>
      </c>
      <c r="M33" s="577">
        <f t="shared" si="30"/>
        <v>137.51670314262725</v>
      </c>
      <c r="N33" s="586">
        <f t="shared" si="30"/>
        <v>137.51670314262725</v>
      </c>
      <c r="O33" s="1310">
        <f t="shared" si="31"/>
        <v>0</v>
      </c>
      <c r="P33" s="831">
        <f t="shared" si="13"/>
        <v>0</v>
      </c>
      <c r="Q33" s="831">
        <f t="shared" si="13"/>
        <v>0</v>
      </c>
      <c r="R33" s="1313">
        <f t="shared" si="13"/>
        <v>0</v>
      </c>
      <c r="S33" s="580" t="str">
        <f t="shared" si="14"/>
        <v/>
      </c>
      <c r="T33" s="580" t="str">
        <f t="shared" si="14"/>
        <v/>
      </c>
      <c r="U33" s="576" t="str">
        <f t="shared" si="14"/>
        <v/>
      </c>
      <c r="V33" s="579">
        <f t="shared" si="15"/>
        <v>99.197143415654011</v>
      </c>
      <c r="W33" s="580">
        <f t="shared" si="16"/>
        <v>0</v>
      </c>
      <c r="X33" s="581">
        <f t="shared" si="32"/>
        <v>85.933366513401054</v>
      </c>
      <c r="Y33" s="579">
        <f t="shared" si="34"/>
        <v>7.2613128393301638</v>
      </c>
      <c r="Z33" s="580">
        <f t="shared" si="34"/>
        <v>8.9737196432613864</v>
      </c>
      <c r="AA33" s="580">
        <f t="shared" si="34"/>
        <v>10.190233249267726</v>
      </c>
      <c r="AB33" s="580">
        <f t="shared" si="34"/>
        <v>9.626659436263223</v>
      </c>
      <c r="AC33" s="580">
        <f t="shared" si="34"/>
        <v>7.9631067780172478</v>
      </c>
      <c r="AD33" s="580">
        <f t="shared" si="34"/>
        <v>9.2078290335851509</v>
      </c>
      <c r="AE33" s="581">
        <f t="shared" si="34"/>
        <v>8.6637832625373132</v>
      </c>
      <c r="AF33" s="845">
        <f t="shared" si="18"/>
        <v>1.0552887597410002E-2</v>
      </c>
      <c r="AG33" s="1355">
        <f t="shared" si="35"/>
        <v>0</v>
      </c>
      <c r="AH33" s="835">
        <f t="shared" si="35"/>
        <v>0</v>
      </c>
      <c r="AI33" s="835">
        <f t="shared" si="35"/>
        <v>0</v>
      </c>
      <c r="AJ33" s="835">
        <f t="shared" si="35"/>
        <v>0</v>
      </c>
      <c r="AK33" s="835">
        <f t="shared" si="35"/>
        <v>0</v>
      </c>
      <c r="AL33" s="835">
        <f t="shared" si="35"/>
        <v>0</v>
      </c>
      <c r="AM33" s="835">
        <f t="shared" si="35"/>
        <v>0</v>
      </c>
      <c r="AN33" s="579">
        <f t="shared" si="20"/>
        <v>29.266985976708028</v>
      </c>
      <c r="AO33" s="580">
        <f t="shared" si="20"/>
        <v>24.573370213056901</v>
      </c>
      <c r="AP33" s="580">
        <f t="shared" si="20"/>
        <v>25.421414375892457</v>
      </c>
      <c r="AQ33" s="576">
        <f t="shared" si="21"/>
        <v>1.2738140789664979E-2</v>
      </c>
      <c r="AR33" s="580">
        <f t="shared" si="22"/>
        <v>26.243608310871789</v>
      </c>
      <c r="AS33" s="581">
        <f t="shared" si="23"/>
        <v>40.223948152146697</v>
      </c>
      <c r="AT33" s="579">
        <f t="shared" si="23"/>
        <v>17.697690415351236</v>
      </c>
      <c r="AU33" s="580">
        <f t="shared" si="23"/>
        <v>28.521840987886492</v>
      </c>
      <c r="AV33" s="578">
        <f t="shared" si="24"/>
        <v>8.6468608148846573E-3</v>
      </c>
      <c r="AW33" s="584">
        <f t="shared" si="25"/>
        <v>8.6468608148846573E-3</v>
      </c>
      <c r="AX33" s="582">
        <f t="shared" si="26"/>
        <v>1.0181</v>
      </c>
      <c r="AY33" s="583">
        <f t="shared" si="27"/>
        <v>45.796784365697462</v>
      </c>
      <c r="AZ33" s="578">
        <f t="shared" si="28"/>
        <v>3.7745173968270908E-2</v>
      </c>
      <c r="BA33" s="577">
        <f t="shared" si="28"/>
        <v>3.8549603272828054E-2</v>
      </c>
      <c r="BB33" s="577">
        <f t="shared" si="28"/>
        <v>3.6770057439880398E-2</v>
      </c>
      <c r="BC33" s="584">
        <f t="shared" si="28"/>
        <v>3.7003713329607592E-2</v>
      </c>
      <c r="BE33" s="829"/>
    </row>
    <row r="34" spans="1:57" s="325" customFormat="1" ht="14.25">
      <c r="A34" s="585">
        <f t="shared" si="33"/>
        <v>22</v>
      </c>
      <c r="B34" s="585">
        <f t="shared" si="29"/>
        <v>2042</v>
      </c>
      <c r="C34" s="574">
        <f t="shared" si="10"/>
        <v>9.2785058901563217E-2</v>
      </c>
      <c r="D34" s="575">
        <f t="shared" si="10"/>
        <v>7.6984075396987442E-2</v>
      </c>
      <c r="E34" s="575">
        <f t="shared" si="10"/>
        <v>0.10389543704878609</v>
      </c>
      <c r="F34" s="576">
        <f t="shared" si="10"/>
        <v>8.4928614512056466E-2</v>
      </c>
      <c r="G34" s="1355">
        <f t="shared" si="11"/>
        <v>0</v>
      </c>
      <c r="H34" s="835">
        <f t="shared" si="11"/>
        <v>0</v>
      </c>
      <c r="I34" s="835">
        <f t="shared" si="11"/>
        <v>0</v>
      </c>
      <c r="J34" s="835">
        <f t="shared" si="11"/>
        <v>0</v>
      </c>
      <c r="K34" s="1355">
        <f t="shared" si="12"/>
        <v>1.1043995757995617E-4</v>
      </c>
      <c r="L34" s="1301">
        <f t="shared" si="30"/>
        <v>111.61873701070012</v>
      </c>
      <c r="M34" s="577">
        <f t="shared" si="30"/>
        <v>139.71795351621694</v>
      </c>
      <c r="N34" s="586">
        <f t="shared" si="30"/>
        <v>139.71795351621694</v>
      </c>
      <c r="O34" s="1310">
        <f t="shared" si="31"/>
        <v>0</v>
      </c>
      <c r="P34" s="831">
        <f t="shared" si="13"/>
        <v>0</v>
      </c>
      <c r="Q34" s="831">
        <f t="shared" si="13"/>
        <v>0</v>
      </c>
      <c r="R34" s="1313">
        <f t="shared" si="13"/>
        <v>0</v>
      </c>
      <c r="S34" s="580" t="str">
        <f t="shared" si="14"/>
        <v/>
      </c>
      <c r="T34" s="580" t="str">
        <f t="shared" si="14"/>
        <v/>
      </c>
      <c r="U34" s="576" t="str">
        <f t="shared" si="14"/>
        <v/>
      </c>
      <c r="V34" s="579">
        <f t="shared" si="15"/>
        <v>99.197143415654011</v>
      </c>
      <c r="W34" s="580">
        <f t="shared" si="16"/>
        <v>0</v>
      </c>
      <c r="X34" s="581">
        <f t="shared" si="32"/>
        <v>85.933366513401054</v>
      </c>
      <c r="Y34" s="579">
        <f t="shared" si="34"/>
        <v>7.3063484388712512</v>
      </c>
      <c r="Z34" s="580">
        <f t="shared" si="34"/>
        <v>9.014599433718999</v>
      </c>
      <c r="AA34" s="580">
        <f t="shared" si="34"/>
        <v>10.229959287589327</v>
      </c>
      <c r="AB34" s="580">
        <f t="shared" si="34"/>
        <v>9.6673276118097107</v>
      </c>
      <c r="AC34" s="580">
        <f t="shared" si="34"/>
        <v>8.0065593057642825</v>
      </c>
      <c r="AD34" s="580">
        <f t="shared" si="34"/>
        <v>9.2487120170147179</v>
      </c>
      <c r="AE34" s="581">
        <f t="shared" si="34"/>
        <v>8.7057640422422828</v>
      </c>
      <c r="AF34" s="845">
        <f t="shared" si="18"/>
        <v>1.0552887597410002E-2</v>
      </c>
      <c r="AG34" s="1355">
        <f t="shared" si="35"/>
        <v>0</v>
      </c>
      <c r="AH34" s="835">
        <f t="shared" si="35"/>
        <v>0</v>
      </c>
      <c r="AI34" s="835">
        <f t="shared" si="35"/>
        <v>0</v>
      </c>
      <c r="AJ34" s="835">
        <f t="shared" si="35"/>
        <v>0</v>
      </c>
      <c r="AK34" s="835">
        <f t="shared" si="35"/>
        <v>0</v>
      </c>
      <c r="AL34" s="835">
        <f t="shared" si="35"/>
        <v>0</v>
      </c>
      <c r="AM34" s="835">
        <f t="shared" si="35"/>
        <v>0</v>
      </c>
      <c r="AN34" s="579">
        <f t="shared" si="20"/>
        <v>29.322306517001525</v>
      </c>
      <c r="AO34" s="580">
        <f t="shared" si="20"/>
        <v>24.551441368532675</v>
      </c>
      <c r="AP34" s="580">
        <f t="shared" si="20"/>
        <v>25.384650798488238</v>
      </c>
      <c r="AQ34" s="576">
        <f t="shared" si="21"/>
        <v>1.2738140789664979E-2</v>
      </c>
      <c r="AR34" s="580">
        <f t="shared" si="22"/>
        <v>26.293214054085791</v>
      </c>
      <c r="AS34" s="581">
        <f t="shared" si="23"/>
        <v>40.452869443792181</v>
      </c>
      <c r="AT34" s="579">
        <f t="shared" si="23"/>
        <v>17.73114264020635</v>
      </c>
      <c r="AU34" s="580">
        <f t="shared" si="23"/>
        <v>28.575753052998728</v>
      </c>
      <c r="AV34" s="578">
        <f t="shared" si="24"/>
        <v>8.6468608148846573E-3</v>
      </c>
      <c r="AW34" s="584">
        <f t="shared" si="25"/>
        <v>8.6468608148846573E-3</v>
      </c>
      <c r="AX34" s="582">
        <f t="shared" si="26"/>
        <v>1.0181</v>
      </c>
      <c r="AY34" s="583">
        <f t="shared" si="27"/>
        <v>48.544591427639311</v>
      </c>
      <c r="AZ34" s="578">
        <f t="shared" si="28"/>
        <v>3.7338225566504325E-2</v>
      </c>
      <c r="BA34" s="577">
        <f t="shared" si="28"/>
        <v>3.8133981941905044E-2</v>
      </c>
      <c r="BB34" s="577">
        <f t="shared" si="28"/>
        <v>3.6373622226186494E-2</v>
      </c>
      <c r="BC34" s="584">
        <f t="shared" si="28"/>
        <v>3.6604758962313612E-2</v>
      </c>
      <c r="BE34" s="829"/>
    </row>
    <row r="35" spans="1:57" s="325" customFormat="1" ht="14.25">
      <c r="A35" s="585">
        <f t="shared" si="33"/>
        <v>23</v>
      </c>
      <c r="B35" s="585">
        <f t="shared" si="29"/>
        <v>2043</v>
      </c>
      <c r="C35" s="574">
        <f t="shared" si="10"/>
        <v>9.4898334790301297E-2</v>
      </c>
      <c r="D35" s="575">
        <f t="shared" si="10"/>
        <v>7.789926401114948E-2</v>
      </c>
      <c r="E35" s="575">
        <f t="shared" si="10"/>
        <v>0.10943328508908881</v>
      </c>
      <c r="F35" s="576">
        <f t="shared" si="10"/>
        <v>8.8890832800692224E-2</v>
      </c>
      <c r="G35" s="1355">
        <f t="shared" si="11"/>
        <v>0</v>
      </c>
      <c r="H35" s="835">
        <f t="shared" si="11"/>
        <v>0</v>
      </c>
      <c r="I35" s="835">
        <f t="shared" si="11"/>
        <v>0</v>
      </c>
      <c r="J35" s="835">
        <f t="shared" si="11"/>
        <v>0</v>
      </c>
      <c r="K35" s="1355">
        <f t="shared" si="12"/>
        <v>1.1043995757995617E-4</v>
      </c>
      <c r="L35" s="1301">
        <f t="shared" si="30"/>
        <v>113.47958024787074</v>
      </c>
      <c r="M35" s="577">
        <f t="shared" si="30"/>
        <v>141.95443963278541</v>
      </c>
      <c r="N35" s="586">
        <f t="shared" si="30"/>
        <v>141.95443963278541</v>
      </c>
      <c r="O35" s="1310">
        <f t="shared" si="31"/>
        <v>0</v>
      </c>
      <c r="P35" s="831">
        <f t="shared" si="13"/>
        <v>0</v>
      </c>
      <c r="Q35" s="831">
        <f t="shared" si="13"/>
        <v>0</v>
      </c>
      <c r="R35" s="1313">
        <f t="shared" si="13"/>
        <v>0</v>
      </c>
      <c r="S35" s="580" t="str">
        <f t="shared" si="14"/>
        <v/>
      </c>
      <c r="T35" s="580" t="str">
        <f t="shared" si="14"/>
        <v/>
      </c>
      <c r="U35" s="576" t="str">
        <f t="shared" si="14"/>
        <v/>
      </c>
      <c r="V35" s="579">
        <f t="shared" si="15"/>
        <v>99.197143415654011</v>
      </c>
      <c r="W35" s="580">
        <f t="shared" si="16"/>
        <v>0</v>
      </c>
      <c r="X35" s="581">
        <f t="shared" si="32"/>
        <v>85.933366513401054</v>
      </c>
      <c r="Y35" s="579">
        <f t="shared" si="34"/>
        <v>7.3516633550140211</v>
      </c>
      <c r="Z35" s="580">
        <f t="shared" si="34"/>
        <v>9.0556654521104321</v>
      </c>
      <c r="AA35" s="580">
        <f t="shared" si="34"/>
        <v>10.269840195586836</v>
      </c>
      <c r="AB35" s="580">
        <f t="shared" si="34"/>
        <v>9.708167591554032</v>
      </c>
      <c r="AC35" s="580">
        <f t="shared" si="34"/>
        <v>8.050248942245414</v>
      </c>
      <c r="AD35" s="580">
        <f t="shared" si="34"/>
        <v>9.2897765218787054</v>
      </c>
      <c r="AE35" s="581">
        <f t="shared" si="34"/>
        <v>8.7479482418402981</v>
      </c>
      <c r="AF35" s="845">
        <f t="shared" si="18"/>
        <v>1.0552887597410002E-2</v>
      </c>
      <c r="AG35" s="1355">
        <f t="shared" si="35"/>
        <v>0</v>
      </c>
      <c r="AH35" s="835">
        <f t="shared" si="35"/>
        <v>0</v>
      </c>
      <c r="AI35" s="835">
        <f t="shared" si="35"/>
        <v>0</v>
      </c>
      <c r="AJ35" s="835">
        <f t="shared" si="35"/>
        <v>0</v>
      </c>
      <c r="AK35" s="835">
        <f t="shared" si="35"/>
        <v>0</v>
      </c>
      <c r="AL35" s="835">
        <f t="shared" si="35"/>
        <v>0</v>
      </c>
      <c r="AM35" s="835">
        <f t="shared" si="35"/>
        <v>0</v>
      </c>
      <c r="AN35" s="579">
        <f t="shared" si="20"/>
        <v>29.387009934526763</v>
      </c>
      <c r="AO35" s="580">
        <f t="shared" si="20"/>
        <v>24.567329631963563</v>
      </c>
      <c r="AP35" s="580">
        <f t="shared" si="20"/>
        <v>25.396930320792197</v>
      </c>
      <c r="AQ35" s="576">
        <f t="shared" si="21"/>
        <v>1.2738140789664979E-2</v>
      </c>
      <c r="AR35" s="580">
        <f t="shared" si="22"/>
        <v>26.35123339189046</v>
      </c>
      <c r="AS35" s="581">
        <f t="shared" si="23"/>
        <v>40.781787978548635</v>
      </c>
      <c r="AT35" s="579">
        <f t="shared" si="23"/>
        <v>17.770268672968594</v>
      </c>
      <c r="AU35" s="580">
        <f t="shared" si="23"/>
        <v>28.638809104875619</v>
      </c>
      <c r="AV35" s="578">
        <f t="shared" si="24"/>
        <v>8.6468608148846573E-3</v>
      </c>
      <c r="AW35" s="584">
        <f t="shared" si="25"/>
        <v>8.6468608148846573E-3</v>
      </c>
      <c r="AX35" s="582">
        <f t="shared" si="26"/>
        <v>1.0181</v>
      </c>
      <c r="AY35" s="583">
        <f t="shared" si="27"/>
        <v>51.423246444911726</v>
      </c>
      <c r="AZ35" s="578">
        <f t="shared" si="28"/>
        <v>3.6935664666086651E-2</v>
      </c>
      <c r="BA35" s="577">
        <f t="shared" si="28"/>
        <v>3.77228416192429E-2</v>
      </c>
      <c r="BB35" s="577">
        <f t="shared" si="28"/>
        <v>3.5981461166236135E-2</v>
      </c>
      <c r="BC35" s="584">
        <f t="shared" si="28"/>
        <v>3.6210105908938188E-2</v>
      </c>
      <c r="BE35" s="829"/>
    </row>
    <row r="36" spans="1:57" s="325" customFormat="1" ht="14.25">
      <c r="A36" s="585">
        <f t="shared" si="33"/>
        <v>24</v>
      </c>
      <c r="B36" s="585">
        <f t="shared" si="29"/>
        <v>2044</v>
      </c>
      <c r="C36" s="574">
        <f t="shared" si="10"/>
        <v>9.707809536091494E-2</v>
      </c>
      <c r="D36" s="575">
        <f t="shared" si="10"/>
        <v>7.8852567023220507E-2</v>
      </c>
      <c r="E36" s="575">
        <f t="shared" si="10"/>
        <v>0.1152694327109544</v>
      </c>
      <c r="F36" s="576">
        <f t="shared" si="10"/>
        <v>9.3043322289392161E-2</v>
      </c>
      <c r="G36" s="1355">
        <f t="shared" si="11"/>
        <v>0</v>
      </c>
      <c r="H36" s="835">
        <f t="shared" si="11"/>
        <v>0</v>
      </c>
      <c r="I36" s="835">
        <f t="shared" si="11"/>
        <v>0</v>
      </c>
      <c r="J36" s="835">
        <f t="shared" si="11"/>
        <v>0</v>
      </c>
      <c r="K36" s="1355">
        <f t="shared" si="12"/>
        <v>1.1043995757995617E-4</v>
      </c>
      <c r="L36" s="1301">
        <f t="shared" si="30"/>
        <v>115.37144639074751</v>
      </c>
      <c r="M36" s="577">
        <f t="shared" si="30"/>
        <v>144.22672551612493</v>
      </c>
      <c r="N36" s="586">
        <f t="shared" si="30"/>
        <v>144.22672551612493</v>
      </c>
      <c r="O36" s="1310">
        <f t="shared" si="31"/>
        <v>0</v>
      </c>
      <c r="P36" s="831">
        <f t="shared" si="13"/>
        <v>0</v>
      </c>
      <c r="Q36" s="831">
        <f t="shared" si="13"/>
        <v>0</v>
      </c>
      <c r="R36" s="1313">
        <f t="shared" si="13"/>
        <v>0</v>
      </c>
      <c r="S36" s="580" t="str">
        <f t="shared" si="14"/>
        <v/>
      </c>
      <c r="T36" s="580" t="str">
        <f t="shared" si="14"/>
        <v/>
      </c>
      <c r="U36" s="576" t="str">
        <f t="shared" si="14"/>
        <v/>
      </c>
      <c r="V36" s="579">
        <f t="shared" si="15"/>
        <v>99.197143415654011</v>
      </c>
      <c r="W36" s="580">
        <f t="shared" si="16"/>
        <v>0</v>
      </c>
      <c r="X36" s="581">
        <f t="shared" si="32"/>
        <v>85.933366513401054</v>
      </c>
      <c r="Y36" s="579">
        <f t="shared" si="34"/>
        <v>7.3972593201160901</v>
      </c>
      <c r="Z36" s="580">
        <f t="shared" si="34"/>
        <v>9.0969185467972604</v>
      </c>
      <c r="AA36" s="580">
        <f t="shared" si="34"/>
        <v>10.309876577010778</v>
      </c>
      <c r="AB36" s="580">
        <f t="shared" si="34"/>
        <v>9.7491801012893173</v>
      </c>
      <c r="AC36" s="580">
        <f t="shared" si="34"/>
        <v>8.0941769812991069</v>
      </c>
      <c r="AD36" s="580">
        <f t="shared" si="34"/>
        <v>9.3310233541366738</v>
      </c>
      <c r="AE36" s="581">
        <f t="shared" si="34"/>
        <v>8.7903368470122647</v>
      </c>
      <c r="AF36" s="845">
        <f t="shared" si="18"/>
        <v>1.0552887597410002E-2</v>
      </c>
      <c r="AG36" s="1355">
        <f t="shared" si="35"/>
        <v>0</v>
      </c>
      <c r="AH36" s="835">
        <f t="shared" si="35"/>
        <v>0</v>
      </c>
      <c r="AI36" s="835">
        <f t="shared" si="35"/>
        <v>0</v>
      </c>
      <c r="AJ36" s="835">
        <f t="shared" si="35"/>
        <v>0</v>
      </c>
      <c r="AK36" s="835">
        <f t="shared" si="35"/>
        <v>0</v>
      </c>
      <c r="AL36" s="835">
        <f t="shared" si="35"/>
        <v>0</v>
      </c>
      <c r="AM36" s="835">
        <f t="shared" si="35"/>
        <v>0</v>
      </c>
      <c r="AN36" s="579">
        <f t="shared" si="20"/>
        <v>29.490445438450543</v>
      </c>
      <c r="AO36" s="580">
        <f t="shared" si="20"/>
        <v>24.617773679688678</v>
      </c>
      <c r="AP36" s="580">
        <f t="shared" si="20"/>
        <v>25.446788177215559</v>
      </c>
      <c r="AQ36" s="576">
        <f t="shared" si="21"/>
        <v>1.2738140789664979E-2</v>
      </c>
      <c r="AR36" s="580">
        <f t="shared" si="22"/>
        <v>26.443983661855864</v>
      </c>
      <c r="AS36" s="581">
        <f t="shared" si="23"/>
        <v>41.065032696503444</v>
      </c>
      <c r="AT36" s="579">
        <f t="shared" si="23"/>
        <v>17.832815924259034</v>
      </c>
      <c r="AU36" s="580">
        <f t="shared" si="23"/>
        <v>28.739611114271593</v>
      </c>
      <c r="AV36" s="578">
        <f t="shared" si="24"/>
        <v>8.6468608148846573E-3</v>
      </c>
      <c r="AW36" s="584">
        <f t="shared" si="25"/>
        <v>8.6468608148846573E-3</v>
      </c>
      <c r="AX36" s="582">
        <f t="shared" si="26"/>
        <v>1.0181</v>
      </c>
      <c r="AY36" s="583">
        <f t="shared" si="27"/>
        <v>54.4327494175147</v>
      </c>
      <c r="AZ36" s="578">
        <f t="shared" si="28"/>
        <v>3.6537443963310566E-2</v>
      </c>
      <c r="BA36" s="577">
        <f t="shared" si="28"/>
        <v>3.7316133992992467E-2</v>
      </c>
      <c r="BB36" s="577">
        <f t="shared" si="28"/>
        <v>3.5593528178375619E-2</v>
      </c>
      <c r="BC36" s="584">
        <f t="shared" si="28"/>
        <v>3.5819707795001078E-2</v>
      </c>
      <c r="BE36" s="829"/>
    </row>
    <row r="37" spans="1:57" s="325" customFormat="1" ht="14.25">
      <c r="A37" s="585">
        <f t="shared" si="33"/>
        <v>25</v>
      </c>
      <c r="B37" s="585">
        <f t="shared" si="29"/>
        <v>2045</v>
      </c>
      <c r="C37" s="574">
        <f t="shared" si="10"/>
        <v>9.9327577129905836E-2</v>
      </c>
      <c r="D37" s="575">
        <f t="shared" si="10"/>
        <v>7.9846647203072163E-2</v>
      </c>
      <c r="E37" s="575">
        <f t="shared" si="10"/>
        <v>0.12142017551129475</v>
      </c>
      <c r="F37" s="576">
        <f t="shared" si="10"/>
        <v>9.7395606137550619E-2</v>
      </c>
      <c r="G37" s="1355">
        <f t="shared" si="11"/>
        <v>0</v>
      </c>
      <c r="H37" s="835">
        <f t="shared" si="11"/>
        <v>0</v>
      </c>
      <c r="I37" s="835">
        <f t="shared" si="11"/>
        <v>0</v>
      </c>
      <c r="J37" s="835">
        <f t="shared" si="11"/>
        <v>0</v>
      </c>
      <c r="K37" s="1355">
        <f t="shared" si="12"/>
        <v>1.1043995757995617E-4</v>
      </c>
      <c r="L37" s="1301">
        <f t="shared" si="30"/>
        <v>117.29485263533022</v>
      </c>
      <c r="M37" s="577">
        <f t="shared" si="30"/>
        <v>146.53538421844058</v>
      </c>
      <c r="N37" s="586">
        <f t="shared" si="30"/>
        <v>146.53538421844058</v>
      </c>
      <c r="O37" s="1311">
        <f t="shared" si="31"/>
        <v>0</v>
      </c>
      <c r="P37" s="831">
        <f t="shared" si="13"/>
        <v>0</v>
      </c>
      <c r="Q37" s="831">
        <f t="shared" si="13"/>
        <v>0</v>
      </c>
      <c r="R37" s="1314">
        <f t="shared" si="13"/>
        <v>0</v>
      </c>
      <c r="S37" s="580" t="str">
        <f t="shared" si="14"/>
        <v/>
      </c>
      <c r="T37" s="580" t="str">
        <f t="shared" si="14"/>
        <v/>
      </c>
      <c r="U37" s="576" t="str">
        <f t="shared" si="14"/>
        <v/>
      </c>
      <c r="V37" s="579">
        <f t="shared" si="15"/>
        <v>99.197143415654011</v>
      </c>
      <c r="W37" s="580">
        <f t="shared" si="16"/>
        <v>0</v>
      </c>
      <c r="X37" s="581">
        <f t="shared" si="32"/>
        <v>85.933366513401054</v>
      </c>
      <c r="Y37" s="579">
        <f t="shared" si="34"/>
        <v>7.4431380772793831</v>
      </c>
      <c r="Z37" s="580">
        <f t="shared" si="34"/>
        <v>9.13835957000577</v>
      </c>
      <c r="AA37" s="580">
        <f t="shared" si="34"/>
        <v>10.350069037965365</v>
      </c>
      <c r="AB37" s="580">
        <f t="shared" si="34"/>
        <v>9.7903658698748384</v>
      </c>
      <c r="AC37" s="580">
        <f t="shared" si="34"/>
        <v>8.1383447238239519</v>
      </c>
      <c r="AD37" s="580">
        <f t="shared" si="34"/>
        <v>9.3724533233266563</v>
      </c>
      <c r="AE37" s="581">
        <f t="shared" si="34"/>
        <v>8.8329308482152467</v>
      </c>
      <c r="AF37" s="845">
        <f t="shared" si="18"/>
        <v>1.0552887597410002E-2</v>
      </c>
      <c r="AG37" s="1355">
        <f t="shared" si="35"/>
        <v>0</v>
      </c>
      <c r="AH37" s="835">
        <f t="shared" si="35"/>
        <v>0</v>
      </c>
      <c r="AI37" s="835">
        <f t="shared" si="35"/>
        <v>0</v>
      </c>
      <c r="AJ37" s="835">
        <f t="shared" si="35"/>
        <v>0</v>
      </c>
      <c r="AK37" s="835">
        <f t="shared" si="35"/>
        <v>0</v>
      </c>
      <c r="AL37" s="835">
        <f t="shared" si="35"/>
        <v>0</v>
      </c>
      <c r="AM37" s="835">
        <f t="shared" si="35"/>
        <v>0</v>
      </c>
      <c r="AN37" s="579">
        <f t="shared" si="20"/>
        <v>29.587420843015355</v>
      </c>
      <c r="AO37" s="580">
        <f t="shared" si="20"/>
        <v>24.721067038357706</v>
      </c>
      <c r="AP37" s="580">
        <f t="shared" si="20"/>
        <v>25.560652957010817</v>
      </c>
      <c r="AQ37" s="576">
        <f t="shared" si="21"/>
        <v>1.2738140789664979E-2</v>
      </c>
      <c r="AR37" s="580">
        <f t="shared" si="22"/>
        <v>26.530941182360799</v>
      </c>
      <c r="AS37" s="581">
        <f t="shared" si="23"/>
        <v>41.199178065464679</v>
      </c>
      <c r="AT37" s="579">
        <f t="shared" si="23"/>
        <v>17.89145676582903</v>
      </c>
      <c r="AU37" s="580">
        <f t="shared" si="23"/>
        <v>28.83411750009946</v>
      </c>
      <c r="AV37" s="578">
        <f t="shared" si="24"/>
        <v>8.6468608148846573E-3</v>
      </c>
      <c r="AW37" s="584">
        <f t="shared" si="25"/>
        <v>8.6468608148846573E-3</v>
      </c>
      <c r="AX37" s="582">
        <f t="shared" si="26"/>
        <v>1.0181</v>
      </c>
      <c r="AY37" s="583">
        <f t="shared" si="27"/>
        <v>57.703948300778805</v>
      </c>
      <c r="AZ37" s="578">
        <f t="shared" si="28"/>
        <v>3.6143516664472193E-2</v>
      </c>
      <c r="BA37" s="577">
        <f t="shared" si="28"/>
        <v>3.691381127217732E-2</v>
      </c>
      <c r="BB37" s="577">
        <f t="shared" si="28"/>
        <v>3.5209777677779178E-2</v>
      </c>
      <c r="BC37" s="584">
        <f t="shared" si="28"/>
        <v>3.5433518746007024E-2</v>
      </c>
      <c r="BE37" s="829"/>
    </row>
    <row r="38" spans="1:57" ht="20.25">
      <c r="A38" s="1498" t="str">
        <f>Year2&amp;", "&amp;Year2&amp;"$"</f>
        <v>2022, 2022$</v>
      </c>
      <c r="B38" s="1499"/>
      <c r="C38" s="571"/>
      <c r="D38" s="571"/>
      <c r="E38" s="571"/>
      <c r="F38" s="571"/>
      <c r="G38" s="1356" t="s">
        <v>727</v>
      </c>
      <c r="H38" s="1300"/>
      <c r="I38" s="1300"/>
      <c r="J38" s="1300"/>
      <c r="K38" s="1356" t="s">
        <v>727</v>
      </c>
      <c r="L38" s="1300"/>
      <c r="M38" s="1300"/>
      <c r="N38" s="1300"/>
      <c r="O38" s="571"/>
      <c r="P38" s="830" t="s">
        <v>727</v>
      </c>
      <c r="Q38" s="830" t="s">
        <v>727</v>
      </c>
      <c r="R38" s="830" t="s">
        <v>727</v>
      </c>
      <c r="S38" s="1300"/>
      <c r="T38" s="1300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830" t="s">
        <v>727</v>
      </c>
      <c r="AG38" s="830" t="s">
        <v>727</v>
      </c>
      <c r="AH38" s="571"/>
      <c r="AI38" s="571"/>
      <c r="AJ38" s="571"/>
      <c r="AK38" s="571"/>
      <c r="AL38" s="571"/>
      <c r="AM38" s="571"/>
      <c r="AN38" s="571"/>
      <c r="AO38" s="571"/>
      <c r="AP38" s="571"/>
      <c r="AQ38" s="571"/>
      <c r="AR38" s="571"/>
      <c r="AS38" s="571"/>
      <c r="AT38" s="571"/>
      <c r="AU38" s="571"/>
      <c r="AV38" s="571"/>
      <c r="AW38" s="571"/>
      <c r="AX38" s="571"/>
      <c r="AY38" s="571"/>
      <c r="AZ38" s="571"/>
      <c r="BA38" s="571"/>
      <c r="BB38" s="571"/>
      <c r="BC38" s="572"/>
      <c r="BE38" s="829"/>
    </row>
    <row r="39" spans="1:57" s="201" customFormat="1" ht="14.25">
      <c r="A39" s="573">
        <v>1</v>
      </c>
      <c r="B39" s="573">
        <f>Year2</f>
        <v>2022</v>
      </c>
      <c r="C39" s="574">
        <f t="shared" ref="C39:F63" si="36">VLOOKUP($B39,$B$184:$CR$216,C$5,FALSE)*(1+Inflation2)^(Year2-Real_Year)</f>
        <v>7.2501082954360266E-2</v>
      </c>
      <c r="D39" s="575">
        <f t="shared" si="36"/>
        <v>6.6392903322285063E-2</v>
      </c>
      <c r="E39" s="575">
        <f t="shared" si="36"/>
        <v>6.1597788642463812E-2</v>
      </c>
      <c r="F39" s="576">
        <f t="shared" si="36"/>
        <v>5.0825532040358834E-2</v>
      </c>
      <c r="G39" s="1355">
        <f t="shared" ref="G39:J63" si="37">IF(ED="Yes",VLOOKUP($B39-3,$B$184:$CK$216,G$5,FALSE)*(1+Inflation2)^(Year2-Real_Year),"")</f>
        <v>4.5599812165490671E-3</v>
      </c>
      <c r="H39" s="835">
        <f t="shared" si="37"/>
        <v>3.3098335268113644E-3</v>
      </c>
      <c r="I39" s="835">
        <f t="shared" si="37"/>
        <v>2.9070584093030261E-3</v>
      </c>
      <c r="J39" s="835">
        <f t="shared" si="37"/>
        <v>2.0716869756363093E-3</v>
      </c>
      <c r="K39" s="1355">
        <f t="shared" ref="K39:K63" si="38">IF(ECD="Yes",VLOOKUP($B39-3,$B$184:$CK$216,K$5,FALSE)*(1+Inflation2)^(Year2-Real_Year),"")</f>
        <v>1.7395390478248042E-3</v>
      </c>
      <c r="L39" s="1318">
        <f t="shared" ref="L39:N63" si="39">VLOOKUP($B39,$B$184:$CR$216,L$5,FALSE)*(1+Inflation2)^(Year2-Real_Year)</f>
        <v>66.131917537540417</v>
      </c>
      <c r="M39" s="580">
        <f t="shared" si="39"/>
        <v>0</v>
      </c>
      <c r="N39" s="580">
        <f t="shared" si="39"/>
        <v>0</v>
      </c>
      <c r="O39" s="1309">
        <f t="shared" ref="O39:O63" si="40">0*((1+Inflation2)^(Year2-Real_Year))</f>
        <v>0</v>
      </c>
      <c r="P39" s="831">
        <f t="shared" ref="P39:R63" si="41">IF(CD="Yes",VLOOKUP($B39-3,$B$184:$CR$216,P$5,FALSE)*(1+Inflation2)^(Year2-Real_Year),"")</f>
        <v>35.650376820083252</v>
      </c>
      <c r="Q39" s="831">
        <f t="shared" si="41"/>
        <v>0</v>
      </c>
      <c r="R39" s="1312">
        <f t="shared" si="41"/>
        <v>0</v>
      </c>
      <c r="S39" s="580" t="str">
        <f t="shared" ref="S39:U63" si="42">IF(Reliability="Yes",VLOOKUP($B39,$B$184:$CR$216,S$5,FALSE)*(1+Inflation2)^(Year2-Real_Year),"")</f>
        <v/>
      </c>
      <c r="T39" s="580" t="str">
        <f t="shared" si="42"/>
        <v/>
      </c>
      <c r="U39" s="576" t="str">
        <f t="shared" si="42"/>
        <v/>
      </c>
      <c r="V39" s="579">
        <f t="shared" ref="V39:V63" si="43">PTFyear2*(1+Inflation2)^(Year2-PTF_Year)</f>
        <v>100.99261171147735</v>
      </c>
      <c r="W39" s="580">
        <f t="shared" ref="W39:W63" si="44">transmissionyear2*(1+Inflation2)^(Year2-TD_Year)</f>
        <v>0</v>
      </c>
      <c r="X39" s="581">
        <f t="shared" ref="X39:X63" si="45">distributionyear2*(1+Inflation2)^(Year2-TD_Year)</f>
        <v>87.488760447293615</v>
      </c>
      <c r="Y39" s="579">
        <f t="shared" ref="Y39:AE48" si="46">VLOOKUP($B39,$B$228:$AG$260,Y$5,FALSE)*(1+Inflation2)^(Year2-Real_Year)</f>
        <v>6.4749463730376906</v>
      </c>
      <c r="Z39" s="580">
        <f t="shared" si="46"/>
        <v>8.2902001314460172</v>
      </c>
      <c r="AA39" s="580">
        <f t="shared" si="46"/>
        <v>9.5475932744787109</v>
      </c>
      <c r="AB39" s="580">
        <f t="shared" si="46"/>
        <v>8.956793458891914</v>
      </c>
      <c r="AC39" s="580">
        <f t="shared" si="46"/>
        <v>7.2155926365538781</v>
      </c>
      <c r="AD39" s="580">
        <f t="shared" si="46"/>
        <v>8.527599898748365</v>
      </c>
      <c r="AE39" s="581">
        <f t="shared" si="46"/>
        <v>7.9542527251693738</v>
      </c>
      <c r="AF39" s="1359">
        <f t="shared" ref="AF39:AF63" si="47">IF(GD="Yes",VLOOKUP($B39-4,$B$228:$AG$260,AF$5,FALSE)*(1+Inflation2)^(Year2-Real_Year),"")</f>
        <v>0</v>
      </c>
      <c r="AG39" s="1357">
        <f t="shared" ref="AG39:AM48" si="48">IF(GECD="Yes",VLOOKUP($B39-4,$B$228:$AG$260,AG$5,FALSE)*(1+Inflation2)^(Year2-Real_Year),"")</f>
        <v>0.26859737157307806</v>
      </c>
      <c r="AH39" s="841">
        <f t="shared" si="48"/>
        <v>0.26859737157307806</v>
      </c>
      <c r="AI39" s="841">
        <f t="shared" si="48"/>
        <v>0.50496305855738677</v>
      </c>
      <c r="AJ39" s="841">
        <f t="shared" si="48"/>
        <v>0.42223506811287875</v>
      </c>
      <c r="AK39" s="841">
        <f t="shared" si="48"/>
        <v>0.26859737157307806</v>
      </c>
      <c r="AL39" s="841">
        <f t="shared" si="48"/>
        <v>0.50496305855738677</v>
      </c>
      <c r="AM39" s="842">
        <f t="shared" si="48"/>
        <v>0.40167125334524384</v>
      </c>
      <c r="AN39" s="579">
        <f t="shared" ref="AN39:AP63" si="49">VLOOKUP($B39,$B$275:$W$307,AN$5,FALSE)*(1+Inflation2)^(Year2-Real_Year)</f>
        <v>22.504877124035282</v>
      </c>
      <c r="AO39" s="580">
        <f t="shared" si="49"/>
        <v>18.587501382050249</v>
      </c>
      <c r="AP39" s="580">
        <f t="shared" si="49"/>
        <v>19.028143585785585</v>
      </c>
      <c r="AQ39" s="576">
        <f t="shared" ref="AQ39:AQ63" si="50">IF(OilDRIPE="Yes",VLOOKUP($B39,$B$275:$W$307,AQ$5,FALSE)*(1+Inflation2)^(Year2-Real_Year),"")</f>
        <v>1.2579216025879974E-2</v>
      </c>
      <c r="AR39" s="580">
        <f t="shared" ref="AR39:AR63" si="51">VLOOKUP($B39,$B$275:$W$307,AR$5,FALSE)*(1+Inflation2)^(Year2-Real_Year)</f>
        <v>20.180047948822398</v>
      </c>
      <c r="AS39" s="581">
        <f t="shared" ref="AS39:AU63" si="52">VLOOKUP($B39,$B$275:$N$307,AS$5,FALSE)*(1+Inflation2)^(Year2-Real_Year)</f>
        <v>32.3203112698898</v>
      </c>
      <c r="AT39" s="579">
        <f t="shared" si="52"/>
        <v>13.608656131986706</v>
      </c>
      <c r="AU39" s="580">
        <f t="shared" si="52"/>
        <v>21.93189716544423</v>
      </c>
      <c r="AV39" s="578">
        <f t="shared" ref="AV39:AV63" si="53">reswater2*(1+Inflation2)^(Year2-Wt_Year)</f>
        <v>8.8033689956340689E-3</v>
      </c>
      <c r="AW39" s="584">
        <f t="shared" ref="AW39:AW63" si="54">ciwater2*(1+Inflation2)^(Year2-Wt_Year)</f>
        <v>8.8033689956340689E-3</v>
      </c>
      <c r="AX39" s="582">
        <f t="shared" ref="AX39:AX63" si="55">1*(1+Inflation2)</f>
        <v>1.0181</v>
      </c>
      <c r="AY39" s="583">
        <f t="shared" ref="AY39:AY63" si="56">IF(RGGI="Yes",VLOOKUP($B39,B$228:AG$260,AY$5,FALSE)*(1+Inflation2)^(Year2-Real_Year),0)</f>
        <v>13.987711848814977</v>
      </c>
      <c r="AZ39" s="578">
        <f t="shared" ref="AZ39:BC63" si="57">IF(EE="YES",VLOOKUP($B39,$B$184:$CR$216,AZ$5,FALSE)*(1+Inflation2)^(Year2-Real_Year),"")</f>
        <v>4.6182437516490663E-2</v>
      </c>
      <c r="BA39" s="577">
        <f t="shared" si="57"/>
        <v>4.716668271099881E-2</v>
      </c>
      <c r="BB39" s="577">
        <f t="shared" si="57"/>
        <v>4.498935099948196E-2</v>
      </c>
      <c r="BC39" s="584">
        <f t="shared" si="57"/>
        <v>4.5275236515250346E-2</v>
      </c>
      <c r="BE39" s="829"/>
    </row>
    <row r="40" spans="1:57" s="325" customFormat="1" ht="14.25">
      <c r="A40" s="585">
        <v>2</v>
      </c>
      <c r="B40" s="585">
        <f t="shared" ref="B40:B63" si="58">B39+1</f>
        <v>2023</v>
      </c>
      <c r="C40" s="574">
        <f t="shared" si="36"/>
        <v>7.480799846294231E-2</v>
      </c>
      <c r="D40" s="575">
        <f t="shared" si="36"/>
        <v>6.6919458727431269E-2</v>
      </c>
      <c r="E40" s="575">
        <f t="shared" si="36"/>
        <v>5.8545829405605397E-2</v>
      </c>
      <c r="F40" s="576">
        <f t="shared" si="36"/>
        <v>4.7392895530354799E-2</v>
      </c>
      <c r="G40" s="1355">
        <f t="shared" si="37"/>
        <v>7.5374059465286329E-3</v>
      </c>
      <c r="H40" s="835">
        <f t="shared" si="37"/>
        <v>5.6125999363737279E-3</v>
      </c>
      <c r="I40" s="835">
        <f t="shared" si="37"/>
        <v>5.2803779275738295E-3</v>
      </c>
      <c r="J40" s="835">
        <f t="shared" si="37"/>
        <v>3.6399089581600668E-3</v>
      </c>
      <c r="K40" s="1355">
        <f t="shared" si="38"/>
        <v>2.7188868226341724E-3</v>
      </c>
      <c r="L40" s="1318">
        <f t="shared" si="39"/>
        <v>67.510144370556191</v>
      </c>
      <c r="M40" s="580">
        <f t="shared" si="39"/>
        <v>26.201222790718585</v>
      </c>
      <c r="N40" s="580">
        <f t="shared" si="39"/>
        <v>26.201222790718585</v>
      </c>
      <c r="O40" s="581">
        <f t="shared" si="40"/>
        <v>0</v>
      </c>
      <c r="P40" s="831">
        <f t="shared" si="41"/>
        <v>44.481351005311993</v>
      </c>
      <c r="Q40" s="831">
        <f t="shared" si="41"/>
        <v>0</v>
      </c>
      <c r="R40" s="1313">
        <f t="shared" si="41"/>
        <v>0</v>
      </c>
      <c r="S40" s="580" t="str">
        <f t="shared" si="42"/>
        <v/>
      </c>
      <c r="T40" s="580" t="str">
        <f t="shared" si="42"/>
        <v/>
      </c>
      <c r="U40" s="576" t="str">
        <f t="shared" si="42"/>
        <v/>
      </c>
      <c r="V40" s="579">
        <f t="shared" si="43"/>
        <v>100.99261171147735</v>
      </c>
      <c r="W40" s="580">
        <f t="shared" si="44"/>
        <v>0</v>
      </c>
      <c r="X40" s="581">
        <f t="shared" si="45"/>
        <v>87.488760447293615</v>
      </c>
      <c r="Y40" s="579">
        <f t="shared" si="46"/>
        <v>6.4942909893680385</v>
      </c>
      <c r="Z40" s="580">
        <f t="shared" si="46"/>
        <v>8.3039189237506683</v>
      </c>
      <c r="AA40" s="580">
        <f t="shared" si="46"/>
        <v>9.5598502555103391</v>
      </c>
      <c r="AB40" s="580">
        <f t="shared" si="46"/>
        <v>8.9704059474729547</v>
      </c>
      <c r="AC40" s="580">
        <f t="shared" si="46"/>
        <v>7.2327820353393735</v>
      </c>
      <c r="AD40" s="580">
        <f t="shared" si="46"/>
        <v>8.5413830964937851</v>
      </c>
      <c r="AE40" s="581">
        <f t="shared" si="46"/>
        <v>7.9695244327693073</v>
      </c>
      <c r="AF40" s="845">
        <f t="shared" si="47"/>
        <v>0</v>
      </c>
      <c r="AG40" s="1355">
        <f t="shared" si="48"/>
        <v>0.41901189965400176</v>
      </c>
      <c r="AH40" s="835">
        <f t="shared" si="48"/>
        <v>0.41901189965400176</v>
      </c>
      <c r="AI40" s="835">
        <f t="shared" si="48"/>
        <v>0.79504821985631102</v>
      </c>
      <c r="AJ40" s="835">
        <f t="shared" si="48"/>
        <v>0.66343550778550275</v>
      </c>
      <c r="AK40" s="835">
        <f t="shared" si="48"/>
        <v>0.41901189965400176</v>
      </c>
      <c r="AL40" s="835">
        <f t="shared" si="48"/>
        <v>0.79504821985631102</v>
      </c>
      <c r="AM40" s="843">
        <f t="shared" si="48"/>
        <v>0.63072034792790188</v>
      </c>
      <c r="AN40" s="579">
        <f t="shared" si="49"/>
        <v>24.613458782739134</v>
      </c>
      <c r="AO40" s="580">
        <f t="shared" si="49"/>
        <v>20.361517873025097</v>
      </c>
      <c r="AP40" s="580">
        <f t="shared" si="49"/>
        <v>20.868390603474854</v>
      </c>
      <c r="AQ40" s="576">
        <f t="shared" si="50"/>
        <v>1.2625221301618791E-2</v>
      </c>
      <c r="AR40" s="580">
        <f t="shared" si="51"/>
        <v>22.070806060592147</v>
      </c>
      <c r="AS40" s="581">
        <f t="shared" si="52"/>
        <v>35.304532645505006</v>
      </c>
      <c r="AT40" s="579">
        <f t="shared" si="52"/>
        <v>14.883711426061986</v>
      </c>
      <c r="AU40" s="580">
        <f t="shared" si="52"/>
        <v>23.986793792906578</v>
      </c>
      <c r="AV40" s="578">
        <f t="shared" si="53"/>
        <v>8.8033689956340689E-3</v>
      </c>
      <c r="AW40" s="584">
        <f t="shared" si="54"/>
        <v>8.8033689956340689E-3</v>
      </c>
      <c r="AX40" s="582">
        <f t="shared" si="55"/>
        <v>1.0181</v>
      </c>
      <c r="AY40" s="583">
        <f t="shared" si="56"/>
        <v>14.787009668747261</v>
      </c>
      <c r="AZ40" s="578">
        <f t="shared" si="57"/>
        <v>4.5955359604801835E-2</v>
      </c>
      <c r="BA40" s="577">
        <f t="shared" si="57"/>
        <v>4.6934765289847559E-2</v>
      </c>
      <c r="BB40" s="577">
        <f t="shared" si="57"/>
        <v>4.4768139464912128E-2</v>
      </c>
      <c r="BC40" s="584">
        <f t="shared" si="57"/>
        <v>4.5052619288616737E-2</v>
      </c>
      <c r="BE40" s="829"/>
    </row>
    <row r="41" spans="1:57" s="325" customFormat="1" ht="14.25">
      <c r="A41" s="585">
        <f t="shared" ref="A41:A63" si="59">A40+1</f>
        <v>3</v>
      </c>
      <c r="B41" s="585">
        <f t="shared" si="58"/>
        <v>2024</v>
      </c>
      <c r="C41" s="574">
        <f t="shared" si="36"/>
        <v>7.8201720128734942E-2</v>
      </c>
      <c r="D41" s="575">
        <f t="shared" si="36"/>
        <v>7.3786426890227255E-2</v>
      </c>
      <c r="E41" s="575">
        <f t="shared" si="36"/>
        <v>5.6898711276409608E-2</v>
      </c>
      <c r="F41" s="576">
        <f t="shared" si="36"/>
        <v>5.2416689450371569E-2</v>
      </c>
      <c r="G41" s="1355">
        <f t="shared" si="37"/>
        <v>8.4219617651990382E-3</v>
      </c>
      <c r="H41" s="835">
        <f t="shared" si="37"/>
        <v>6.2682287419478233E-3</v>
      </c>
      <c r="I41" s="835">
        <f t="shared" si="37"/>
        <v>6.8858625424557153E-3</v>
      </c>
      <c r="J41" s="835">
        <f t="shared" si="37"/>
        <v>4.5784581756471363E-3</v>
      </c>
      <c r="K41" s="1355">
        <f t="shared" si="38"/>
        <v>2.7859447136830578E-3</v>
      </c>
      <c r="L41" s="1318">
        <f t="shared" si="39"/>
        <v>70.335509378238541</v>
      </c>
      <c r="M41" s="580">
        <f t="shared" si="39"/>
        <v>45.419104539430791</v>
      </c>
      <c r="N41" s="580">
        <f t="shared" si="39"/>
        <v>45.419104539430791</v>
      </c>
      <c r="O41" s="581">
        <f t="shared" si="40"/>
        <v>0</v>
      </c>
      <c r="P41" s="831">
        <f t="shared" si="41"/>
        <v>8.0054732609126429</v>
      </c>
      <c r="Q41" s="831">
        <f t="shared" si="41"/>
        <v>0</v>
      </c>
      <c r="R41" s="1313">
        <f t="shared" si="41"/>
        <v>0</v>
      </c>
      <c r="S41" s="580" t="str">
        <f t="shared" si="42"/>
        <v/>
      </c>
      <c r="T41" s="580" t="str">
        <f t="shared" si="42"/>
        <v/>
      </c>
      <c r="U41" s="576" t="str">
        <f t="shared" si="42"/>
        <v/>
      </c>
      <c r="V41" s="579">
        <f t="shared" si="43"/>
        <v>100.99261171147735</v>
      </c>
      <c r="W41" s="580">
        <f t="shared" si="44"/>
        <v>0</v>
      </c>
      <c r="X41" s="581">
        <f t="shared" si="45"/>
        <v>87.488760447293615</v>
      </c>
      <c r="Y41" s="579">
        <f t="shared" si="46"/>
        <v>6.5874502085016218</v>
      </c>
      <c r="Z41" s="580">
        <f t="shared" si="46"/>
        <v>8.3947047809561592</v>
      </c>
      <c r="AA41" s="580">
        <f t="shared" si="46"/>
        <v>9.6500414158819527</v>
      </c>
      <c r="AB41" s="580">
        <f t="shared" si="46"/>
        <v>9.06116125602564</v>
      </c>
      <c r="AC41" s="580">
        <f t="shared" si="46"/>
        <v>7.325245369238667</v>
      </c>
      <c r="AD41" s="580">
        <f t="shared" si="46"/>
        <v>8.6322481261829722</v>
      </c>
      <c r="AE41" s="581">
        <f t="shared" si="46"/>
        <v>8.0610879213983093</v>
      </c>
      <c r="AF41" s="845">
        <f t="shared" si="47"/>
        <v>0</v>
      </c>
      <c r="AG41" s="1355">
        <f t="shared" si="48"/>
        <v>0.47273137396861736</v>
      </c>
      <c r="AH41" s="835">
        <f t="shared" si="48"/>
        <v>0.47273137396861736</v>
      </c>
      <c r="AI41" s="835">
        <f t="shared" si="48"/>
        <v>0.87025548389677299</v>
      </c>
      <c r="AJ41" s="835">
        <f t="shared" si="48"/>
        <v>0.73112204542191861</v>
      </c>
      <c r="AK41" s="835">
        <f t="shared" si="48"/>
        <v>0.47273137396861736</v>
      </c>
      <c r="AL41" s="835">
        <f t="shared" si="48"/>
        <v>0.87025548389677299</v>
      </c>
      <c r="AM41" s="843">
        <f t="shared" si="48"/>
        <v>0.69653744785816885</v>
      </c>
      <c r="AN41" s="579">
        <f t="shared" si="49"/>
        <v>24.959954590874382</v>
      </c>
      <c r="AO41" s="580">
        <f t="shared" si="49"/>
        <v>20.654679038863538</v>
      </c>
      <c r="AP41" s="580">
        <f t="shared" si="49"/>
        <v>21.183063075264997</v>
      </c>
      <c r="AQ41" s="576">
        <f t="shared" si="50"/>
        <v>1.2679932249861086E-2</v>
      </c>
      <c r="AR41" s="580">
        <f t="shared" si="51"/>
        <v>22.381507691340776</v>
      </c>
      <c r="AS41" s="581">
        <f t="shared" si="52"/>
        <v>35.461341992635923</v>
      </c>
      <c r="AT41" s="579">
        <f t="shared" si="52"/>
        <v>15.09323677819339</v>
      </c>
      <c r="AU41" s="580">
        <f t="shared" si="52"/>
        <v>24.324467728667095</v>
      </c>
      <c r="AV41" s="578">
        <f t="shared" si="53"/>
        <v>8.8033689956340689E-3</v>
      </c>
      <c r="AW41" s="584">
        <f t="shared" si="54"/>
        <v>8.8033689956340689E-3</v>
      </c>
      <c r="AX41" s="582">
        <f t="shared" si="55"/>
        <v>1.0181</v>
      </c>
      <c r="AY41" s="583">
        <f t="shared" si="56"/>
        <v>15.985956398645687</v>
      </c>
      <c r="AZ41" s="578">
        <f t="shared" si="57"/>
        <v>4.555877363088006E-2</v>
      </c>
      <c r="BA41" s="577">
        <f t="shared" si="57"/>
        <v>4.6529727231972823E-2</v>
      </c>
      <c r="BB41" s="577">
        <f t="shared" si="57"/>
        <v>4.4381798973987044E-2</v>
      </c>
      <c r="BC41" s="584">
        <f t="shared" si="57"/>
        <v>4.4663823791161079E-2</v>
      </c>
      <c r="BE41" s="829"/>
    </row>
    <row r="42" spans="1:57" s="325" customFormat="1" ht="14.25">
      <c r="A42" s="585">
        <f t="shared" si="59"/>
        <v>4</v>
      </c>
      <c r="B42" s="585">
        <f t="shared" si="58"/>
        <v>2025</v>
      </c>
      <c r="C42" s="574">
        <f t="shared" si="36"/>
        <v>7.3207062353831925E-2</v>
      </c>
      <c r="D42" s="575">
        <f t="shared" si="36"/>
        <v>6.9550125216433334E-2</v>
      </c>
      <c r="E42" s="575">
        <f t="shared" si="36"/>
        <v>5.8601729087087835E-2</v>
      </c>
      <c r="F42" s="576">
        <f t="shared" si="36"/>
        <v>5.2980563040019565E-2</v>
      </c>
      <c r="G42" s="1355">
        <f t="shared" si="37"/>
        <v>8.4235822747719177E-3</v>
      </c>
      <c r="H42" s="835">
        <f t="shared" si="37"/>
        <v>6.0624773527377497E-3</v>
      </c>
      <c r="I42" s="835">
        <f t="shared" si="37"/>
        <v>6.808947005985915E-3</v>
      </c>
      <c r="J42" s="835">
        <f t="shared" si="37"/>
        <v>4.328743184668595E-3</v>
      </c>
      <c r="K42" s="1355">
        <f t="shared" si="38"/>
        <v>2.7897636688190559E-3</v>
      </c>
      <c r="L42" s="1318">
        <f t="shared" si="39"/>
        <v>75.400492989571532</v>
      </c>
      <c r="M42" s="580">
        <f t="shared" si="39"/>
        <v>67.934080415271936</v>
      </c>
      <c r="N42" s="580">
        <f t="shared" si="39"/>
        <v>67.934080415271936</v>
      </c>
      <c r="O42" s="581">
        <f t="shared" si="40"/>
        <v>0</v>
      </c>
      <c r="P42" s="831">
        <f t="shared" si="41"/>
        <v>6.0499087690607283</v>
      </c>
      <c r="Q42" s="831">
        <f t="shared" si="41"/>
        <v>0</v>
      </c>
      <c r="R42" s="1313">
        <f t="shared" si="41"/>
        <v>0</v>
      </c>
      <c r="S42" s="580" t="str">
        <f t="shared" si="42"/>
        <v/>
      </c>
      <c r="T42" s="580" t="str">
        <f t="shared" si="42"/>
        <v/>
      </c>
      <c r="U42" s="576" t="str">
        <f t="shared" si="42"/>
        <v/>
      </c>
      <c r="V42" s="579">
        <f t="shared" si="43"/>
        <v>100.99261171147735</v>
      </c>
      <c r="W42" s="580">
        <f t="shared" si="44"/>
        <v>0</v>
      </c>
      <c r="X42" s="581">
        <f t="shared" si="45"/>
        <v>87.488760447293615</v>
      </c>
      <c r="Y42" s="579">
        <f t="shared" si="46"/>
        <v>6.6128302060172794</v>
      </c>
      <c r="Z42" s="580">
        <f t="shared" si="46"/>
        <v>8.4146491849390603</v>
      </c>
      <c r="AA42" s="580">
        <f t="shared" si="46"/>
        <v>9.6685711303835618</v>
      </c>
      <c r="AB42" s="580">
        <f t="shared" si="46"/>
        <v>9.0810014508756147</v>
      </c>
      <c r="AC42" s="580">
        <f t="shared" si="46"/>
        <v>7.3485540899317012</v>
      </c>
      <c r="AD42" s="580">
        <f t="shared" si="46"/>
        <v>8.652253910957997</v>
      </c>
      <c r="AE42" s="581">
        <f t="shared" si="46"/>
        <v>8.0825370891695041</v>
      </c>
      <c r="AF42" s="845">
        <f t="shared" si="47"/>
        <v>1.0743894862923122E-2</v>
      </c>
      <c r="AG42" s="1355">
        <f t="shared" si="48"/>
        <v>0.47273137396861736</v>
      </c>
      <c r="AH42" s="835">
        <f t="shared" si="48"/>
        <v>0.47273137396861736</v>
      </c>
      <c r="AI42" s="835">
        <f t="shared" si="48"/>
        <v>0.88099937875969603</v>
      </c>
      <c r="AJ42" s="835">
        <f t="shared" si="48"/>
        <v>0.73810557708281854</v>
      </c>
      <c r="AK42" s="835">
        <f t="shared" si="48"/>
        <v>0.47273137396861736</v>
      </c>
      <c r="AL42" s="835">
        <f t="shared" si="48"/>
        <v>0.88099937875969603</v>
      </c>
      <c r="AM42" s="843">
        <f t="shared" si="48"/>
        <v>0.70258626066599461</v>
      </c>
      <c r="AN42" s="579">
        <f t="shared" si="49"/>
        <v>25.473591601088479</v>
      </c>
      <c r="AO42" s="580">
        <f t="shared" si="49"/>
        <v>21.192128343982279</v>
      </c>
      <c r="AP42" s="580">
        <f t="shared" si="49"/>
        <v>21.769457360407966</v>
      </c>
      <c r="AQ42" s="576">
        <f t="shared" si="50"/>
        <v>1.2871194302494388E-2</v>
      </c>
      <c r="AR42" s="580">
        <f t="shared" si="51"/>
        <v>22.842084278241586</v>
      </c>
      <c r="AS42" s="581">
        <f t="shared" si="52"/>
        <v>35.388079966918852</v>
      </c>
      <c r="AT42" s="579">
        <f t="shared" si="52"/>
        <v>15.403832095383553</v>
      </c>
      <c r="AU42" s="580">
        <f t="shared" si="52"/>
        <v>24.825027408522029</v>
      </c>
      <c r="AV42" s="578">
        <f t="shared" si="53"/>
        <v>8.8033689956340689E-3</v>
      </c>
      <c r="AW42" s="584">
        <f t="shared" si="54"/>
        <v>8.8033689956340689E-3</v>
      </c>
      <c r="AX42" s="582">
        <f t="shared" si="55"/>
        <v>1.0181</v>
      </c>
      <c r="AY42" s="583">
        <f t="shared" si="56"/>
        <v>17.184903128544114</v>
      </c>
      <c r="AZ42" s="578">
        <f t="shared" si="57"/>
        <v>4.5180264740070197E-2</v>
      </c>
      <c r="BA42" s="577">
        <f t="shared" si="57"/>
        <v>4.6143151517996146E-2</v>
      </c>
      <c r="BB42" s="577">
        <f t="shared" si="57"/>
        <v>4.4013068559119094E-2</v>
      </c>
      <c r="BC42" s="584">
        <f t="shared" si="57"/>
        <v>4.4292750273258914E-2</v>
      </c>
      <c r="BE42" s="829"/>
    </row>
    <row r="43" spans="1:57" s="325" customFormat="1" ht="14.25">
      <c r="A43" s="585">
        <f t="shared" si="59"/>
        <v>5</v>
      </c>
      <c r="B43" s="585">
        <f t="shared" si="58"/>
        <v>2026</v>
      </c>
      <c r="C43" s="574">
        <f t="shared" si="36"/>
        <v>7.2653916557878173E-2</v>
      </c>
      <c r="D43" s="575">
        <f t="shared" si="36"/>
        <v>6.8415253657693895E-2</v>
      </c>
      <c r="E43" s="575">
        <f t="shared" si="36"/>
        <v>6.2232521473326446E-2</v>
      </c>
      <c r="F43" s="576">
        <f t="shared" si="36"/>
        <v>5.5012819704856102E-2</v>
      </c>
      <c r="G43" s="1355">
        <f t="shared" si="37"/>
        <v>7.8835419735184646E-3</v>
      </c>
      <c r="H43" s="835">
        <f t="shared" si="37"/>
        <v>5.505547302278071E-3</v>
      </c>
      <c r="I43" s="835">
        <f t="shared" si="37"/>
        <v>5.7965893581496432E-3</v>
      </c>
      <c r="J43" s="835">
        <f t="shared" si="37"/>
        <v>3.6297717237861E-3</v>
      </c>
      <c r="K43" s="1355">
        <f t="shared" si="38"/>
        <v>2.03691782744352E-3</v>
      </c>
      <c r="L43" s="1318">
        <f t="shared" si="39"/>
        <v>81.728851197835638</v>
      </c>
      <c r="M43" s="580">
        <f t="shared" si="39"/>
        <v>94.351732345548129</v>
      </c>
      <c r="N43" s="580">
        <f t="shared" si="39"/>
        <v>94.351732345548129</v>
      </c>
      <c r="O43" s="581">
        <f t="shared" si="40"/>
        <v>0</v>
      </c>
      <c r="P43" s="831">
        <f t="shared" si="41"/>
        <v>4.0227693677988432</v>
      </c>
      <c r="Q43" s="831">
        <f t="shared" si="41"/>
        <v>0</v>
      </c>
      <c r="R43" s="1313">
        <f t="shared" si="41"/>
        <v>0</v>
      </c>
      <c r="S43" s="580" t="str">
        <f t="shared" si="42"/>
        <v/>
      </c>
      <c r="T43" s="580" t="str">
        <f t="shared" si="42"/>
        <v/>
      </c>
      <c r="U43" s="576" t="str">
        <f t="shared" si="42"/>
        <v/>
      </c>
      <c r="V43" s="579">
        <f t="shared" si="43"/>
        <v>100.99261171147735</v>
      </c>
      <c r="W43" s="580">
        <f t="shared" si="44"/>
        <v>0</v>
      </c>
      <c r="X43" s="581">
        <f t="shared" si="45"/>
        <v>87.488760447293615</v>
      </c>
      <c r="Y43" s="579">
        <f t="shared" si="46"/>
        <v>6.6964075022153864</v>
      </c>
      <c r="Z43" s="580">
        <f t="shared" si="46"/>
        <v>8.4953241360675165</v>
      </c>
      <c r="AA43" s="580">
        <f t="shared" si="46"/>
        <v>9.7485062679019006</v>
      </c>
      <c r="AB43" s="580">
        <f t="shared" si="46"/>
        <v>9.1616308749179431</v>
      </c>
      <c r="AC43" s="580">
        <f t="shared" si="46"/>
        <v>7.4311975514192881</v>
      </c>
      <c r="AD43" s="580">
        <f t="shared" si="46"/>
        <v>8.733001348053385</v>
      </c>
      <c r="AE43" s="581">
        <f t="shared" si="46"/>
        <v>8.1641130889242834</v>
      </c>
      <c r="AF43" s="845">
        <f t="shared" si="47"/>
        <v>1.0743894862923122E-2</v>
      </c>
      <c r="AG43" s="1355">
        <f t="shared" si="48"/>
        <v>0.42975579451692492</v>
      </c>
      <c r="AH43" s="835">
        <f t="shared" si="48"/>
        <v>0.42975579451692492</v>
      </c>
      <c r="AI43" s="835">
        <f t="shared" si="48"/>
        <v>0.79504821985631102</v>
      </c>
      <c r="AJ43" s="835">
        <f t="shared" si="48"/>
        <v>0.66719587098752586</v>
      </c>
      <c r="AK43" s="835">
        <f t="shared" si="48"/>
        <v>0.42975579451692492</v>
      </c>
      <c r="AL43" s="835">
        <f t="shared" si="48"/>
        <v>0.79504821985631102</v>
      </c>
      <c r="AM43" s="843">
        <f t="shared" si="48"/>
        <v>0.63541542998299927</v>
      </c>
      <c r="AN43" s="579">
        <f t="shared" si="49"/>
        <v>25.872229538712723</v>
      </c>
      <c r="AO43" s="580">
        <f t="shared" si="49"/>
        <v>21.541128643830167</v>
      </c>
      <c r="AP43" s="580">
        <f t="shared" si="49"/>
        <v>22.145573568077584</v>
      </c>
      <c r="AQ43" s="576">
        <f t="shared" si="50"/>
        <v>1.301645672392689E-2</v>
      </c>
      <c r="AR43" s="580">
        <f t="shared" si="51"/>
        <v>23.19954158188024</v>
      </c>
      <c r="AS43" s="581">
        <f t="shared" si="52"/>
        <v>35.45292401270256</v>
      </c>
      <c r="AT43" s="579">
        <f t="shared" si="52"/>
        <v>15.644887693438735</v>
      </c>
      <c r="AU43" s="580">
        <f t="shared" si="52"/>
        <v>25.213515921746673</v>
      </c>
      <c r="AV43" s="578">
        <f t="shared" si="53"/>
        <v>8.8033689956340689E-3</v>
      </c>
      <c r="AW43" s="584">
        <f t="shared" si="54"/>
        <v>8.8033689956340689E-3</v>
      </c>
      <c r="AX43" s="582">
        <f t="shared" si="55"/>
        <v>1.0181</v>
      </c>
      <c r="AY43" s="583">
        <f t="shared" si="56"/>
        <v>18.383849858442542</v>
      </c>
      <c r="AZ43" s="578">
        <f t="shared" si="57"/>
        <v>4.4819276501575071E-2</v>
      </c>
      <c r="BA43" s="577">
        <f t="shared" si="57"/>
        <v>4.5774469858405914E-2</v>
      </c>
      <c r="BB43" s="577">
        <f t="shared" si="57"/>
        <v>4.366140616445785E-2</v>
      </c>
      <c r="BC43" s="584">
        <f t="shared" si="57"/>
        <v>4.3938853234557679E-2</v>
      </c>
      <c r="BE43" s="829"/>
    </row>
    <row r="44" spans="1:57" s="325" customFormat="1" ht="14.25">
      <c r="A44" s="585">
        <f t="shared" si="59"/>
        <v>6</v>
      </c>
      <c r="B44" s="585">
        <f t="shared" si="58"/>
        <v>2027</v>
      </c>
      <c r="C44" s="574">
        <f t="shared" si="36"/>
        <v>7.7225690285967111E-2</v>
      </c>
      <c r="D44" s="575">
        <f t="shared" si="36"/>
        <v>7.2555999331044757E-2</v>
      </c>
      <c r="E44" s="575">
        <f t="shared" si="36"/>
        <v>5.8864975948921185E-2</v>
      </c>
      <c r="F44" s="576">
        <f t="shared" si="36"/>
        <v>5.1488404636522968E-2</v>
      </c>
      <c r="G44" s="1355">
        <f t="shared" si="37"/>
        <v>6.4957108119687839E-3</v>
      </c>
      <c r="H44" s="835">
        <f t="shared" si="37"/>
        <v>4.9123607398501154E-3</v>
      </c>
      <c r="I44" s="835">
        <f t="shared" si="37"/>
        <v>4.3751509714305692E-3</v>
      </c>
      <c r="J44" s="835">
        <f t="shared" si="37"/>
        <v>3.1878896764445832E-3</v>
      </c>
      <c r="K44" s="1355">
        <f t="shared" si="38"/>
        <v>1.3114859038858191E-3</v>
      </c>
      <c r="L44" s="1318">
        <f t="shared" si="39"/>
        <v>88.263943431052112</v>
      </c>
      <c r="M44" s="580">
        <f t="shared" si="39"/>
        <v>112.83055272294898</v>
      </c>
      <c r="N44" s="580">
        <f t="shared" si="39"/>
        <v>112.83055272294898</v>
      </c>
      <c r="O44" s="581">
        <f t="shared" si="40"/>
        <v>0</v>
      </c>
      <c r="P44" s="831">
        <f t="shared" si="41"/>
        <v>0</v>
      </c>
      <c r="Q44" s="831">
        <f t="shared" si="41"/>
        <v>4.2683464689570974</v>
      </c>
      <c r="R44" s="1313">
        <f t="shared" si="41"/>
        <v>4.2683464689570974</v>
      </c>
      <c r="S44" s="580" t="str">
        <f t="shared" si="42"/>
        <v/>
      </c>
      <c r="T44" s="580" t="str">
        <f t="shared" si="42"/>
        <v/>
      </c>
      <c r="U44" s="576" t="str">
        <f t="shared" si="42"/>
        <v/>
      </c>
      <c r="V44" s="579">
        <f t="shared" si="43"/>
        <v>100.99261171147735</v>
      </c>
      <c r="W44" s="580">
        <f t="shared" si="44"/>
        <v>0</v>
      </c>
      <c r="X44" s="581">
        <f t="shared" si="45"/>
        <v>87.488760447293615</v>
      </c>
      <c r="Y44" s="579">
        <f t="shared" si="46"/>
        <v>6.7367239881982632</v>
      </c>
      <c r="Z44" s="580">
        <f t="shared" si="46"/>
        <v>8.5312235383872856</v>
      </c>
      <c r="AA44" s="580">
        <f t="shared" si="46"/>
        <v>9.7832622618050156</v>
      </c>
      <c r="AB44" s="580">
        <f t="shared" si="46"/>
        <v>9.1974496243163522</v>
      </c>
      <c r="AC44" s="580">
        <f t="shared" si="46"/>
        <v>7.4698818610150512</v>
      </c>
      <c r="AD44" s="580">
        <f t="shared" si="46"/>
        <v>8.7689640270320623</v>
      </c>
      <c r="AE44" s="581">
        <f t="shared" si="46"/>
        <v>8.2012651204826277</v>
      </c>
      <c r="AF44" s="845">
        <f t="shared" si="47"/>
        <v>1.0743894862923122E-2</v>
      </c>
      <c r="AG44" s="1355">
        <f t="shared" si="48"/>
        <v>0.31157295102477051</v>
      </c>
      <c r="AH44" s="835">
        <f t="shared" si="48"/>
        <v>0.31157295102477051</v>
      </c>
      <c r="AI44" s="835">
        <f t="shared" si="48"/>
        <v>0.56942642773492547</v>
      </c>
      <c r="AJ44" s="835">
        <f t="shared" si="48"/>
        <v>0.47917771088637129</v>
      </c>
      <c r="AK44" s="835">
        <f t="shared" si="48"/>
        <v>0.31157295102477051</v>
      </c>
      <c r="AL44" s="835">
        <f t="shared" si="48"/>
        <v>0.56942642773492547</v>
      </c>
      <c r="AM44" s="843">
        <f t="shared" si="48"/>
        <v>0.45674445841258771</v>
      </c>
      <c r="AN44" s="579">
        <f t="shared" si="49"/>
        <v>26.084473580671791</v>
      </c>
      <c r="AO44" s="580">
        <f t="shared" si="49"/>
        <v>21.773645000828761</v>
      </c>
      <c r="AP44" s="580">
        <f t="shared" si="49"/>
        <v>22.397625920875495</v>
      </c>
      <c r="AQ44" s="576">
        <f t="shared" si="50"/>
        <v>1.2977643624737963E-2</v>
      </c>
      <c r="AR44" s="580">
        <f t="shared" si="51"/>
        <v>23.38986010350467</v>
      </c>
      <c r="AS44" s="581">
        <f t="shared" si="52"/>
        <v>35.787476387534149</v>
      </c>
      <c r="AT44" s="579">
        <f t="shared" si="52"/>
        <v>15.773231259465101</v>
      </c>
      <c r="AU44" s="580">
        <f t="shared" si="52"/>
        <v>25.420356175819997</v>
      </c>
      <c r="AV44" s="578">
        <f t="shared" si="53"/>
        <v>8.8033689956340689E-3</v>
      </c>
      <c r="AW44" s="584">
        <f t="shared" si="54"/>
        <v>8.8033689956340689E-3</v>
      </c>
      <c r="AX44" s="582">
        <f t="shared" si="55"/>
        <v>1.0181</v>
      </c>
      <c r="AY44" s="583">
        <f t="shared" si="56"/>
        <v>19.582796588340969</v>
      </c>
      <c r="AZ44" s="578">
        <f t="shared" si="57"/>
        <v>4.4488943523903215E-2</v>
      </c>
      <c r="BA44" s="577">
        <f t="shared" si="57"/>
        <v>4.5437096787933735E-2</v>
      </c>
      <c r="BB44" s="577">
        <f t="shared" si="57"/>
        <v>4.3339607076354793E-2</v>
      </c>
      <c r="BC44" s="584">
        <f t="shared" si="57"/>
        <v>4.3615009269250736E-2</v>
      </c>
      <c r="BE44" s="829"/>
    </row>
    <row r="45" spans="1:57" s="325" customFormat="1" ht="14.25">
      <c r="A45" s="585">
        <f t="shared" si="59"/>
        <v>7</v>
      </c>
      <c r="B45" s="585">
        <f t="shared" si="58"/>
        <v>2028</v>
      </c>
      <c r="C45" s="574">
        <f t="shared" si="36"/>
        <v>7.9225224586654236E-2</v>
      </c>
      <c r="D45" s="575">
        <f t="shared" si="36"/>
        <v>7.0121834731782087E-2</v>
      </c>
      <c r="E45" s="575">
        <f t="shared" si="36"/>
        <v>6.3625223123603539E-2</v>
      </c>
      <c r="F45" s="576">
        <f t="shared" si="36"/>
        <v>5.2454067292893564E-2</v>
      </c>
      <c r="G45" s="1355">
        <f t="shared" si="37"/>
        <v>4.6817845645708116E-3</v>
      </c>
      <c r="H45" s="835">
        <f t="shared" si="37"/>
        <v>3.5383097066830466E-3</v>
      </c>
      <c r="I45" s="835">
        <f t="shared" si="37"/>
        <v>3.5376166889171091E-3</v>
      </c>
      <c r="J45" s="835">
        <f t="shared" si="37"/>
        <v>2.5275534088121778E-3</v>
      </c>
      <c r="K45" s="1355">
        <f t="shared" si="38"/>
        <v>9.932089731944586E-4</v>
      </c>
      <c r="L45" s="1318">
        <f t="shared" si="39"/>
        <v>94.741609546226286</v>
      </c>
      <c r="M45" s="580">
        <f t="shared" si="39"/>
        <v>119.44782624799278</v>
      </c>
      <c r="N45" s="580">
        <f t="shared" si="39"/>
        <v>119.44782624799278</v>
      </c>
      <c r="O45" s="581">
        <f t="shared" si="40"/>
        <v>0</v>
      </c>
      <c r="P45" s="831">
        <f t="shared" si="41"/>
        <v>0</v>
      </c>
      <c r="Q45" s="831">
        <f t="shared" si="41"/>
        <v>94.443179770504784</v>
      </c>
      <c r="R45" s="1313">
        <f t="shared" si="41"/>
        <v>94.443179770504784</v>
      </c>
      <c r="S45" s="580" t="str">
        <f t="shared" si="42"/>
        <v/>
      </c>
      <c r="T45" s="580" t="str">
        <f t="shared" si="42"/>
        <v/>
      </c>
      <c r="U45" s="576" t="str">
        <f t="shared" si="42"/>
        <v/>
      </c>
      <c r="V45" s="579">
        <f t="shared" si="43"/>
        <v>100.99261171147735</v>
      </c>
      <c r="W45" s="580">
        <f t="shared" si="44"/>
        <v>0</v>
      </c>
      <c r="X45" s="581">
        <f t="shared" si="45"/>
        <v>87.488760447293615</v>
      </c>
      <c r="Y45" s="579">
        <f t="shared" si="46"/>
        <v>6.8686753665383264</v>
      </c>
      <c r="Z45" s="580">
        <f t="shared" si="46"/>
        <v>8.6629221737773836</v>
      </c>
      <c r="AA45" s="580">
        <f t="shared" si="46"/>
        <v>9.9149291026737139</v>
      </c>
      <c r="AB45" s="580">
        <f t="shared" si="46"/>
        <v>9.3291655047100353</v>
      </c>
      <c r="AC45" s="580">
        <f t="shared" si="46"/>
        <v>7.6020653520744057</v>
      </c>
      <c r="AD45" s="580">
        <f t="shared" si="46"/>
        <v>8.9007456978196782</v>
      </c>
      <c r="AE45" s="581">
        <f t="shared" si="46"/>
        <v>8.333222386728993</v>
      </c>
      <c r="AF45" s="845">
        <f t="shared" si="47"/>
        <v>1.0743894862923122E-2</v>
      </c>
      <c r="AG45" s="1355">
        <f t="shared" si="48"/>
        <v>0.19339010753261621</v>
      </c>
      <c r="AH45" s="835">
        <f t="shared" si="48"/>
        <v>0.19339010753261621</v>
      </c>
      <c r="AI45" s="835">
        <f t="shared" si="48"/>
        <v>0.35454853047646306</v>
      </c>
      <c r="AJ45" s="835">
        <f t="shared" si="48"/>
        <v>0.29814308244611665</v>
      </c>
      <c r="AK45" s="835">
        <f t="shared" si="48"/>
        <v>0.19339010753261621</v>
      </c>
      <c r="AL45" s="835">
        <f t="shared" si="48"/>
        <v>0.35454853047646306</v>
      </c>
      <c r="AM45" s="843">
        <f t="shared" si="48"/>
        <v>0.28412229965000191</v>
      </c>
      <c r="AN45" s="579">
        <f t="shared" si="49"/>
        <v>26.128897002251353</v>
      </c>
      <c r="AO45" s="580">
        <f t="shared" si="49"/>
        <v>21.838668254993397</v>
      </c>
      <c r="AP45" s="580">
        <f t="shared" si="49"/>
        <v>22.471757335558852</v>
      </c>
      <c r="AQ45" s="576">
        <f t="shared" si="50"/>
        <v>1.2856790554782458E-2</v>
      </c>
      <c r="AR45" s="580">
        <f t="shared" si="51"/>
        <v>23.429694436862079</v>
      </c>
      <c r="AS45" s="581">
        <f t="shared" si="52"/>
        <v>35.88541509145783</v>
      </c>
      <c r="AT45" s="579">
        <f t="shared" si="52"/>
        <v>15.800094017486421</v>
      </c>
      <c r="AU45" s="580">
        <f t="shared" si="52"/>
        <v>25.46364856566289</v>
      </c>
      <c r="AV45" s="578">
        <f t="shared" si="53"/>
        <v>8.8033689956340689E-3</v>
      </c>
      <c r="AW45" s="584">
        <f t="shared" si="54"/>
        <v>8.8033689956340689E-3</v>
      </c>
      <c r="AX45" s="582">
        <f t="shared" si="55"/>
        <v>1.0181</v>
      </c>
      <c r="AY45" s="583">
        <f t="shared" si="56"/>
        <v>20.781743318239393</v>
      </c>
      <c r="AZ45" s="578">
        <f t="shared" si="57"/>
        <v>4.4174526259672282E-2</v>
      </c>
      <c r="BA45" s="577">
        <f t="shared" si="57"/>
        <v>4.5115978628340166E-2</v>
      </c>
      <c r="BB45" s="577">
        <f t="shared" si="57"/>
        <v>4.3033312531903095E-2</v>
      </c>
      <c r="BC45" s="584">
        <f t="shared" si="57"/>
        <v>4.3306768371453815E-2</v>
      </c>
      <c r="BE45" s="829"/>
    </row>
    <row r="46" spans="1:57" s="325" customFormat="1" ht="14.25">
      <c r="A46" s="585">
        <f t="shared" si="59"/>
        <v>8</v>
      </c>
      <c r="B46" s="585">
        <f t="shared" si="58"/>
        <v>2029</v>
      </c>
      <c r="C46" s="574">
        <f t="shared" si="36"/>
        <v>8.1388832435488861E-2</v>
      </c>
      <c r="D46" s="575">
        <f t="shared" si="36"/>
        <v>7.4741760704827437E-2</v>
      </c>
      <c r="E46" s="575">
        <f t="shared" si="36"/>
        <v>6.2308770963778591E-2</v>
      </c>
      <c r="F46" s="576">
        <f t="shared" si="36"/>
        <v>5.3146974326947649E-2</v>
      </c>
      <c r="G46" s="1355">
        <f t="shared" si="37"/>
        <v>3.3380818675748541E-3</v>
      </c>
      <c r="H46" s="835">
        <f t="shared" si="37"/>
        <v>2.4697174759640292E-3</v>
      </c>
      <c r="I46" s="835">
        <f t="shared" si="37"/>
        <v>2.733271688814948E-3</v>
      </c>
      <c r="J46" s="835">
        <f t="shared" si="37"/>
        <v>1.8953308754826315E-3</v>
      </c>
      <c r="K46" s="1355">
        <f t="shared" si="38"/>
        <v>6.8529364405472038E-4</v>
      </c>
      <c r="L46" s="1318">
        <f t="shared" si="39"/>
        <v>101.21927566140043</v>
      </c>
      <c r="M46" s="580">
        <f t="shared" si="39"/>
        <v>127.28150627021172</v>
      </c>
      <c r="N46" s="580">
        <f t="shared" si="39"/>
        <v>127.28150627021172</v>
      </c>
      <c r="O46" s="581">
        <f t="shared" si="40"/>
        <v>0</v>
      </c>
      <c r="P46" s="831">
        <f t="shared" si="41"/>
        <v>0</v>
      </c>
      <c r="Q46" s="831">
        <f t="shared" si="41"/>
        <v>128.52479094785099</v>
      </c>
      <c r="R46" s="1313">
        <f t="shared" si="41"/>
        <v>128.52479094785099</v>
      </c>
      <c r="S46" s="580" t="str">
        <f t="shared" si="42"/>
        <v/>
      </c>
      <c r="T46" s="580" t="str">
        <f t="shared" si="42"/>
        <v/>
      </c>
      <c r="U46" s="576" t="str">
        <f t="shared" si="42"/>
        <v/>
      </c>
      <c r="V46" s="579">
        <f t="shared" si="43"/>
        <v>100.99261171147735</v>
      </c>
      <c r="W46" s="580">
        <f t="shared" si="44"/>
        <v>0</v>
      </c>
      <c r="X46" s="581">
        <f t="shared" si="45"/>
        <v>87.488760447293615</v>
      </c>
      <c r="Y46" s="579">
        <f t="shared" si="46"/>
        <v>6.9829995662512774</v>
      </c>
      <c r="Z46" s="580">
        <f t="shared" si="46"/>
        <v>8.7755589060752914</v>
      </c>
      <c r="AA46" s="580">
        <f t="shared" si="46"/>
        <v>10.02714513363844</v>
      </c>
      <c r="AB46" s="580">
        <f t="shared" si="46"/>
        <v>9.4417819012536324</v>
      </c>
      <c r="AC46" s="580">
        <f t="shared" si="46"/>
        <v>7.7160008478379973</v>
      </c>
      <c r="AD46" s="580">
        <f t="shared" si="46"/>
        <v>9.0134555270903238</v>
      </c>
      <c r="AE46" s="581">
        <f t="shared" si="46"/>
        <v>8.4464678322570563</v>
      </c>
      <c r="AF46" s="845">
        <f t="shared" si="47"/>
        <v>1.0743894862923122E-2</v>
      </c>
      <c r="AG46" s="1355">
        <f t="shared" si="48"/>
        <v>0.15041452808092373</v>
      </c>
      <c r="AH46" s="835">
        <f t="shared" si="48"/>
        <v>0.15041452808092373</v>
      </c>
      <c r="AI46" s="835">
        <f t="shared" si="48"/>
        <v>0.26859737157307806</v>
      </c>
      <c r="AJ46" s="835">
        <f t="shared" si="48"/>
        <v>0.22723337635082405</v>
      </c>
      <c r="AK46" s="835">
        <f t="shared" si="48"/>
        <v>0.15041452808092373</v>
      </c>
      <c r="AL46" s="835">
        <f t="shared" si="48"/>
        <v>0.26859737157307806</v>
      </c>
      <c r="AM46" s="843">
        <f t="shared" si="48"/>
        <v>0.21695146896700659</v>
      </c>
      <c r="AN46" s="579">
        <f t="shared" si="49"/>
        <v>26.364484222977172</v>
      </c>
      <c r="AO46" s="580">
        <f t="shared" si="49"/>
        <v>22.102040409664955</v>
      </c>
      <c r="AP46" s="580">
        <f t="shared" si="49"/>
        <v>22.76493693073585</v>
      </c>
      <c r="AQ46" s="576">
        <f t="shared" si="50"/>
        <v>1.280038610292583E-2</v>
      </c>
      <c r="AR46" s="580">
        <f t="shared" si="51"/>
        <v>23.640944708710904</v>
      </c>
      <c r="AS46" s="581">
        <f t="shared" si="52"/>
        <v>35.925140728424246</v>
      </c>
      <c r="AT46" s="579">
        <f t="shared" si="52"/>
        <v>15.942553159043968</v>
      </c>
      <c r="AU46" s="580">
        <f t="shared" si="52"/>
        <v>25.693237675168991</v>
      </c>
      <c r="AV46" s="578">
        <f t="shared" si="53"/>
        <v>8.8033689956340689E-3</v>
      </c>
      <c r="AW46" s="584">
        <f t="shared" si="54"/>
        <v>8.8033689956340689E-3</v>
      </c>
      <c r="AX46" s="582">
        <f t="shared" si="55"/>
        <v>1.0181</v>
      </c>
      <c r="AY46" s="583">
        <f t="shared" si="56"/>
        <v>21.98069004813782</v>
      </c>
      <c r="AZ46" s="578">
        <f t="shared" si="57"/>
        <v>4.3875527565555343E-2</v>
      </c>
      <c r="BA46" s="577">
        <f t="shared" si="57"/>
        <v>4.4810607641124933E-2</v>
      </c>
      <c r="BB46" s="577">
        <f t="shared" si="57"/>
        <v>4.2742038231078035E-2</v>
      </c>
      <c r="BC46" s="584">
        <f t="shared" si="57"/>
        <v>4.3013643163650285E-2</v>
      </c>
      <c r="BE46" s="829"/>
    </row>
    <row r="47" spans="1:57" s="325" customFormat="1" ht="14.25">
      <c r="A47" s="585">
        <f t="shared" si="59"/>
        <v>9</v>
      </c>
      <c r="B47" s="585">
        <f t="shared" si="58"/>
        <v>2030</v>
      </c>
      <c r="C47" s="574">
        <f t="shared" si="36"/>
        <v>7.4974623526127146E-2</v>
      </c>
      <c r="D47" s="575">
        <f t="shared" si="36"/>
        <v>7.0969606220245091E-2</v>
      </c>
      <c r="E47" s="575">
        <f t="shared" si="36"/>
        <v>6.5573703713623685E-2</v>
      </c>
      <c r="F47" s="576">
        <f t="shared" si="36"/>
        <v>6.0138110088044011E-2</v>
      </c>
      <c r="G47" s="1355">
        <f t="shared" si="37"/>
        <v>1.8550917327200597E-3</v>
      </c>
      <c r="H47" s="835">
        <f t="shared" si="37"/>
        <v>1.3916561864912216E-3</v>
      </c>
      <c r="I47" s="835">
        <f t="shared" si="37"/>
        <v>1.3497947413704846E-3</v>
      </c>
      <c r="J47" s="835">
        <f t="shared" si="37"/>
        <v>9.3228784340918566E-4</v>
      </c>
      <c r="K47" s="1355">
        <f t="shared" si="38"/>
        <v>3.9133217354878492E-4</v>
      </c>
      <c r="L47" s="1318">
        <f t="shared" si="39"/>
        <v>96.361026075019822</v>
      </c>
      <c r="M47" s="580">
        <f t="shared" si="39"/>
        <v>123.18130609571141</v>
      </c>
      <c r="N47" s="580">
        <f t="shared" si="39"/>
        <v>123.18130609571141</v>
      </c>
      <c r="O47" s="581">
        <f t="shared" si="40"/>
        <v>0</v>
      </c>
      <c r="P47" s="831">
        <f t="shared" si="41"/>
        <v>0</v>
      </c>
      <c r="Q47" s="831">
        <f t="shared" si="41"/>
        <v>149.64133743149725</v>
      </c>
      <c r="R47" s="1313">
        <f t="shared" si="41"/>
        <v>149.64133743149725</v>
      </c>
      <c r="S47" s="580" t="str">
        <f t="shared" si="42"/>
        <v/>
      </c>
      <c r="T47" s="580" t="str">
        <f t="shared" si="42"/>
        <v/>
      </c>
      <c r="U47" s="576" t="str">
        <f t="shared" si="42"/>
        <v/>
      </c>
      <c r="V47" s="579">
        <f t="shared" si="43"/>
        <v>100.99261171147735</v>
      </c>
      <c r="W47" s="580">
        <f t="shared" si="44"/>
        <v>0</v>
      </c>
      <c r="X47" s="581">
        <f t="shared" si="45"/>
        <v>87.488760447293615</v>
      </c>
      <c r="Y47" s="579">
        <f t="shared" si="46"/>
        <v>7.0495907995383602</v>
      </c>
      <c r="Z47" s="580">
        <f t="shared" si="46"/>
        <v>8.8389723384885794</v>
      </c>
      <c r="AA47" s="580">
        <f t="shared" si="46"/>
        <v>10.089742299295731</v>
      </c>
      <c r="AB47" s="580">
        <f t="shared" si="46"/>
        <v>9.5051414304065922</v>
      </c>
      <c r="AC47" s="580">
        <f t="shared" si="46"/>
        <v>7.7815073736165017</v>
      </c>
      <c r="AD47" s="580">
        <f t="shared" si="46"/>
        <v>9.0769333363559745</v>
      </c>
      <c r="AE47" s="581">
        <f t="shared" si="46"/>
        <v>8.5108321906388227</v>
      </c>
      <c r="AF47" s="845">
        <f t="shared" si="47"/>
        <v>1.0743894862923122E-2</v>
      </c>
      <c r="AG47" s="1355">
        <f t="shared" si="48"/>
        <v>9.6695053766308103E-2</v>
      </c>
      <c r="AH47" s="835">
        <f t="shared" si="48"/>
        <v>9.6695053766308103E-2</v>
      </c>
      <c r="AI47" s="835">
        <f t="shared" si="48"/>
        <v>0.17190231780676996</v>
      </c>
      <c r="AJ47" s="835">
        <f t="shared" si="48"/>
        <v>0.14557977539260833</v>
      </c>
      <c r="AK47" s="835">
        <f t="shared" si="48"/>
        <v>9.6695053766308103E-2</v>
      </c>
      <c r="AL47" s="835">
        <f t="shared" si="48"/>
        <v>0.17190231780676996</v>
      </c>
      <c r="AM47" s="843">
        <f t="shared" si="48"/>
        <v>0.13903674342108813</v>
      </c>
      <c r="AN47" s="579">
        <f t="shared" si="49"/>
        <v>26.859158797423255</v>
      </c>
      <c r="AO47" s="580">
        <f t="shared" si="49"/>
        <v>22.551905587381935</v>
      </c>
      <c r="AP47" s="580">
        <f t="shared" si="49"/>
        <v>23.246103729866185</v>
      </c>
      <c r="AQ47" s="576">
        <f t="shared" si="50"/>
        <v>1.2968701137957917E-2</v>
      </c>
      <c r="AR47" s="580">
        <f t="shared" si="51"/>
        <v>24.084517742963282</v>
      </c>
      <c r="AS47" s="581">
        <f t="shared" si="52"/>
        <v>36.20365020524585</v>
      </c>
      <c r="AT47" s="579">
        <f t="shared" si="52"/>
        <v>16.241681927611381</v>
      </c>
      <c r="AU47" s="580">
        <f t="shared" si="52"/>
        <v>26.175317707746661</v>
      </c>
      <c r="AV47" s="578">
        <f t="shared" si="53"/>
        <v>8.8033689956340689E-3</v>
      </c>
      <c r="AW47" s="584">
        <f t="shared" si="54"/>
        <v>8.8033689956340689E-3</v>
      </c>
      <c r="AX47" s="582">
        <f t="shared" si="55"/>
        <v>1.0181</v>
      </c>
      <c r="AY47" s="583">
        <f t="shared" si="56"/>
        <v>23.712501991324437</v>
      </c>
      <c r="AZ47" s="578">
        <f t="shared" si="57"/>
        <v>4.3339675507775399E-2</v>
      </c>
      <c r="BA47" s="577">
        <f t="shared" si="57"/>
        <v>4.4263335445275206E-2</v>
      </c>
      <c r="BB47" s="577">
        <f t="shared" si="57"/>
        <v>4.2220029484730484E-2</v>
      </c>
      <c r="BC47" s="584">
        <f t="shared" si="57"/>
        <v>4.2488317304777888E-2</v>
      </c>
      <c r="BE47" s="829"/>
    </row>
    <row r="48" spans="1:57" s="325" customFormat="1" ht="14.25">
      <c r="A48" s="585">
        <f t="shared" si="59"/>
        <v>10</v>
      </c>
      <c r="B48" s="585">
        <f t="shared" si="58"/>
        <v>2031</v>
      </c>
      <c r="C48" s="574">
        <f t="shared" si="36"/>
        <v>7.4497650268211882E-2</v>
      </c>
      <c r="D48" s="575">
        <f t="shared" si="36"/>
        <v>7.0078194526999732E-2</v>
      </c>
      <c r="E48" s="575">
        <f t="shared" si="36"/>
        <v>5.9843872787014411E-2</v>
      </c>
      <c r="F48" s="576">
        <f t="shared" si="36"/>
        <v>5.2543100988935151E-2</v>
      </c>
      <c r="G48" s="1355">
        <f t="shared" si="37"/>
        <v>1.0856713708410864E-3</v>
      </c>
      <c r="H48" s="835">
        <f t="shared" si="37"/>
        <v>7.6976663321341591E-4</v>
      </c>
      <c r="I48" s="835">
        <f t="shared" si="37"/>
        <v>8.3615592098153408E-4</v>
      </c>
      <c r="J48" s="835">
        <f t="shared" si="37"/>
        <v>5.4941898377420216E-4</v>
      </c>
      <c r="K48" s="1355">
        <f t="shared" si="38"/>
        <v>1.1096895480609135E-4</v>
      </c>
      <c r="L48" s="1318">
        <f t="shared" si="39"/>
        <v>94.741609546226286</v>
      </c>
      <c r="M48" s="580">
        <f t="shared" si="39"/>
        <v>119.44782624799278</v>
      </c>
      <c r="N48" s="580">
        <f t="shared" si="39"/>
        <v>119.44782624799278</v>
      </c>
      <c r="O48" s="581">
        <f t="shared" si="40"/>
        <v>0</v>
      </c>
      <c r="P48" s="831">
        <f t="shared" si="41"/>
        <v>0</v>
      </c>
      <c r="Q48" s="831">
        <f t="shared" si="41"/>
        <v>146.99402448259275</v>
      </c>
      <c r="R48" s="1313">
        <f t="shared" si="41"/>
        <v>146.99402448259275</v>
      </c>
      <c r="S48" s="580" t="str">
        <f t="shared" si="42"/>
        <v/>
      </c>
      <c r="T48" s="580" t="str">
        <f t="shared" si="42"/>
        <v/>
      </c>
      <c r="U48" s="576" t="str">
        <f t="shared" si="42"/>
        <v/>
      </c>
      <c r="V48" s="579">
        <f t="shared" si="43"/>
        <v>100.99261171147735</v>
      </c>
      <c r="W48" s="580">
        <f t="shared" si="44"/>
        <v>0</v>
      </c>
      <c r="X48" s="581">
        <f t="shared" si="45"/>
        <v>87.488760447293615</v>
      </c>
      <c r="Y48" s="579">
        <f t="shared" si="46"/>
        <v>7.2222979101279545</v>
      </c>
      <c r="Z48" s="580">
        <f t="shared" si="46"/>
        <v>9.0129089230855435</v>
      </c>
      <c r="AA48" s="580">
        <f t="shared" si="46"/>
        <v>10.26403666604903</v>
      </c>
      <c r="AB48" s="580">
        <f t="shared" si="46"/>
        <v>9.6791261523040664</v>
      </c>
      <c r="AC48" s="580">
        <f t="shared" si="46"/>
        <v>7.9551189791312913</v>
      </c>
      <c r="AD48" s="580">
        <f t="shared" si="46"/>
        <v>9.2509549557584005</v>
      </c>
      <c r="AE48" s="581">
        <f t="shared" si="46"/>
        <v>8.6846746339723531</v>
      </c>
      <c r="AF48" s="845">
        <f t="shared" si="47"/>
        <v>1.0743894862923122E-2</v>
      </c>
      <c r="AG48" s="1355">
        <f t="shared" si="48"/>
        <v>5.3719474314615615E-2</v>
      </c>
      <c r="AH48" s="835">
        <f t="shared" si="48"/>
        <v>5.3719474314615615E-2</v>
      </c>
      <c r="AI48" s="835">
        <f t="shared" si="48"/>
        <v>8.5951158903384978E-2</v>
      </c>
      <c r="AJ48" s="835">
        <f t="shared" si="48"/>
        <v>7.4670069297315705E-2</v>
      </c>
      <c r="AK48" s="835">
        <f t="shared" si="48"/>
        <v>5.3719474314615615E-2</v>
      </c>
      <c r="AL48" s="835">
        <f t="shared" si="48"/>
        <v>8.5951158903384978E-2</v>
      </c>
      <c r="AM48" s="843">
        <f t="shared" si="48"/>
        <v>7.1865912738092771E-2</v>
      </c>
      <c r="AN48" s="579">
        <f t="shared" si="49"/>
        <v>27.299702438810364</v>
      </c>
      <c r="AO48" s="580">
        <f t="shared" si="49"/>
        <v>22.932227491441434</v>
      </c>
      <c r="AP48" s="580">
        <f t="shared" si="49"/>
        <v>23.653132569085916</v>
      </c>
      <c r="AQ48" s="576">
        <f t="shared" si="50"/>
        <v>1.2968701137957917E-2</v>
      </c>
      <c r="AR48" s="580">
        <f t="shared" si="51"/>
        <v>24.479551750824889</v>
      </c>
      <c r="AS48" s="581">
        <f t="shared" si="52"/>
        <v>36.924042555966025</v>
      </c>
      <c r="AT48" s="579">
        <f t="shared" si="52"/>
        <v>16.508077824541985</v>
      </c>
      <c r="AU48" s="580">
        <f t="shared" si="52"/>
        <v>26.604644994740529</v>
      </c>
      <c r="AV48" s="578">
        <f t="shared" si="53"/>
        <v>8.8033689956340689E-3</v>
      </c>
      <c r="AW48" s="584">
        <f t="shared" si="54"/>
        <v>8.8033689956340689E-3</v>
      </c>
      <c r="AX48" s="582">
        <f t="shared" si="55"/>
        <v>1.0181</v>
      </c>
      <c r="AY48" s="583">
        <f t="shared" si="56"/>
        <v>25.577530237833098</v>
      </c>
      <c r="AZ48" s="578">
        <f t="shared" si="57"/>
        <v>4.2828161576011159E-2</v>
      </c>
      <c r="BA48" s="577">
        <f t="shared" si="57"/>
        <v>4.374092007226324E-2</v>
      </c>
      <c r="BB48" s="577">
        <f t="shared" si="57"/>
        <v>4.1721730108283561E-2</v>
      </c>
      <c r="BC48" s="584">
        <f t="shared" si="57"/>
        <v>4.1986851477358061E-2</v>
      </c>
      <c r="BE48" s="829"/>
    </row>
    <row r="49" spans="1:57" s="325" customFormat="1" ht="14.25">
      <c r="A49" s="585">
        <f t="shared" si="59"/>
        <v>11</v>
      </c>
      <c r="B49" s="585">
        <f t="shared" si="58"/>
        <v>2032</v>
      </c>
      <c r="C49" s="574">
        <f t="shared" si="36"/>
        <v>7.3420184746736533E-2</v>
      </c>
      <c r="D49" s="575">
        <f t="shared" si="36"/>
        <v>6.8667989829943377E-2</v>
      </c>
      <c r="E49" s="575">
        <f t="shared" si="36"/>
        <v>6.1489632112618479E-2</v>
      </c>
      <c r="F49" s="576">
        <f t="shared" si="36"/>
        <v>5.3715503695465662E-2</v>
      </c>
      <c r="G49" s="1355">
        <f t="shared" si="37"/>
        <v>0</v>
      </c>
      <c r="H49" s="835">
        <f t="shared" si="37"/>
        <v>0</v>
      </c>
      <c r="I49" s="835">
        <f t="shared" si="37"/>
        <v>0</v>
      </c>
      <c r="J49" s="835">
        <f t="shared" si="37"/>
        <v>0</v>
      </c>
      <c r="K49" s="1355">
        <f t="shared" si="38"/>
        <v>1.1180039675098448E-4</v>
      </c>
      <c r="L49" s="1318">
        <f t="shared" si="39"/>
        <v>101.21927566140043</v>
      </c>
      <c r="M49" s="580">
        <f t="shared" si="39"/>
        <v>127.28150627021172</v>
      </c>
      <c r="N49" s="580">
        <f t="shared" si="39"/>
        <v>127.28150627021172</v>
      </c>
      <c r="O49" s="581">
        <f t="shared" si="40"/>
        <v>0</v>
      </c>
      <c r="P49" s="831">
        <f t="shared" si="41"/>
        <v>0</v>
      </c>
      <c r="Q49" s="831">
        <f t="shared" si="41"/>
        <v>113.30848053356729</v>
      </c>
      <c r="R49" s="1313">
        <f t="shared" si="41"/>
        <v>113.30848053356729</v>
      </c>
      <c r="S49" s="580" t="str">
        <f t="shared" si="42"/>
        <v/>
      </c>
      <c r="T49" s="580" t="str">
        <f t="shared" si="42"/>
        <v/>
      </c>
      <c r="U49" s="576" t="str">
        <f t="shared" si="42"/>
        <v/>
      </c>
      <c r="V49" s="579">
        <f t="shared" si="43"/>
        <v>100.99261171147735</v>
      </c>
      <c r="W49" s="580">
        <f t="shared" si="44"/>
        <v>0</v>
      </c>
      <c r="X49" s="581">
        <f t="shared" si="45"/>
        <v>87.488760447293615</v>
      </c>
      <c r="Y49" s="579">
        <f t="shared" ref="Y49:AE63" si="60">VLOOKUP($B49,$B$228:$AG$260,Y$5,FALSE)*(1+Inflation2)^(Year2-Real_Year)</f>
        <v>7.240235925622045</v>
      </c>
      <c r="Z49" s="580">
        <f t="shared" si="60"/>
        <v>9.0259603750618265</v>
      </c>
      <c r="AA49" s="580">
        <f t="shared" si="60"/>
        <v>10.275815448653066</v>
      </c>
      <c r="AB49" s="580">
        <f t="shared" si="60"/>
        <v>9.6920833537160611</v>
      </c>
      <c r="AC49" s="580">
        <f t="shared" si="60"/>
        <v>7.9711832384622383</v>
      </c>
      <c r="AD49" s="580">
        <f t="shared" si="60"/>
        <v>9.2640590808017773</v>
      </c>
      <c r="AE49" s="581">
        <f t="shared" si="60"/>
        <v>8.6990723376993984</v>
      </c>
      <c r="AF49" s="845">
        <f t="shared" si="47"/>
        <v>1.0743894862923122E-2</v>
      </c>
      <c r="AG49" s="1355">
        <f t="shared" ref="AG49:AM63" si="61">IF(GECD="Yes",VLOOKUP($B49-4,$B$228:$AG$260,AG$5,FALSE)*(1+Inflation2)^(Year2-Real_Year),"")</f>
        <v>1.0743894862923122E-2</v>
      </c>
      <c r="AH49" s="835">
        <f t="shared" si="61"/>
        <v>1.0743894862923122E-2</v>
      </c>
      <c r="AI49" s="835">
        <f t="shared" si="61"/>
        <v>0</v>
      </c>
      <c r="AJ49" s="835">
        <f t="shared" si="61"/>
        <v>3.7603632020230928E-3</v>
      </c>
      <c r="AK49" s="835">
        <f t="shared" si="61"/>
        <v>1.0743894862923122E-2</v>
      </c>
      <c r="AL49" s="835">
        <f t="shared" si="61"/>
        <v>0</v>
      </c>
      <c r="AM49" s="843">
        <f t="shared" si="61"/>
        <v>4.6950820550974038E-3</v>
      </c>
      <c r="AN49" s="579">
        <f t="shared" si="49"/>
        <v>27.831754695053494</v>
      </c>
      <c r="AO49" s="580">
        <f t="shared" si="49"/>
        <v>23.377515435701735</v>
      </c>
      <c r="AP49" s="580">
        <f t="shared" si="49"/>
        <v>24.126421174873823</v>
      </c>
      <c r="AQ49" s="576">
        <f t="shared" si="50"/>
        <v>1.2968701137957917E-2</v>
      </c>
      <c r="AR49" s="580">
        <f t="shared" si="51"/>
        <v>24.956641227167712</v>
      </c>
      <c r="AS49" s="581">
        <f t="shared" si="52"/>
        <v>37.464458127601901</v>
      </c>
      <c r="AT49" s="579">
        <f t="shared" si="52"/>
        <v>16.829808805766831</v>
      </c>
      <c r="AU49" s="580">
        <f t="shared" si="52"/>
        <v>27.123151063725217</v>
      </c>
      <c r="AV49" s="578">
        <f t="shared" si="53"/>
        <v>8.8033689956340689E-3</v>
      </c>
      <c r="AW49" s="584">
        <f t="shared" si="54"/>
        <v>8.8033689956340689E-3</v>
      </c>
      <c r="AX49" s="582">
        <f t="shared" si="55"/>
        <v>1.0181</v>
      </c>
      <c r="AY49" s="583">
        <f t="shared" si="56"/>
        <v>27.442558484341763</v>
      </c>
      <c r="AZ49" s="578">
        <f t="shared" si="57"/>
        <v>4.2340237351656013E-2</v>
      </c>
      <c r="BA49" s="577">
        <f t="shared" si="57"/>
        <v>4.3242597153102642E-2</v>
      </c>
      <c r="BB49" s="577">
        <f t="shared" si="57"/>
        <v>4.1246411017929668E-2</v>
      </c>
      <c r="BC49" s="584">
        <f t="shared" si="57"/>
        <v>4.1508511964609064E-2</v>
      </c>
      <c r="BE49" s="829"/>
    </row>
    <row r="50" spans="1:57" s="325" customFormat="1" ht="14.25">
      <c r="A50" s="585">
        <f t="shared" si="59"/>
        <v>12</v>
      </c>
      <c r="B50" s="585">
        <f t="shared" si="58"/>
        <v>2033</v>
      </c>
      <c r="C50" s="574">
        <f t="shared" si="36"/>
        <v>7.9269269653968577E-2</v>
      </c>
      <c r="D50" s="575">
        <f t="shared" si="36"/>
        <v>7.0110060208437019E-2</v>
      </c>
      <c r="E50" s="575">
        <f t="shared" si="36"/>
        <v>6.2514934861336718E-2</v>
      </c>
      <c r="F50" s="576">
        <f t="shared" si="36"/>
        <v>5.1754519329306949E-2</v>
      </c>
      <c r="G50" s="1355">
        <f t="shared" si="37"/>
        <v>0</v>
      </c>
      <c r="H50" s="835">
        <f t="shared" si="37"/>
        <v>0</v>
      </c>
      <c r="I50" s="835">
        <f t="shared" si="37"/>
        <v>0</v>
      </c>
      <c r="J50" s="835">
        <f t="shared" si="37"/>
        <v>0</v>
      </c>
      <c r="K50" s="1355">
        <f t="shared" si="38"/>
        <v>1.1243892081215338E-4</v>
      </c>
      <c r="L50" s="1318">
        <f t="shared" si="39"/>
        <v>96.361026075019822</v>
      </c>
      <c r="M50" s="580">
        <f t="shared" si="39"/>
        <v>123.18130609571141</v>
      </c>
      <c r="N50" s="580">
        <f t="shared" si="39"/>
        <v>123.18130609571141</v>
      </c>
      <c r="O50" s="581">
        <f t="shared" si="40"/>
        <v>0</v>
      </c>
      <c r="P50" s="831">
        <f t="shared" si="41"/>
        <v>0</v>
      </c>
      <c r="Q50" s="831">
        <f t="shared" si="41"/>
        <v>62.444069347241772</v>
      </c>
      <c r="R50" s="1313">
        <f t="shared" si="41"/>
        <v>62.444069347241772</v>
      </c>
      <c r="S50" s="580" t="str">
        <f t="shared" si="42"/>
        <v/>
      </c>
      <c r="T50" s="580" t="str">
        <f t="shared" si="42"/>
        <v/>
      </c>
      <c r="U50" s="576" t="str">
        <f t="shared" si="42"/>
        <v/>
      </c>
      <c r="V50" s="579">
        <f t="shared" si="43"/>
        <v>100.99261171147735</v>
      </c>
      <c r="W50" s="580">
        <f t="shared" si="44"/>
        <v>0</v>
      </c>
      <c r="X50" s="581">
        <f t="shared" si="45"/>
        <v>87.488760447293615</v>
      </c>
      <c r="Y50" s="579">
        <f t="shared" si="60"/>
        <v>7.184786903009714</v>
      </c>
      <c r="Z50" s="580">
        <f t="shared" si="60"/>
        <v>8.9631102743484963</v>
      </c>
      <c r="AA50" s="580">
        <f t="shared" si="60"/>
        <v>10.211024319921137</v>
      </c>
      <c r="AB50" s="580">
        <f t="shared" si="60"/>
        <v>9.6290817465057916</v>
      </c>
      <c r="AC50" s="580">
        <f t="shared" si="60"/>
        <v>7.912700118567674</v>
      </c>
      <c r="AD50" s="580">
        <f t="shared" si="60"/>
        <v>9.201247884317679</v>
      </c>
      <c r="AE50" s="581">
        <f t="shared" si="60"/>
        <v>8.6381525106849271</v>
      </c>
      <c r="AF50" s="845">
        <f t="shared" si="47"/>
        <v>1.0743894862923122E-2</v>
      </c>
      <c r="AG50" s="1355">
        <f t="shared" si="61"/>
        <v>1.0743894862923122E-2</v>
      </c>
      <c r="AH50" s="835">
        <f t="shared" si="61"/>
        <v>1.0743894862923122E-2</v>
      </c>
      <c r="AI50" s="835">
        <f t="shared" si="61"/>
        <v>0</v>
      </c>
      <c r="AJ50" s="835">
        <f t="shared" si="61"/>
        <v>3.7603632020230928E-3</v>
      </c>
      <c r="AK50" s="835">
        <f t="shared" si="61"/>
        <v>1.0743894862923122E-2</v>
      </c>
      <c r="AL50" s="835">
        <f t="shared" si="61"/>
        <v>0</v>
      </c>
      <c r="AM50" s="843">
        <f t="shared" si="61"/>
        <v>4.6950820550974038E-3</v>
      </c>
      <c r="AN50" s="579">
        <f t="shared" si="49"/>
        <v>27.743000304384655</v>
      </c>
      <c r="AO50" s="580">
        <f t="shared" si="49"/>
        <v>23.362059497019654</v>
      </c>
      <c r="AP50" s="580">
        <f t="shared" si="49"/>
        <v>24.11991294183202</v>
      </c>
      <c r="AQ50" s="576">
        <f t="shared" si="50"/>
        <v>1.2968701137957917E-2</v>
      </c>
      <c r="AR50" s="580">
        <f t="shared" si="51"/>
        <v>24.877055462291317</v>
      </c>
      <c r="AS50" s="581">
        <f t="shared" si="52"/>
        <v>37.568634603179639</v>
      </c>
      <c r="AT50" s="579">
        <f t="shared" si="52"/>
        <v>16.776139195568145</v>
      </c>
      <c r="AU50" s="580">
        <f t="shared" si="52"/>
        <v>27.036656382665534</v>
      </c>
      <c r="AV50" s="578">
        <f t="shared" si="53"/>
        <v>8.8033689956340689E-3</v>
      </c>
      <c r="AW50" s="584">
        <f t="shared" si="54"/>
        <v>8.8033689956340689E-3</v>
      </c>
      <c r="AX50" s="582">
        <f t="shared" si="55"/>
        <v>1.0181</v>
      </c>
      <c r="AY50" s="583">
        <f t="shared" si="56"/>
        <v>29.307586730850428</v>
      </c>
      <c r="AZ50" s="578">
        <f t="shared" si="57"/>
        <v>4.1875174408633843E-2</v>
      </c>
      <c r="BA50" s="577">
        <f t="shared" si="57"/>
        <v>4.2767622737420539E-2</v>
      </c>
      <c r="BB50" s="577">
        <f t="shared" si="57"/>
        <v>4.0793362605900635E-2</v>
      </c>
      <c r="BC50" s="584">
        <f t="shared" si="57"/>
        <v>4.1052584649549334E-2</v>
      </c>
      <c r="BE50" s="847"/>
    </row>
    <row r="51" spans="1:57" s="325" customFormat="1" ht="14.25">
      <c r="A51" s="585">
        <f t="shared" si="59"/>
        <v>13</v>
      </c>
      <c r="B51" s="585">
        <f t="shared" si="58"/>
        <v>2034</v>
      </c>
      <c r="C51" s="574">
        <f t="shared" si="36"/>
        <v>7.8409366620975404E-2</v>
      </c>
      <c r="D51" s="575">
        <f t="shared" si="36"/>
        <v>6.6354414570595377E-2</v>
      </c>
      <c r="E51" s="575">
        <f t="shared" si="36"/>
        <v>6.6298272269314007E-2</v>
      </c>
      <c r="F51" s="576">
        <f t="shared" si="36"/>
        <v>5.2913617444378773E-2</v>
      </c>
      <c r="G51" s="1355">
        <f t="shared" si="37"/>
        <v>0</v>
      </c>
      <c r="H51" s="835">
        <f t="shared" si="37"/>
        <v>0</v>
      </c>
      <c r="I51" s="835">
        <f t="shared" si="37"/>
        <v>0</v>
      </c>
      <c r="J51" s="835">
        <f t="shared" si="37"/>
        <v>0</v>
      </c>
      <c r="K51" s="1355">
        <f t="shared" si="38"/>
        <v>1.1243892081215338E-4</v>
      </c>
      <c r="L51" s="1318">
        <f t="shared" si="39"/>
        <v>94.741609546226286</v>
      </c>
      <c r="M51" s="580">
        <f t="shared" si="39"/>
        <v>119.44782624799278</v>
      </c>
      <c r="N51" s="580">
        <f t="shared" si="39"/>
        <v>119.44782624799278</v>
      </c>
      <c r="O51" s="581">
        <f t="shared" si="40"/>
        <v>0</v>
      </c>
      <c r="P51" s="831">
        <f t="shared" si="41"/>
        <v>0</v>
      </c>
      <c r="Q51" s="831">
        <f t="shared" si="41"/>
        <v>36.045491220948954</v>
      </c>
      <c r="R51" s="1313">
        <f t="shared" si="41"/>
        <v>36.045491220948954</v>
      </c>
      <c r="S51" s="580" t="str">
        <f t="shared" si="42"/>
        <v/>
      </c>
      <c r="T51" s="580" t="str">
        <f t="shared" si="42"/>
        <v/>
      </c>
      <c r="U51" s="576" t="str">
        <f t="shared" si="42"/>
        <v/>
      </c>
      <c r="V51" s="579">
        <f t="shared" si="43"/>
        <v>100.99261171147735</v>
      </c>
      <c r="W51" s="580">
        <f t="shared" si="44"/>
        <v>0</v>
      </c>
      <c r="X51" s="581">
        <f t="shared" si="45"/>
        <v>87.488760447293615</v>
      </c>
      <c r="Y51" s="579">
        <f t="shared" si="60"/>
        <v>7.0927379331278164</v>
      </c>
      <c r="Z51" s="580">
        <f t="shared" si="60"/>
        <v>8.863492181046988</v>
      </c>
      <c r="AA51" s="580">
        <f t="shared" si="60"/>
        <v>10.109428269184878</v>
      </c>
      <c r="AB51" s="580">
        <f t="shared" si="60"/>
        <v>9.5293133493846369</v>
      </c>
      <c r="AC51" s="580">
        <f t="shared" si="60"/>
        <v>7.8174825490819089</v>
      </c>
      <c r="AD51" s="580">
        <f t="shared" si="60"/>
        <v>9.1016678780767108</v>
      </c>
      <c r="AE51" s="581">
        <f t="shared" si="60"/>
        <v>8.540478889305982</v>
      </c>
      <c r="AF51" s="845">
        <f t="shared" si="47"/>
        <v>1.0743894862923122E-2</v>
      </c>
      <c r="AG51" s="1355">
        <f t="shared" si="61"/>
        <v>0</v>
      </c>
      <c r="AH51" s="835">
        <f t="shared" si="61"/>
        <v>0</v>
      </c>
      <c r="AI51" s="835">
        <f t="shared" si="61"/>
        <v>0</v>
      </c>
      <c r="AJ51" s="835">
        <f t="shared" si="61"/>
        <v>0</v>
      </c>
      <c r="AK51" s="835">
        <f t="shared" si="61"/>
        <v>0</v>
      </c>
      <c r="AL51" s="835">
        <f t="shared" si="61"/>
        <v>0</v>
      </c>
      <c r="AM51" s="843">
        <f t="shared" si="61"/>
        <v>0</v>
      </c>
      <c r="AN51" s="579">
        <f t="shared" si="49"/>
        <v>28.075439033881523</v>
      </c>
      <c r="AO51" s="580">
        <f t="shared" si="49"/>
        <v>23.658798411811539</v>
      </c>
      <c r="AP51" s="580">
        <f t="shared" si="49"/>
        <v>24.439613821783244</v>
      </c>
      <c r="AQ51" s="576">
        <f t="shared" si="50"/>
        <v>1.2968701137957917E-2</v>
      </c>
      <c r="AR51" s="580">
        <f t="shared" si="51"/>
        <v>25.175152157701731</v>
      </c>
      <c r="AS51" s="581">
        <f t="shared" si="52"/>
        <v>37.968174920887826</v>
      </c>
      <c r="AT51" s="579">
        <f t="shared" si="52"/>
        <v>16.977164259146285</v>
      </c>
      <c r="AU51" s="580">
        <f t="shared" si="52"/>
        <v>27.360631136624505</v>
      </c>
      <c r="AV51" s="578">
        <f t="shared" si="53"/>
        <v>8.8033689956340689E-3</v>
      </c>
      <c r="AW51" s="584">
        <f t="shared" si="54"/>
        <v>8.8033689956340689E-3</v>
      </c>
      <c r="AX51" s="582">
        <f t="shared" si="55"/>
        <v>1.0181</v>
      </c>
      <c r="AY51" s="583">
        <f t="shared" si="56"/>
        <v>31.039398674037045</v>
      </c>
      <c r="AZ51" s="578">
        <f t="shared" si="57"/>
        <v>4.1432263817120903E-2</v>
      </c>
      <c r="BA51" s="577">
        <f t="shared" si="57"/>
        <v>4.2315272786602728E-2</v>
      </c>
      <c r="BB51" s="577">
        <f t="shared" si="57"/>
        <v>4.0361894257010457E-2</v>
      </c>
      <c r="BC51" s="584">
        <f t="shared" si="57"/>
        <v>4.0618374528468192E-2</v>
      </c>
      <c r="BE51" s="847"/>
    </row>
    <row r="52" spans="1:57" s="325" customFormat="1" ht="14.25">
      <c r="A52" s="585">
        <f t="shared" si="59"/>
        <v>14</v>
      </c>
      <c r="B52" s="585">
        <f t="shared" si="58"/>
        <v>2035</v>
      </c>
      <c r="C52" s="574">
        <f t="shared" si="36"/>
        <v>8.1060848396724686E-2</v>
      </c>
      <c r="D52" s="575">
        <f t="shared" si="36"/>
        <v>7.2750317452970503E-2</v>
      </c>
      <c r="E52" s="575">
        <f t="shared" si="36"/>
        <v>7.3591437448322639E-2</v>
      </c>
      <c r="F52" s="576">
        <f t="shared" si="36"/>
        <v>6.293358807789276E-2</v>
      </c>
      <c r="G52" s="1355">
        <f t="shared" si="37"/>
        <v>0</v>
      </c>
      <c r="H52" s="835">
        <f t="shared" si="37"/>
        <v>0</v>
      </c>
      <c r="I52" s="835">
        <f t="shared" si="37"/>
        <v>0</v>
      </c>
      <c r="J52" s="835">
        <f t="shared" si="37"/>
        <v>0</v>
      </c>
      <c r="K52" s="1355">
        <f t="shared" si="38"/>
        <v>1.1243892081215338E-4</v>
      </c>
      <c r="L52" s="1318">
        <f t="shared" si="39"/>
        <v>101.21927566140043</v>
      </c>
      <c r="M52" s="580">
        <f t="shared" si="39"/>
        <v>127.28150627021172</v>
      </c>
      <c r="N52" s="580">
        <f t="shared" si="39"/>
        <v>127.28150627021172</v>
      </c>
      <c r="O52" s="581">
        <f t="shared" si="40"/>
        <v>0</v>
      </c>
      <c r="P52" s="831">
        <f t="shared" si="41"/>
        <v>0</v>
      </c>
      <c r="Q52" s="831">
        <f t="shared" si="41"/>
        <v>16.94563279834917</v>
      </c>
      <c r="R52" s="1313">
        <f t="shared" si="41"/>
        <v>16.94563279834917</v>
      </c>
      <c r="S52" s="580" t="str">
        <f t="shared" si="42"/>
        <v/>
      </c>
      <c r="T52" s="580" t="str">
        <f t="shared" si="42"/>
        <v/>
      </c>
      <c r="U52" s="576" t="str">
        <f t="shared" si="42"/>
        <v/>
      </c>
      <c r="V52" s="579">
        <f t="shared" si="43"/>
        <v>100.99261171147735</v>
      </c>
      <c r="W52" s="580">
        <f t="shared" si="44"/>
        <v>0</v>
      </c>
      <c r="X52" s="581">
        <f t="shared" si="45"/>
        <v>87.488760447293615</v>
      </c>
      <c r="Y52" s="579">
        <f t="shared" si="60"/>
        <v>7.1235125486783284</v>
      </c>
      <c r="Z52" s="580">
        <f t="shared" si="60"/>
        <v>8.8903593758036514</v>
      </c>
      <c r="AA52" s="580">
        <f t="shared" si="60"/>
        <v>10.135283000149949</v>
      </c>
      <c r="AB52" s="580">
        <f t="shared" si="60"/>
        <v>9.5561085557958432</v>
      </c>
      <c r="AC52" s="580">
        <f t="shared" si="60"/>
        <v>7.8468014376523012</v>
      </c>
      <c r="AD52" s="580">
        <f t="shared" si="60"/>
        <v>9.1285883972856947</v>
      </c>
      <c r="AE52" s="581">
        <f t="shared" si="60"/>
        <v>8.5684474959259003</v>
      </c>
      <c r="AF52" s="845">
        <f t="shared" si="47"/>
        <v>1.0743894862923122E-2</v>
      </c>
      <c r="AG52" s="1355">
        <f t="shared" si="61"/>
        <v>0</v>
      </c>
      <c r="AH52" s="835">
        <f t="shared" si="61"/>
        <v>0</v>
      </c>
      <c r="AI52" s="835">
        <f t="shared" si="61"/>
        <v>0</v>
      </c>
      <c r="AJ52" s="835">
        <f t="shared" si="61"/>
        <v>0</v>
      </c>
      <c r="AK52" s="835">
        <f t="shared" si="61"/>
        <v>0</v>
      </c>
      <c r="AL52" s="835">
        <f t="shared" si="61"/>
        <v>0</v>
      </c>
      <c r="AM52" s="843">
        <f t="shared" si="61"/>
        <v>0</v>
      </c>
      <c r="AN52" s="579">
        <f t="shared" si="49"/>
        <v>28.307749566347184</v>
      </c>
      <c r="AO52" s="580">
        <f t="shared" si="49"/>
        <v>23.837812340332558</v>
      </c>
      <c r="AP52" s="580">
        <f t="shared" si="49"/>
        <v>24.62629094476851</v>
      </c>
      <c r="AQ52" s="576">
        <f t="shared" si="50"/>
        <v>1.2968701137957917E-2</v>
      </c>
      <c r="AR52" s="580">
        <f t="shared" si="51"/>
        <v>25.383464234161227</v>
      </c>
      <c r="AS52" s="581">
        <f t="shared" si="52"/>
        <v>38.150577871886945</v>
      </c>
      <c r="AT52" s="579">
        <f t="shared" si="52"/>
        <v>17.117641993583124</v>
      </c>
      <c r="AU52" s="580">
        <f t="shared" si="52"/>
        <v>27.587026983196136</v>
      </c>
      <c r="AV52" s="578">
        <f t="shared" si="53"/>
        <v>8.8033689956340689E-3</v>
      </c>
      <c r="AW52" s="584">
        <f t="shared" si="54"/>
        <v>8.8033689956340689E-3</v>
      </c>
      <c r="AX52" s="582">
        <f t="shared" si="55"/>
        <v>1.0181</v>
      </c>
      <c r="AY52" s="583">
        <f t="shared" si="56"/>
        <v>32.90442692054571</v>
      </c>
      <c r="AZ52" s="578">
        <f t="shared" si="57"/>
        <v>4.1010815659043007E-2</v>
      </c>
      <c r="BA52" s="577">
        <f t="shared" si="57"/>
        <v>4.1884842678965015E-2</v>
      </c>
      <c r="BB52" s="577">
        <f t="shared" si="57"/>
        <v>3.9951333876669312E-2</v>
      </c>
      <c r="BC52" s="584">
        <f t="shared" si="57"/>
        <v>4.0205205235940483E-2</v>
      </c>
      <c r="BE52" s="847"/>
    </row>
    <row r="53" spans="1:57" s="325" customFormat="1" ht="14.25">
      <c r="A53" s="585">
        <f t="shared" si="59"/>
        <v>15</v>
      </c>
      <c r="B53" s="585">
        <f t="shared" si="58"/>
        <v>2036</v>
      </c>
      <c r="C53" s="574">
        <f t="shared" si="36"/>
        <v>8.2815684905239315E-2</v>
      </c>
      <c r="D53" s="575">
        <f t="shared" si="36"/>
        <v>7.3472118745129752E-2</v>
      </c>
      <c r="E53" s="575">
        <f t="shared" si="36"/>
        <v>7.7500397411564434E-2</v>
      </c>
      <c r="F53" s="576">
        <f t="shared" si="36"/>
        <v>6.5845298567244664E-2</v>
      </c>
      <c r="G53" s="1355">
        <f t="shared" si="37"/>
        <v>0</v>
      </c>
      <c r="H53" s="835">
        <f t="shared" si="37"/>
        <v>0</v>
      </c>
      <c r="I53" s="835">
        <f t="shared" si="37"/>
        <v>0</v>
      </c>
      <c r="J53" s="835">
        <f t="shared" si="37"/>
        <v>0</v>
      </c>
      <c r="K53" s="1355">
        <f t="shared" si="38"/>
        <v>1.1243892081215338E-4</v>
      </c>
      <c r="L53" s="1318">
        <f t="shared" si="39"/>
        <v>102.90674507406517</v>
      </c>
      <c r="M53" s="580">
        <f t="shared" si="39"/>
        <v>129.31892032119993</v>
      </c>
      <c r="N53" s="580">
        <f t="shared" si="39"/>
        <v>129.31892032119993</v>
      </c>
      <c r="O53" s="581">
        <f t="shared" si="40"/>
        <v>0</v>
      </c>
      <c r="P53" s="831">
        <f t="shared" si="41"/>
        <v>0</v>
      </c>
      <c r="Q53" s="831">
        <f t="shared" si="41"/>
        <v>4.1145317011749016</v>
      </c>
      <c r="R53" s="1313">
        <f t="shared" si="41"/>
        <v>4.1145317011749016</v>
      </c>
      <c r="S53" s="580" t="str">
        <f t="shared" si="42"/>
        <v/>
      </c>
      <c r="T53" s="580" t="str">
        <f t="shared" si="42"/>
        <v/>
      </c>
      <c r="U53" s="576" t="str">
        <f t="shared" si="42"/>
        <v/>
      </c>
      <c r="V53" s="579">
        <f t="shared" si="43"/>
        <v>100.99261171147735</v>
      </c>
      <c r="W53" s="580">
        <f t="shared" si="44"/>
        <v>0</v>
      </c>
      <c r="X53" s="581">
        <f t="shared" si="45"/>
        <v>87.488760447293615</v>
      </c>
      <c r="Y53" s="579">
        <f t="shared" si="60"/>
        <v>7.1676934930291285</v>
      </c>
      <c r="Z53" s="580">
        <f t="shared" si="60"/>
        <v>8.9308594184641823</v>
      </c>
      <c r="AA53" s="580">
        <f t="shared" si="60"/>
        <v>10.17479481808534</v>
      </c>
      <c r="AB53" s="580">
        <f t="shared" si="60"/>
        <v>9.5964786865625396</v>
      </c>
      <c r="AC53" s="580">
        <f t="shared" si="60"/>
        <v>7.88961931849955</v>
      </c>
      <c r="AD53" s="580">
        <f t="shared" si="60"/>
        <v>9.169119550375127</v>
      </c>
      <c r="AE53" s="581">
        <f t="shared" si="60"/>
        <v>8.6099663215751363</v>
      </c>
      <c r="AF53" s="845">
        <f t="shared" si="47"/>
        <v>1.0743894862923122E-2</v>
      </c>
      <c r="AG53" s="1355">
        <f t="shared" si="61"/>
        <v>0</v>
      </c>
      <c r="AH53" s="835">
        <f t="shared" si="61"/>
        <v>0</v>
      </c>
      <c r="AI53" s="835">
        <f t="shared" si="61"/>
        <v>0</v>
      </c>
      <c r="AJ53" s="835">
        <f t="shared" si="61"/>
        <v>0</v>
      </c>
      <c r="AK53" s="835">
        <f t="shared" si="61"/>
        <v>0</v>
      </c>
      <c r="AL53" s="835">
        <f t="shared" si="61"/>
        <v>0</v>
      </c>
      <c r="AM53" s="843">
        <f t="shared" si="61"/>
        <v>0</v>
      </c>
      <c r="AN53" s="579">
        <f t="shared" si="49"/>
        <v>28.877109627505188</v>
      </c>
      <c r="AO53" s="580">
        <f t="shared" si="49"/>
        <v>24.329825166103895</v>
      </c>
      <c r="AP53" s="580">
        <f t="shared" si="49"/>
        <v>25.152804130669153</v>
      </c>
      <c r="AQ53" s="576">
        <f t="shared" si="50"/>
        <v>1.2968701137957917E-2</v>
      </c>
      <c r="AR53" s="580">
        <f t="shared" si="51"/>
        <v>25.894007494228262</v>
      </c>
      <c r="AS53" s="581">
        <f t="shared" si="52"/>
        <v>38.718735464452109</v>
      </c>
      <c r="AT53" s="579">
        <f t="shared" si="52"/>
        <v>17.461932933048466</v>
      </c>
      <c r="AU53" s="580">
        <f t="shared" si="52"/>
        <v>28.141890990789051</v>
      </c>
      <c r="AV53" s="578">
        <f t="shared" si="53"/>
        <v>8.8033689956340689E-3</v>
      </c>
      <c r="AW53" s="584">
        <f t="shared" si="54"/>
        <v>8.8033689956340689E-3</v>
      </c>
      <c r="AX53" s="582">
        <f t="shared" si="55"/>
        <v>1.0181</v>
      </c>
      <c r="AY53" s="583">
        <f t="shared" si="56"/>
        <v>34.902671470376418</v>
      </c>
      <c r="AZ53" s="578">
        <f t="shared" si="57"/>
        <v>4.056865884446266E-2</v>
      </c>
      <c r="BA53" s="577">
        <f t="shared" si="57"/>
        <v>4.1433262569656792E-2</v>
      </c>
      <c r="BB53" s="577">
        <f t="shared" si="57"/>
        <v>3.9520599831484607E-2</v>
      </c>
      <c r="BC53" s="584">
        <f t="shared" si="57"/>
        <v>3.9771734084708882E-2</v>
      </c>
      <c r="BE53" s="847"/>
    </row>
    <row r="54" spans="1:57" s="325" customFormat="1" ht="14.25">
      <c r="A54" s="585">
        <f t="shared" si="59"/>
        <v>16</v>
      </c>
      <c r="B54" s="585">
        <f t="shared" si="58"/>
        <v>2037</v>
      </c>
      <c r="C54" s="574">
        <f t="shared" si="36"/>
        <v>8.4620027173244752E-2</v>
      </c>
      <c r="D54" s="575">
        <f t="shared" si="36"/>
        <v>7.421833153221935E-2</v>
      </c>
      <c r="E54" s="575">
        <f t="shared" si="36"/>
        <v>8.1618922874182487E-2</v>
      </c>
      <c r="F54" s="576">
        <f t="shared" si="36"/>
        <v>6.8895097980786732E-2</v>
      </c>
      <c r="G54" s="1355">
        <f t="shared" si="37"/>
        <v>0</v>
      </c>
      <c r="H54" s="835">
        <f t="shared" si="37"/>
        <v>0</v>
      </c>
      <c r="I54" s="835">
        <f t="shared" si="37"/>
        <v>0</v>
      </c>
      <c r="J54" s="835">
        <f t="shared" si="37"/>
        <v>0</v>
      </c>
      <c r="K54" s="1355">
        <f t="shared" si="38"/>
        <v>1.1243892081215338E-4</v>
      </c>
      <c r="L54" s="1318">
        <f t="shared" si="39"/>
        <v>104.62234700398091</v>
      </c>
      <c r="M54" s="580">
        <f t="shared" si="39"/>
        <v>131.38894756271989</v>
      </c>
      <c r="N54" s="580">
        <f t="shared" si="39"/>
        <v>131.38894756271989</v>
      </c>
      <c r="O54" s="581">
        <f t="shared" si="40"/>
        <v>0</v>
      </c>
      <c r="P54" s="831">
        <f t="shared" si="41"/>
        <v>0</v>
      </c>
      <c r="Q54" s="831">
        <f t="shared" si="41"/>
        <v>0</v>
      </c>
      <c r="R54" s="1313">
        <f t="shared" si="41"/>
        <v>0</v>
      </c>
      <c r="S54" s="580" t="str">
        <f t="shared" si="42"/>
        <v/>
      </c>
      <c r="T54" s="580" t="str">
        <f t="shared" si="42"/>
        <v/>
      </c>
      <c r="U54" s="576" t="str">
        <f t="shared" si="42"/>
        <v/>
      </c>
      <c r="V54" s="579">
        <f t="shared" si="43"/>
        <v>100.99261171147735</v>
      </c>
      <c r="W54" s="580">
        <f t="shared" si="44"/>
        <v>0</v>
      </c>
      <c r="X54" s="581">
        <f t="shared" si="45"/>
        <v>87.488760447293615</v>
      </c>
      <c r="Y54" s="579">
        <f t="shared" si="60"/>
        <v>7.2121484532997977</v>
      </c>
      <c r="Z54" s="580">
        <f t="shared" si="60"/>
        <v>8.9715439591169943</v>
      </c>
      <c r="AA54" s="580">
        <f t="shared" si="60"/>
        <v>10.214460670570782</v>
      </c>
      <c r="AB54" s="580">
        <f t="shared" si="60"/>
        <v>9.6370193624259759</v>
      </c>
      <c r="AC54" s="580">
        <f t="shared" si="60"/>
        <v>7.9326708449837904</v>
      </c>
      <c r="AD54" s="580">
        <f t="shared" si="60"/>
        <v>9.2098306627637694</v>
      </c>
      <c r="AE54" s="581">
        <f t="shared" si="60"/>
        <v>8.6516863286967602</v>
      </c>
      <c r="AF54" s="845">
        <f t="shared" si="47"/>
        <v>1.0743894862923122E-2</v>
      </c>
      <c r="AG54" s="1355">
        <f t="shared" si="61"/>
        <v>0</v>
      </c>
      <c r="AH54" s="835">
        <f t="shared" si="61"/>
        <v>0</v>
      </c>
      <c r="AI54" s="835">
        <f t="shared" si="61"/>
        <v>0</v>
      </c>
      <c r="AJ54" s="835">
        <f t="shared" si="61"/>
        <v>0</v>
      </c>
      <c r="AK54" s="835">
        <f t="shared" si="61"/>
        <v>0</v>
      </c>
      <c r="AL54" s="835">
        <f t="shared" si="61"/>
        <v>0</v>
      </c>
      <c r="AM54" s="843">
        <f t="shared" si="61"/>
        <v>0</v>
      </c>
      <c r="AN54" s="579">
        <f t="shared" si="49"/>
        <v>28.95790127869142</v>
      </c>
      <c r="AO54" s="580">
        <f t="shared" si="49"/>
        <v>24.38206287647753</v>
      </c>
      <c r="AP54" s="580">
        <f t="shared" si="49"/>
        <v>25.208326709492788</v>
      </c>
      <c r="AQ54" s="576">
        <f t="shared" si="50"/>
        <v>1.2968701137957917E-2</v>
      </c>
      <c r="AR54" s="580">
        <f t="shared" si="51"/>
        <v>25.966453097277633</v>
      </c>
      <c r="AS54" s="581">
        <f t="shared" si="52"/>
        <v>38.979736346158866</v>
      </c>
      <c r="AT54" s="579">
        <f t="shared" si="52"/>
        <v>17.51078748991937</v>
      </c>
      <c r="AU54" s="580">
        <f t="shared" si="52"/>
        <v>28.220625665760924</v>
      </c>
      <c r="AV54" s="578">
        <f t="shared" si="53"/>
        <v>8.8033689956340689E-3</v>
      </c>
      <c r="AW54" s="584">
        <f t="shared" si="54"/>
        <v>8.8033689956340689E-3</v>
      </c>
      <c r="AX54" s="582">
        <f t="shared" si="55"/>
        <v>1.0181</v>
      </c>
      <c r="AY54" s="583">
        <f t="shared" si="56"/>
        <v>36.900916020207127</v>
      </c>
      <c r="AZ54" s="578">
        <f t="shared" si="57"/>
        <v>4.0131269129622678E-2</v>
      </c>
      <c r="BA54" s="577">
        <f t="shared" si="57"/>
        <v>4.0986551157043596E-2</v>
      </c>
      <c r="BB54" s="577">
        <f t="shared" si="57"/>
        <v>3.9094509731812555E-2</v>
      </c>
      <c r="BC54" s="584">
        <f t="shared" si="57"/>
        <v>3.9342936389012394E-2</v>
      </c>
      <c r="BE54" s="847"/>
    </row>
    <row r="55" spans="1:57" s="325" customFormat="1" ht="14.25">
      <c r="A55" s="585">
        <f t="shared" si="59"/>
        <v>17</v>
      </c>
      <c r="B55" s="585">
        <f t="shared" si="58"/>
        <v>2038</v>
      </c>
      <c r="C55" s="574">
        <f t="shared" si="36"/>
        <v>8.647602764783921E-2</v>
      </c>
      <c r="D55" s="575">
        <f t="shared" si="36"/>
        <v>7.499059758931538E-2</v>
      </c>
      <c r="E55" s="575">
        <f t="shared" si="36"/>
        <v>8.5958390399923645E-2</v>
      </c>
      <c r="F55" s="576">
        <f t="shared" si="36"/>
        <v>7.208977763063365E-2</v>
      </c>
      <c r="G55" s="1355">
        <f t="shared" si="37"/>
        <v>0</v>
      </c>
      <c r="H55" s="835">
        <f t="shared" si="37"/>
        <v>0</v>
      </c>
      <c r="I55" s="835">
        <f t="shared" si="37"/>
        <v>0</v>
      </c>
      <c r="J55" s="835">
        <f t="shared" si="37"/>
        <v>0</v>
      </c>
      <c r="K55" s="1355">
        <f t="shared" si="38"/>
        <v>1.1243892081215338E-4</v>
      </c>
      <c r="L55" s="1318">
        <f t="shared" si="39"/>
        <v>106.36655046025734</v>
      </c>
      <c r="M55" s="580">
        <f t="shared" si="39"/>
        <v>133.49211003897577</v>
      </c>
      <c r="N55" s="580">
        <f t="shared" si="39"/>
        <v>133.49211003897577</v>
      </c>
      <c r="O55" s="581">
        <f t="shared" si="40"/>
        <v>0</v>
      </c>
      <c r="P55" s="831">
        <f t="shared" si="41"/>
        <v>0</v>
      </c>
      <c r="Q55" s="831">
        <f t="shared" si="41"/>
        <v>0</v>
      </c>
      <c r="R55" s="1313">
        <f t="shared" si="41"/>
        <v>0</v>
      </c>
      <c r="S55" s="580" t="str">
        <f t="shared" si="42"/>
        <v/>
      </c>
      <c r="T55" s="580" t="str">
        <f t="shared" si="42"/>
        <v/>
      </c>
      <c r="U55" s="576" t="str">
        <f t="shared" si="42"/>
        <v/>
      </c>
      <c r="V55" s="579">
        <f t="shared" si="43"/>
        <v>100.99261171147735</v>
      </c>
      <c r="W55" s="580">
        <f t="shared" si="44"/>
        <v>0</v>
      </c>
      <c r="X55" s="581">
        <f t="shared" si="45"/>
        <v>87.488760447293615</v>
      </c>
      <c r="Y55" s="579">
        <f t="shared" si="60"/>
        <v>7.2568791289724413</v>
      </c>
      <c r="Z55" s="580">
        <f t="shared" si="60"/>
        <v>9.012413838242912</v>
      </c>
      <c r="AA55" s="580">
        <f t="shared" si="60"/>
        <v>10.254281158101108</v>
      </c>
      <c r="AB55" s="580">
        <f t="shared" si="60"/>
        <v>9.6777313038601651</v>
      </c>
      <c r="AC55" s="580">
        <f t="shared" si="60"/>
        <v>7.9759572920463011</v>
      </c>
      <c r="AD55" s="580">
        <f t="shared" si="60"/>
        <v>9.2507225334752601</v>
      </c>
      <c r="AE55" s="581">
        <f t="shared" si="60"/>
        <v>8.6936084921252981</v>
      </c>
      <c r="AF55" s="845">
        <f t="shared" si="47"/>
        <v>1.0743894862923122E-2</v>
      </c>
      <c r="AG55" s="1355">
        <f t="shared" si="61"/>
        <v>0</v>
      </c>
      <c r="AH55" s="835">
        <f t="shared" si="61"/>
        <v>0</v>
      </c>
      <c r="AI55" s="835">
        <f t="shared" si="61"/>
        <v>0</v>
      </c>
      <c r="AJ55" s="835">
        <f t="shared" si="61"/>
        <v>0</v>
      </c>
      <c r="AK55" s="835">
        <f t="shared" si="61"/>
        <v>0</v>
      </c>
      <c r="AL55" s="835">
        <f t="shared" si="61"/>
        <v>0</v>
      </c>
      <c r="AM55" s="843">
        <f t="shared" si="61"/>
        <v>0</v>
      </c>
      <c r="AN55" s="579">
        <f t="shared" si="49"/>
        <v>29.136775346804171</v>
      </c>
      <c r="AO55" s="580">
        <f t="shared" si="49"/>
        <v>24.491283403247174</v>
      </c>
      <c r="AP55" s="580">
        <f t="shared" si="49"/>
        <v>25.318134709689886</v>
      </c>
      <c r="AQ55" s="576">
        <f t="shared" si="50"/>
        <v>1.2968701137957917E-2</v>
      </c>
      <c r="AR55" s="580">
        <f t="shared" si="51"/>
        <v>26.126848875109317</v>
      </c>
      <c r="AS55" s="581">
        <f t="shared" si="52"/>
        <v>39.499216564002978</v>
      </c>
      <c r="AT55" s="579">
        <f t="shared" si="52"/>
        <v>17.618952296617032</v>
      </c>
      <c r="AU55" s="580">
        <f t="shared" si="52"/>
        <v>28.394945554102982</v>
      </c>
      <c r="AV55" s="578">
        <f t="shared" si="53"/>
        <v>8.8033689956340689E-3</v>
      </c>
      <c r="AW55" s="584">
        <f t="shared" si="54"/>
        <v>8.8033689956340689E-3</v>
      </c>
      <c r="AX55" s="582">
        <f t="shared" si="55"/>
        <v>1.0181</v>
      </c>
      <c r="AY55" s="583">
        <f t="shared" si="56"/>
        <v>39.165593176681938</v>
      </c>
      <c r="AZ55" s="578">
        <f t="shared" si="57"/>
        <v>3.9698595118187657E-2</v>
      </c>
      <c r="BA55" s="577">
        <f t="shared" si="57"/>
        <v>4.054465594942569E-2</v>
      </c>
      <c r="BB55" s="577">
        <f t="shared" si="57"/>
        <v>3.8673013509101198E-2</v>
      </c>
      <c r="BC55" s="584">
        <f t="shared" si="57"/>
        <v>3.8918761762137662E-2</v>
      </c>
      <c r="BE55" s="847"/>
    </row>
    <row r="56" spans="1:57" s="325" customFormat="1" ht="14.25">
      <c r="A56" s="585">
        <f t="shared" si="59"/>
        <v>18</v>
      </c>
      <c r="B56" s="585">
        <f t="shared" si="58"/>
        <v>2039</v>
      </c>
      <c r="C56" s="574">
        <f t="shared" si="36"/>
        <v>8.8385970428719179E-2</v>
      </c>
      <c r="D56" s="575">
        <f t="shared" si="36"/>
        <v>7.5790680436412461E-2</v>
      </c>
      <c r="E56" s="575">
        <f t="shared" si="36"/>
        <v>9.0530804397212131E-2</v>
      </c>
      <c r="F56" s="576">
        <f t="shared" si="36"/>
        <v>7.5436479816216526E-2</v>
      </c>
      <c r="G56" s="1355">
        <f t="shared" si="37"/>
        <v>0</v>
      </c>
      <c r="H56" s="835">
        <f t="shared" si="37"/>
        <v>0</v>
      </c>
      <c r="I56" s="835">
        <f t="shared" si="37"/>
        <v>0</v>
      </c>
      <c r="J56" s="835">
        <f t="shared" si="37"/>
        <v>0</v>
      </c>
      <c r="K56" s="1355">
        <f t="shared" si="38"/>
        <v>1.1243892081215338E-4</v>
      </c>
      <c r="L56" s="1318">
        <f t="shared" si="39"/>
        <v>108.13983227105371</v>
      </c>
      <c r="M56" s="580">
        <f t="shared" si="39"/>
        <v>135.62893815061105</v>
      </c>
      <c r="N56" s="580">
        <f t="shared" si="39"/>
        <v>135.62893815061105</v>
      </c>
      <c r="O56" s="581">
        <f t="shared" si="40"/>
        <v>0</v>
      </c>
      <c r="P56" s="831">
        <f t="shared" si="41"/>
        <v>0</v>
      </c>
      <c r="Q56" s="831">
        <f t="shared" si="41"/>
        <v>0</v>
      </c>
      <c r="R56" s="1313">
        <f t="shared" si="41"/>
        <v>0</v>
      </c>
      <c r="S56" s="580" t="str">
        <f t="shared" si="42"/>
        <v/>
      </c>
      <c r="T56" s="580" t="str">
        <f t="shared" si="42"/>
        <v/>
      </c>
      <c r="U56" s="576" t="str">
        <f t="shared" si="42"/>
        <v/>
      </c>
      <c r="V56" s="579">
        <f t="shared" si="43"/>
        <v>100.99261171147735</v>
      </c>
      <c r="W56" s="580">
        <f t="shared" si="44"/>
        <v>0</v>
      </c>
      <c r="X56" s="581">
        <f t="shared" si="45"/>
        <v>87.488760447293615</v>
      </c>
      <c r="Y56" s="579">
        <f t="shared" si="60"/>
        <v>7.3018872300695747</v>
      </c>
      <c r="Z56" s="580">
        <f t="shared" si="60"/>
        <v>9.0534699001515673</v>
      </c>
      <c r="AA56" s="580">
        <f t="shared" si="60"/>
        <v>10.294256883512151</v>
      </c>
      <c r="AB56" s="580">
        <f t="shared" si="60"/>
        <v>9.7186152343827867</v>
      </c>
      <c r="AC56" s="580">
        <f t="shared" si="60"/>
        <v>8.0194799415853666</v>
      </c>
      <c r="AD56" s="580">
        <f t="shared" si="60"/>
        <v>9.2917959650809223</v>
      </c>
      <c r="AE56" s="581">
        <f t="shared" si="60"/>
        <v>8.7357337914188857</v>
      </c>
      <c r="AF56" s="845">
        <f t="shared" si="47"/>
        <v>1.0743894862923122E-2</v>
      </c>
      <c r="AG56" s="1355">
        <f t="shared" si="61"/>
        <v>0</v>
      </c>
      <c r="AH56" s="835">
        <f t="shared" si="61"/>
        <v>0</v>
      </c>
      <c r="AI56" s="835">
        <f t="shared" si="61"/>
        <v>0</v>
      </c>
      <c r="AJ56" s="835">
        <f t="shared" si="61"/>
        <v>0</v>
      </c>
      <c r="AK56" s="835">
        <f t="shared" si="61"/>
        <v>0</v>
      </c>
      <c r="AL56" s="835">
        <f t="shared" si="61"/>
        <v>0</v>
      </c>
      <c r="AM56" s="843">
        <f t="shared" si="61"/>
        <v>0</v>
      </c>
      <c r="AN56" s="579">
        <f t="shared" si="49"/>
        <v>29.536659242989284</v>
      </c>
      <c r="AO56" s="580">
        <f t="shared" si="49"/>
        <v>24.8168611630316</v>
      </c>
      <c r="AP56" s="580">
        <f t="shared" si="49"/>
        <v>25.658191011345952</v>
      </c>
      <c r="AQ56" s="576">
        <f t="shared" si="50"/>
        <v>1.2968701137957917E-2</v>
      </c>
      <c r="AR56" s="580">
        <f t="shared" si="51"/>
        <v>26.485423425616819</v>
      </c>
      <c r="AS56" s="581">
        <f t="shared" si="52"/>
        <v>40.234818502795967</v>
      </c>
      <c r="AT56" s="579">
        <f t="shared" si="52"/>
        <v>17.860761323429728</v>
      </c>
      <c r="AU56" s="580">
        <f t="shared" si="52"/>
        <v>28.78464830346314</v>
      </c>
      <c r="AV56" s="578">
        <f t="shared" si="53"/>
        <v>8.8033689956340689E-3</v>
      </c>
      <c r="AW56" s="584">
        <f t="shared" si="54"/>
        <v>8.8033689956340689E-3</v>
      </c>
      <c r="AX56" s="582">
        <f t="shared" si="55"/>
        <v>1.0181</v>
      </c>
      <c r="AY56" s="583">
        <f t="shared" si="56"/>
        <v>41.563486636478785</v>
      </c>
      <c r="AZ56" s="578">
        <f t="shared" si="57"/>
        <v>3.9270585967950189E-2</v>
      </c>
      <c r="BA56" s="577">
        <f t="shared" si="57"/>
        <v>4.0107525021040924E-2</v>
      </c>
      <c r="BB56" s="577">
        <f t="shared" si="57"/>
        <v>3.825606163461108E-2</v>
      </c>
      <c r="BC56" s="584">
        <f t="shared" si="57"/>
        <v>3.8499160360614126E-2</v>
      </c>
      <c r="BE56" s="847"/>
    </row>
    <row r="57" spans="1:57" s="325" customFormat="1" ht="14.25">
      <c r="A57" s="585">
        <f t="shared" si="59"/>
        <v>19</v>
      </c>
      <c r="B57" s="585">
        <f t="shared" si="58"/>
        <v>2040</v>
      </c>
      <c r="C57" s="574">
        <f t="shared" si="36"/>
        <v>9.0352280564568191E-2</v>
      </c>
      <c r="D57" s="575">
        <f t="shared" si="36"/>
        <v>7.6620474445424733E-2</v>
      </c>
      <c r="E57" s="575">
        <f t="shared" si="36"/>
        <v>9.5348832502224978E-2</v>
      </c>
      <c r="F57" s="576">
        <f t="shared" si="36"/>
        <v>7.8942717111728525E-2</v>
      </c>
      <c r="G57" s="1355">
        <f t="shared" si="37"/>
        <v>0</v>
      </c>
      <c r="H57" s="835">
        <f t="shared" si="37"/>
        <v>0</v>
      </c>
      <c r="I57" s="835">
        <f t="shared" si="37"/>
        <v>0</v>
      </c>
      <c r="J57" s="835">
        <f t="shared" si="37"/>
        <v>0</v>
      </c>
      <c r="K57" s="1355">
        <f t="shared" si="38"/>
        <v>1.1243892081215338E-4</v>
      </c>
      <c r="L57" s="1318">
        <f t="shared" si="39"/>
        <v>109.94267721393337</v>
      </c>
      <c r="M57" s="580">
        <f t="shared" si="39"/>
        <v>137.79997078847143</v>
      </c>
      <c r="N57" s="580">
        <f t="shared" si="39"/>
        <v>137.79997078847143</v>
      </c>
      <c r="O57" s="581">
        <f t="shared" si="40"/>
        <v>0</v>
      </c>
      <c r="P57" s="831">
        <f t="shared" si="41"/>
        <v>0</v>
      </c>
      <c r="Q57" s="831">
        <f t="shared" si="41"/>
        <v>0</v>
      </c>
      <c r="R57" s="1313">
        <f t="shared" si="41"/>
        <v>0</v>
      </c>
      <c r="S57" s="580" t="str">
        <f t="shared" si="42"/>
        <v/>
      </c>
      <c r="T57" s="580" t="str">
        <f t="shared" si="42"/>
        <v/>
      </c>
      <c r="U57" s="576" t="str">
        <f t="shared" si="42"/>
        <v/>
      </c>
      <c r="V57" s="579">
        <f t="shared" si="43"/>
        <v>100.99261171147735</v>
      </c>
      <c r="W57" s="580">
        <f t="shared" si="44"/>
        <v>0</v>
      </c>
      <c r="X57" s="581">
        <f t="shared" si="45"/>
        <v>87.488760447293615</v>
      </c>
      <c r="Y57" s="579">
        <f t="shared" si="60"/>
        <v>7.3471744772194905</v>
      </c>
      <c r="Z57" s="580">
        <f t="shared" si="60"/>
        <v>9.0947129929988488</v>
      </c>
      <c r="AA57" s="580">
        <f t="shared" si="60"/>
        <v>10.334388451989861</v>
      </c>
      <c r="AB57" s="580">
        <f t="shared" si="60"/>
        <v>9.7596718805680442</v>
      </c>
      <c r="AC57" s="580">
        <f t="shared" si="60"/>
        <v>8.0632400824942518</v>
      </c>
      <c r="AD57" s="580">
        <f t="shared" si="60"/>
        <v>9.3330517637155115</v>
      </c>
      <c r="AE57" s="581">
        <f t="shared" si="60"/>
        <v>8.7780632108821557</v>
      </c>
      <c r="AF57" s="845">
        <f t="shared" si="47"/>
        <v>1.0743894862923122E-2</v>
      </c>
      <c r="AG57" s="1355">
        <f t="shared" si="61"/>
        <v>0</v>
      </c>
      <c r="AH57" s="835">
        <f t="shared" si="61"/>
        <v>0</v>
      </c>
      <c r="AI57" s="835">
        <f t="shared" si="61"/>
        <v>0</v>
      </c>
      <c r="AJ57" s="835">
        <f t="shared" si="61"/>
        <v>0</v>
      </c>
      <c r="AK57" s="835">
        <f t="shared" si="61"/>
        <v>0</v>
      </c>
      <c r="AL57" s="835">
        <f t="shared" si="61"/>
        <v>0</v>
      </c>
      <c r="AM57" s="843">
        <f t="shared" si="61"/>
        <v>0</v>
      </c>
      <c r="AN57" s="579">
        <f t="shared" si="49"/>
        <v>29.749938537833696</v>
      </c>
      <c r="AO57" s="580">
        <f t="shared" si="49"/>
        <v>24.962194171425903</v>
      </c>
      <c r="AP57" s="580">
        <f t="shared" si="49"/>
        <v>25.810421783674574</v>
      </c>
      <c r="AQ57" s="576">
        <f t="shared" si="50"/>
        <v>1.2968701137957917E-2</v>
      </c>
      <c r="AR57" s="580">
        <f t="shared" si="51"/>
        <v>26.676670255036498</v>
      </c>
      <c r="AS57" s="581">
        <f t="shared" si="52"/>
        <v>40.509118153039871</v>
      </c>
      <c r="AT57" s="579">
        <f t="shared" si="52"/>
        <v>17.98973090489482</v>
      </c>
      <c r="AU57" s="580">
        <f t="shared" si="52"/>
        <v>28.99249745261714</v>
      </c>
      <c r="AV57" s="578">
        <f t="shared" si="53"/>
        <v>8.8033689956340689E-3</v>
      </c>
      <c r="AW57" s="584">
        <f t="shared" si="54"/>
        <v>8.8033689956340689E-3</v>
      </c>
      <c r="AX57" s="582">
        <f t="shared" si="55"/>
        <v>1.0181</v>
      </c>
      <c r="AY57" s="583">
        <f t="shared" si="56"/>
        <v>43.96138009627564</v>
      </c>
      <c r="AZ57" s="578">
        <f t="shared" si="57"/>
        <v>3.8847191384856511E-2</v>
      </c>
      <c r="BA57" s="577">
        <f t="shared" si="57"/>
        <v>3.9675107005963134E-2</v>
      </c>
      <c r="BB57" s="577">
        <f t="shared" si="57"/>
        <v>3.7843605113595288E-2</v>
      </c>
      <c r="BC57" s="584">
        <f t="shared" si="57"/>
        <v>3.808408287835699E-2</v>
      </c>
      <c r="BE57" s="847"/>
    </row>
    <row r="58" spans="1:57" s="325" customFormat="1" ht="14.25">
      <c r="A58" s="585">
        <f t="shared" si="59"/>
        <v>20</v>
      </c>
      <c r="B58" s="585">
        <f t="shared" si="58"/>
        <v>2041</v>
      </c>
      <c r="C58" s="574">
        <f t="shared" si="36"/>
        <v>9.2377534034788475E-2</v>
      </c>
      <c r="D58" s="575">
        <f t="shared" si="36"/>
        <v>7.7482014628926843E-2</v>
      </c>
      <c r="E58" s="575">
        <f t="shared" si="36"/>
        <v>0.10042584300770732</v>
      </c>
      <c r="F58" s="576">
        <f t="shared" si="36"/>
        <v>8.2616392787260184E-2</v>
      </c>
      <c r="G58" s="1355">
        <f t="shared" si="37"/>
        <v>0</v>
      </c>
      <c r="H58" s="835">
        <f t="shared" si="37"/>
        <v>0</v>
      </c>
      <c r="I58" s="835">
        <f t="shared" si="37"/>
        <v>0</v>
      </c>
      <c r="J58" s="835">
        <f t="shared" si="37"/>
        <v>0</v>
      </c>
      <c r="K58" s="1355">
        <f t="shared" si="38"/>
        <v>1.1243892081215338E-4</v>
      </c>
      <c r="L58" s="1318">
        <f t="shared" si="39"/>
        <v>111.77557814839179</v>
      </c>
      <c r="M58" s="580">
        <f t="shared" si="39"/>
        <v>140.00575546950881</v>
      </c>
      <c r="N58" s="580">
        <f t="shared" si="39"/>
        <v>140.00575546950881</v>
      </c>
      <c r="O58" s="581">
        <f t="shared" si="40"/>
        <v>0</v>
      </c>
      <c r="P58" s="831">
        <f t="shared" si="41"/>
        <v>0</v>
      </c>
      <c r="Q58" s="831">
        <f t="shared" si="41"/>
        <v>0</v>
      </c>
      <c r="R58" s="1313">
        <f t="shared" si="41"/>
        <v>0</v>
      </c>
      <c r="S58" s="580" t="str">
        <f t="shared" si="42"/>
        <v/>
      </c>
      <c r="T58" s="580" t="str">
        <f t="shared" si="42"/>
        <v/>
      </c>
      <c r="U58" s="576" t="str">
        <f t="shared" si="42"/>
        <v/>
      </c>
      <c r="V58" s="579">
        <f t="shared" si="43"/>
        <v>100.99261171147735</v>
      </c>
      <c r="W58" s="580">
        <f t="shared" si="44"/>
        <v>0</v>
      </c>
      <c r="X58" s="581">
        <f t="shared" si="45"/>
        <v>87.488760447293615</v>
      </c>
      <c r="Y58" s="579">
        <f t="shared" si="60"/>
        <v>7.3927426017220395</v>
      </c>
      <c r="Z58" s="580">
        <f t="shared" si="60"/>
        <v>9.1361439688044168</v>
      </c>
      <c r="AA58" s="580">
        <f t="shared" si="60"/>
        <v>10.374676471079471</v>
      </c>
      <c r="AB58" s="580">
        <f t="shared" si="60"/>
        <v>9.8009019720595862</v>
      </c>
      <c r="AC58" s="580">
        <f t="shared" si="60"/>
        <v>8.1072390106993595</v>
      </c>
      <c r="AD58" s="580">
        <f t="shared" si="60"/>
        <v>9.3744907390930425</v>
      </c>
      <c r="AE58" s="581">
        <f t="shared" si="60"/>
        <v>8.820597739589239</v>
      </c>
      <c r="AF58" s="845">
        <f t="shared" si="47"/>
        <v>1.0743894862923122E-2</v>
      </c>
      <c r="AG58" s="1355">
        <f t="shared" si="61"/>
        <v>0</v>
      </c>
      <c r="AH58" s="835">
        <f t="shared" si="61"/>
        <v>0</v>
      </c>
      <c r="AI58" s="835">
        <f t="shared" si="61"/>
        <v>0</v>
      </c>
      <c r="AJ58" s="835">
        <f t="shared" si="61"/>
        <v>0</v>
      </c>
      <c r="AK58" s="835">
        <f t="shared" si="61"/>
        <v>0</v>
      </c>
      <c r="AL58" s="835">
        <f t="shared" si="61"/>
        <v>0</v>
      </c>
      <c r="AM58" s="843">
        <f t="shared" si="61"/>
        <v>0</v>
      </c>
      <c r="AN58" s="579">
        <f t="shared" si="49"/>
        <v>29.796718422886443</v>
      </c>
      <c r="AO58" s="580">
        <f t="shared" si="49"/>
        <v>25.018148213913229</v>
      </c>
      <c r="AP58" s="580">
        <f t="shared" si="49"/>
        <v>25.881541976096113</v>
      </c>
      <c r="AQ58" s="576">
        <f t="shared" si="50"/>
        <v>1.2968701137957917E-2</v>
      </c>
      <c r="AR58" s="580">
        <f t="shared" si="51"/>
        <v>26.71861762129857</v>
      </c>
      <c r="AS58" s="581">
        <f t="shared" si="52"/>
        <v>40.952001613700553</v>
      </c>
      <c r="AT58" s="579">
        <f t="shared" si="52"/>
        <v>18.018018611869092</v>
      </c>
      <c r="AU58" s="580">
        <f t="shared" si="52"/>
        <v>29.038086309767237</v>
      </c>
      <c r="AV58" s="578">
        <f t="shared" si="53"/>
        <v>8.8033689956340689E-3</v>
      </c>
      <c r="AW58" s="584">
        <f t="shared" si="54"/>
        <v>8.8033689956340689E-3</v>
      </c>
      <c r="AX58" s="582">
        <f t="shared" si="55"/>
        <v>1.0181</v>
      </c>
      <c r="AY58" s="583">
        <f t="shared" si="56"/>
        <v>46.62570616271659</v>
      </c>
      <c r="AZ58" s="578">
        <f t="shared" si="57"/>
        <v>3.8428361617096611E-2</v>
      </c>
      <c r="BA58" s="577">
        <f t="shared" si="57"/>
        <v>3.9247351092066243E-2</v>
      </c>
      <c r="BB58" s="577">
        <f t="shared" si="57"/>
        <v>3.7435595479542227E-2</v>
      </c>
      <c r="BC58" s="584">
        <f t="shared" si="57"/>
        <v>3.7673480540873487E-2</v>
      </c>
      <c r="BE58" s="847"/>
    </row>
    <row r="59" spans="1:57" s="325" customFormat="1" ht="14.25">
      <c r="A59" s="585">
        <f t="shared" si="59"/>
        <v>21</v>
      </c>
      <c r="B59" s="585">
        <f t="shared" si="58"/>
        <v>2042</v>
      </c>
      <c r="C59" s="574">
        <f t="shared" si="36"/>
        <v>9.4464468467681514E-2</v>
      </c>
      <c r="D59" s="575">
        <f t="shared" si="36"/>
        <v>7.8377487161672921E-2</v>
      </c>
      <c r="E59" s="575">
        <f t="shared" si="36"/>
        <v>0.10577594445936912</v>
      </c>
      <c r="F59" s="576">
        <f t="shared" si="36"/>
        <v>8.6465822434724698E-2</v>
      </c>
      <c r="G59" s="1355">
        <f t="shared" si="37"/>
        <v>0</v>
      </c>
      <c r="H59" s="835">
        <f t="shared" si="37"/>
        <v>0</v>
      </c>
      <c r="I59" s="835">
        <f t="shared" si="37"/>
        <v>0</v>
      </c>
      <c r="J59" s="835">
        <f t="shared" si="37"/>
        <v>0</v>
      </c>
      <c r="K59" s="1355">
        <f t="shared" si="38"/>
        <v>1.1243892081215338E-4</v>
      </c>
      <c r="L59" s="1318">
        <f t="shared" si="39"/>
        <v>113.6390361505938</v>
      </c>
      <c r="M59" s="580">
        <f t="shared" si="39"/>
        <v>142.24684847486046</v>
      </c>
      <c r="N59" s="580">
        <f t="shared" si="39"/>
        <v>142.24684847486046</v>
      </c>
      <c r="O59" s="581">
        <f t="shared" si="40"/>
        <v>0</v>
      </c>
      <c r="P59" s="831">
        <f t="shared" si="41"/>
        <v>0</v>
      </c>
      <c r="Q59" s="831">
        <f t="shared" si="41"/>
        <v>0</v>
      </c>
      <c r="R59" s="1313">
        <f t="shared" si="41"/>
        <v>0</v>
      </c>
      <c r="S59" s="580" t="str">
        <f t="shared" si="42"/>
        <v/>
      </c>
      <c r="T59" s="580" t="str">
        <f t="shared" si="42"/>
        <v/>
      </c>
      <c r="U59" s="576" t="str">
        <f t="shared" si="42"/>
        <v/>
      </c>
      <c r="V59" s="579">
        <f t="shared" si="43"/>
        <v>100.99261171147735</v>
      </c>
      <c r="W59" s="580">
        <f t="shared" si="44"/>
        <v>0</v>
      </c>
      <c r="X59" s="581">
        <f t="shared" si="45"/>
        <v>87.488760447293615</v>
      </c>
      <c r="Y59" s="579">
        <f t="shared" si="60"/>
        <v>7.4385933456148212</v>
      </c>
      <c r="Z59" s="580">
        <f t="shared" si="60"/>
        <v>9.1777636834693119</v>
      </c>
      <c r="AA59" s="580">
        <f t="shared" si="60"/>
        <v>10.415121550694694</v>
      </c>
      <c r="AB59" s="580">
        <f t="shared" si="60"/>
        <v>9.842306241583465</v>
      </c>
      <c r="AC59" s="580">
        <f t="shared" si="60"/>
        <v>8.1514780291986177</v>
      </c>
      <c r="AD59" s="580">
        <f t="shared" si="60"/>
        <v>9.416113704522683</v>
      </c>
      <c r="AE59" s="581">
        <f t="shared" si="60"/>
        <v>8.8633383714068685</v>
      </c>
      <c r="AF59" s="845">
        <f t="shared" si="47"/>
        <v>1.0743894862923122E-2</v>
      </c>
      <c r="AG59" s="1355">
        <f t="shared" si="61"/>
        <v>0</v>
      </c>
      <c r="AH59" s="835">
        <f t="shared" si="61"/>
        <v>0</v>
      </c>
      <c r="AI59" s="835">
        <f t="shared" si="61"/>
        <v>0</v>
      </c>
      <c r="AJ59" s="835">
        <f t="shared" si="61"/>
        <v>0</v>
      </c>
      <c r="AK59" s="835">
        <f t="shared" si="61"/>
        <v>0</v>
      </c>
      <c r="AL59" s="835">
        <f t="shared" si="61"/>
        <v>0</v>
      </c>
      <c r="AM59" s="843">
        <f t="shared" si="61"/>
        <v>0</v>
      </c>
      <c r="AN59" s="579">
        <f t="shared" si="49"/>
        <v>29.853040264959255</v>
      </c>
      <c r="AO59" s="580">
        <f t="shared" si="49"/>
        <v>24.995822457303117</v>
      </c>
      <c r="AP59" s="580">
        <f t="shared" si="49"/>
        <v>25.844112977940874</v>
      </c>
      <c r="AQ59" s="576">
        <f t="shared" si="50"/>
        <v>1.2968701137957917E-2</v>
      </c>
      <c r="AR59" s="580">
        <f t="shared" si="51"/>
        <v>26.769121228464744</v>
      </c>
      <c r="AS59" s="581">
        <f t="shared" si="52"/>
        <v>41.18506638072482</v>
      </c>
      <c r="AT59" s="579">
        <f t="shared" si="52"/>
        <v>18.052076321994086</v>
      </c>
      <c r="AU59" s="580">
        <f t="shared" si="52"/>
        <v>29.092974183258004</v>
      </c>
      <c r="AV59" s="578">
        <f t="shared" si="53"/>
        <v>8.8033689956340689E-3</v>
      </c>
      <c r="AW59" s="584">
        <f t="shared" si="54"/>
        <v>8.8033689956340689E-3</v>
      </c>
      <c r="AX59" s="582">
        <f t="shared" si="55"/>
        <v>1.0181</v>
      </c>
      <c r="AY59" s="583">
        <f t="shared" si="56"/>
        <v>49.423248532479583</v>
      </c>
      <c r="AZ59" s="578">
        <f t="shared" si="57"/>
        <v>3.8014047449258057E-2</v>
      </c>
      <c r="BA59" s="577">
        <f t="shared" si="57"/>
        <v>3.8824207015053527E-2</v>
      </c>
      <c r="BB59" s="577">
        <f t="shared" si="57"/>
        <v>3.7031984788480472E-2</v>
      </c>
      <c r="BC59" s="584">
        <f t="shared" si="57"/>
        <v>3.7267305099531488E-2</v>
      </c>
      <c r="BE59" s="847"/>
    </row>
    <row r="60" spans="1:57" s="325" customFormat="1" ht="14.25">
      <c r="A60" s="585">
        <f t="shared" si="59"/>
        <v>22</v>
      </c>
      <c r="B60" s="585">
        <f t="shared" si="58"/>
        <v>2043</v>
      </c>
      <c r="C60" s="574">
        <f t="shared" si="36"/>
        <v>9.6615994650005754E-2</v>
      </c>
      <c r="D60" s="575">
        <f t="shared" si="36"/>
        <v>7.9309240689751287E-2</v>
      </c>
      <c r="E60" s="575">
        <f t="shared" si="36"/>
        <v>0.11141402754920132</v>
      </c>
      <c r="F60" s="576">
        <f t="shared" si="36"/>
        <v>9.049975687438476E-2</v>
      </c>
      <c r="G60" s="1355">
        <f t="shared" si="37"/>
        <v>0</v>
      </c>
      <c r="H60" s="835">
        <f t="shared" si="37"/>
        <v>0</v>
      </c>
      <c r="I60" s="835">
        <f t="shared" si="37"/>
        <v>0</v>
      </c>
      <c r="J60" s="835">
        <f t="shared" si="37"/>
        <v>0</v>
      </c>
      <c r="K60" s="1355">
        <f t="shared" si="38"/>
        <v>1.1243892081215338E-4</v>
      </c>
      <c r="L60" s="1318">
        <f t="shared" si="39"/>
        <v>115.5335606503572</v>
      </c>
      <c r="M60" s="580">
        <f t="shared" si="39"/>
        <v>144.52381499013885</v>
      </c>
      <c r="N60" s="580">
        <f t="shared" si="39"/>
        <v>144.52381499013885</v>
      </c>
      <c r="O60" s="581">
        <f t="shared" si="40"/>
        <v>0</v>
      </c>
      <c r="P60" s="831">
        <f t="shared" si="41"/>
        <v>0</v>
      </c>
      <c r="Q60" s="831">
        <f t="shared" si="41"/>
        <v>0</v>
      </c>
      <c r="R60" s="1313">
        <f t="shared" si="41"/>
        <v>0</v>
      </c>
      <c r="S60" s="580" t="str">
        <f t="shared" si="42"/>
        <v/>
      </c>
      <c r="T60" s="580" t="str">
        <f t="shared" si="42"/>
        <v/>
      </c>
      <c r="U60" s="576" t="str">
        <f t="shared" si="42"/>
        <v/>
      </c>
      <c r="V60" s="579">
        <f t="shared" si="43"/>
        <v>100.99261171147735</v>
      </c>
      <c r="W60" s="580">
        <f t="shared" si="44"/>
        <v>0</v>
      </c>
      <c r="X60" s="581">
        <f t="shared" si="45"/>
        <v>87.488760447293615</v>
      </c>
      <c r="Y60" s="579">
        <f t="shared" si="60"/>
        <v>7.4847284617397749</v>
      </c>
      <c r="Z60" s="580">
        <f t="shared" si="60"/>
        <v>9.219572996793632</v>
      </c>
      <c r="AA60" s="580">
        <f t="shared" si="60"/>
        <v>10.455724303126958</v>
      </c>
      <c r="AB60" s="580">
        <f t="shared" si="60"/>
        <v>9.8838854249611607</v>
      </c>
      <c r="AC60" s="580">
        <f t="shared" si="60"/>
        <v>8.1959584481000576</v>
      </c>
      <c r="AD60" s="580">
        <f t="shared" si="60"/>
        <v>9.4579214769247102</v>
      </c>
      <c r="AE60" s="581">
        <f t="shared" si="60"/>
        <v>8.9062861050176085</v>
      </c>
      <c r="AF60" s="845">
        <f t="shared" si="47"/>
        <v>1.0743894862923122E-2</v>
      </c>
      <c r="AG60" s="1355">
        <f t="shared" si="61"/>
        <v>0</v>
      </c>
      <c r="AH60" s="835">
        <f t="shared" si="61"/>
        <v>0</v>
      </c>
      <c r="AI60" s="835">
        <f t="shared" si="61"/>
        <v>0</v>
      </c>
      <c r="AJ60" s="835">
        <f t="shared" si="61"/>
        <v>0</v>
      </c>
      <c r="AK60" s="835">
        <f t="shared" si="61"/>
        <v>0</v>
      </c>
      <c r="AL60" s="835">
        <f t="shared" si="61"/>
        <v>0</v>
      </c>
      <c r="AM60" s="843">
        <f t="shared" si="61"/>
        <v>0</v>
      </c>
      <c r="AN60" s="579">
        <f t="shared" si="49"/>
        <v>29.918914814341697</v>
      </c>
      <c r="AO60" s="580">
        <f t="shared" si="49"/>
        <v>25.011998298302103</v>
      </c>
      <c r="AP60" s="580">
        <f t="shared" si="49"/>
        <v>25.856614759598536</v>
      </c>
      <c r="AQ60" s="576">
        <f t="shared" si="50"/>
        <v>1.2968701137957917E-2</v>
      </c>
      <c r="AR60" s="580">
        <f t="shared" si="51"/>
        <v>26.828190716283679</v>
      </c>
      <c r="AS60" s="581">
        <f t="shared" si="52"/>
        <v>41.519938340960366</v>
      </c>
      <c r="AT60" s="579">
        <f t="shared" si="52"/>
        <v>18.091910535949328</v>
      </c>
      <c r="AU60" s="580">
        <f t="shared" si="52"/>
        <v>29.157171549673869</v>
      </c>
      <c r="AV60" s="578">
        <f t="shared" si="53"/>
        <v>8.8033689956340689E-3</v>
      </c>
      <c r="AW60" s="584">
        <f t="shared" si="54"/>
        <v>8.8033689956340689E-3</v>
      </c>
      <c r="AX60" s="582">
        <f t="shared" si="55"/>
        <v>1.0181</v>
      </c>
      <c r="AY60" s="583">
        <f t="shared" si="56"/>
        <v>52.354007205564635</v>
      </c>
      <c r="AZ60" s="578">
        <f t="shared" si="57"/>
        <v>3.7604200196542821E-2</v>
      </c>
      <c r="BA60" s="577">
        <f t="shared" si="57"/>
        <v>3.8405625052551198E-2</v>
      </c>
      <c r="BB60" s="577">
        <f t="shared" si="57"/>
        <v>3.6632725613345012E-2</v>
      </c>
      <c r="BC60" s="584">
        <f t="shared" si="57"/>
        <v>3.6865508825889973E-2</v>
      </c>
      <c r="BE60" s="847"/>
    </row>
    <row r="61" spans="1:57" s="325" customFormat="1" ht="14.25">
      <c r="A61" s="585">
        <f t="shared" si="59"/>
        <v>23</v>
      </c>
      <c r="B61" s="585">
        <f t="shared" si="58"/>
        <v>2044</v>
      </c>
      <c r="C61" s="574">
        <f t="shared" si="36"/>
        <v>9.8835208886947495E-2</v>
      </c>
      <c r="D61" s="575">
        <f t="shared" si="36"/>
        <v>8.02797984863408E-2</v>
      </c>
      <c r="E61" s="575">
        <f t="shared" si="36"/>
        <v>0.11735580944302268</v>
      </c>
      <c r="F61" s="576">
        <f t="shared" si="36"/>
        <v>9.472740642283016E-2</v>
      </c>
      <c r="G61" s="1355">
        <f t="shared" si="37"/>
        <v>0</v>
      </c>
      <c r="H61" s="835">
        <f t="shared" si="37"/>
        <v>0</v>
      </c>
      <c r="I61" s="835">
        <f t="shared" si="37"/>
        <v>0</v>
      </c>
      <c r="J61" s="835">
        <f t="shared" si="37"/>
        <v>0</v>
      </c>
      <c r="K61" s="1355">
        <f t="shared" si="38"/>
        <v>1.1243892081215338E-4</v>
      </c>
      <c r="L61" s="1318">
        <f t="shared" si="39"/>
        <v>117.45966957042005</v>
      </c>
      <c r="M61" s="580">
        <f t="shared" si="39"/>
        <v>146.8372292479668</v>
      </c>
      <c r="N61" s="580">
        <f t="shared" si="39"/>
        <v>146.8372292479668</v>
      </c>
      <c r="O61" s="581">
        <f t="shared" si="40"/>
        <v>0</v>
      </c>
      <c r="P61" s="831">
        <f t="shared" si="41"/>
        <v>0</v>
      </c>
      <c r="Q61" s="831">
        <f t="shared" si="41"/>
        <v>0</v>
      </c>
      <c r="R61" s="1313">
        <f t="shared" si="41"/>
        <v>0</v>
      </c>
      <c r="S61" s="580" t="str">
        <f t="shared" si="42"/>
        <v/>
      </c>
      <c r="T61" s="580" t="str">
        <f t="shared" si="42"/>
        <v/>
      </c>
      <c r="U61" s="576" t="str">
        <f t="shared" si="42"/>
        <v/>
      </c>
      <c r="V61" s="579">
        <f t="shared" si="43"/>
        <v>100.99261171147735</v>
      </c>
      <c r="W61" s="580">
        <f t="shared" si="44"/>
        <v>0</v>
      </c>
      <c r="X61" s="581">
        <f t="shared" si="45"/>
        <v>87.488760447293615</v>
      </c>
      <c r="Y61" s="579">
        <f t="shared" si="60"/>
        <v>7.5311497138101915</v>
      </c>
      <c r="Z61" s="580">
        <f t="shared" si="60"/>
        <v>9.2615727724942918</v>
      </c>
      <c r="AA61" s="580">
        <f t="shared" si="60"/>
        <v>10.496485343054673</v>
      </c>
      <c r="AB61" s="580">
        <f t="shared" si="60"/>
        <v>9.9256402611226555</v>
      </c>
      <c r="AC61" s="580">
        <f t="shared" si="60"/>
        <v>8.2406815846606207</v>
      </c>
      <c r="AD61" s="580">
        <f t="shared" si="60"/>
        <v>9.4999148768465478</v>
      </c>
      <c r="AE61" s="581">
        <f t="shared" si="60"/>
        <v>8.9494419439431869</v>
      </c>
      <c r="AF61" s="845">
        <f t="shared" si="47"/>
        <v>1.0743894862923122E-2</v>
      </c>
      <c r="AG61" s="1355">
        <f t="shared" si="61"/>
        <v>0</v>
      </c>
      <c r="AH61" s="835">
        <f t="shared" si="61"/>
        <v>0</v>
      </c>
      <c r="AI61" s="835">
        <f t="shared" si="61"/>
        <v>0</v>
      </c>
      <c r="AJ61" s="835">
        <f t="shared" si="61"/>
        <v>0</v>
      </c>
      <c r="AK61" s="835">
        <f t="shared" si="61"/>
        <v>0</v>
      </c>
      <c r="AL61" s="835">
        <f t="shared" si="61"/>
        <v>0</v>
      </c>
      <c r="AM61" s="843">
        <f t="shared" si="61"/>
        <v>0</v>
      </c>
      <c r="AN61" s="579">
        <f t="shared" si="49"/>
        <v>30.024222500886498</v>
      </c>
      <c r="AO61" s="580">
        <f t="shared" si="49"/>
        <v>25.063355383291043</v>
      </c>
      <c r="AP61" s="580">
        <f t="shared" si="49"/>
        <v>25.907375043223158</v>
      </c>
      <c r="AQ61" s="576">
        <f t="shared" si="50"/>
        <v>1.2968701137957917E-2</v>
      </c>
      <c r="AR61" s="580">
        <f t="shared" si="51"/>
        <v>26.922619766135455</v>
      </c>
      <c r="AS61" s="581">
        <f t="shared" si="52"/>
        <v>41.808309788310154</v>
      </c>
      <c r="AT61" s="579">
        <f t="shared" si="52"/>
        <v>18.155589892488123</v>
      </c>
      <c r="AU61" s="580">
        <f t="shared" si="52"/>
        <v>29.25979807543991</v>
      </c>
      <c r="AV61" s="578">
        <f t="shared" si="53"/>
        <v>8.8033689956340689E-3</v>
      </c>
      <c r="AW61" s="584">
        <f t="shared" si="54"/>
        <v>8.8033689956340689E-3</v>
      </c>
      <c r="AX61" s="582">
        <f t="shared" si="55"/>
        <v>1.0181</v>
      </c>
      <c r="AY61" s="583">
        <f t="shared" si="56"/>
        <v>55.417982181971716</v>
      </c>
      <c r="AZ61" s="578">
        <f t="shared" si="57"/>
        <v>3.7198771699046486E-2</v>
      </c>
      <c r="BA61" s="577">
        <f t="shared" si="57"/>
        <v>3.7991556018265635E-2</v>
      </c>
      <c r="BB61" s="577">
        <f t="shared" si="57"/>
        <v>3.6237771038404219E-2</v>
      </c>
      <c r="BC61" s="584">
        <f t="shared" si="57"/>
        <v>3.6468044506090598E-2</v>
      </c>
      <c r="BE61" s="847"/>
    </row>
    <row r="62" spans="1:57" s="325" customFormat="1" ht="14.25">
      <c r="A62" s="585">
        <f t="shared" si="59"/>
        <v>24</v>
      </c>
      <c r="B62" s="585">
        <f t="shared" si="58"/>
        <v>2045</v>
      </c>
      <c r="C62" s="574">
        <f t="shared" si="36"/>
        <v>0.10112540627595715</v>
      </c>
      <c r="D62" s="575">
        <f t="shared" si="36"/>
        <v>8.1291871517447767E-2</v>
      </c>
      <c r="E62" s="575">
        <f t="shared" si="36"/>
        <v>0.12361788068804919</v>
      </c>
      <c r="F62" s="576">
        <f t="shared" si="36"/>
        <v>9.9158466608640292E-2</v>
      </c>
      <c r="G62" s="1355">
        <f t="shared" si="37"/>
        <v>0</v>
      </c>
      <c r="H62" s="835">
        <f t="shared" si="37"/>
        <v>0</v>
      </c>
      <c r="I62" s="835">
        <f t="shared" si="37"/>
        <v>0</v>
      </c>
      <c r="J62" s="835">
        <f t="shared" si="37"/>
        <v>0</v>
      </c>
      <c r="K62" s="1355">
        <f t="shared" si="38"/>
        <v>1.1243892081215338E-4</v>
      </c>
      <c r="L62" s="1318">
        <f t="shared" si="39"/>
        <v>119.41788946802968</v>
      </c>
      <c r="M62" s="580">
        <f t="shared" si="39"/>
        <v>149.18767467279437</v>
      </c>
      <c r="N62" s="580">
        <f t="shared" si="39"/>
        <v>149.18767467279437</v>
      </c>
      <c r="O62" s="581">
        <f t="shared" si="40"/>
        <v>0</v>
      </c>
      <c r="P62" s="831">
        <f t="shared" si="41"/>
        <v>0</v>
      </c>
      <c r="Q62" s="831">
        <f t="shared" si="41"/>
        <v>0</v>
      </c>
      <c r="R62" s="1313">
        <f t="shared" si="41"/>
        <v>0</v>
      </c>
      <c r="S62" s="580" t="str">
        <f t="shared" si="42"/>
        <v/>
      </c>
      <c r="T62" s="580" t="str">
        <f t="shared" si="42"/>
        <v/>
      </c>
      <c r="U62" s="576" t="str">
        <f t="shared" si="42"/>
        <v/>
      </c>
      <c r="V62" s="579">
        <f t="shared" si="43"/>
        <v>100.99261171147735</v>
      </c>
      <c r="W62" s="580">
        <f t="shared" si="44"/>
        <v>0</v>
      </c>
      <c r="X62" s="581">
        <f t="shared" si="45"/>
        <v>87.488760447293615</v>
      </c>
      <c r="Y62" s="579">
        <f t="shared" si="60"/>
        <v>7.5778588764781398</v>
      </c>
      <c r="Z62" s="580">
        <f t="shared" si="60"/>
        <v>9.3037638782228758</v>
      </c>
      <c r="AA62" s="580">
        <f t="shared" si="60"/>
        <v>10.537405287552538</v>
      </c>
      <c r="AB62" s="580">
        <f t="shared" si="60"/>
        <v>9.9675714921195731</v>
      </c>
      <c r="AC62" s="580">
        <f t="shared" si="60"/>
        <v>8.285648763325165</v>
      </c>
      <c r="AD62" s="580">
        <f t="shared" si="60"/>
        <v>9.5420947284788689</v>
      </c>
      <c r="AE62" s="581">
        <f t="shared" si="60"/>
        <v>8.9928068965679433</v>
      </c>
      <c r="AF62" s="845">
        <f t="shared" si="47"/>
        <v>1.0743894862923122E-2</v>
      </c>
      <c r="AG62" s="1355">
        <f t="shared" si="61"/>
        <v>0</v>
      </c>
      <c r="AH62" s="835">
        <f t="shared" si="61"/>
        <v>0</v>
      </c>
      <c r="AI62" s="835">
        <f t="shared" si="61"/>
        <v>0</v>
      </c>
      <c r="AJ62" s="835">
        <f t="shared" si="61"/>
        <v>0</v>
      </c>
      <c r="AK62" s="835">
        <f t="shared" si="61"/>
        <v>0</v>
      </c>
      <c r="AL62" s="835">
        <f t="shared" si="61"/>
        <v>0</v>
      </c>
      <c r="AM62" s="843">
        <f t="shared" si="61"/>
        <v>0</v>
      </c>
      <c r="AN62" s="579">
        <f t="shared" si="49"/>
        <v>30.122953160273934</v>
      </c>
      <c r="AO62" s="580">
        <f t="shared" si="49"/>
        <v>25.168518351751981</v>
      </c>
      <c r="AP62" s="580">
        <f t="shared" si="49"/>
        <v>26.023300775532714</v>
      </c>
      <c r="AQ62" s="576">
        <f t="shared" si="50"/>
        <v>1.2968701137957917E-2</v>
      </c>
      <c r="AR62" s="580">
        <f t="shared" si="51"/>
        <v>27.01115121776153</v>
      </c>
      <c r="AS62" s="581">
        <f t="shared" si="52"/>
        <v>41.944883188449587</v>
      </c>
      <c r="AT62" s="579">
        <f t="shared" si="52"/>
        <v>18.215292133290536</v>
      </c>
      <c r="AU62" s="580">
        <f t="shared" si="52"/>
        <v>29.35601502685126</v>
      </c>
      <c r="AV62" s="578">
        <f t="shared" si="53"/>
        <v>8.8033689956340689E-3</v>
      </c>
      <c r="AW62" s="584">
        <f t="shared" si="54"/>
        <v>8.8033689956340689E-3</v>
      </c>
      <c r="AX62" s="582">
        <f t="shared" si="55"/>
        <v>1.0181</v>
      </c>
      <c r="AY62" s="583">
        <f t="shared" si="56"/>
        <v>58.748389765022907</v>
      </c>
      <c r="AZ62" s="578">
        <f t="shared" si="57"/>
        <v>3.6797714316099142E-2</v>
      </c>
      <c r="BA62" s="577">
        <f t="shared" si="57"/>
        <v>3.7581951256203727E-2</v>
      </c>
      <c r="BB62" s="577">
        <f t="shared" si="57"/>
        <v>3.5847074653746987E-2</v>
      </c>
      <c r="BC62" s="584">
        <f t="shared" si="57"/>
        <v>3.6074865435309751E-2</v>
      </c>
      <c r="BE62" s="847"/>
    </row>
    <row r="63" spans="1:57" s="325" customFormat="1" ht="14.25">
      <c r="A63" s="585">
        <f t="shared" si="59"/>
        <v>25</v>
      </c>
      <c r="B63" s="585">
        <f t="shared" si="58"/>
        <v>2046</v>
      </c>
      <c r="C63" s="574">
        <f t="shared" si="36"/>
        <v>0.10349009496264912</v>
      </c>
      <c r="D63" s="575">
        <f t="shared" si="36"/>
        <v>8.2348372485748472E-2</v>
      </c>
      <c r="E63" s="575">
        <f t="shared" si="36"/>
        <v>0.13021775485530204</v>
      </c>
      <c r="F63" s="576">
        <f t="shared" si="36"/>
        <v>0.10380314542772619</v>
      </c>
      <c r="G63" s="1355">
        <f t="shared" si="37"/>
        <v>0</v>
      </c>
      <c r="H63" s="835">
        <f t="shared" si="37"/>
        <v>0</v>
      </c>
      <c r="I63" s="835">
        <f t="shared" si="37"/>
        <v>0</v>
      </c>
      <c r="J63" s="835">
        <f t="shared" si="37"/>
        <v>0</v>
      </c>
      <c r="K63" s="1355">
        <f t="shared" si="38"/>
        <v>1.1243892081215338E-4</v>
      </c>
      <c r="L63" s="1318">
        <f t="shared" si="39"/>
        <v>121.40875567889238</v>
      </c>
      <c r="M63" s="580">
        <f t="shared" si="39"/>
        <v>151.5757440280338</v>
      </c>
      <c r="N63" s="580">
        <f t="shared" si="39"/>
        <v>151.5757440280338</v>
      </c>
      <c r="O63" s="746">
        <f t="shared" si="40"/>
        <v>0</v>
      </c>
      <c r="P63" s="831">
        <f t="shared" si="41"/>
        <v>0</v>
      </c>
      <c r="Q63" s="831">
        <f t="shared" si="41"/>
        <v>0</v>
      </c>
      <c r="R63" s="1314">
        <f t="shared" si="41"/>
        <v>0</v>
      </c>
      <c r="S63" s="580" t="str">
        <f t="shared" si="42"/>
        <v/>
      </c>
      <c r="T63" s="580" t="str">
        <f t="shared" si="42"/>
        <v/>
      </c>
      <c r="U63" s="576" t="str">
        <f t="shared" si="42"/>
        <v/>
      </c>
      <c r="V63" s="579">
        <f t="shared" si="43"/>
        <v>100.99261171147735</v>
      </c>
      <c r="W63" s="580">
        <f t="shared" si="44"/>
        <v>0</v>
      </c>
      <c r="X63" s="581">
        <f t="shared" si="45"/>
        <v>87.488760447293615</v>
      </c>
      <c r="Y63" s="579">
        <f t="shared" si="60"/>
        <v>7.624857735402311</v>
      </c>
      <c r="Z63" s="580">
        <f t="shared" si="60"/>
        <v>9.346147185583547</v>
      </c>
      <c r="AA63" s="580">
        <f t="shared" si="60"/>
        <v>10.578484756100881</v>
      </c>
      <c r="AB63" s="580">
        <f t="shared" si="60"/>
        <v>10.009679863138361</v>
      </c>
      <c r="AC63" s="580">
        <f t="shared" si="60"/>
        <v>8.3308613157656861</v>
      </c>
      <c r="AD63" s="580">
        <f t="shared" si="60"/>
        <v>9.584461859671773</v>
      </c>
      <c r="AE63" s="581">
        <f t="shared" si="60"/>
        <v>9.0363819761623958</v>
      </c>
      <c r="AF63" s="846">
        <f t="shared" si="47"/>
        <v>1.0743894862923122E-2</v>
      </c>
      <c r="AG63" s="837">
        <f t="shared" si="61"/>
        <v>0</v>
      </c>
      <c r="AH63" s="836">
        <f t="shared" si="61"/>
        <v>0</v>
      </c>
      <c r="AI63" s="836">
        <f t="shared" si="61"/>
        <v>0</v>
      </c>
      <c r="AJ63" s="836">
        <f t="shared" si="61"/>
        <v>0</v>
      </c>
      <c r="AK63" s="836">
        <f t="shared" si="61"/>
        <v>0</v>
      </c>
      <c r="AL63" s="836">
        <f t="shared" si="61"/>
        <v>0</v>
      </c>
      <c r="AM63" s="844">
        <f t="shared" si="61"/>
        <v>0</v>
      </c>
      <c r="AN63" s="579">
        <f t="shared" si="49"/>
        <v>30.307164747156925</v>
      </c>
      <c r="AO63" s="580">
        <f t="shared" si="49"/>
        <v>25.341703836332023</v>
      </c>
      <c r="AP63" s="580">
        <f t="shared" si="49"/>
        <v>26.210795280637548</v>
      </c>
      <c r="AQ63" s="576">
        <f t="shared" si="50"/>
        <v>1.2968701137957917E-2</v>
      </c>
      <c r="AR63" s="580">
        <f t="shared" si="51"/>
        <v>27.176333130799268</v>
      </c>
      <c r="AS63" s="581">
        <f t="shared" si="52"/>
        <v>42.259959259082336</v>
      </c>
      <c r="AT63" s="579">
        <f t="shared" si="52"/>
        <v>18.326684527374791</v>
      </c>
      <c r="AU63" s="580">
        <f t="shared" si="52"/>
        <v>29.53553653936315</v>
      </c>
      <c r="AV63" s="578">
        <f t="shared" si="53"/>
        <v>8.8033689956340689E-3</v>
      </c>
      <c r="AW63" s="584">
        <f t="shared" si="54"/>
        <v>8.8033689956340689E-3</v>
      </c>
      <c r="AX63" s="582">
        <f t="shared" si="55"/>
        <v>1.0181</v>
      </c>
      <c r="AY63" s="583">
        <f t="shared" si="56"/>
        <v>62.345229954718171</v>
      </c>
      <c r="AZ63" s="578">
        <f t="shared" si="57"/>
        <v>3.6400980920667243E-2</v>
      </c>
      <c r="BA63" s="577">
        <f t="shared" si="57"/>
        <v>3.717676263495541E-2</v>
      </c>
      <c r="BB63" s="577">
        <f t="shared" si="57"/>
        <v>3.5460590549829155E-2</v>
      </c>
      <c r="BC63" s="584">
        <f t="shared" si="57"/>
        <v>3.5685925412270399E-2</v>
      </c>
      <c r="BE63" s="847"/>
    </row>
    <row r="64" spans="1:57" ht="20.25">
      <c r="A64" s="1498" t="str">
        <f>Year3&amp;", "&amp;Year3&amp;"$"</f>
        <v>2023, 2023$</v>
      </c>
      <c r="B64" s="1499"/>
      <c r="C64" s="571"/>
      <c r="D64" s="571"/>
      <c r="E64" s="571"/>
      <c r="F64" s="571"/>
      <c r="G64" s="830" t="s">
        <v>727</v>
      </c>
      <c r="H64" s="571"/>
      <c r="I64" s="571"/>
      <c r="J64" s="571"/>
      <c r="K64" s="830" t="s">
        <v>727</v>
      </c>
      <c r="L64" s="1319"/>
      <c r="M64" s="1319"/>
      <c r="N64" s="1300"/>
      <c r="O64" s="571"/>
      <c r="P64" s="830" t="s">
        <v>727</v>
      </c>
      <c r="Q64" s="830" t="s">
        <v>727</v>
      </c>
      <c r="R64" s="830" t="s">
        <v>727</v>
      </c>
      <c r="S64" s="830" t="s">
        <v>727</v>
      </c>
      <c r="T64" s="830" t="s">
        <v>727</v>
      </c>
      <c r="U64" s="830" t="s">
        <v>727</v>
      </c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830" t="s">
        <v>727</v>
      </c>
      <c r="AG64" s="830" t="s">
        <v>727</v>
      </c>
      <c r="AH64" s="571"/>
      <c r="AI64" s="571"/>
      <c r="AJ64" s="571"/>
      <c r="AK64" s="571"/>
      <c r="AL64" s="571"/>
      <c r="AM64" s="571"/>
      <c r="AN64" s="571"/>
      <c r="AO64" s="571"/>
      <c r="AP64" s="571"/>
      <c r="AQ64" s="571"/>
      <c r="AR64" s="571"/>
      <c r="AS64" s="571"/>
      <c r="AT64" s="571"/>
      <c r="AU64" s="571"/>
      <c r="AV64" s="571"/>
      <c r="AW64" s="571"/>
      <c r="AX64" s="571"/>
      <c r="AY64" s="571"/>
      <c r="AZ64" s="571"/>
      <c r="BA64" s="571"/>
      <c r="BB64" s="571"/>
      <c r="BC64" s="572"/>
      <c r="BE64" s="829"/>
    </row>
    <row r="65" spans="1:57" s="201" customFormat="1" ht="14.25">
      <c r="A65" s="573">
        <v>1</v>
      </c>
      <c r="B65" s="573">
        <f>Year3</f>
        <v>2023</v>
      </c>
      <c r="C65" s="574">
        <f t="shared" ref="C65:F89" si="62">VLOOKUP($B65,$B$184:$CR$216,C$6,FALSE)*(1+Inflation3)^(Year3-Real_Year)</f>
        <v>7.616202323512157E-2</v>
      </c>
      <c r="D65" s="575">
        <f t="shared" si="62"/>
        <v>6.8130700930397775E-2</v>
      </c>
      <c r="E65" s="575">
        <f t="shared" si="62"/>
        <v>5.9605508917846856E-2</v>
      </c>
      <c r="F65" s="576">
        <f t="shared" si="62"/>
        <v>4.825070693945422E-2</v>
      </c>
      <c r="G65" s="1357">
        <f t="shared" ref="G65:J89" si="63">IF(ED="Yes",VLOOKUP($B65-4,$B$184:$CK$216,G$6,FALSE)*(1+Inflation3)^(Year3-Real_Year),"")</f>
        <v>4.6425168765686052E-3</v>
      </c>
      <c r="H65" s="835">
        <f t="shared" si="63"/>
        <v>3.3697415136466503E-3</v>
      </c>
      <c r="I65" s="835">
        <f t="shared" si="63"/>
        <v>2.9596761665114106E-3</v>
      </c>
      <c r="J65" s="835">
        <f t="shared" si="63"/>
        <v>2.1091845098953265E-3</v>
      </c>
      <c r="K65" s="1355">
        <f t="shared" ref="K65:K89" si="64">IF(ECD="Yes",VLOOKUP($B65-4,$B$184:$CK$216,K$6,FALSE)*(1+Inflation3)^(Year3-Real_Year),"")</f>
        <v>1.7710247045904335E-3</v>
      </c>
      <c r="L65" s="1318">
        <f t="shared" ref="L65:N89" si="65">VLOOKUP($B65,$B$184:$CR$216,L$6,FALSE)*(1+Inflation3)^(Year3-Real_Year)</f>
        <v>68.732077983663274</v>
      </c>
      <c r="M65" s="580">
        <f t="shared" si="65"/>
        <v>26.675464923230592</v>
      </c>
      <c r="N65" s="580">
        <f t="shared" si="65"/>
        <v>26.675464923230592</v>
      </c>
      <c r="O65" s="1309">
        <f t="shared" ref="O65:O89" si="66">0*((1+Inflation3)^(Year3-Real_Year))</f>
        <v>0</v>
      </c>
      <c r="P65" s="831">
        <f t="shared" ref="P65:R89" si="67">IF(CD="Yes",VLOOKUP($B65-4,$B$184:$CR$216,P$6,FALSE)*(1+Inflation3)^(Year3-Real_Year),"")</f>
        <v>36.295648640526764</v>
      </c>
      <c r="Q65" s="831">
        <f t="shared" si="67"/>
        <v>0</v>
      </c>
      <c r="R65" s="1312">
        <f t="shared" si="67"/>
        <v>0</v>
      </c>
      <c r="S65" s="831"/>
      <c r="T65" s="831"/>
      <c r="U65" s="832" t="str">
        <f t="shared" ref="U65:U89" si="68">IF(Reliability="Yes",VLOOKUP($B65-1,$B$184:$CR$216,U$6,FALSE)*(1+Inflation3)^(Year3-Real_Year),"")</f>
        <v/>
      </c>
      <c r="V65" s="579">
        <f t="shared" ref="V65:V89" si="69">PTFyear3*(1+Inflation3)^(Year3-PTF_Year)</f>
        <v>102.8205779834551</v>
      </c>
      <c r="W65" s="580">
        <f t="shared" ref="W65:W89" si="70">transmissionyear3*(1+Inflation3)^(Year3-TD_Year)</f>
        <v>0</v>
      </c>
      <c r="X65" s="581">
        <f t="shared" ref="X65:X89" si="71">distributionyear3*(1+Inflation3)^(Year3-TD_Year)</f>
        <v>89.07230701138964</v>
      </c>
      <c r="Y65" s="579">
        <f t="shared" ref="Y65:AE74" si="72">VLOOKUP($B65,$B$228:$AG$260,Y$6,FALSE)*(1+Inflation3)^(Year3-Real_Year)</f>
        <v>6.6118376562756005</v>
      </c>
      <c r="Z65" s="580">
        <f t="shared" si="72"/>
        <v>8.4542198562705568</v>
      </c>
      <c r="AA65" s="580">
        <f t="shared" si="72"/>
        <v>9.7328835451350759</v>
      </c>
      <c r="AB65" s="580">
        <f t="shared" si="72"/>
        <v>9.1327702951222154</v>
      </c>
      <c r="AC65" s="580">
        <f t="shared" si="72"/>
        <v>7.363695390179017</v>
      </c>
      <c r="AD65" s="580">
        <f t="shared" si="72"/>
        <v>8.6959821305403242</v>
      </c>
      <c r="AE65" s="581">
        <f t="shared" si="72"/>
        <v>8.1137728250024317</v>
      </c>
      <c r="AF65" s="1359">
        <f t="shared" ref="AF65:AF89" si="73">IF(GD="Yes",VLOOKUP($B65-5,$B$228:$AG$260,AF$6,FALSE)*(1+Inflation3)^(Year3-Real_Year),"")</f>
        <v>0</v>
      </c>
      <c r="AG65" s="1357">
        <f t="shared" ref="AG65:AM74" si="74">IF(GECD="Yes",VLOOKUP($B65-5,$B$228:$AG$260,AG$6,FALSE)*(1+Inflation3)^(Year3-Real_Year),"")</f>
        <v>0.27345898399855079</v>
      </c>
      <c r="AH65" s="841">
        <f t="shared" si="74"/>
        <v>0.27345898399855079</v>
      </c>
      <c r="AI65" s="841">
        <f t="shared" si="74"/>
        <v>0.51410288991727549</v>
      </c>
      <c r="AJ65" s="841">
        <f t="shared" si="74"/>
        <v>0.42987752284572184</v>
      </c>
      <c r="AK65" s="841">
        <f t="shared" si="74"/>
        <v>0.27345898399855079</v>
      </c>
      <c r="AL65" s="841">
        <f t="shared" si="74"/>
        <v>0.51410288991727549</v>
      </c>
      <c r="AM65" s="842">
        <f t="shared" si="74"/>
        <v>0.40894150303079274</v>
      </c>
      <c r="AN65" s="579">
        <f t="shared" ref="AN65:AP89" si="75">VLOOKUP($B65,$B$275:$W$307,AN$6,FALSE)*(1+Inflation3)^(Year3-Real_Year)</f>
        <v>25.05896238670671</v>
      </c>
      <c r="AO65" s="580">
        <f t="shared" si="75"/>
        <v>20.730061346526853</v>
      </c>
      <c r="AP65" s="580">
        <f t="shared" si="75"/>
        <v>21.246108473397751</v>
      </c>
      <c r="AQ65" s="576">
        <f t="shared" ref="AQ65:AQ89" si="76">IF(OilDRIPE="Yes",VLOOKUP($B65,$B$275:$W$307,AQ$6,FALSE)*(1+Inflation3)^(Year3-Real_Year),"")</f>
        <v>1.2853737807178092E-2</v>
      </c>
      <c r="AR65" s="580">
        <f t="shared" ref="AR65:AR89" si="77">VLOOKUP($B65,$B$275:$W$307,AR$6,FALSE)*(1+Inflation3)^(Year3-Real_Year)</f>
        <v>22.470287650288867</v>
      </c>
      <c r="AS65" s="581">
        <f t="shared" ref="AS65:AU89" si="78">VLOOKUP($B65,$B$275:$N$307,AS$6,FALSE)*(1+Inflation3)^(Year3-Real_Year)</f>
        <v>35.943544686388648</v>
      </c>
      <c r="AT65" s="579">
        <f t="shared" si="78"/>
        <v>15.153106602873709</v>
      </c>
      <c r="AU65" s="580">
        <f t="shared" si="78"/>
        <v>24.420954760558189</v>
      </c>
      <c r="AV65" s="578">
        <f t="shared" ref="AV65:AV89" si="79">reswater3*(1+Inflation3)^(Year3-Wt_Year)</f>
        <v>8.9627099744550472E-3</v>
      </c>
      <c r="AW65" s="584">
        <f t="shared" ref="AW65:AW89" si="80">ciwater3*(1+Inflation3)^(Year3-Wt_Year)</f>
        <v>8.9627099744550472E-3</v>
      </c>
      <c r="AX65" s="582">
        <f t="shared" ref="AX65:AX89" si="81">1*(1+Inflation3)</f>
        <v>1.0181</v>
      </c>
      <c r="AY65" s="583">
        <f t="shared" ref="AY65:AY89" si="82">IF(RGGI="Yes",VLOOKUP($B65,B$228:AG$260,AY$6,FALSE)*(1+Inflation3)^(Year3-Real_Year),0)</f>
        <v>15.054654543751587</v>
      </c>
      <c r="AZ65" s="578">
        <f t="shared" ref="AZ65:BC89" si="83">IF(EE="YES",VLOOKUP($B65,$B$184:$CR$216,AZ$6,FALSE)*(1+Inflation3)^(Year3-Real_Year),"")</f>
        <v>4.6787151613648749E-2</v>
      </c>
      <c r="BA65" s="577">
        <f t="shared" si="83"/>
        <v>4.7784284541593801E-2</v>
      </c>
      <c r="BB65" s="577">
        <f t="shared" si="83"/>
        <v>4.5578442789227042E-2</v>
      </c>
      <c r="BC65" s="584">
        <f t="shared" si="83"/>
        <v>4.5868071697740702E-2</v>
      </c>
      <c r="BE65" s="829"/>
    </row>
    <row r="66" spans="1:57" s="325" customFormat="1" ht="14.25">
      <c r="A66" s="585">
        <v>2</v>
      </c>
      <c r="B66" s="585">
        <f t="shared" ref="B66:B89" si="84">B65+1</f>
        <v>2024</v>
      </c>
      <c r="C66" s="574">
        <f t="shared" si="62"/>
        <v>7.9617171263065042E-2</v>
      </c>
      <c r="D66" s="575">
        <f t="shared" si="62"/>
        <v>7.5121961216940369E-2</v>
      </c>
      <c r="E66" s="575">
        <f t="shared" si="62"/>
        <v>5.7928577950512629E-2</v>
      </c>
      <c r="F66" s="576">
        <f t="shared" si="62"/>
        <v>5.3365431529423302E-2</v>
      </c>
      <c r="G66" s="1355">
        <f t="shared" si="63"/>
        <v>7.6738329941608016E-3</v>
      </c>
      <c r="H66" s="835">
        <f t="shared" si="63"/>
        <v>5.7141879952220921E-3</v>
      </c>
      <c r="I66" s="835">
        <f t="shared" si="63"/>
        <v>5.3759527680629169E-3</v>
      </c>
      <c r="J66" s="835">
        <f t="shared" si="63"/>
        <v>3.7057913103027643E-3</v>
      </c>
      <c r="K66" s="1355">
        <f t="shared" si="64"/>
        <v>2.768098674123851E-3</v>
      </c>
      <c r="L66" s="1318">
        <f t="shared" si="65"/>
        <v>71.608582097984666</v>
      </c>
      <c r="M66" s="580">
        <f t="shared" si="65"/>
        <v>46.241190331594488</v>
      </c>
      <c r="N66" s="580">
        <f t="shared" si="65"/>
        <v>46.241190331594488</v>
      </c>
      <c r="O66" s="581">
        <f t="shared" si="66"/>
        <v>0</v>
      </c>
      <c r="P66" s="831">
        <f t="shared" si="67"/>
        <v>45.286463458508138</v>
      </c>
      <c r="Q66" s="831">
        <f t="shared" si="67"/>
        <v>0</v>
      </c>
      <c r="R66" s="1313">
        <f t="shared" si="67"/>
        <v>0</v>
      </c>
      <c r="S66" s="831"/>
      <c r="T66" s="831"/>
      <c r="U66" s="832" t="str">
        <f t="shared" si="68"/>
        <v/>
      </c>
      <c r="V66" s="579">
        <f t="shared" si="69"/>
        <v>102.8205779834551</v>
      </c>
      <c r="W66" s="580">
        <f t="shared" si="70"/>
        <v>0</v>
      </c>
      <c r="X66" s="581">
        <f t="shared" si="71"/>
        <v>89.07230701138964</v>
      </c>
      <c r="Y66" s="579">
        <f t="shared" si="72"/>
        <v>6.7066830572755007</v>
      </c>
      <c r="Z66" s="580">
        <f t="shared" si="72"/>
        <v>8.5466489374914669</v>
      </c>
      <c r="AA66" s="580">
        <f t="shared" si="72"/>
        <v>9.824707165509416</v>
      </c>
      <c r="AB66" s="580">
        <f t="shared" si="72"/>
        <v>9.2251682747597048</v>
      </c>
      <c r="AC66" s="580">
        <f t="shared" si="72"/>
        <v>7.4578323104218871</v>
      </c>
      <c r="AD66" s="580">
        <f t="shared" si="72"/>
        <v>8.788491817266884</v>
      </c>
      <c r="AE66" s="581">
        <f t="shared" si="72"/>
        <v>8.2069936127756193</v>
      </c>
      <c r="AF66" s="845">
        <f t="shared" si="73"/>
        <v>0</v>
      </c>
      <c r="AG66" s="1355">
        <f t="shared" si="74"/>
        <v>0.42659601503773925</v>
      </c>
      <c r="AH66" s="835">
        <f t="shared" si="74"/>
        <v>0.42659601503773925</v>
      </c>
      <c r="AI66" s="835">
        <f t="shared" si="74"/>
        <v>0.80943859263571027</v>
      </c>
      <c r="AJ66" s="835">
        <f t="shared" si="74"/>
        <v>0.67544369047642039</v>
      </c>
      <c r="AK66" s="835">
        <f t="shared" si="74"/>
        <v>0.42659601503773925</v>
      </c>
      <c r="AL66" s="835">
        <f t="shared" si="74"/>
        <v>0.80943859263571027</v>
      </c>
      <c r="AM66" s="843">
        <f t="shared" si="74"/>
        <v>0.64213638622539693</v>
      </c>
      <c r="AN66" s="579">
        <f t="shared" si="75"/>
        <v>25.411729768969209</v>
      </c>
      <c r="AO66" s="580">
        <f t="shared" si="75"/>
        <v>21.028528729466966</v>
      </c>
      <c r="AP66" s="580">
        <f t="shared" si="75"/>
        <v>21.566476516927295</v>
      </c>
      <c r="AQ66" s="576">
        <f t="shared" si="76"/>
        <v>1.2909439023583573E-2</v>
      </c>
      <c r="AR66" s="580">
        <f t="shared" si="77"/>
        <v>22.786612980554047</v>
      </c>
      <c r="AS66" s="581">
        <f t="shared" si="78"/>
        <v>36.103192282702636</v>
      </c>
      <c r="AT66" s="579">
        <f t="shared" si="78"/>
        <v>15.366424363878689</v>
      </c>
      <c r="AU66" s="580">
        <f t="shared" si="78"/>
        <v>24.76474059455597</v>
      </c>
      <c r="AV66" s="578">
        <f t="shared" si="79"/>
        <v>8.9627099744550472E-3</v>
      </c>
      <c r="AW66" s="584">
        <f t="shared" si="80"/>
        <v>8.9627099744550472E-3</v>
      </c>
      <c r="AX66" s="582">
        <f t="shared" si="81"/>
        <v>1.0181</v>
      </c>
      <c r="AY66" s="583">
        <f t="shared" si="82"/>
        <v>16.275302209461174</v>
      </c>
      <c r="AZ66" s="578">
        <f t="shared" si="83"/>
        <v>4.6383387433598988E-2</v>
      </c>
      <c r="BA66" s="577">
        <f t="shared" si="83"/>
        <v>4.7371915294871537E-2</v>
      </c>
      <c r="BB66" s="577">
        <f t="shared" si="83"/>
        <v>4.5185109535416212E-2</v>
      </c>
      <c r="BC66" s="584">
        <f t="shared" si="83"/>
        <v>4.5472239001781094E-2</v>
      </c>
      <c r="BE66" s="829"/>
    </row>
    <row r="67" spans="1:57" s="325" customFormat="1" ht="14.25">
      <c r="A67" s="585">
        <f t="shared" ref="A67:A89" si="85">A66+1</f>
        <v>3</v>
      </c>
      <c r="B67" s="585">
        <f t="shared" si="84"/>
        <v>2025</v>
      </c>
      <c r="C67" s="574">
        <f t="shared" si="62"/>
        <v>7.4532110182436287E-2</v>
      </c>
      <c r="D67" s="575">
        <f t="shared" si="62"/>
        <v>7.080898248285078E-2</v>
      </c>
      <c r="E67" s="575">
        <f t="shared" si="62"/>
        <v>5.9662420383564126E-2</v>
      </c>
      <c r="F67" s="576">
        <f t="shared" si="62"/>
        <v>5.3939511231043923E-2</v>
      </c>
      <c r="G67" s="1355">
        <f t="shared" si="63"/>
        <v>8.5743992731491421E-3</v>
      </c>
      <c r="H67" s="835">
        <f t="shared" si="63"/>
        <v>6.3816836821770796E-3</v>
      </c>
      <c r="I67" s="835">
        <f t="shared" si="63"/>
        <v>7.0104966544741647E-3</v>
      </c>
      <c r="J67" s="835">
        <f t="shared" si="63"/>
        <v>4.6613282686263496E-3</v>
      </c>
      <c r="K67" s="1355">
        <f t="shared" si="64"/>
        <v>2.8363703130007212E-3</v>
      </c>
      <c r="L67" s="1318">
        <f t="shared" si="65"/>
        <v>76.765241912682782</v>
      </c>
      <c r="M67" s="580">
        <f t="shared" si="65"/>
        <v>69.163687270788358</v>
      </c>
      <c r="N67" s="580">
        <f t="shared" si="65"/>
        <v>69.163687270788358</v>
      </c>
      <c r="O67" s="581">
        <f t="shared" si="66"/>
        <v>0</v>
      </c>
      <c r="P67" s="831">
        <f t="shared" si="67"/>
        <v>8.1503723269351624</v>
      </c>
      <c r="Q67" s="831">
        <f t="shared" si="67"/>
        <v>0</v>
      </c>
      <c r="R67" s="1313">
        <f t="shared" si="67"/>
        <v>0</v>
      </c>
      <c r="S67" s="831"/>
      <c r="T67" s="831"/>
      <c r="U67" s="832" t="str">
        <f t="shared" si="68"/>
        <v/>
      </c>
      <c r="V67" s="579">
        <f t="shared" si="69"/>
        <v>102.8205779834551</v>
      </c>
      <c r="W67" s="580">
        <f t="shared" si="70"/>
        <v>0</v>
      </c>
      <c r="X67" s="581">
        <f t="shared" si="71"/>
        <v>89.07230701138964</v>
      </c>
      <c r="Y67" s="579">
        <f t="shared" si="72"/>
        <v>6.732522432746193</v>
      </c>
      <c r="Z67" s="580">
        <f t="shared" si="72"/>
        <v>8.5669543351864572</v>
      </c>
      <c r="AA67" s="580">
        <f t="shared" si="72"/>
        <v>9.8435722678435038</v>
      </c>
      <c r="AB67" s="580">
        <f t="shared" si="72"/>
        <v>9.2453675771364647</v>
      </c>
      <c r="AC67" s="580">
        <f t="shared" si="72"/>
        <v>7.4815629189594661</v>
      </c>
      <c r="AD67" s="580">
        <f t="shared" si="72"/>
        <v>8.8088597067463361</v>
      </c>
      <c r="AE67" s="581">
        <f t="shared" si="72"/>
        <v>8.2288310104834732</v>
      </c>
      <c r="AF67" s="845">
        <f t="shared" si="73"/>
        <v>0</v>
      </c>
      <c r="AG67" s="1355">
        <f t="shared" si="74"/>
        <v>0.4812878118374494</v>
      </c>
      <c r="AH67" s="835">
        <f t="shared" si="74"/>
        <v>0.4812878118374494</v>
      </c>
      <c r="AI67" s="835">
        <f t="shared" si="74"/>
        <v>0.88600710815530459</v>
      </c>
      <c r="AJ67" s="835">
        <f t="shared" si="74"/>
        <v>0.74435535444405532</v>
      </c>
      <c r="AK67" s="835">
        <f t="shared" si="74"/>
        <v>0.4812878118374494</v>
      </c>
      <c r="AL67" s="835">
        <f t="shared" si="74"/>
        <v>0.88600710815530459</v>
      </c>
      <c r="AM67" s="843">
        <f t="shared" si="74"/>
        <v>0.70914477566440182</v>
      </c>
      <c r="AN67" s="579">
        <f t="shared" si="75"/>
        <v>25.934663609068181</v>
      </c>
      <c r="AO67" s="580">
        <f t="shared" si="75"/>
        <v>21.575705867008359</v>
      </c>
      <c r="AP67" s="580">
        <f t="shared" si="75"/>
        <v>22.163484538631351</v>
      </c>
      <c r="AQ67" s="576">
        <f t="shared" si="76"/>
        <v>1.3104162919369538E-2</v>
      </c>
      <c r="AR67" s="580">
        <f t="shared" si="77"/>
        <v>23.255526003677758</v>
      </c>
      <c r="AS67" s="581">
        <f t="shared" si="78"/>
        <v>36.028604214320083</v>
      </c>
      <c r="AT67" s="579">
        <f t="shared" si="78"/>
        <v>15.682641456309996</v>
      </c>
      <c r="AU67" s="580">
        <f t="shared" si="78"/>
        <v>25.274360404616282</v>
      </c>
      <c r="AV67" s="578">
        <f t="shared" si="79"/>
        <v>8.9627099744550472E-3</v>
      </c>
      <c r="AW67" s="584">
        <f t="shared" si="80"/>
        <v>8.9627099744550472E-3</v>
      </c>
      <c r="AX67" s="582">
        <f t="shared" si="81"/>
        <v>1.0181</v>
      </c>
      <c r="AY67" s="583">
        <f t="shared" si="82"/>
        <v>17.495949875170762</v>
      </c>
      <c r="AZ67" s="578">
        <f t="shared" si="83"/>
        <v>4.5998027531865472E-2</v>
      </c>
      <c r="BA67" s="577">
        <f t="shared" si="83"/>
        <v>4.6978342560471884E-2</v>
      </c>
      <c r="BB67" s="577">
        <f t="shared" si="83"/>
        <v>4.4809705100039156E-2</v>
      </c>
      <c r="BC67" s="584">
        <f t="shared" si="83"/>
        <v>4.5094449053204901E-2</v>
      </c>
      <c r="BE67" s="829"/>
    </row>
    <row r="68" spans="1:57" s="325" customFormat="1" ht="14.25">
      <c r="A68" s="585">
        <f t="shared" si="85"/>
        <v>4</v>
      </c>
      <c r="B68" s="585">
        <f t="shared" si="84"/>
        <v>2026</v>
      </c>
      <c r="C68" s="574">
        <f t="shared" si="62"/>
        <v>7.3968952447575773E-2</v>
      </c>
      <c r="D68" s="575">
        <f t="shared" si="62"/>
        <v>6.965356974889815E-2</v>
      </c>
      <c r="E68" s="575">
        <f t="shared" si="62"/>
        <v>6.3358930111993658E-2</v>
      </c>
      <c r="F68" s="576">
        <f t="shared" si="62"/>
        <v>5.6008551741514E-2</v>
      </c>
      <c r="G68" s="1355">
        <f t="shared" si="63"/>
        <v>8.5760491139452895E-3</v>
      </c>
      <c r="H68" s="835">
        <f t="shared" si="63"/>
        <v>6.1722081928223035E-3</v>
      </c>
      <c r="I68" s="835">
        <f t="shared" si="63"/>
        <v>6.9321889467942599E-3</v>
      </c>
      <c r="J68" s="835">
        <f t="shared" si="63"/>
        <v>4.4070934363110966E-3</v>
      </c>
      <c r="K68" s="1355">
        <f t="shared" si="64"/>
        <v>2.8402583912246811E-3</v>
      </c>
      <c r="L68" s="1318">
        <f t="shared" si="65"/>
        <v>83.208143404516463</v>
      </c>
      <c r="M68" s="580">
        <f t="shared" si="65"/>
        <v>96.059498701002553</v>
      </c>
      <c r="N68" s="580">
        <f t="shared" si="65"/>
        <v>96.059498701002553</v>
      </c>
      <c r="O68" s="581">
        <f t="shared" si="66"/>
        <v>0</v>
      </c>
      <c r="P68" s="831">
        <f t="shared" si="67"/>
        <v>6.1594121177807279</v>
      </c>
      <c r="Q68" s="831">
        <f t="shared" si="67"/>
        <v>0</v>
      </c>
      <c r="R68" s="1313">
        <f t="shared" si="67"/>
        <v>0</v>
      </c>
      <c r="S68" s="831"/>
      <c r="T68" s="831"/>
      <c r="U68" s="832" t="str">
        <f t="shared" si="68"/>
        <v/>
      </c>
      <c r="V68" s="579">
        <f t="shared" si="69"/>
        <v>102.8205779834551</v>
      </c>
      <c r="W68" s="580">
        <f t="shared" si="70"/>
        <v>0</v>
      </c>
      <c r="X68" s="581">
        <f t="shared" si="71"/>
        <v>89.07230701138964</v>
      </c>
      <c r="Y68" s="579">
        <f t="shared" si="72"/>
        <v>6.8176124780054854</v>
      </c>
      <c r="Z68" s="580">
        <f t="shared" si="72"/>
        <v>8.6490895029303392</v>
      </c>
      <c r="AA68" s="580">
        <f t="shared" si="72"/>
        <v>9.9249542313509256</v>
      </c>
      <c r="AB68" s="580">
        <f t="shared" si="72"/>
        <v>9.327456393753959</v>
      </c>
      <c r="AC68" s="580">
        <f t="shared" si="72"/>
        <v>7.5657022270999779</v>
      </c>
      <c r="AD68" s="580">
        <f t="shared" si="72"/>
        <v>8.8910686724531516</v>
      </c>
      <c r="AE68" s="581">
        <f t="shared" si="72"/>
        <v>8.3118835358338146</v>
      </c>
      <c r="AF68" s="845">
        <f t="shared" si="73"/>
        <v>1.0938359359942031E-2</v>
      </c>
      <c r="AG68" s="1355">
        <f t="shared" si="74"/>
        <v>0.4812878118374494</v>
      </c>
      <c r="AH68" s="835">
        <f t="shared" si="74"/>
        <v>0.4812878118374494</v>
      </c>
      <c r="AI68" s="835">
        <f t="shared" si="74"/>
        <v>0.89694546751524651</v>
      </c>
      <c r="AJ68" s="835">
        <f t="shared" si="74"/>
        <v>0.7514652880280176</v>
      </c>
      <c r="AK68" s="835">
        <f t="shared" si="74"/>
        <v>0.4812878118374494</v>
      </c>
      <c r="AL68" s="835">
        <f t="shared" si="74"/>
        <v>0.89694546751524651</v>
      </c>
      <c r="AM68" s="843">
        <f t="shared" si="74"/>
        <v>0.71530307198404919</v>
      </c>
      <c r="AN68" s="579">
        <f t="shared" si="75"/>
        <v>26.340516893363425</v>
      </c>
      <c r="AO68" s="580">
        <f t="shared" si="75"/>
        <v>21.931023072283494</v>
      </c>
      <c r="AP68" s="580">
        <f t="shared" si="75"/>
        <v>22.54640844965979</v>
      </c>
      <c r="AQ68" s="576">
        <f t="shared" si="76"/>
        <v>1.3252054590629968E-2</v>
      </c>
      <c r="AR68" s="580">
        <f t="shared" si="77"/>
        <v>23.619453284512275</v>
      </c>
      <c r="AS68" s="581">
        <f t="shared" si="78"/>
        <v>36.094621937332477</v>
      </c>
      <c r="AT68" s="579">
        <f t="shared" si="78"/>
        <v>15.928060160689977</v>
      </c>
      <c r="AU68" s="580">
        <f t="shared" si="78"/>
        <v>25.669880559930288</v>
      </c>
      <c r="AV68" s="578">
        <f t="shared" si="79"/>
        <v>8.9627099744550472E-3</v>
      </c>
      <c r="AW68" s="584">
        <f t="shared" si="80"/>
        <v>8.9627099744550472E-3</v>
      </c>
      <c r="AX68" s="582">
        <f t="shared" si="81"/>
        <v>1.0181</v>
      </c>
      <c r="AY68" s="583">
        <f t="shared" si="82"/>
        <v>18.71659754088035</v>
      </c>
      <c r="AZ68" s="578">
        <f t="shared" si="83"/>
        <v>4.5630505406253581E-2</v>
      </c>
      <c r="BA68" s="577">
        <f t="shared" si="83"/>
        <v>4.6602987762843065E-2</v>
      </c>
      <c r="BB68" s="577">
        <f t="shared" si="83"/>
        <v>4.4451677616034538E-2</v>
      </c>
      <c r="BC68" s="584">
        <f t="shared" si="83"/>
        <v>4.4734146478103178E-2</v>
      </c>
      <c r="BE68" s="829"/>
    </row>
    <row r="69" spans="1:57" s="325" customFormat="1" ht="14.25">
      <c r="A69" s="585">
        <f t="shared" si="85"/>
        <v>5</v>
      </c>
      <c r="B69" s="585">
        <f t="shared" si="84"/>
        <v>2027</v>
      </c>
      <c r="C69" s="574">
        <f t="shared" si="62"/>
        <v>7.8623475280143115E-2</v>
      </c>
      <c r="D69" s="575">
        <f t="shared" si="62"/>
        <v>7.3869262918936668E-2</v>
      </c>
      <c r="E69" s="575">
        <f t="shared" si="62"/>
        <v>5.9930432013596657E-2</v>
      </c>
      <c r="F69" s="576">
        <f t="shared" si="62"/>
        <v>5.2420344760444035E-2</v>
      </c>
      <c r="G69" s="1355">
        <f t="shared" si="63"/>
        <v>8.0262340832391501E-3</v>
      </c>
      <c r="H69" s="835">
        <f t="shared" si="63"/>
        <v>5.6051977084493046E-3</v>
      </c>
      <c r="I69" s="835">
        <f t="shared" si="63"/>
        <v>5.9015076255321524E-3</v>
      </c>
      <c r="J69" s="835">
        <f t="shared" si="63"/>
        <v>3.6954705919866283E-3</v>
      </c>
      <c r="K69" s="1355">
        <f t="shared" si="64"/>
        <v>2.0737860401202476E-3</v>
      </c>
      <c r="L69" s="1318">
        <f t="shared" si="65"/>
        <v>89.861520807154164</v>
      </c>
      <c r="M69" s="580">
        <f t="shared" si="65"/>
        <v>114.87278572723436</v>
      </c>
      <c r="N69" s="580">
        <f t="shared" si="65"/>
        <v>114.87278572723436</v>
      </c>
      <c r="O69" s="581">
        <f t="shared" si="66"/>
        <v>0</v>
      </c>
      <c r="P69" s="831">
        <f t="shared" si="67"/>
        <v>4.0955814933560024</v>
      </c>
      <c r="Q69" s="831">
        <f t="shared" si="67"/>
        <v>0</v>
      </c>
      <c r="R69" s="1313">
        <f t="shared" si="67"/>
        <v>0</v>
      </c>
      <c r="S69" s="831"/>
      <c r="T69" s="831"/>
      <c r="U69" s="832" t="str">
        <f t="shared" si="68"/>
        <v/>
      </c>
      <c r="V69" s="579">
        <f t="shared" si="69"/>
        <v>102.8205779834551</v>
      </c>
      <c r="W69" s="580">
        <f t="shared" si="70"/>
        <v>0</v>
      </c>
      <c r="X69" s="581">
        <f t="shared" si="71"/>
        <v>89.07230701138964</v>
      </c>
      <c r="Y69" s="579">
        <f t="shared" si="72"/>
        <v>6.858658692384652</v>
      </c>
      <c r="Z69" s="580">
        <f t="shared" si="72"/>
        <v>8.6856386844320959</v>
      </c>
      <c r="AA69" s="580">
        <f t="shared" si="72"/>
        <v>9.960339308743686</v>
      </c>
      <c r="AB69" s="580">
        <f t="shared" si="72"/>
        <v>9.3639234625164782</v>
      </c>
      <c r="AC69" s="580">
        <f t="shared" si="72"/>
        <v>7.6050867226994239</v>
      </c>
      <c r="AD69" s="580">
        <f t="shared" si="72"/>
        <v>8.9276822759213434</v>
      </c>
      <c r="AE69" s="581">
        <f t="shared" si="72"/>
        <v>8.3497080191633639</v>
      </c>
      <c r="AF69" s="845">
        <f t="shared" si="73"/>
        <v>1.0938359359942031E-2</v>
      </c>
      <c r="AG69" s="1355">
        <f t="shared" si="74"/>
        <v>0.43753437439768128</v>
      </c>
      <c r="AH69" s="835">
        <f t="shared" si="74"/>
        <v>0.43753437439768128</v>
      </c>
      <c r="AI69" s="835">
        <f t="shared" si="74"/>
        <v>0.80943859263571027</v>
      </c>
      <c r="AJ69" s="835">
        <f t="shared" si="74"/>
        <v>0.67927211625240014</v>
      </c>
      <c r="AK69" s="835">
        <f t="shared" si="74"/>
        <v>0.43753437439768128</v>
      </c>
      <c r="AL69" s="835">
        <f t="shared" si="74"/>
        <v>0.80943859263571027</v>
      </c>
      <c r="AM69" s="843">
        <f t="shared" si="74"/>
        <v>0.64691644926569158</v>
      </c>
      <c r="AN69" s="579">
        <f t="shared" si="75"/>
        <v>26.556602552481952</v>
      </c>
      <c r="AO69" s="580">
        <f t="shared" si="75"/>
        <v>22.167747975343762</v>
      </c>
      <c r="AP69" s="580">
        <f t="shared" si="75"/>
        <v>22.803022950043342</v>
      </c>
      <c r="AQ69" s="576">
        <f t="shared" si="76"/>
        <v>1.3212538974345722E-2</v>
      </c>
      <c r="AR69" s="580">
        <f t="shared" si="77"/>
        <v>23.813216571378106</v>
      </c>
      <c r="AS69" s="581">
        <f t="shared" si="78"/>
        <v>36.435229710148519</v>
      </c>
      <c r="AT69" s="579">
        <f t="shared" si="78"/>
        <v>16.058726745261421</v>
      </c>
      <c r="AU69" s="580">
        <f t="shared" si="78"/>
        <v>25.880464622602339</v>
      </c>
      <c r="AV69" s="578">
        <f t="shared" si="79"/>
        <v>8.9627099744550472E-3</v>
      </c>
      <c r="AW69" s="584">
        <f t="shared" si="80"/>
        <v>8.9627099744550472E-3</v>
      </c>
      <c r="AX69" s="582">
        <f t="shared" si="81"/>
        <v>1.0181</v>
      </c>
      <c r="AY69" s="583">
        <f t="shared" si="82"/>
        <v>19.937245206589942</v>
      </c>
      <c r="AZ69" s="578">
        <f t="shared" si="83"/>
        <v>4.5294193401685869E-2</v>
      </c>
      <c r="BA69" s="577">
        <f t="shared" si="83"/>
        <v>4.6259508239795341E-2</v>
      </c>
      <c r="BB69" s="577">
        <f t="shared" si="83"/>
        <v>4.4124053964436812E-2</v>
      </c>
      <c r="BC69" s="584">
        <f t="shared" si="83"/>
        <v>4.4404440937024177E-2</v>
      </c>
      <c r="BE69" s="829"/>
    </row>
    <row r="70" spans="1:57" s="325" customFormat="1" ht="14.25">
      <c r="A70" s="585">
        <f t="shared" si="85"/>
        <v>6</v>
      </c>
      <c r="B70" s="585">
        <f t="shared" si="84"/>
        <v>2028</v>
      </c>
      <c r="C70" s="574">
        <f t="shared" si="62"/>
        <v>8.0659201151672688E-2</v>
      </c>
      <c r="D70" s="575">
        <f t="shared" si="62"/>
        <v>7.139103994042735E-2</v>
      </c>
      <c r="E70" s="575">
        <f t="shared" si="62"/>
        <v>6.4776839662140775E-2</v>
      </c>
      <c r="F70" s="576">
        <f t="shared" si="62"/>
        <v>5.3403485910894943E-2</v>
      </c>
      <c r="G70" s="1355">
        <f t="shared" si="63"/>
        <v>6.613283177665419E-3</v>
      </c>
      <c r="H70" s="835">
        <f t="shared" si="63"/>
        <v>5.0012744692414027E-3</v>
      </c>
      <c r="I70" s="835">
        <f t="shared" si="63"/>
        <v>4.4543412040134629E-3</v>
      </c>
      <c r="J70" s="835">
        <f t="shared" si="63"/>
        <v>3.2455904795882303E-3</v>
      </c>
      <c r="K70" s="1355">
        <f t="shared" si="64"/>
        <v>1.3352237987461525E-3</v>
      </c>
      <c r="L70" s="1318">
        <f t="shared" si="65"/>
        <v>96.456432679012977</v>
      </c>
      <c r="M70" s="580">
        <f t="shared" si="65"/>
        <v>121.60983190308146</v>
      </c>
      <c r="N70" s="580">
        <f t="shared" si="65"/>
        <v>121.60983190308146</v>
      </c>
      <c r="O70" s="581">
        <f t="shared" si="66"/>
        <v>0</v>
      </c>
      <c r="P70" s="831">
        <f t="shared" si="67"/>
        <v>0</v>
      </c>
      <c r="Q70" s="831">
        <f t="shared" si="67"/>
        <v>4.3456035400452215</v>
      </c>
      <c r="R70" s="1313">
        <f t="shared" si="67"/>
        <v>4.3456035400452215</v>
      </c>
      <c r="S70" s="831"/>
      <c r="T70" s="831"/>
      <c r="U70" s="832" t="str">
        <f t="shared" si="68"/>
        <v/>
      </c>
      <c r="V70" s="579">
        <f t="shared" si="69"/>
        <v>102.8205779834551</v>
      </c>
      <c r="W70" s="580">
        <f t="shared" si="70"/>
        <v>0</v>
      </c>
      <c r="X70" s="581">
        <f t="shared" si="71"/>
        <v>89.07230701138964</v>
      </c>
      <c r="Y70" s="579">
        <f t="shared" si="72"/>
        <v>6.9929983906726703</v>
      </c>
      <c r="Z70" s="580">
        <f t="shared" si="72"/>
        <v>8.8197210651227547</v>
      </c>
      <c r="AA70" s="580">
        <f t="shared" si="72"/>
        <v>10.094389319432109</v>
      </c>
      <c r="AB70" s="580">
        <f t="shared" si="72"/>
        <v>9.4980234003452875</v>
      </c>
      <c r="AC70" s="580">
        <f t="shared" si="72"/>
        <v>7.7396627349469531</v>
      </c>
      <c r="AD70" s="580">
        <f t="shared" si="72"/>
        <v>9.0618491949502147</v>
      </c>
      <c r="AE70" s="581">
        <f t="shared" si="72"/>
        <v>8.4840537119287891</v>
      </c>
      <c r="AF70" s="845">
        <f t="shared" si="73"/>
        <v>1.0938359359942031E-2</v>
      </c>
      <c r="AG70" s="1355">
        <f t="shared" si="74"/>
        <v>0.3172124214383189</v>
      </c>
      <c r="AH70" s="835">
        <f t="shared" si="74"/>
        <v>0.3172124214383189</v>
      </c>
      <c r="AI70" s="835">
        <f t="shared" si="74"/>
        <v>0.57973304607692766</v>
      </c>
      <c r="AJ70" s="835">
        <f t="shared" si="74"/>
        <v>0.48785082745341463</v>
      </c>
      <c r="AK70" s="835">
        <f t="shared" si="74"/>
        <v>0.3172124214383189</v>
      </c>
      <c r="AL70" s="835">
        <f t="shared" si="74"/>
        <v>0.57973304607692766</v>
      </c>
      <c r="AM70" s="843">
        <f t="shared" si="74"/>
        <v>0.4650115331098556</v>
      </c>
      <c r="AN70" s="579">
        <f t="shared" si="75"/>
        <v>26.601830037992105</v>
      </c>
      <c r="AO70" s="580">
        <f t="shared" si="75"/>
        <v>22.233948150408779</v>
      </c>
      <c r="AP70" s="580">
        <f t="shared" si="75"/>
        <v>22.87849614333247</v>
      </c>
      <c r="AQ70" s="576">
        <f t="shared" si="76"/>
        <v>1.3089498463824022E-2</v>
      </c>
      <c r="AR70" s="580">
        <f t="shared" si="77"/>
        <v>23.853771906169282</v>
      </c>
      <c r="AS70" s="581">
        <f t="shared" si="78"/>
        <v>36.534941104613218</v>
      </c>
      <c r="AT70" s="579">
        <f t="shared" si="78"/>
        <v>16.086075719202928</v>
      </c>
      <c r="AU70" s="580">
        <f t="shared" si="78"/>
        <v>25.924540604701388</v>
      </c>
      <c r="AV70" s="578">
        <f t="shared" si="79"/>
        <v>8.9627099744550472E-3</v>
      </c>
      <c r="AW70" s="584">
        <f t="shared" si="80"/>
        <v>8.9627099744550472E-3</v>
      </c>
      <c r="AX70" s="582">
        <f t="shared" si="81"/>
        <v>1.0181</v>
      </c>
      <c r="AY70" s="583">
        <f t="shared" si="82"/>
        <v>21.157892872299527</v>
      </c>
      <c r="AZ70" s="578">
        <f t="shared" si="83"/>
        <v>4.4974085184972354E-2</v>
      </c>
      <c r="BA70" s="577">
        <f t="shared" si="83"/>
        <v>4.5932577841513125E-2</v>
      </c>
      <c r="BB70" s="577">
        <f t="shared" si="83"/>
        <v>4.3812215488730544E-2</v>
      </c>
      <c r="BC70" s="584">
        <f t="shared" si="83"/>
        <v>4.4090620878977131E-2</v>
      </c>
      <c r="BE70" s="829"/>
    </row>
    <row r="71" spans="1:57" s="325" customFormat="1" ht="14.25">
      <c r="A71" s="585">
        <f t="shared" si="85"/>
        <v>7</v>
      </c>
      <c r="B71" s="585">
        <f t="shared" si="84"/>
        <v>2029</v>
      </c>
      <c r="C71" s="574">
        <f t="shared" si="62"/>
        <v>8.2861970302571225E-2</v>
      </c>
      <c r="D71" s="575">
        <f t="shared" si="62"/>
        <v>7.6094586573584824E-2</v>
      </c>
      <c r="E71" s="575">
        <f t="shared" si="62"/>
        <v>6.3436559718222985E-2</v>
      </c>
      <c r="F71" s="576">
        <f t="shared" si="62"/>
        <v>5.4108934562265405E-2</v>
      </c>
      <c r="G71" s="1355">
        <f t="shared" si="63"/>
        <v>4.7665248651895436E-3</v>
      </c>
      <c r="H71" s="835">
        <f t="shared" si="63"/>
        <v>3.6023531123740098E-3</v>
      </c>
      <c r="I71" s="835">
        <f t="shared" si="63"/>
        <v>3.6016475509865089E-3</v>
      </c>
      <c r="J71" s="835">
        <f t="shared" si="63"/>
        <v>2.5733021255116783E-3</v>
      </c>
      <c r="K71" s="1355">
        <f t="shared" si="64"/>
        <v>1.0111860556092783E-3</v>
      </c>
      <c r="L71" s="1318">
        <f t="shared" si="65"/>
        <v>103.05134455087178</v>
      </c>
      <c r="M71" s="580">
        <f t="shared" si="65"/>
        <v>129.58530153370256</v>
      </c>
      <c r="N71" s="580">
        <f t="shared" si="65"/>
        <v>129.58530153370256</v>
      </c>
      <c r="O71" s="581">
        <f t="shared" si="66"/>
        <v>0</v>
      </c>
      <c r="P71" s="831">
        <f t="shared" si="67"/>
        <v>0</v>
      </c>
      <c r="Q71" s="831">
        <f t="shared" si="67"/>
        <v>96.152601324350925</v>
      </c>
      <c r="R71" s="1313">
        <f t="shared" si="67"/>
        <v>96.152601324350925</v>
      </c>
      <c r="S71" s="831"/>
      <c r="T71" s="831"/>
      <c r="U71" s="832" t="str">
        <f t="shared" si="68"/>
        <v/>
      </c>
      <c r="V71" s="579">
        <f t="shared" si="69"/>
        <v>102.8205779834551</v>
      </c>
      <c r="W71" s="580">
        <f t="shared" si="70"/>
        <v>0</v>
      </c>
      <c r="X71" s="581">
        <f t="shared" si="71"/>
        <v>89.07230701138964</v>
      </c>
      <c r="Y71" s="579">
        <f t="shared" si="72"/>
        <v>7.1093918584004259</v>
      </c>
      <c r="Z71" s="580">
        <f t="shared" si="72"/>
        <v>8.9343965222752537</v>
      </c>
      <c r="AA71" s="580">
        <f t="shared" si="72"/>
        <v>10.208636460557296</v>
      </c>
      <c r="AB71" s="580">
        <f t="shared" si="72"/>
        <v>9.6126781536663231</v>
      </c>
      <c r="AC71" s="580">
        <f t="shared" si="72"/>
        <v>7.8556604631838649</v>
      </c>
      <c r="AD71" s="580">
        <f t="shared" si="72"/>
        <v>9.1765990721306583</v>
      </c>
      <c r="AE71" s="581">
        <f t="shared" si="72"/>
        <v>8.5993489000209102</v>
      </c>
      <c r="AF71" s="845">
        <f t="shared" si="73"/>
        <v>1.0938359359942031E-2</v>
      </c>
      <c r="AG71" s="1355">
        <f t="shared" si="74"/>
        <v>0.19689046847895655</v>
      </c>
      <c r="AH71" s="835">
        <f t="shared" si="74"/>
        <v>0.19689046847895655</v>
      </c>
      <c r="AI71" s="835">
        <f t="shared" si="74"/>
        <v>0.36096585887808708</v>
      </c>
      <c r="AJ71" s="835">
        <f t="shared" si="74"/>
        <v>0.30353947223839139</v>
      </c>
      <c r="AK71" s="835">
        <f t="shared" si="74"/>
        <v>0.19689046847895655</v>
      </c>
      <c r="AL71" s="835">
        <f t="shared" si="74"/>
        <v>0.36096585887808708</v>
      </c>
      <c r="AM71" s="843">
        <f t="shared" si="74"/>
        <v>0.28926491327366699</v>
      </c>
      <c r="AN71" s="579">
        <f t="shared" si="75"/>
        <v>26.841681387413061</v>
      </c>
      <c r="AO71" s="580">
        <f t="shared" si="75"/>
        <v>22.502087341079893</v>
      </c>
      <c r="AP71" s="580">
        <f t="shared" si="75"/>
        <v>23.17698228918217</v>
      </c>
      <c r="AQ71" s="576">
        <f t="shared" si="76"/>
        <v>1.3032073091388789E-2</v>
      </c>
      <c r="AR71" s="580">
        <f t="shared" si="77"/>
        <v>24.068845807938573</v>
      </c>
      <c r="AS71" s="581">
        <f t="shared" si="78"/>
        <v>36.57538577560873</v>
      </c>
      <c r="AT71" s="579">
        <f t="shared" si="78"/>
        <v>16.231113371222666</v>
      </c>
      <c r="AU71" s="580">
        <f t="shared" si="78"/>
        <v>26.158285277089551</v>
      </c>
      <c r="AV71" s="578">
        <f t="shared" si="79"/>
        <v>8.9627099744550472E-3</v>
      </c>
      <c r="AW71" s="584">
        <f t="shared" si="80"/>
        <v>8.9627099744550472E-3</v>
      </c>
      <c r="AX71" s="582">
        <f t="shared" si="81"/>
        <v>1.0181</v>
      </c>
      <c r="AY71" s="583">
        <f t="shared" si="82"/>
        <v>22.378540538009116</v>
      </c>
      <c r="AZ71" s="578">
        <f t="shared" si="83"/>
        <v>4.4669674614491901E-2</v>
      </c>
      <c r="BA71" s="577">
        <f t="shared" si="83"/>
        <v>4.5621679639429299E-2</v>
      </c>
      <c r="BB71" s="577">
        <f t="shared" si="83"/>
        <v>4.3515669123060548E-2</v>
      </c>
      <c r="BC71" s="584">
        <f t="shared" si="83"/>
        <v>4.3792190104912358E-2</v>
      </c>
      <c r="BE71" s="829"/>
    </row>
    <row r="72" spans="1:57" s="325" customFormat="1" ht="14.25">
      <c r="A72" s="585">
        <f t="shared" si="85"/>
        <v>8</v>
      </c>
      <c r="B72" s="585">
        <f t="shared" si="84"/>
        <v>2030</v>
      </c>
      <c r="C72" s="574">
        <f t="shared" si="62"/>
        <v>7.6331664211950048E-2</v>
      </c>
      <c r="D72" s="575">
        <f t="shared" si="62"/>
        <v>7.2254156092831534E-2</v>
      </c>
      <c r="E72" s="575">
        <f t="shared" si="62"/>
        <v>6.6760587750840275E-2</v>
      </c>
      <c r="F72" s="576">
        <f t="shared" si="62"/>
        <v>6.1226609880637613E-2</v>
      </c>
      <c r="G72" s="1355">
        <f t="shared" si="63"/>
        <v>3.3985011493779592E-3</v>
      </c>
      <c r="H72" s="835">
        <f t="shared" si="63"/>
        <v>2.5144193622789785E-3</v>
      </c>
      <c r="I72" s="835">
        <f t="shared" si="63"/>
        <v>2.7827439063824989E-3</v>
      </c>
      <c r="J72" s="835">
        <f t="shared" si="63"/>
        <v>1.9296363643288672E-3</v>
      </c>
      <c r="K72" s="1355">
        <f t="shared" si="64"/>
        <v>6.9769745901211082E-4</v>
      </c>
      <c r="L72" s="1318">
        <f t="shared" si="65"/>
        <v>98.10516064697768</v>
      </c>
      <c r="M72" s="580">
        <f t="shared" si="65"/>
        <v>125.41088773604379</v>
      </c>
      <c r="N72" s="580">
        <f t="shared" si="65"/>
        <v>125.41088773604379</v>
      </c>
      <c r="O72" s="581">
        <f t="shared" si="66"/>
        <v>0</v>
      </c>
      <c r="P72" s="831">
        <f t="shared" si="67"/>
        <v>0</v>
      </c>
      <c r="Q72" s="831">
        <f t="shared" si="67"/>
        <v>130.85108966400711</v>
      </c>
      <c r="R72" s="1313">
        <f t="shared" si="67"/>
        <v>130.85108966400711</v>
      </c>
      <c r="S72" s="831"/>
      <c r="T72" s="831"/>
      <c r="U72" s="832" t="str">
        <f t="shared" si="68"/>
        <v/>
      </c>
      <c r="V72" s="579">
        <f t="shared" si="69"/>
        <v>102.8205779834551</v>
      </c>
      <c r="W72" s="580">
        <f t="shared" si="70"/>
        <v>0</v>
      </c>
      <c r="X72" s="581">
        <f t="shared" si="71"/>
        <v>89.07230701138964</v>
      </c>
      <c r="Y72" s="579">
        <f t="shared" si="72"/>
        <v>7.1771883930100051</v>
      </c>
      <c r="Z72" s="580">
        <f t="shared" si="72"/>
        <v>8.998957737815223</v>
      </c>
      <c r="AA72" s="580">
        <f t="shared" si="72"/>
        <v>10.272366634912984</v>
      </c>
      <c r="AB72" s="580">
        <f t="shared" si="72"/>
        <v>9.6771844902969519</v>
      </c>
      <c r="AC72" s="580">
        <f t="shared" si="72"/>
        <v>7.9223526570789611</v>
      </c>
      <c r="AD72" s="580">
        <f t="shared" si="72"/>
        <v>9.2412258297440175</v>
      </c>
      <c r="AE72" s="581">
        <f t="shared" si="72"/>
        <v>8.6648782532893875</v>
      </c>
      <c r="AF72" s="845">
        <f t="shared" si="73"/>
        <v>1.0938359359942031E-2</v>
      </c>
      <c r="AG72" s="1355">
        <f t="shared" si="74"/>
        <v>0.15313703103918846</v>
      </c>
      <c r="AH72" s="835">
        <f t="shared" si="74"/>
        <v>0.15313703103918846</v>
      </c>
      <c r="AI72" s="835">
        <f t="shared" si="74"/>
        <v>0.27345898399855079</v>
      </c>
      <c r="AJ72" s="835">
        <f t="shared" si="74"/>
        <v>0.23134630046277399</v>
      </c>
      <c r="AK72" s="835">
        <f t="shared" si="74"/>
        <v>0.15313703103918846</v>
      </c>
      <c r="AL72" s="835">
        <f t="shared" si="74"/>
        <v>0.27345898399855079</v>
      </c>
      <c r="AM72" s="843">
        <f t="shared" si="74"/>
        <v>0.22087829055530944</v>
      </c>
      <c r="AN72" s="579">
        <f t="shared" si="75"/>
        <v>27.345309571656621</v>
      </c>
      <c r="AO72" s="580">
        <f t="shared" si="75"/>
        <v>22.960095078513547</v>
      </c>
      <c r="AP72" s="580">
        <f t="shared" si="75"/>
        <v>23.666858207376762</v>
      </c>
      <c r="AQ72" s="576">
        <f t="shared" si="76"/>
        <v>1.3203434628554955E-2</v>
      </c>
      <c r="AR72" s="580">
        <f t="shared" si="77"/>
        <v>24.52044751411092</v>
      </c>
      <c r="AS72" s="581">
        <f t="shared" si="78"/>
        <v>36.858936273960801</v>
      </c>
      <c r="AT72" s="579">
        <f t="shared" si="78"/>
        <v>16.535656370501147</v>
      </c>
      <c r="AU72" s="580">
        <f t="shared" si="78"/>
        <v>26.649090958256878</v>
      </c>
      <c r="AV72" s="578">
        <f t="shared" si="79"/>
        <v>8.9627099744550472E-3</v>
      </c>
      <c r="AW72" s="584">
        <f t="shared" si="80"/>
        <v>8.9627099744550472E-3</v>
      </c>
      <c r="AX72" s="582">
        <f t="shared" si="81"/>
        <v>1.0181</v>
      </c>
      <c r="AY72" s="583">
        <f t="shared" si="82"/>
        <v>24.141698277367411</v>
      </c>
      <c r="AZ72" s="578">
        <f t="shared" si="83"/>
        <v>4.4124123634466134E-2</v>
      </c>
      <c r="BA72" s="577">
        <f t="shared" si="83"/>
        <v>4.506450181683469E-2</v>
      </c>
      <c r="BB72" s="577">
        <f t="shared" si="83"/>
        <v>4.2984212018404112E-2</v>
      </c>
      <c r="BC72" s="584">
        <f t="shared" si="83"/>
        <v>4.3257355847994367E-2</v>
      </c>
      <c r="BE72" s="829"/>
    </row>
    <row r="73" spans="1:57" s="325" customFormat="1" ht="14.25">
      <c r="A73" s="585">
        <f t="shared" si="85"/>
        <v>9</v>
      </c>
      <c r="B73" s="585">
        <f t="shared" si="84"/>
        <v>2031</v>
      </c>
      <c r="C73" s="574">
        <f t="shared" si="62"/>
        <v>7.5846057738066519E-2</v>
      </c>
      <c r="D73" s="575">
        <f t="shared" si="62"/>
        <v>7.1346609847938419E-2</v>
      </c>
      <c r="E73" s="575">
        <f t="shared" si="62"/>
        <v>6.0927046884459379E-2</v>
      </c>
      <c r="F73" s="576">
        <f t="shared" si="62"/>
        <v>5.3494131116834882E-2</v>
      </c>
      <c r="G73" s="1355">
        <f t="shared" si="63"/>
        <v>1.8886688930822928E-3</v>
      </c>
      <c r="H73" s="835">
        <f t="shared" si="63"/>
        <v>1.4168451634667127E-3</v>
      </c>
      <c r="I73" s="835">
        <f t="shared" si="63"/>
        <v>1.3742260261892904E-3</v>
      </c>
      <c r="J73" s="835">
        <f t="shared" si="63"/>
        <v>9.4916225337489206E-4</v>
      </c>
      <c r="K73" s="1355">
        <f t="shared" si="64"/>
        <v>3.9841528589001793E-4</v>
      </c>
      <c r="L73" s="1318">
        <f t="shared" si="65"/>
        <v>96.456432679012977</v>
      </c>
      <c r="M73" s="580">
        <f t="shared" si="65"/>
        <v>121.60983190308146</v>
      </c>
      <c r="N73" s="580">
        <f t="shared" si="65"/>
        <v>121.60983190308146</v>
      </c>
      <c r="O73" s="581">
        <f t="shared" si="66"/>
        <v>0</v>
      </c>
      <c r="P73" s="831">
        <f t="shared" si="67"/>
        <v>0</v>
      </c>
      <c r="Q73" s="831">
        <f t="shared" si="67"/>
        <v>152.34984563900736</v>
      </c>
      <c r="R73" s="1313">
        <f t="shared" si="67"/>
        <v>152.34984563900736</v>
      </c>
      <c r="S73" s="831"/>
      <c r="T73" s="831"/>
      <c r="U73" s="832" t="str">
        <f t="shared" si="68"/>
        <v/>
      </c>
      <c r="V73" s="579">
        <f t="shared" si="69"/>
        <v>102.8205779834551</v>
      </c>
      <c r="W73" s="580">
        <f t="shared" si="70"/>
        <v>0</v>
      </c>
      <c r="X73" s="581">
        <f t="shared" si="71"/>
        <v>89.07230701138964</v>
      </c>
      <c r="Y73" s="579">
        <f t="shared" si="72"/>
        <v>7.3530215023012708</v>
      </c>
      <c r="Z73" s="580">
        <f t="shared" si="72"/>
        <v>9.1760425745933922</v>
      </c>
      <c r="AA73" s="580">
        <f t="shared" si="72"/>
        <v>10.449815729704518</v>
      </c>
      <c r="AB73" s="580">
        <f t="shared" si="72"/>
        <v>9.8543183356607713</v>
      </c>
      <c r="AC73" s="580">
        <f t="shared" si="72"/>
        <v>8.0991066326535677</v>
      </c>
      <c r="AD73" s="580">
        <f t="shared" si="72"/>
        <v>9.4183972404576277</v>
      </c>
      <c r="AE73" s="581">
        <f t="shared" si="72"/>
        <v>8.8418672448472542</v>
      </c>
      <c r="AF73" s="845">
        <f t="shared" si="73"/>
        <v>1.0938359359942031E-2</v>
      </c>
      <c r="AG73" s="1355">
        <f t="shared" si="74"/>
        <v>9.8445234239478277E-2</v>
      </c>
      <c r="AH73" s="835">
        <f t="shared" si="74"/>
        <v>9.8445234239478277E-2</v>
      </c>
      <c r="AI73" s="835">
        <f t="shared" si="74"/>
        <v>0.1750137497590725</v>
      </c>
      <c r="AJ73" s="835">
        <f t="shared" si="74"/>
        <v>0.14821476932721453</v>
      </c>
      <c r="AK73" s="835">
        <f t="shared" si="74"/>
        <v>9.8445234239478277E-2</v>
      </c>
      <c r="AL73" s="835">
        <f t="shared" si="74"/>
        <v>0.1750137497590725</v>
      </c>
      <c r="AM73" s="843">
        <f t="shared" si="74"/>
        <v>0.14155330847700984</v>
      </c>
      <c r="AN73" s="579">
        <f t="shared" si="75"/>
        <v>27.793827052952832</v>
      </c>
      <c r="AO73" s="580">
        <f t="shared" si="75"/>
        <v>23.347300809036525</v>
      </c>
      <c r="AP73" s="580">
        <f t="shared" si="75"/>
        <v>24.081254268586374</v>
      </c>
      <c r="AQ73" s="576">
        <f t="shared" si="76"/>
        <v>1.3203434628554955E-2</v>
      </c>
      <c r="AR73" s="580">
        <f t="shared" si="77"/>
        <v>24.922631637514822</v>
      </c>
      <c r="AS73" s="581">
        <f t="shared" si="78"/>
        <v>37.592367726229014</v>
      </c>
      <c r="AT73" s="579">
        <f t="shared" si="78"/>
        <v>16.806874033166196</v>
      </c>
      <c r="AU73" s="580">
        <f t="shared" si="78"/>
        <v>27.086189069145334</v>
      </c>
      <c r="AV73" s="578">
        <f t="shared" si="79"/>
        <v>8.9627099744550472E-3</v>
      </c>
      <c r="AW73" s="584">
        <f t="shared" si="80"/>
        <v>8.9627099744550472E-3</v>
      </c>
      <c r="AX73" s="582">
        <f t="shared" si="81"/>
        <v>1.0181</v>
      </c>
      <c r="AY73" s="583">
        <f t="shared" si="82"/>
        <v>26.040483535137877</v>
      </c>
      <c r="AZ73" s="578">
        <f t="shared" si="83"/>
        <v>4.3603351300536962E-2</v>
      </c>
      <c r="BA73" s="577">
        <f t="shared" si="83"/>
        <v>4.4532630725571211E-2</v>
      </c>
      <c r="BB73" s="577">
        <f t="shared" si="83"/>
        <v>4.2476893423243491E-2</v>
      </c>
      <c r="BC73" s="584">
        <f t="shared" si="83"/>
        <v>4.2746813489098243E-2</v>
      </c>
      <c r="BE73" s="829"/>
    </row>
    <row r="74" spans="1:57" s="325" customFormat="1" ht="14.25">
      <c r="A74" s="585">
        <f t="shared" si="85"/>
        <v>10</v>
      </c>
      <c r="B74" s="585">
        <f t="shared" si="84"/>
        <v>2032</v>
      </c>
      <c r="C74" s="574">
        <f t="shared" si="62"/>
        <v>7.4749090090652476E-2</v>
      </c>
      <c r="D74" s="575">
        <f t="shared" si="62"/>
        <v>6.9910880445865353E-2</v>
      </c>
      <c r="E74" s="575">
        <f t="shared" si="62"/>
        <v>6.260259445385688E-2</v>
      </c>
      <c r="F74" s="576">
        <f t="shared" si="62"/>
        <v>5.4687754312353593E-2</v>
      </c>
      <c r="G74" s="1355">
        <f t="shared" si="63"/>
        <v>1.1053220226533102E-3</v>
      </c>
      <c r="H74" s="835">
        <f t="shared" si="63"/>
        <v>7.8369940927457875E-4</v>
      </c>
      <c r="I74" s="835">
        <f t="shared" si="63"/>
        <v>8.512903431512999E-4</v>
      </c>
      <c r="J74" s="835">
        <f t="shared" si="63"/>
        <v>5.5936346738051526E-4</v>
      </c>
      <c r="K74" s="1355">
        <f t="shared" si="64"/>
        <v>1.1297749288808161E-4</v>
      </c>
      <c r="L74" s="1318">
        <f t="shared" si="65"/>
        <v>103.05134455087178</v>
      </c>
      <c r="M74" s="580">
        <f t="shared" si="65"/>
        <v>129.58530153370256</v>
      </c>
      <c r="N74" s="580">
        <f t="shared" si="65"/>
        <v>129.58530153370256</v>
      </c>
      <c r="O74" s="581">
        <f t="shared" si="66"/>
        <v>0</v>
      </c>
      <c r="P74" s="831">
        <f t="shared" si="67"/>
        <v>0</v>
      </c>
      <c r="Q74" s="831">
        <f t="shared" si="67"/>
        <v>149.65461632572769</v>
      </c>
      <c r="R74" s="1313">
        <f t="shared" si="67"/>
        <v>149.65461632572769</v>
      </c>
      <c r="S74" s="831"/>
      <c r="T74" s="831"/>
      <c r="U74" s="832" t="str">
        <f t="shared" si="68"/>
        <v/>
      </c>
      <c r="V74" s="579">
        <f t="shared" si="69"/>
        <v>102.8205779834551</v>
      </c>
      <c r="W74" s="580">
        <f t="shared" si="70"/>
        <v>0</v>
      </c>
      <c r="X74" s="581">
        <f t="shared" si="71"/>
        <v>89.07230701138964</v>
      </c>
      <c r="Y74" s="579">
        <f t="shared" si="72"/>
        <v>7.3712841958758046</v>
      </c>
      <c r="Z74" s="580">
        <f t="shared" si="72"/>
        <v>9.1893302578504468</v>
      </c>
      <c r="AA74" s="580">
        <f t="shared" si="72"/>
        <v>10.461807708273687</v>
      </c>
      <c r="AB74" s="580">
        <f t="shared" si="72"/>
        <v>9.8675100624183223</v>
      </c>
      <c r="AC74" s="580">
        <f t="shared" si="72"/>
        <v>8.1154616550784056</v>
      </c>
      <c r="AD74" s="580">
        <f t="shared" si="72"/>
        <v>9.4317385501642903</v>
      </c>
      <c r="AE74" s="581">
        <f t="shared" si="72"/>
        <v>8.8565255470117581</v>
      </c>
      <c r="AF74" s="845">
        <f t="shared" si="73"/>
        <v>1.0938359359942031E-2</v>
      </c>
      <c r="AG74" s="1355">
        <f t="shared" si="74"/>
        <v>5.469179679971016E-2</v>
      </c>
      <c r="AH74" s="835">
        <f t="shared" si="74"/>
        <v>5.469179679971016E-2</v>
      </c>
      <c r="AI74" s="835">
        <f t="shared" si="74"/>
        <v>8.7506874879536248E-2</v>
      </c>
      <c r="AJ74" s="835">
        <f t="shared" si="74"/>
        <v>7.6021597551597125E-2</v>
      </c>
      <c r="AK74" s="835">
        <f t="shared" si="74"/>
        <v>5.469179679971016E-2</v>
      </c>
      <c r="AL74" s="835">
        <f t="shared" si="74"/>
        <v>8.7506874879536248E-2</v>
      </c>
      <c r="AM74" s="843">
        <f t="shared" si="74"/>
        <v>7.3166685758652247E-2</v>
      </c>
      <c r="AN74" s="579">
        <f t="shared" si="75"/>
        <v>28.335509455033964</v>
      </c>
      <c r="AO74" s="580">
        <f t="shared" si="75"/>
        <v>23.800648465087935</v>
      </c>
      <c r="AP74" s="580">
        <f t="shared" si="75"/>
        <v>24.563109398139041</v>
      </c>
      <c r="AQ74" s="576">
        <f t="shared" si="76"/>
        <v>1.3203434628554955E-2</v>
      </c>
      <c r="AR74" s="580">
        <f t="shared" si="77"/>
        <v>25.408356433379449</v>
      </c>
      <c r="AS74" s="581">
        <f t="shared" si="78"/>
        <v>38.142564819711495</v>
      </c>
      <c r="AT74" s="579">
        <f t="shared" si="78"/>
        <v>17.13442834515121</v>
      </c>
      <c r="AU74" s="580">
        <f t="shared" si="78"/>
        <v>27.614080097978643</v>
      </c>
      <c r="AV74" s="578">
        <f t="shared" si="79"/>
        <v>8.9627099744550472E-3</v>
      </c>
      <c r="AW74" s="584">
        <f t="shared" si="80"/>
        <v>8.9627099744550472E-3</v>
      </c>
      <c r="AX74" s="582">
        <f t="shared" si="81"/>
        <v>1.0181</v>
      </c>
      <c r="AY74" s="583">
        <f t="shared" si="82"/>
        <v>27.939268792908351</v>
      </c>
      <c r="AZ74" s="578">
        <f t="shared" si="83"/>
        <v>4.3106595647720986E-2</v>
      </c>
      <c r="BA74" s="577">
        <f t="shared" si="83"/>
        <v>4.4025288161573806E-2</v>
      </c>
      <c r="BB74" s="577">
        <f t="shared" si="83"/>
        <v>4.1992971057354195E-2</v>
      </c>
      <c r="BC74" s="584">
        <f t="shared" si="83"/>
        <v>4.225981603116849E-2</v>
      </c>
      <c r="BE74" s="829"/>
    </row>
    <row r="75" spans="1:57" s="325" customFormat="1" ht="14.25">
      <c r="A75" s="585">
        <f t="shared" si="85"/>
        <v>11</v>
      </c>
      <c r="B75" s="585">
        <f t="shared" si="84"/>
        <v>2033</v>
      </c>
      <c r="C75" s="574">
        <f t="shared" si="62"/>
        <v>8.0704043434705414E-2</v>
      </c>
      <c r="D75" s="575">
        <f t="shared" si="62"/>
        <v>7.1379052298209733E-2</v>
      </c>
      <c r="E75" s="575">
        <f t="shared" si="62"/>
        <v>6.3646455182326908E-2</v>
      </c>
      <c r="F75" s="576">
        <f t="shared" si="62"/>
        <v>5.2691276129167401E-2</v>
      </c>
      <c r="G75" s="1355">
        <f t="shared" si="63"/>
        <v>0</v>
      </c>
      <c r="H75" s="835">
        <f t="shared" si="63"/>
        <v>0</v>
      </c>
      <c r="I75" s="835">
        <f t="shared" si="63"/>
        <v>0</v>
      </c>
      <c r="J75" s="835">
        <f t="shared" si="63"/>
        <v>0</v>
      </c>
      <c r="K75" s="1355">
        <f t="shared" si="64"/>
        <v>1.138239839321773E-4</v>
      </c>
      <c r="L75" s="1318">
        <f t="shared" si="65"/>
        <v>98.10516064697768</v>
      </c>
      <c r="M75" s="580">
        <f t="shared" si="65"/>
        <v>125.41088773604379</v>
      </c>
      <c r="N75" s="580">
        <f t="shared" si="65"/>
        <v>125.41088773604379</v>
      </c>
      <c r="O75" s="581">
        <f t="shared" si="66"/>
        <v>0</v>
      </c>
      <c r="P75" s="831">
        <f t="shared" si="67"/>
        <v>0</v>
      </c>
      <c r="Q75" s="831">
        <f t="shared" si="67"/>
        <v>115.35936403122486</v>
      </c>
      <c r="R75" s="1313">
        <f t="shared" si="67"/>
        <v>115.35936403122486</v>
      </c>
      <c r="S75" s="831"/>
      <c r="T75" s="831"/>
      <c r="U75" s="832" t="str">
        <f t="shared" si="68"/>
        <v/>
      </c>
      <c r="V75" s="579">
        <f t="shared" si="69"/>
        <v>102.8205779834551</v>
      </c>
      <c r="W75" s="580">
        <f t="shared" si="70"/>
        <v>0</v>
      </c>
      <c r="X75" s="581">
        <f t="shared" si="71"/>
        <v>89.07230701138964</v>
      </c>
      <c r="Y75" s="579">
        <f t="shared" ref="Y75:AE89" si="86">VLOOKUP($B75,$B$228:$AG$260,Y$6,FALSE)*(1+Inflation3)^(Year3-Real_Year)</f>
        <v>7.3148315459541902</v>
      </c>
      <c r="Z75" s="580">
        <f t="shared" si="86"/>
        <v>9.1253425703142046</v>
      </c>
      <c r="AA75" s="580">
        <f t="shared" si="86"/>
        <v>10.395843860111709</v>
      </c>
      <c r="AB75" s="580">
        <f t="shared" si="86"/>
        <v>9.8033681261175456</v>
      </c>
      <c r="AC75" s="580">
        <f t="shared" si="86"/>
        <v>8.0559199907137504</v>
      </c>
      <c r="AD75" s="580">
        <f t="shared" si="86"/>
        <v>9.3677904710238309</v>
      </c>
      <c r="AE75" s="581">
        <f t="shared" si="86"/>
        <v>8.7945030711283252</v>
      </c>
      <c r="AF75" s="845">
        <f t="shared" si="73"/>
        <v>1.0938359359942031E-2</v>
      </c>
      <c r="AG75" s="1355">
        <f t="shared" ref="AG75:AM89" si="87">IF(GECD="Yes",VLOOKUP($B75-5,$B$228:$AG$260,AG$6,FALSE)*(1+Inflation3)^(Year3-Real_Year),"")</f>
        <v>1.0938359359942031E-2</v>
      </c>
      <c r="AH75" s="835">
        <f t="shared" si="87"/>
        <v>1.0938359359942031E-2</v>
      </c>
      <c r="AI75" s="835">
        <f t="shared" si="87"/>
        <v>0</v>
      </c>
      <c r="AJ75" s="835">
        <f t="shared" si="87"/>
        <v>3.8284257759797109E-3</v>
      </c>
      <c r="AK75" s="835">
        <f t="shared" si="87"/>
        <v>1.0938359359942031E-2</v>
      </c>
      <c r="AL75" s="835">
        <f t="shared" si="87"/>
        <v>0</v>
      </c>
      <c r="AM75" s="843">
        <f t="shared" si="87"/>
        <v>4.7800630402946671E-3</v>
      </c>
      <c r="AN75" s="579">
        <f t="shared" si="75"/>
        <v>28.245148609894017</v>
      </c>
      <c r="AO75" s="580">
        <f t="shared" si="75"/>
        <v>23.78491277391571</v>
      </c>
      <c r="AP75" s="580">
        <f t="shared" si="75"/>
        <v>24.556483366079181</v>
      </c>
      <c r="AQ75" s="576">
        <f t="shared" si="76"/>
        <v>1.3203434628554955E-2</v>
      </c>
      <c r="AR75" s="580">
        <f t="shared" si="77"/>
        <v>25.327330166158792</v>
      </c>
      <c r="AS75" s="581">
        <f t="shared" si="78"/>
        <v>38.248626889497196</v>
      </c>
      <c r="AT75" s="579">
        <f t="shared" si="78"/>
        <v>17.07978731500793</v>
      </c>
      <c r="AU75" s="580">
        <f t="shared" si="78"/>
        <v>27.526019863191781</v>
      </c>
      <c r="AV75" s="578">
        <f t="shared" si="79"/>
        <v>8.9627099744550472E-3</v>
      </c>
      <c r="AW75" s="584">
        <f t="shared" si="80"/>
        <v>8.9627099744550472E-3</v>
      </c>
      <c r="AX75" s="582">
        <f t="shared" si="81"/>
        <v>1.0181</v>
      </c>
      <c r="AY75" s="583">
        <f t="shared" si="82"/>
        <v>29.838054050678821</v>
      </c>
      <c r="AZ75" s="578">
        <f t="shared" si="83"/>
        <v>4.2633115065430119E-2</v>
      </c>
      <c r="BA75" s="577">
        <f t="shared" si="83"/>
        <v>4.3541716708967858E-2</v>
      </c>
      <c r="BB75" s="577">
        <f t="shared" si="83"/>
        <v>4.1531722469067438E-2</v>
      </c>
      <c r="BC75" s="584">
        <f t="shared" si="83"/>
        <v>4.1795636431706182E-2</v>
      </c>
      <c r="BE75" s="848"/>
    </row>
    <row r="76" spans="1:57" s="325" customFormat="1" ht="14.25">
      <c r="A76" s="585">
        <f t="shared" si="85"/>
        <v>12</v>
      </c>
      <c r="B76" s="585">
        <f t="shared" si="84"/>
        <v>2034</v>
      </c>
      <c r="C76" s="574">
        <f t="shared" si="62"/>
        <v>7.9828576156815059E-2</v>
      </c>
      <c r="D76" s="575">
        <f t="shared" si="62"/>
        <v>6.7555429474323164E-2</v>
      </c>
      <c r="E76" s="575">
        <f t="shared" si="62"/>
        <v>6.7498270997388601E-2</v>
      </c>
      <c r="F76" s="576">
        <f t="shared" si="62"/>
        <v>5.3871353920122031E-2</v>
      </c>
      <c r="G76" s="1355">
        <f t="shared" si="63"/>
        <v>0</v>
      </c>
      <c r="H76" s="835">
        <f t="shared" si="63"/>
        <v>0</v>
      </c>
      <c r="I76" s="835">
        <f t="shared" si="63"/>
        <v>0</v>
      </c>
      <c r="J76" s="835">
        <f t="shared" si="63"/>
        <v>0</v>
      </c>
      <c r="K76" s="1355">
        <f t="shared" si="64"/>
        <v>1.1447406527885337E-4</v>
      </c>
      <c r="L76" s="1318">
        <f t="shared" si="65"/>
        <v>96.456432679012977</v>
      </c>
      <c r="M76" s="580">
        <f t="shared" si="65"/>
        <v>121.60983190308146</v>
      </c>
      <c r="N76" s="580">
        <f t="shared" si="65"/>
        <v>121.60983190308146</v>
      </c>
      <c r="O76" s="581">
        <f t="shared" si="66"/>
        <v>0</v>
      </c>
      <c r="P76" s="831">
        <f t="shared" si="67"/>
        <v>0</v>
      </c>
      <c r="Q76" s="831">
        <f t="shared" si="67"/>
        <v>63.574307002426849</v>
      </c>
      <c r="R76" s="1313">
        <f t="shared" si="67"/>
        <v>63.574307002426849</v>
      </c>
      <c r="S76" s="831"/>
      <c r="T76" s="831"/>
      <c r="U76" s="832" t="str">
        <f t="shared" si="68"/>
        <v/>
      </c>
      <c r="V76" s="579">
        <f t="shared" si="69"/>
        <v>102.8205779834551</v>
      </c>
      <c r="W76" s="580">
        <f t="shared" si="70"/>
        <v>0</v>
      </c>
      <c r="X76" s="581">
        <f t="shared" si="71"/>
        <v>89.07230701138964</v>
      </c>
      <c r="Y76" s="579">
        <f t="shared" si="86"/>
        <v>7.2211164897174305</v>
      </c>
      <c r="Z76" s="580">
        <f t="shared" si="86"/>
        <v>9.0239213895239399</v>
      </c>
      <c r="AA76" s="580">
        <f t="shared" si="86"/>
        <v>10.292408920857126</v>
      </c>
      <c r="AB76" s="580">
        <f t="shared" si="86"/>
        <v>9.7017939210085</v>
      </c>
      <c r="AC76" s="580">
        <f t="shared" si="86"/>
        <v>7.958978983220292</v>
      </c>
      <c r="AD76" s="580">
        <f t="shared" si="86"/>
        <v>9.2664080666699</v>
      </c>
      <c r="AE76" s="581">
        <f t="shared" si="86"/>
        <v>8.6950615572024201</v>
      </c>
      <c r="AF76" s="845">
        <f t="shared" si="73"/>
        <v>1.0938359359942031E-2</v>
      </c>
      <c r="AG76" s="1355">
        <f t="shared" si="87"/>
        <v>1.0938359359942031E-2</v>
      </c>
      <c r="AH76" s="835">
        <f t="shared" si="87"/>
        <v>1.0938359359942031E-2</v>
      </c>
      <c r="AI76" s="835">
        <f t="shared" si="87"/>
        <v>0</v>
      </c>
      <c r="AJ76" s="835">
        <f t="shared" si="87"/>
        <v>3.8284257759797109E-3</v>
      </c>
      <c r="AK76" s="835">
        <f t="shared" si="87"/>
        <v>1.0938359359942031E-2</v>
      </c>
      <c r="AL76" s="835">
        <f t="shared" si="87"/>
        <v>0</v>
      </c>
      <c r="AM76" s="843">
        <f t="shared" si="87"/>
        <v>4.7800630402946671E-3</v>
      </c>
      <c r="AN76" s="579">
        <f t="shared" si="75"/>
        <v>28.583604480394779</v>
      </c>
      <c r="AO76" s="580">
        <f t="shared" si="75"/>
        <v>24.087022663065326</v>
      </c>
      <c r="AP76" s="580">
        <f t="shared" si="75"/>
        <v>24.881970831957521</v>
      </c>
      <c r="AQ76" s="576">
        <f t="shared" si="76"/>
        <v>1.3203434628554955E-2</v>
      </c>
      <c r="AR76" s="580">
        <f t="shared" si="77"/>
        <v>25.630822411756132</v>
      </c>
      <c r="AS76" s="581">
        <f t="shared" si="78"/>
        <v>38.655398886955901</v>
      </c>
      <c r="AT76" s="579">
        <f t="shared" si="78"/>
        <v>17.284450932236833</v>
      </c>
      <c r="AU76" s="580">
        <f t="shared" si="78"/>
        <v>27.855858560197408</v>
      </c>
      <c r="AV76" s="578">
        <f t="shared" si="79"/>
        <v>8.9627099744550472E-3</v>
      </c>
      <c r="AW76" s="584">
        <f t="shared" si="80"/>
        <v>8.9627099744550472E-3</v>
      </c>
      <c r="AX76" s="582">
        <f t="shared" si="81"/>
        <v>1.0181</v>
      </c>
      <c r="AY76" s="583">
        <f t="shared" si="82"/>
        <v>31.601211790037119</v>
      </c>
      <c r="AZ76" s="578">
        <f t="shared" si="83"/>
        <v>4.2182187792210793E-2</v>
      </c>
      <c r="BA76" s="577">
        <f t="shared" si="83"/>
        <v>4.3081179224040242E-2</v>
      </c>
      <c r="BB76" s="577">
        <f t="shared" si="83"/>
        <v>4.1092444543062344E-2</v>
      </c>
      <c r="BC76" s="584">
        <f t="shared" si="83"/>
        <v>4.1353567107433473E-2</v>
      </c>
      <c r="BE76" s="848"/>
    </row>
    <row r="77" spans="1:57" s="325" customFormat="1" ht="14.25">
      <c r="A77" s="585">
        <f t="shared" si="85"/>
        <v>13</v>
      </c>
      <c r="B77" s="585">
        <f t="shared" si="84"/>
        <v>2035</v>
      </c>
      <c r="C77" s="574">
        <f t="shared" si="62"/>
        <v>8.2528049752705418E-2</v>
      </c>
      <c r="D77" s="575">
        <f t="shared" si="62"/>
        <v>7.4067098198869266E-2</v>
      </c>
      <c r="E77" s="575">
        <f t="shared" si="62"/>
        <v>7.4923442466137288E-2</v>
      </c>
      <c r="F77" s="576">
        <f t="shared" si="62"/>
        <v>6.4072686022102629E-2</v>
      </c>
      <c r="G77" s="1355">
        <f t="shared" si="63"/>
        <v>0</v>
      </c>
      <c r="H77" s="835">
        <f t="shared" si="63"/>
        <v>0</v>
      </c>
      <c r="I77" s="835">
        <f t="shared" si="63"/>
        <v>0</v>
      </c>
      <c r="J77" s="835">
        <f t="shared" si="63"/>
        <v>0</v>
      </c>
      <c r="K77" s="1355">
        <f t="shared" si="64"/>
        <v>1.1447406527885337E-4</v>
      </c>
      <c r="L77" s="1318">
        <f t="shared" si="65"/>
        <v>103.05134455087178</v>
      </c>
      <c r="M77" s="580">
        <f t="shared" si="65"/>
        <v>129.58530153370256</v>
      </c>
      <c r="N77" s="580">
        <f t="shared" si="65"/>
        <v>129.58530153370256</v>
      </c>
      <c r="O77" s="581">
        <f t="shared" si="66"/>
        <v>0</v>
      </c>
      <c r="P77" s="831">
        <f t="shared" si="67"/>
        <v>0</v>
      </c>
      <c r="Q77" s="831">
        <f t="shared" si="67"/>
        <v>36.697914612048137</v>
      </c>
      <c r="R77" s="1313">
        <f t="shared" si="67"/>
        <v>36.697914612048137</v>
      </c>
      <c r="S77" s="831"/>
      <c r="T77" s="831"/>
      <c r="U77" s="832" t="str">
        <f t="shared" si="68"/>
        <v/>
      </c>
      <c r="V77" s="579">
        <f t="shared" si="69"/>
        <v>102.8205779834551</v>
      </c>
      <c r="W77" s="580">
        <f t="shared" si="70"/>
        <v>0</v>
      </c>
      <c r="X77" s="581">
        <f t="shared" si="71"/>
        <v>89.07230701138964</v>
      </c>
      <c r="Y77" s="579">
        <f t="shared" si="86"/>
        <v>7.2524481258094067</v>
      </c>
      <c r="Z77" s="580">
        <f t="shared" si="86"/>
        <v>9.051274880505698</v>
      </c>
      <c r="AA77" s="580">
        <f t="shared" si="86"/>
        <v>10.318731622452663</v>
      </c>
      <c r="AB77" s="580">
        <f t="shared" si="86"/>
        <v>9.7290741206557492</v>
      </c>
      <c r="AC77" s="580">
        <f t="shared" si="86"/>
        <v>7.988828543673808</v>
      </c>
      <c r="AD77" s="580">
        <f t="shared" si="86"/>
        <v>9.2938158472765657</v>
      </c>
      <c r="AE77" s="581">
        <f t="shared" si="86"/>
        <v>8.7235363956021601</v>
      </c>
      <c r="AF77" s="845">
        <f t="shared" si="73"/>
        <v>1.0938359359942031E-2</v>
      </c>
      <c r="AG77" s="1355">
        <f t="shared" si="87"/>
        <v>0</v>
      </c>
      <c r="AH77" s="835">
        <f t="shared" si="87"/>
        <v>0</v>
      </c>
      <c r="AI77" s="835">
        <f t="shared" si="87"/>
        <v>0</v>
      </c>
      <c r="AJ77" s="835">
        <f t="shared" si="87"/>
        <v>0</v>
      </c>
      <c r="AK77" s="835">
        <f t="shared" si="87"/>
        <v>0</v>
      </c>
      <c r="AL77" s="835">
        <f t="shared" si="87"/>
        <v>0</v>
      </c>
      <c r="AM77" s="843">
        <f t="shared" si="87"/>
        <v>0</v>
      </c>
      <c r="AN77" s="579">
        <f t="shared" si="75"/>
        <v>28.820119833498069</v>
      </c>
      <c r="AO77" s="580">
        <f t="shared" si="75"/>
        <v>24.269276743692579</v>
      </c>
      <c r="AP77" s="580">
        <f t="shared" si="75"/>
        <v>25.072026810868824</v>
      </c>
      <c r="AQ77" s="576">
        <f t="shared" si="76"/>
        <v>1.3203434628554955E-2</v>
      </c>
      <c r="AR77" s="580">
        <f t="shared" si="77"/>
        <v>25.842904936799545</v>
      </c>
      <c r="AS77" s="581">
        <f t="shared" si="78"/>
        <v>38.841103331368096</v>
      </c>
      <c r="AT77" s="579">
        <f t="shared" si="78"/>
        <v>17.427471313666981</v>
      </c>
      <c r="AU77" s="580">
        <f t="shared" si="78"/>
        <v>28.086352171591987</v>
      </c>
      <c r="AV77" s="578">
        <f t="shared" si="79"/>
        <v>8.9627099744550472E-3</v>
      </c>
      <c r="AW77" s="584">
        <f t="shared" si="80"/>
        <v>8.9627099744550472E-3</v>
      </c>
      <c r="AX77" s="582">
        <f t="shared" si="81"/>
        <v>1.0181</v>
      </c>
      <c r="AY77" s="583">
        <f t="shared" si="82"/>
        <v>33.499997047807589</v>
      </c>
      <c r="AZ77" s="578">
        <f t="shared" si="83"/>
        <v>4.1753111422471685E-2</v>
      </c>
      <c r="BA77" s="577">
        <f t="shared" si="83"/>
        <v>4.2642958331454282E-2</v>
      </c>
      <c r="BB77" s="577">
        <f t="shared" si="83"/>
        <v>4.0674453019837027E-2</v>
      </c>
      <c r="BC77" s="584">
        <f t="shared" si="83"/>
        <v>4.0932919450711008E-2</v>
      </c>
      <c r="BE77" s="848"/>
    </row>
    <row r="78" spans="1:57" s="325" customFormat="1" ht="14.25">
      <c r="A78" s="585">
        <f t="shared" si="85"/>
        <v>14</v>
      </c>
      <c r="B78" s="585">
        <f t="shared" si="84"/>
        <v>2036</v>
      </c>
      <c r="C78" s="574">
        <f t="shared" si="62"/>
        <v>8.4314648802024147E-2</v>
      </c>
      <c r="D78" s="575">
        <f t="shared" si="62"/>
        <v>7.4801964094416612E-2</v>
      </c>
      <c r="E78" s="575">
        <f t="shared" si="62"/>
        <v>7.8903154604713754E-2</v>
      </c>
      <c r="F78" s="576">
        <f t="shared" si="62"/>
        <v>6.7037098471311798E-2</v>
      </c>
      <c r="G78" s="1355">
        <f t="shared" si="63"/>
        <v>0</v>
      </c>
      <c r="H78" s="835">
        <f t="shared" si="63"/>
        <v>0</v>
      </c>
      <c r="I78" s="835">
        <f t="shared" si="63"/>
        <v>0</v>
      </c>
      <c r="J78" s="835">
        <f t="shared" si="63"/>
        <v>0</v>
      </c>
      <c r="K78" s="1355">
        <f t="shared" si="64"/>
        <v>1.1447406527885337E-4</v>
      </c>
      <c r="L78" s="1318">
        <f t="shared" si="65"/>
        <v>104.76935715990575</v>
      </c>
      <c r="M78" s="580">
        <f t="shared" si="65"/>
        <v>131.65959277901365</v>
      </c>
      <c r="N78" s="580">
        <f t="shared" si="65"/>
        <v>131.65959277901365</v>
      </c>
      <c r="O78" s="581">
        <f t="shared" si="66"/>
        <v>0</v>
      </c>
      <c r="P78" s="831">
        <f t="shared" si="67"/>
        <v>0</v>
      </c>
      <c r="Q78" s="831">
        <f t="shared" si="67"/>
        <v>17.252348751999293</v>
      </c>
      <c r="R78" s="1313">
        <f t="shared" si="67"/>
        <v>17.252348751999293</v>
      </c>
      <c r="S78" s="831"/>
      <c r="T78" s="831"/>
      <c r="U78" s="832" t="str">
        <f t="shared" si="68"/>
        <v/>
      </c>
      <c r="V78" s="579">
        <f t="shared" si="69"/>
        <v>102.8205779834551</v>
      </c>
      <c r="W78" s="580">
        <f t="shared" si="70"/>
        <v>0</v>
      </c>
      <c r="X78" s="581">
        <f t="shared" si="71"/>
        <v>89.07230701138964</v>
      </c>
      <c r="Y78" s="579">
        <f t="shared" si="86"/>
        <v>7.2974287452529563</v>
      </c>
      <c r="Z78" s="580">
        <f t="shared" si="86"/>
        <v>9.0925079739383854</v>
      </c>
      <c r="AA78" s="580">
        <f t="shared" si="86"/>
        <v>10.358958604292685</v>
      </c>
      <c r="AB78" s="580">
        <f t="shared" si="86"/>
        <v>9.7701749507893219</v>
      </c>
      <c r="AC78" s="580">
        <f t="shared" si="86"/>
        <v>8.0324214281643922</v>
      </c>
      <c r="AD78" s="580">
        <f t="shared" si="86"/>
        <v>9.3350806142369169</v>
      </c>
      <c r="AE78" s="581">
        <f t="shared" si="86"/>
        <v>8.7658067119956478</v>
      </c>
      <c r="AF78" s="845">
        <f t="shared" si="73"/>
        <v>1.0938359359942031E-2</v>
      </c>
      <c r="AG78" s="1355">
        <f t="shared" si="87"/>
        <v>0</v>
      </c>
      <c r="AH78" s="835">
        <f t="shared" si="87"/>
        <v>0</v>
      </c>
      <c r="AI78" s="835">
        <f t="shared" si="87"/>
        <v>0</v>
      </c>
      <c r="AJ78" s="835">
        <f t="shared" si="87"/>
        <v>0</v>
      </c>
      <c r="AK78" s="835">
        <f t="shared" si="87"/>
        <v>0</v>
      </c>
      <c r="AL78" s="835">
        <f t="shared" si="87"/>
        <v>0</v>
      </c>
      <c r="AM78" s="843">
        <f t="shared" si="87"/>
        <v>0</v>
      </c>
      <c r="AN78" s="579">
        <f t="shared" si="75"/>
        <v>29.399785311763033</v>
      </c>
      <c r="AO78" s="580">
        <f t="shared" si="75"/>
        <v>24.770195001610379</v>
      </c>
      <c r="AP78" s="580">
        <f t="shared" si="75"/>
        <v>25.608069885434265</v>
      </c>
      <c r="AQ78" s="576">
        <f t="shared" si="76"/>
        <v>1.3203434628554955E-2</v>
      </c>
      <c r="AR78" s="580">
        <f t="shared" si="77"/>
        <v>26.362689029873792</v>
      </c>
      <c r="AS78" s="581">
        <f t="shared" si="78"/>
        <v>39.419544576358696</v>
      </c>
      <c r="AT78" s="579">
        <f t="shared" si="78"/>
        <v>17.777993919136645</v>
      </c>
      <c r="AU78" s="580">
        <f t="shared" si="78"/>
        <v>28.651259217722334</v>
      </c>
      <c r="AV78" s="578">
        <f t="shared" si="79"/>
        <v>8.9627099744550472E-3</v>
      </c>
      <c r="AW78" s="584">
        <f t="shared" si="80"/>
        <v>8.9627099744550472E-3</v>
      </c>
      <c r="AX78" s="582">
        <f t="shared" si="81"/>
        <v>1.0181</v>
      </c>
      <c r="AY78" s="583">
        <f t="shared" si="82"/>
        <v>35.534409823990238</v>
      </c>
      <c r="AZ78" s="578">
        <f t="shared" si="83"/>
        <v>4.1302951569547434E-2</v>
      </c>
      <c r="BA78" s="577">
        <f t="shared" si="83"/>
        <v>4.2183204622167583E-2</v>
      </c>
      <c r="BB78" s="577">
        <f t="shared" si="83"/>
        <v>4.0235922688434476E-2</v>
      </c>
      <c r="BC78" s="584">
        <f t="shared" si="83"/>
        <v>4.0491602471642116E-2</v>
      </c>
      <c r="BE78" s="848"/>
    </row>
    <row r="79" spans="1:57" s="325" customFormat="1" ht="14.25">
      <c r="A79" s="585">
        <f t="shared" si="85"/>
        <v>15</v>
      </c>
      <c r="B79" s="585">
        <f t="shared" si="84"/>
        <v>2037</v>
      </c>
      <c r="C79" s="574">
        <f t="shared" si="62"/>
        <v>8.6151649665080487E-2</v>
      </c>
      <c r="D79" s="575">
        <f t="shared" si="62"/>
        <v>7.5561683332952531E-2</v>
      </c>
      <c r="E79" s="575">
        <f t="shared" si="62"/>
        <v>8.3096225378205199E-2</v>
      </c>
      <c r="F79" s="576">
        <f t="shared" si="62"/>
        <v>7.0142099254238977E-2</v>
      </c>
      <c r="G79" s="1355">
        <f t="shared" si="63"/>
        <v>0</v>
      </c>
      <c r="H79" s="835">
        <f t="shared" si="63"/>
        <v>0</v>
      </c>
      <c r="I79" s="835">
        <f t="shared" si="63"/>
        <v>0</v>
      </c>
      <c r="J79" s="835">
        <f t="shared" si="63"/>
        <v>0</v>
      </c>
      <c r="K79" s="1355">
        <f t="shared" si="64"/>
        <v>1.1447406527885337E-4</v>
      </c>
      <c r="L79" s="1318">
        <f t="shared" si="65"/>
        <v>106.51601148475297</v>
      </c>
      <c r="M79" s="580">
        <f t="shared" si="65"/>
        <v>133.76708751360513</v>
      </c>
      <c r="N79" s="580">
        <f t="shared" si="65"/>
        <v>133.76708751360513</v>
      </c>
      <c r="O79" s="581">
        <f t="shared" si="66"/>
        <v>0</v>
      </c>
      <c r="P79" s="831">
        <f t="shared" si="67"/>
        <v>0</v>
      </c>
      <c r="Q79" s="831">
        <f t="shared" si="67"/>
        <v>4.1890047249661668</v>
      </c>
      <c r="R79" s="1313">
        <f t="shared" si="67"/>
        <v>4.1890047249661668</v>
      </c>
      <c r="S79" s="831"/>
      <c r="T79" s="831"/>
      <c r="U79" s="832" t="str">
        <f t="shared" si="68"/>
        <v/>
      </c>
      <c r="V79" s="579">
        <f t="shared" si="69"/>
        <v>102.8205779834551</v>
      </c>
      <c r="W79" s="580">
        <f t="shared" si="70"/>
        <v>0</v>
      </c>
      <c r="X79" s="581">
        <f t="shared" si="71"/>
        <v>89.07230701138964</v>
      </c>
      <c r="Y79" s="579">
        <f t="shared" si="86"/>
        <v>7.342688340304524</v>
      </c>
      <c r="Z79" s="580">
        <f t="shared" si="86"/>
        <v>9.1339289047770134</v>
      </c>
      <c r="AA79" s="580">
        <f t="shared" si="86"/>
        <v>10.399342408708113</v>
      </c>
      <c r="AB79" s="580">
        <f t="shared" si="86"/>
        <v>9.8114494128858869</v>
      </c>
      <c r="AC79" s="580">
        <f t="shared" si="86"/>
        <v>8.0762521872779978</v>
      </c>
      <c r="AD79" s="580">
        <f t="shared" si="86"/>
        <v>9.3765285977597941</v>
      </c>
      <c r="AE79" s="581">
        <f t="shared" si="86"/>
        <v>8.8082818512461731</v>
      </c>
      <c r="AF79" s="845">
        <f t="shared" si="73"/>
        <v>1.0938359359942031E-2</v>
      </c>
      <c r="AG79" s="1355">
        <f t="shared" si="87"/>
        <v>0</v>
      </c>
      <c r="AH79" s="835">
        <f t="shared" si="87"/>
        <v>0</v>
      </c>
      <c r="AI79" s="835">
        <f t="shared" si="87"/>
        <v>0</v>
      </c>
      <c r="AJ79" s="835">
        <f t="shared" si="87"/>
        <v>0</v>
      </c>
      <c r="AK79" s="835">
        <f t="shared" si="87"/>
        <v>0</v>
      </c>
      <c r="AL79" s="835">
        <f t="shared" si="87"/>
        <v>0</v>
      </c>
      <c r="AM79" s="843">
        <f t="shared" si="87"/>
        <v>0</v>
      </c>
      <c r="AN79" s="579">
        <f t="shared" si="75"/>
        <v>29.482039291835736</v>
      </c>
      <c r="AO79" s="580">
        <f t="shared" si="75"/>
        <v>24.823378214541776</v>
      </c>
      <c r="AP79" s="580">
        <f t="shared" si="75"/>
        <v>25.664597422934609</v>
      </c>
      <c r="AQ79" s="576">
        <f t="shared" si="76"/>
        <v>1.3203434628554955E-2</v>
      </c>
      <c r="AR79" s="580">
        <f t="shared" si="77"/>
        <v>26.436445898338359</v>
      </c>
      <c r="AS79" s="581">
        <f t="shared" si="78"/>
        <v>39.685269574024339</v>
      </c>
      <c r="AT79" s="579">
        <f t="shared" si="78"/>
        <v>17.827732743486912</v>
      </c>
      <c r="AU79" s="580">
        <f t="shared" si="78"/>
        <v>28.731418990311198</v>
      </c>
      <c r="AV79" s="578">
        <f t="shared" si="79"/>
        <v>8.9627099744550472E-3</v>
      </c>
      <c r="AW79" s="584">
        <f t="shared" si="80"/>
        <v>8.9627099744550472E-3</v>
      </c>
      <c r="AX79" s="582">
        <f t="shared" si="81"/>
        <v>1.0181</v>
      </c>
      <c r="AY79" s="583">
        <f t="shared" si="82"/>
        <v>37.568822600172879</v>
      </c>
      <c r="AZ79" s="578">
        <f t="shared" si="83"/>
        <v>4.0857645100868846E-2</v>
      </c>
      <c r="BA79" s="577">
        <f t="shared" si="83"/>
        <v>4.1728407732986091E-2</v>
      </c>
      <c r="BB79" s="577">
        <f t="shared" si="83"/>
        <v>3.9802120357958368E-2</v>
      </c>
      <c r="BC79" s="584">
        <f t="shared" si="83"/>
        <v>4.0055043537653517E-2</v>
      </c>
      <c r="BE79" s="848"/>
    </row>
    <row r="80" spans="1:57" s="325" customFormat="1" ht="14.25">
      <c r="A80" s="585">
        <f t="shared" si="85"/>
        <v>16</v>
      </c>
      <c r="B80" s="585">
        <f t="shared" si="84"/>
        <v>2038</v>
      </c>
      <c r="C80" s="574">
        <f t="shared" si="62"/>
        <v>8.8041243748265108E-2</v>
      </c>
      <c r="D80" s="575">
        <f t="shared" si="62"/>
        <v>7.6347927405681984E-2</v>
      </c>
      <c r="E80" s="575">
        <f t="shared" si="62"/>
        <v>8.7514237266162268E-2</v>
      </c>
      <c r="F80" s="576">
        <f t="shared" si="62"/>
        <v>7.3394602605748122E-2</v>
      </c>
      <c r="G80" s="1355">
        <f t="shared" si="63"/>
        <v>0</v>
      </c>
      <c r="H80" s="835">
        <f t="shared" si="63"/>
        <v>0</v>
      </c>
      <c r="I80" s="835">
        <f t="shared" si="63"/>
        <v>0</v>
      </c>
      <c r="J80" s="835">
        <f t="shared" si="63"/>
        <v>0</v>
      </c>
      <c r="K80" s="1355">
        <f t="shared" si="64"/>
        <v>1.1447406527885337E-4</v>
      </c>
      <c r="L80" s="1318">
        <f t="shared" si="65"/>
        <v>108.29178502358801</v>
      </c>
      <c r="M80" s="580">
        <f t="shared" si="65"/>
        <v>135.90831723068123</v>
      </c>
      <c r="N80" s="580">
        <f t="shared" si="65"/>
        <v>135.90831723068123</v>
      </c>
      <c r="O80" s="581">
        <f t="shared" si="66"/>
        <v>0</v>
      </c>
      <c r="P80" s="831">
        <f t="shared" si="67"/>
        <v>0</v>
      </c>
      <c r="Q80" s="831">
        <f t="shared" si="67"/>
        <v>0</v>
      </c>
      <c r="R80" s="1313">
        <f t="shared" si="67"/>
        <v>0</v>
      </c>
      <c r="S80" s="831"/>
      <c r="T80" s="831"/>
      <c r="U80" s="832" t="str">
        <f t="shared" si="68"/>
        <v/>
      </c>
      <c r="V80" s="579">
        <f t="shared" si="69"/>
        <v>102.8205779834551</v>
      </c>
      <c r="W80" s="580">
        <f t="shared" si="70"/>
        <v>0</v>
      </c>
      <c r="X80" s="581">
        <f t="shared" si="71"/>
        <v>89.07230701138964</v>
      </c>
      <c r="Y80" s="579">
        <f t="shared" si="86"/>
        <v>7.388228641206843</v>
      </c>
      <c r="Z80" s="580">
        <f t="shared" si="86"/>
        <v>9.1755385287151086</v>
      </c>
      <c r="AA80" s="580">
        <f t="shared" si="86"/>
        <v>10.439883647062739</v>
      </c>
      <c r="AB80" s="580">
        <f t="shared" si="86"/>
        <v>9.8528982404600356</v>
      </c>
      <c r="AC80" s="580">
        <f t="shared" si="86"/>
        <v>8.1203221190323394</v>
      </c>
      <c r="AD80" s="580">
        <f t="shared" si="86"/>
        <v>9.4181606113311638</v>
      </c>
      <c r="AE80" s="581">
        <f t="shared" si="86"/>
        <v>8.850962805832765</v>
      </c>
      <c r="AF80" s="845">
        <f t="shared" si="73"/>
        <v>1.0938359359942031E-2</v>
      </c>
      <c r="AG80" s="1355">
        <f t="shared" si="87"/>
        <v>0</v>
      </c>
      <c r="AH80" s="835">
        <f t="shared" si="87"/>
        <v>0</v>
      </c>
      <c r="AI80" s="835">
        <f t="shared" si="87"/>
        <v>0</v>
      </c>
      <c r="AJ80" s="835">
        <f t="shared" si="87"/>
        <v>0</v>
      </c>
      <c r="AK80" s="835">
        <f t="shared" si="87"/>
        <v>0</v>
      </c>
      <c r="AL80" s="835">
        <f t="shared" si="87"/>
        <v>0</v>
      </c>
      <c r="AM80" s="843">
        <f t="shared" si="87"/>
        <v>0</v>
      </c>
      <c r="AN80" s="579">
        <f t="shared" si="75"/>
        <v>29.664150980581326</v>
      </c>
      <c r="AO80" s="580">
        <f t="shared" si="75"/>
        <v>24.934575632845949</v>
      </c>
      <c r="AP80" s="580">
        <f t="shared" si="75"/>
        <v>25.776392947935275</v>
      </c>
      <c r="AQ80" s="576">
        <f t="shared" si="76"/>
        <v>1.3203434628554955E-2</v>
      </c>
      <c r="AR80" s="580">
        <f t="shared" si="77"/>
        <v>26.599744839748798</v>
      </c>
      <c r="AS80" s="581">
        <f t="shared" si="78"/>
        <v>40.214152383811431</v>
      </c>
      <c r="AT80" s="579">
        <f t="shared" si="78"/>
        <v>17.937855333185801</v>
      </c>
      <c r="AU80" s="580">
        <f t="shared" si="78"/>
        <v>28.908894068632247</v>
      </c>
      <c r="AV80" s="578">
        <f t="shared" si="79"/>
        <v>8.9627099744550472E-3</v>
      </c>
      <c r="AW80" s="584">
        <f t="shared" si="80"/>
        <v>8.9627099744550472E-3</v>
      </c>
      <c r="AX80" s="582">
        <f t="shared" si="81"/>
        <v>1.0181</v>
      </c>
      <c r="AY80" s="583">
        <f t="shared" si="82"/>
        <v>39.874490413179885</v>
      </c>
      <c r="AZ80" s="578">
        <f t="shared" si="83"/>
        <v>4.0417139689826853E-2</v>
      </c>
      <c r="BA80" s="577">
        <f t="shared" si="83"/>
        <v>4.1278514222110291E-2</v>
      </c>
      <c r="BB80" s="577">
        <f t="shared" si="83"/>
        <v>3.9372995053615932E-2</v>
      </c>
      <c r="BC80" s="584">
        <f t="shared" si="83"/>
        <v>3.9623191350032359E-2</v>
      </c>
      <c r="BE80" s="848"/>
    </row>
    <row r="81" spans="1:57" s="325" customFormat="1" ht="14.25">
      <c r="A81" s="585">
        <f t="shared" si="85"/>
        <v>17</v>
      </c>
      <c r="B81" s="585">
        <f t="shared" si="84"/>
        <v>2039</v>
      </c>
      <c r="C81" s="574">
        <f t="shared" si="62"/>
        <v>8.9985756493478994E-2</v>
      </c>
      <c r="D81" s="575">
        <f t="shared" si="62"/>
        <v>7.7162491752311532E-2</v>
      </c>
      <c r="E81" s="575">
        <f t="shared" si="62"/>
        <v>9.2169411956801672E-2</v>
      </c>
      <c r="F81" s="576">
        <f t="shared" si="62"/>
        <v>7.6801880100890049E-2</v>
      </c>
      <c r="G81" s="1355">
        <f t="shared" si="63"/>
        <v>0</v>
      </c>
      <c r="H81" s="835">
        <f t="shared" si="63"/>
        <v>0</v>
      </c>
      <c r="I81" s="835">
        <f t="shared" si="63"/>
        <v>0</v>
      </c>
      <c r="J81" s="835">
        <f t="shared" si="63"/>
        <v>0</v>
      </c>
      <c r="K81" s="1355">
        <f t="shared" si="64"/>
        <v>1.1447406527885337E-4</v>
      </c>
      <c r="L81" s="1318">
        <f t="shared" si="65"/>
        <v>110.0971632351598</v>
      </c>
      <c r="M81" s="580">
        <f t="shared" si="65"/>
        <v>138.08382193113712</v>
      </c>
      <c r="N81" s="580">
        <f t="shared" si="65"/>
        <v>138.08382193113712</v>
      </c>
      <c r="O81" s="581">
        <f t="shared" si="66"/>
        <v>0</v>
      </c>
      <c r="P81" s="831">
        <f t="shared" si="67"/>
        <v>0</v>
      </c>
      <c r="Q81" s="831">
        <f t="shared" si="67"/>
        <v>0</v>
      </c>
      <c r="R81" s="1313">
        <f t="shared" si="67"/>
        <v>0</v>
      </c>
      <c r="S81" s="831"/>
      <c r="T81" s="831"/>
      <c r="U81" s="832" t="str">
        <f t="shared" si="68"/>
        <v/>
      </c>
      <c r="V81" s="579">
        <f t="shared" si="69"/>
        <v>102.8205779834551</v>
      </c>
      <c r="W81" s="580">
        <f t="shared" si="70"/>
        <v>0</v>
      </c>
      <c r="X81" s="581">
        <f t="shared" si="71"/>
        <v>89.07230701138964</v>
      </c>
      <c r="Y81" s="579">
        <f t="shared" si="86"/>
        <v>7.4340513889338347</v>
      </c>
      <c r="Z81" s="580">
        <f t="shared" si="86"/>
        <v>9.2173377053443115</v>
      </c>
      <c r="AA81" s="580">
        <f t="shared" si="86"/>
        <v>10.480582933103722</v>
      </c>
      <c r="AB81" s="580">
        <f t="shared" si="86"/>
        <v>9.8945221701251143</v>
      </c>
      <c r="AC81" s="580">
        <f t="shared" si="86"/>
        <v>8.1646325285280632</v>
      </c>
      <c r="AD81" s="580">
        <f t="shared" si="86"/>
        <v>9.4599774720488874</v>
      </c>
      <c r="AE81" s="581">
        <f t="shared" si="86"/>
        <v>8.8938505730435669</v>
      </c>
      <c r="AF81" s="845">
        <f t="shared" si="73"/>
        <v>1.0938359359942031E-2</v>
      </c>
      <c r="AG81" s="1355">
        <f t="shared" si="87"/>
        <v>0</v>
      </c>
      <c r="AH81" s="835">
        <f t="shared" si="87"/>
        <v>0</v>
      </c>
      <c r="AI81" s="835">
        <f t="shared" si="87"/>
        <v>0</v>
      </c>
      <c r="AJ81" s="835">
        <f t="shared" si="87"/>
        <v>0</v>
      </c>
      <c r="AK81" s="835">
        <f t="shared" si="87"/>
        <v>0</v>
      </c>
      <c r="AL81" s="835">
        <f t="shared" si="87"/>
        <v>0</v>
      </c>
      <c r="AM81" s="843">
        <f t="shared" si="87"/>
        <v>0</v>
      </c>
      <c r="AN81" s="579">
        <f t="shared" si="75"/>
        <v>30.07127277528739</v>
      </c>
      <c r="AO81" s="580">
        <f t="shared" si="75"/>
        <v>25.266046350082473</v>
      </c>
      <c r="AP81" s="580">
        <f t="shared" si="75"/>
        <v>26.122604268651315</v>
      </c>
      <c r="AQ81" s="576">
        <f t="shared" si="76"/>
        <v>1.3203434628554955E-2</v>
      </c>
      <c r="AR81" s="580">
        <f t="shared" si="77"/>
        <v>26.964809589620483</v>
      </c>
      <c r="AS81" s="581">
        <f t="shared" si="78"/>
        <v>40.963068717696579</v>
      </c>
      <c r="AT81" s="579">
        <f t="shared" si="78"/>
        <v>18.184041103383805</v>
      </c>
      <c r="AU81" s="580">
        <f t="shared" si="78"/>
        <v>29.305650437755823</v>
      </c>
      <c r="AV81" s="578">
        <f t="shared" si="79"/>
        <v>8.9627099744550472E-3</v>
      </c>
      <c r="AW81" s="584">
        <f t="shared" si="80"/>
        <v>8.9627099744550472E-3</v>
      </c>
      <c r="AX81" s="582">
        <f t="shared" si="81"/>
        <v>1.0181</v>
      </c>
      <c r="AY81" s="583">
        <f t="shared" si="82"/>
        <v>42.315785744599054</v>
      </c>
      <c r="AZ81" s="578">
        <f t="shared" si="83"/>
        <v>3.9981383573970089E-2</v>
      </c>
      <c r="BA81" s="577">
        <f t="shared" si="83"/>
        <v>4.0833471223921766E-2</v>
      </c>
      <c r="BB81" s="577">
        <f t="shared" si="83"/>
        <v>3.8948496350197544E-2</v>
      </c>
      <c r="BC81" s="584">
        <f t="shared" si="83"/>
        <v>3.9195995163141241E-2</v>
      </c>
      <c r="BE81" s="848"/>
    </row>
    <row r="82" spans="1:57" s="325" customFormat="1" ht="14.25">
      <c r="A82" s="585">
        <f t="shared" si="85"/>
        <v>18</v>
      </c>
      <c r="B82" s="585">
        <f t="shared" si="84"/>
        <v>2040</v>
      </c>
      <c r="C82" s="574">
        <f t="shared" si="62"/>
        <v>9.1987656842786883E-2</v>
      </c>
      <c r="D82" s="575">
        <f t="shared" si="62"/>
        <v>7.8007305032886928E-2</v>
      </c>
      <c r="E82" s="575">
        <f t="shared" si="62"/>
        <v>9.7074646370515258E-2</v>
      </c>
      <c r="F82" s="576">
        <f t="shared" si="62"/>
        <v>8.0371580291450806E-2</v>
      </c>
      <c r="G82" s="1355">
        <f t="shared" si="63"/>
        <v>0</v>
      </c>
      <c r="H82" s="835">
        <f t="shared" si="63"/>
        <v>0</v>
      </c>
      <c r="I82" s="835">
        <f t="shared" si="63"/>
        <v>0</v>
      </c>
      <c r="J82" s="835">
        <f t="shared" si="63"/>
        <v>0</v>
      </c>
      <c r="K82" s="1355">
        <f t="shared" si="64"/>
        <v>1.1447406527885337E-4</v>
      </c>
      <c r="L82" s="1318">
        <f t="shared" si="65"/>
        <v>111.93263967150557</v>
      </c>
      <c r="M82" s="580">
        <f t="shared" si="65"/>
        <v>140.29415025974276</v>
      </c>
      <c r="N82" s="580">
        <f t="shared" si="65"/>
        <v>140.29415025974276</v>
      </c>
      <c r="O82" s="581">
        <f t="shared" si="66"/>
        <v>0</v>
      </c>
      <c r="P82" s="831">
        <f t="shared" si="67"/>
        <v>0</v>
      </c>
      <c r="Q82" s="831">
        <f t="shared" si="67"/>
        <v>0</v>
      </c>
      <c r="R82" s="1313">
        <f t="shared" si="67"/>
        <v>0</v>
      </c>
      <c r="S82" s="831"/>
      <c r="T82" s="831"/>
      <c r="U82" s="832" t="str">
        <f t="shared" si="68"/>
        <v/>
      </c>
      <c r="V82" s="579">
        <f t="shared" si="69"/>
        <v>102.8205779834551</v>
      </c>
      <c r="W82" s="580">
        <f t="shared" si="70"/>
        <v>0</v>
      </c>
      <c r="X82" s="581">
        <f t="shared" si="71"/>
        <v>89.07230701138964</v>
      </c>
      <c r="Y82" s="579">
        <f t="shared" si="86"/>
        <v>7.4801583352571637</v>
      </c>
      <c r="Z82" s="580">
        <f t="shared" si="86"/>
        <v>9.2593272981721277</v>
      </c>
      <c r="AA82" s="580">
        <f t="shared" si="86"/>
        <v>10.521440882970879</v>
      </c>
      <c r="AB82" s="580">
        <f t="shared" si="86"/>
        <v>9.9363219416063266</v>
      </c>
      <c r="AC82" s="580">
        <f t="shared" si="86"/>
        <v>8.2091847279873988</v>
      </c>
      <c r="AD82" s="580">
        <f t="shared" si="86"/>
        <v>9.5019800006387616</v>
      </c>
      <c r="AE82" s="581">
        <f t="shared" si="86"/>
        <v>8.9369461549991236</v>
      </c>
      <c r="AF82" s="845">
        <f t="shared" si="73"/>
        <v>1.0938359359942031E-2</v>
      </c>
      <c r="AG82" s="1355">
        <f t="shared" si="87"/>
        <v>0</v>
      </c>
      <c r="AH82" s="835">
        <f t="shared" si="87"/>
        <v>0</v>
      </c>
      <c r="AI82" s="835">
        <f t="shared" si="87"/>
        <v>0</v>
      </c>
      <c r="AJ82" s="835">
        <f t="shared" si="87"/>
        <v>0</v>
      </c>
      <c r="AK82" s="835">
        <f t="shared" si="87"/>
        <v>0</v>
      </c>
      <c r="AL82" s="835">
        <f t="shared" si="87"/>
        <v>0</v>
      </c>
      <c r="AM82" s="843">
        <f t="shared" si="87"/>
        <v>0</v>
      </c>
      <c r="AN82" s="579">
        <f t="shared" si="75"/>
        <v>30.288412425368488</v>
      </c>
      <c r="AO82" s="580">
        <f t="shared" si="75"/>
        <v>25.414009885928714</v>
      </c>
      <c r="AP82" s="580">
        <f t="shared" si="75"/>
        <v>26.277590417959086</v>
      </c>
      <c r="AQ82" s="576">
        <f t="shared" si="76"/>
        <v>1.3203434628554955E-2</v>
      </c>
      <c r="AR82" s="580">
        <f t="shared" si="77"/>
        <v>27.159517986652659</v>
      </c>
      <c r="AS82" s="581">
        <f t="shared" si="78"/>
        <v>41.242333191609895</v>
      </c>
      <c r="AT82" s="579">
        <f t="shared" si="78"/>
        <v>18.315345034273417</v>
      </c>
      <c r="AU82" s="580">
        <f t="shared" si="78"/>
        <v>29.517261656509515</v>
      </c>
      <c r="AV82" s="578">
        <f t="shared" si="79"/>
        <v>8.9627099744550472E-3</v>
      </c>
      <c r="AW82" s="584">
        <f t="shared" si="80"/>
        <v>8.9627099744550472E-3</v>
      </c>
      <c r="AX82" s="582">
        <f t="shared" si="81"/>
        <v>1.0181</v>
      </c>
      <c r="AY82" s="583">
        <f t="shared" si="82"/>
        <v>44.757081076018231</v>
      </c>
      <c r="AZ82" s="578">
        <f t="shared" si="83"/>
        <v>3.9550325548922412E-2</v>
      </c>
      <c r="BA82" s="577">
        <f t="shared" si="83"/>
        <v>4.0393226442771067E-2</v>
      </c>
      <c r="BB82" s="577">
        <f t="shared" si="83"/>
        <v>3.8528574366151362E-2</v>
      </c>
      <c r="BC82" s="584">
        <f t="shared" si="83"/>
        <v>3.8773404778455256E-2</v>
      </c>
      <c r="BE82" s="848"/>
    </row>
    <row r="83" spans="1:57" s="325" customFormat="1" ht="14.25">
      <c r="A83" s="585">
        <f t="shared" si="85"/>
        <v>19</v>
      </c>
      <c r="B83" s="585">
        <f t="shared" si="84"/>
        <v>2041</v>
      </c>
      <c r="C83" s="574">
        <f t="shared" si="62"/>
        <v>9.4049567400818157E-2</v>
      </c>
      <c r="D83" s="575">
        <f t="shared" si="62"/>
        <v>7.8884439093710429E-2</v>
      </c>
      <c r="E83" s="575">
        <f t="shared" si="62"/>
        <v>0.10224355076614684</v>
      </c>
      <c r="F83" s="576">
        <f t="shared" si="62"/>
        <v>8.4111749496709604E-2</v>
      </c>
      <c r="G83" s="1355">
        <f t="shared" si="63"/>
        <v>0</v>
      </c>
      <c r="H83" s="835">
        <f t="shared" si="63"/>
        <v>0</v>
      </c>
      <c r="I83" s="835">
        <f t="shared" si="63"/>
        <v>0</v>
      </c>
      <c r="J83" s="835">
        <f t="shared" si="63"/>
        <v>0</v>
      </c>
      <c r="K83" s="1355">
        <f t="shared" si="64"/>
        <v>1.1447406527885337E-4</v>
      </c>
      <c r="L83" s="1318">
        <f t="shared" si="65"/>
        <v>113.79871611287768</v>
      </c>
      <c r="M83" s="580">
        <f t="shared" si="65"/>
        <v>142.53985964350693</v>
      </c>
      <c r="N83" s="580">
        <f t="shared" si="65"/>
        <v>142.53985964350693</v>
      </c>
      <c r="O83" s="581">
        <f t="shared" si="66"/>
        <v>0</v>
      </c>
      <c r="P83" s="831">
        <f t="shared" si="67"/>
        <v>0</v>
      </c>
      <c r="Q83" s="831">
        <f t="shared" si="67"/>
        <v>0</v>
      </c>
      <c r="R83" s="1313">
        <f t="shared" si="67"/>
        <v>0</v>
      </c>
      <c r="S83" s="831"/>
      <c r="T83" s="831"/>
      <c r="U83" s="832" t="str">
        <f t="shared" si="68"/>
        <v/>
      </c>
      <c r="V83" s="579">
        <f t="shared" si="69"/>
        <v>102.8205779834551</v>
      </c>
      <c r="W83" s="580">
        <f t="shared" si="70"/>
        <v>0</v>
      </c>
      <c r="X83" s="581">
        <f t="shared" si="71"/>
        <v>89.07230701138964</v>
      </c>
      <c r="Y83" s="579">
        <f t="shared" si="86"/>
        <v>7.5265512428132091</v>
      </c>
      <c r="Z83" s="580">
        <f t="shared" si="86"/>
        <v>9.3015081746397765</v>
      </c>
      <c r="AA83" s="580">
        <f t="shared" si="86"/>
        <v>10.56245811520601</v>
      </c>
      <c r="AB83" s="580">
        <f t="shared" si="86"/>
        <v>9.9782982977538666</v>
      </c>
      <c r="AC83" s="580">
        <f t="shared" si="86"/>
        <v>8.2539800367930187</v>
      </c>
      <c r="AD83" s="580">
        <f t="shared" si="86"/>
        <v>9.5441690214706281</v>
      </c>
      <c r="AE83" s="581">
        <f t="shared" si="86"/>
        <v>8.9802505586758059</v>
      </c>
      <c r="AF83" s="845">
        <f t="shared" si="73"/>
        <v>1.0938359359942031E-2</v>
      </c>
      <c r="AG83" s="1355">
        <f t="shared" si="87"/>
        <v>0</v>
      </c>
      <c r="AH83" s="835">
        <f t="shared" si="87"/>
        <v>0</v>
      </c>
      <c r="AI83" s="835">
        <f t="shared" si="87"/>
        <v>0</v>
      </c>
      <c r="AJ83" s="835">
        <f t="shared" si="87"/>
        <v>0</v>
      </c>
      <c r="AK83" s="835">
        <f t="shared" si="87"/>
        <v>0</v>
      </c>
      <c r="AL83" s="835">
        <f t="shared" si="87"/>
        <v>0</v>
      </c>
      <c r="AM83" s="843">
        <f t="shared" si="87"/>
        <v>0</v>
      </c>
      <c r="AN83" s="579">
        <f t="shared" si="75"/>
        <v>30.336039026340689</v>
      </c>
      <c r="AO83" s="580">
        <f t="shared" si="75"/>
        <v>25.470976696585062</v>
      </c>
      <c r="AP83" s="580">
        <f t="shared" si="75"/>
        <v>26.349997885863452</v>
      </c>
      <c r="AQ83" s="576">
        <f t="shared" si="76"/>
        <v>1.3203434628554955E-2</v>
      </c>
      <c r="AR83" s="580">
        <f t="shared" si="77"/>
        <v>27.202224600244072</v>
      </c>
      <c r="AS83" s="581">
        <f t="shared" si="78"/>
        <v>41.693232842908536</v>
      </c>
      <c r="AT83" s="579">
        <f t="shared" si="78"/>
        <v>18.344144748743926</v>
      </c>
      <c r="AU83" s="580">
        <f t="shared" si="78"/>
        <v>29.563675671974028</v>
      </c>
      <c r="AV83" s="578">
        <f t="shared" si="79"/>
        <v>8.9627099744550472E-3</v>
      </c>
      <c r="AW83" s="584">
        <f t="shared" si="80"/>
        <v>8.9627099744550472E-3</v>
      </c>
      <c r="AX83" s="582">
        <f t="shared" si="81"/>
        <v>1.0181</v>
      </c>
      <c r="AY83" s="583">
        <f t="shared" si="82"/>
        <v>47.469631444261765</v>
      </c>
      <c r="AZ83" s="578">
        <f t="shared" si="83"/>
        <v>3.9123914962366065E-2</v>
      </c>
      <c r="BA83" s="577">
        <f t="shared" si="83"/>
        <v>3.9957728146832648E-2</v>
      </c>
      <c r="BB83" s="577">
        <f t="shared" si="83"/>
        <v>3.8113179757721945E-2</v>
      </c>
      <c r="BC83" s="584">
        <f t="shared" si="83"/>
        <v>3.8355370538663301E-2</v>
      </c>
      <c r="BE83" s="848"/>
    </row>
    <row r="84" spans="1:57" s="325" customFormat="1" ht="14.25">
      <c r="A84" s="585">
        <f t="shared" si="85"/>
        <v>20</v>
      </c>
      <c r="B84" s="585">
        <f t="shared" si="84"/>
        <v>2042</v>
      </c>
      <c r="C84" s="574">
        <f t="shared" si="62"/>
        <v>9.6174275346946558E-2</v>
      </c>
      <c r="D84" s="575">
        <f t="shared" si="62"/>
        <v>7.9796119679299199E-2</v>
      </c>
      <c r="E84" s="575">
        <f t="shared" si="62"/>
        <v>0.10769048905408371</v>
      </c>
      <c r="F84" s="576">
        <f t="shared" si="62"/>
        <v>8.8030853820793217E-2</v>
      </c>
      <c r="G84" s="1355">
        <f t="shared" si="63"/>
        <v>0</v>
      </c>
      <c r="H84" s="835">
        <f t="shared" si="63"/>
        <v>0</v>
      </c>
      <c r="I84" s="835">
        <f t="shared" si="63"/>
        <v>0</v>
      </c>
      <c r="J84" s="835">
        <f t="shared" si="63"/>
        <v>0</v>
      </c>
      <c r="K84" s="1355">
        <f t="shared" si="64"/>
        <v>1.1447406527885337E-4</v>
      </c>
      <c r="L84" s="1318">
        <f t="shared" si="65"/>
        <v>115.69590270491955</v>
      </c>
      <c r="M84" s="580">
        <f t="shared" si="65"/>
        <v>144.82151643225544</v>
      </c>
      <c r="N84" s="580">
        <f t="shared" si="65"/>
        <v>144.82151643225544</v>
      </c>
      <c r="O84" s="581">
        <f t="shared" si="66"/>
        <v>0</v>
      </c>
      <c r="P84" s="831">
        <f t="shared" si="67"/>
        <v>0</v>
      </c>
      <c r="Q84" s="831">
        <f t="shared" si="67"/>
        <v>0</v>
      </c>
      <c r="R84" s="1313">
        <f t="shared" si="67"/>
        <v>0</v>
      </c>
      <c r="S84" s="831"/>
      <c r="T84" s="831"/>
      <c r="U84" s="832" t="str">
        <f t="shared" si="68"/>
        <v/>
      </c>
      <c r="V84" s="579">
        <f t="shared" si="69"/>
        <v>102.8205779834551</v>
      </c>
      <c r="W84" s="580">
        <f t="shared" si="70"/>
        <v>0</v>
      </c>
      <c r="X84" s="581">
        <f t="shared" si="71"/>
        <v>89.07230701138964</v>
      </c>
      <c r="Y84" s="579">
        <f t="shared" si="86"/>
        <v>7.5732318851704497</v>
      </c>
      <c r="Z84" s="580">
        <f t="shared" si="86"/>
        <v>9.3438812061401073</v>
      </c>
      <c r="AA84" s="580">
        <f t="shared" si="86"/>
        <v>10.603635250762268</v>
      </c>
      <c r="AB84" s="580">
        <f t="shared" si="86"/>
        <v>10.020451984556127</v>
      </c>
      <c r="AC84" s="580">
        <f t="shared" si="86"/>
        <v>8.2990197815271127</v>
      </c>
      <c r="AD84" s="580">
        <f t="shared" si="86"/>
        <v>9.5865453625745438</v>
      </c>
      <c r="AE84" s="581">
        <f t="shared" si="86"/>
        <v>9.023764795929333</v>
      </c>
      <c r="AF84" s="845">
        <f t="shared" si="73"/>
        <v>1.0938359359942031E-2</v>
      </c>
      <c r="AG84" s="1355">
        <f t="shared" si="87"/>
        <v>0</v>
      </c>
      <c r="AH84" s="835">
        <f t="shared" si="87"/>
        <v>0</v>
      </c>
      <c r="AI84" s="835">
        <f t="shared" si="87"/>
        <v>0</v>
      </c>
      <c r="AJ84" s="835">
        <f t="shared" si="87"/>
        <v>0</v>
      </c>
      <c r="AK84" s="835">
        <f t="shared" si="87"/>
        <v>0</v>
      </c>
      <c r="AL84" s="835">
        <f t="shared" si="87"/>
        <v>0</v>
      </c>
      <c r="AM84" s="843">
        <f t="shared" si="87"/>
        <v>0</v>
      </c>
      <c r="AN84" s="579">
        <f t="shared" si="75"/>
        <v>30.393380293755019</v>
      </c>
      <c r="AO84" s="580">
        <f t="shared" si="75"/>
        <v>25.448246843780304</v>
      </c>
      <c r="AP84" s="580">
        <f t="shared" si="75"/>
        <v>26.311891422841605</v>
      </c>
      <c r="AQ84" s="576">
        <f t="shared" si="76"/>
        <v>1.3203434628554955E-2</v>
      </c>
      <c r="AR84" s="580">
        <f t="shared" si="77"/>
        <v>27.253642322699957</v>
      </c>
      <c r="AS84" s="581">
        <f t="shared" si="78"/>
        <v>41.930516082215945</v>
      </c>
      <c r="AT84" s="579">
        <f t="shared" si="78"/>
        <v>18.378818903422179</v>
      </c>
      <c r="AU84" s="580">
        <f t="shared" si="78"/>
        <v>29.619557015974976</v>
      </c>
      <c r="AV84" s="578">
        <f t="shared" si="79"/>
        <v>8.9627099744550472E-3</v>
      </c>
      <c r="AW84" s="584">
        <f t="shared" si="80"/>
        <v>8.9627099744550472E-3</v>
      </c>
      <c r="AX84" s="582">
        <f t="shared" si="81"/>
        <v>1.0181</v>
      </c>
      <c r="AY84" s="583">
        <f t="shared" si="82"/>
        <v>50.31780933091747</v>
      </c>
      <c r="AZ84" s="578">
        <f t="shared" si="83"/>
        <v>3.8702101708089631E-2</v>
      </c>
      <c r="BA84" s="577">
        <f t="shared" si="83"/>
        <v>3.9526925162026001E-2</v>
      </c>
      <c r="BB84" s="577">
        <f t="shared" si="83"/>
        <v>3.7702263713151975E-2</v>
      </c>
      <c r="BC84" s="584">
        <f t="shared" si="83"/>
        <v>3.7941843321833008E-2</v>
      </c>
      <c r="BE84" s="848"/>
    </row>
    <row r="85" spans="1:57" s="325" customFormat="1" ht="14.25">
      <c r="A85" s="585">
        <f t="shared" si="85"/>
        <v>21</v>
      </c>
      <c r="B85" s="585">
        <f t="shared" si="84"/>
        <v>2043</v>
      </c>
      <c r="C85" s="574">
        <f t="shared" si="62"/>
        <v>9.8364744153170855E-2</v>
      </c>
      <c r="D85" s="575">
        <f t="shared" si="62"/>
        <v>8.0744737946235795E-2</v>
      </c>
      <c r="E85" s="575">
        <f t="shared" si="62"/>
        <v>0.11343062144784187</v>
      </c>
      <c r="F85" s="576">
        <f t="shared" si="62"/>
        <v>9.2137802473811134E-2</v>
      </c>
      <c r="G85" s="1355">
        <f t="shared" si="63"/>
        <v>0</v>
      </c>
      <c r="H85" s="835">
        <f t="shared" si="63"/>
        <v>0</v>
      </c>
      <c r="I85" s="835">
        <f t="shared" si="63"/>
        <v>0</v>
      </c>
      <c r="J85" s="835">
        <f t="shared" si="63"/>
        <v>0</v>
      </c>
      <c r="K85" s="1355">
        <f t="shared" si="64"/>
        <v>1.1447406527885337E-4</v>
      </c>
      <c r="L85" s="1318">
        <f t="shared" si="65"/>
        <v>117.62471809812867</v>
      </c>
      <c r="M85" s="580">
        <f t="shared" si="65"/>
        <v>147.13969604146035</v>
      </c>
      <c r="N85" s="580">
        <f t="shared" si="65"/>
        <v>147.13969604146035</v>
      </c>
      <c r="O85" s="581">
        <f t="shared" si="66"/>
        <v>0</v>
      </c>
      <c r="P85" s="831">
        <f t="shared" si="67"/>
        <v>0</v>
      </c>
      <c r="Q85" s="831">
        <f t="shared" si="67"/>
        <v>0</v>
      </c>
      <c r="R85" s="1313">
        <f t="shared" si="67"/>
        <v>0</v>
      </c>
      <c r="S85" s="831"/>
      <c r="T85" s="831"/>
      <c r="U85" s="832" t="str">
        <f t="shared" si="68"/>
        <v/>
      </c>
      <c r="V85" s="579">
        <f t="shared" si="69"/>
        <v>102.8205779834551</v>
      </c>
      <c r="W85" s="580">
        <f t="shared" si="70"/>
        <v>0</v>
      </c>
      <c r="X85" s="581">
        <f t="shared" si="71"/>
        <v>89.07230701138964</v>
      </c>
      <c r="Y85" s="579">
        <f t="shared" si="86"/>
        <v>7.6202020468972655</v>
      </c>
      <c r="Z85" s="580">
        <f t="shared" si="86"/>
        <v>9.3864472680355959</v>
      </c>
      <c r="AA85" s="580">
        <f t="shared" si="86"/>
        <v>10.644972913013556</v>
      </c>
      <c r="AB85" s="580">
        <f t="shared" si="86"/>
        <v>10.062783751152958</v>
      </c>
      <c r="AC85" s="580">
        <f t="shared" si="86"/>
        <v>8.3443052960106687</v>
      </c>
      <c r="AD85" s="580">
        <f t="shared" si="86"/>
        <v>9.6291098556570471</v>
      </c>
      <c r="AE85" s="581">
        <f t="shared" si="86"/>
        <v>9.0674898835184283</v>
      </c>
      <c r="AF85" s="845">
        <f t="shared" si="73"/>
        <v>1.0938359359942031E-2</v>
      </c>
      <c r="AG85" s="1355">
        <f t="shared" si="87"/>
        <v>0</v>
      </c>
      <c r="AH85" s="835">
        <f t="shared" si="87"/>
        <v>0</v>
      </c>
      <c r="AI85" s="835">
        <f t="shared" si="87"/>
        <v>0</v>
      </c>
      <c r="AJ85" s="835">
        <f t="shared" si="87"/>
        <v>0</v>
      </c>
      <c r="AK85" s="835">
        <f t="shared" si="87"/>
        <v>0</v>
      </c>
      <c r="AL85" s="835">
        <f t="shared" si="87"/>
        <v>0</v>
      </c>
      <c r="AM85" s="843">
        <f t="shared" si="87"/>
        <v>0</v>
      </c>
      <c r="AN85" s="579">
        <f t="shared" si="75"/>
        <v>30.460447172481285</v>
      </c>
      <c r="AO85" s="580">
        <f t="shared" si="75"/>
        <v>25.464715467501371</v>
      </c>
      <c r="AP85" s="580">
        <f t="shared" si="75"/>
        <v>26.32461948674727</v>
      </c>
      <c r="AQ85" s="576">
        <f t="shared" si="76"/>
        <v>1.3203434628554955E-2</v>
      </c>
      <c r="AR85" s="580">
        <f t="shared" si="77"/>
        <v>27.313780968248416</v>
      </c>
      <c r="AS85" s="581">
        <f t="shared" si="78"/>
        <v>42.27144922493175</v>
      </c>
      <c r="AT85" s="579">
        <f t="shared" si="78"/>
        <v>18.419374116650012</v>
      </c>
      <c r="AU85" s="580">
        <f t="shared" si="78"/>
        <v>29.684916354722969</v>
      </c>
      <c r="AV85" s="578">
        <f t="shared" si="79"/>
        <v>8.9627099744550472E-3</v>
      </c>
      <c r="AW85" s="584">
        <f t="shared" si="80"/>
        <v>8.9627099744550472E-3</v>
      </c>
      <c r="AX85" s="582">
        <f t="shared" si="81"/>
        <v>1.0181</v>
      </c>
      <c r="AY85" s="583">
        <f t="shared" si="82"/>
        <v>53.301614735985353</v>
      </c>
      <c r="AZ85" s="578">
        <f t="shared" si="83"/>
        <v>3.8284836220100246E-2</v>
      </c>
      <c r="BA85" s="577">
        <f t="shared" si="83"/>
        <v>3.9100766866002376E-2</v>
      </c>
      <c r="BB85" s="577">
        <f t="shared" si="83"/>
        <v>3.7295777946946558E-2</v>
      </c>
      <c r="BC85" s="584">
        <f t="shared" si="83"/>
        <v>3.753277453563858E-2</v>
      </c>
      <c r="BE85" s="848"/>
    </row>
    <row r="86" spans="1:57" s="325" customFormat="1" ht="14.25">
      <c r="A86" s="585">
        <f t="shared" si="85"/>
        <v>22</v>
      </c>
      <c r="B86" s="585">
        <f t="shared" si="84"/>
        <v>2044</v>
      </c>
      <c r="C86" s="574">
        <f t="shared" si="62"/>
        <v>0.10062412616780125</v>
      </c>
      <c r="D86" s="575">
        <f t="shared" si="62"/>
        <v>8.1732862838943585E-2</v>
      </c>
      <c r="E86" s="575">
        <f t="shared" si="62"/>
        <v>0.1194799495939414</v>
      </c>
      <c r="F86" s="576">
        <f t="shared" si="62"/>
        <v>9.6441972479083399E-2</v>
      </c>
      <c r="G86" s="1355">
        <f t="shared" si="63"/>
        <v>0</v>
      </c>
      <c r="H86" s="835">
        <f t="shared" si="63"/>
        <v>0</v>
      </c>
      <c r="I86" s="835">
        <f t="shared" si="63"/>
        <v>0</v>
      </c>
      <c r="J86" s="835">
        <f t="shared" si="63"/>
        <v>0</v>
      </c>
      <c r="K86" s="1355">
        <f t="shared" si="64"/>
        <v>1.1447406527885337E-4</v>
      </c>
      <c r="L86" s="1318">
        <f t="shared" si="65"/>
        <v>119.58568958964464</v>
      </c>
      <c r="M86" s="580">
        <f t="shared" si="65"/>
        <v>149.494983097355</v>
      </c>
      <c r="N86" s="580">
        <f t="shared" si="65"/>
        <v>149.494983097355</v>
      </c>
      <c r="O86" s="581">
        <f t="shared" si="66"/>
        <v>0</v>
      </c>
      <c r="P86" s="831">
        <f t="shared" si="67"/>
        <v>0</v>
      </c>
      <c r="Q86" s="831">
        <f t="shared" si="67"/>
        <v>0</v>
      </c>
      <c r="R86" s="1313">
        <f t="shared" si="67"/>
        <v>0</v>
      </c>
      <c r="S86" s="831"/>
      <c r="T86" s="831"/>
      <c r="U86" s="832" t="str">
        <f t="shared" si="68"/>
        <v/>
      </c>
      <c r="V86" s="579">
        <f t="shared" si="69"/>
        <v>102.8205779834551</v>
      </c>
      <c r="W86" s="580">
        <f t="shared" si="70"/>
        <v>0</v>
      </c>
      <c r="X86" s="581">
        <f t="shared" si="71"/>
        <v>89.07230701138964</v>
      </c>
      <c r="Y86" s="579">
        <f t="shared" si="86"/>
        <v>7.6674635236301567</v>
      </c>
      <c r="Z86" s="580">
        <f t="shared" si="86"/>
        <v>9.4292072396764386</v>
      </c>
      <c r="AA86" s="580">
        <f t="shared" si="86"/>
        <v>10.686471727763964</v>
      </c>
      <c r="AB86" s="580">
        <f t="shared" si="86"/>
        <v>10.105294349848975</v>
      </c>
      <c r="AC86" s="580">
        <f t="shared" si="86"/>
        <v>8.3898379213429788</v>
      </c>
      <c r="AD86" s="580">
        <f t="shared" si="86"/>
        <v>9.67186333611747</v>
      </c>
      <c r="AE86" s="581">
        <f t="shared" si="86"/>
        <v>9.1114268431285588</v>
      </c>
      <c r="AF86" s="845">
        <f t="shared" si="73"/>
        <v>1.0938359359942031E-2</v>
      </c>
      <c r="AG86" s="1355">
        <f t="shared" si="87"/>
        <v>0</v>
      </c>
      <c r="AH86" s="835">
        <f t="shared" si="87"/>
        <v>0</v>
      </c>
      <c r="AI86" s="835">
        <f t="shared" si="87"/>
        <v>0</v>
      </c>
      <c r="AJ86" s="835">
        <f t="shared" si="87"/>
        <v>0</v>
      </c>
      <c r="AK86" s="835">
        <f t="shared" si="87"/>
        <v>0</v>
      </c>
      <c r="AL86" s="835">
        <f t="shared" si="87"/>
        <v>0</v>
      </c>
      <c r="AM86" s="843">
        <f t="shared" si="87"/>
        <v>0</v>
      </c>
      <c r="AN86" s="579">
        <f t="shared" si="75"/>
        <v>30.567660928152545</v>
      </c>
      <c r="AO86" s="580">
        <f t="shared" si="75"/>
        <v>25.517002115728612</v>
      </c>
      <c r="AP86" s="580">
        <f t="shared" si="75"/>
        <v>26.376298531505501</v>
      </c>
      <c r="AQ86" s="576">
        <f t="shared" si="76"/>
        <v>1.3203434628554955E-2</v>
      </c>
      <c r="AR86" s="580">
        <f t="shared" si="77"/>
        <v>27.409919183902506</v>
      </c>
      <c r="AS86" s="581">
        <f t="shared" si="78"/>
        <v>42.565040195478574</v>
      </c>
      <c r="AT86" s="579">
        <f t="shared" si="78"/>
        <v>18.484206069542157</v>
      </c>
      <c r="AU86" s="580">
        <f t="shared" si="78"/>
        <v>29.789400420605372</v>
      </c>
      <c r="AV86" s="578">
        <f t="shared" si="79"/>
        <v>8.9627099744550472E-3</v>
      </c>
      <c r="AW86" s="584">
        <f t="shared" si="80"/>
        <v>8.9627099744550472E-3</v>
      </c>
      <c r="AX86" s="582">
        <f t="shared" si="81"/>
        <v>1.0181</v>
      </c>
      <c r="AY86" s="583">
        <f t="shared" si="82"/>
        <v>56.421047659465408</v>
      </c>
      <c r="AZ86" s="578">
        <f t="shared" si="83"/>
        <v>3.7872069466799232E-2</v>
      </c>
      <c r="BA86" s="577">
        <f t="shared" si="83"/>
        <v>3.8679203182196246E-2</v>
      </c>
      <c r="BB86" s="577">
        <f t="shared" si="83"/>
        <v>3.6893674694199338E-2</v>
      </c>
      <c r="BC86" s="584">
        <f t="shared" si="83"/>
        <v>3.7128116111650844E-2</v>
      </c>
      <c r="BE86" s="848"/>
    </row>
    <row r="87" spans="1:57" s="325" customFormat="1" ht="14.25">
      <c r="A87" s="585">
        <f t="shared" si="85"/>
        <v>23</v>
      </c>
      <c r="B87" s="585">
        <f t="shared" si="84"/>
        <v>2045</v>
      </c>
      <c r="C87" s="574">
        <f t="shared" si="62"/>
        <v>0.10295577612955197</v>
      </c>
      <c r="D87" s="575">
        <f t="shared" si="62"/>
        <v>8.2763254391913579E-2</v>
      </c>
      <c r="E87" s="575">
        <f t="shared" si="62"/>
        <v>0.12585536432850289</v>
      </c>
      <c r="F87" s="576">
        <f t="shared" si="62"/>
        <v>0.10095323485425668</v>
      </c>
      <c r="G87" s="1355">
        <f t="shared" si="63"/>
        <v>0</v>
      </c>
      <c r="H87" s="835">
        <f t="shared" si="63"/>
        <v>0</v>
      </c>
      <c r="I87" s="835">
        <f t="shared" si="63"/>
        <v>0</v>
      </c>
      <c r="J87" s="835">
        <f t="shared" si="63"/>
        <v>0</v>
      </c>
      <c r="K87" s="1355">
        <f t="shared" si="64"/>
        <v>1.1447406527885337E-4</v>
      </c>
      <c r="L87" s="1318">
        <f t="shared" si="65"/>
        <v>121.57935326740103</v>
      </c>
      <c r="M87" s="580">
        <f t="shared" si="65"/>
        <v>151.88797158437194</v>
      </c>
      <c r="N87" s="580">
        <f t="shared" si="65"/>
        <v>151.88797158437194</v>
      </c>
      <c r="O87" s="581">
        <f t="shared" si="66"/>
        <v>0</v>
      </c>
      <c r="P87" s="831">
        <f t="shared" si="67"/>
        <v>0</v>
      </c>
      <c r="Q87" s="831">
        <f t="shared" si="67"/>
        <v>0</v>
      </c>
      <c r="R87" s="1313">
        <f t="shared" si="67"/>
        <v>0</v>
      </c>
      <c r="S87" s="831"/>
      <c r="T87" s="831"/>
      <c r="U87" s="832" t="str">
        <f t="shared" si="68"/>
        <v/>
      </c>
      <c r="V87" s="579">
        <f t="shared" si="69"/>
        <v>102.8205779834551</v>
      </c>
      <c r="W87" s="580">
        <f t="shared" si="70"/>
        <v>0</v>
      </c>
      <c r="X87" s="581">
        <f t="shared" si="71"/>
        <v>89.07230701138964</v>
      </c>
      <c r="Y87" s="579">
        <f t="shared" si="86"/>
        <v>7.7150181221423946</v>
      </c>
      <c r="Z87" s="580">
        <f t="shared" si="86"/>
        <v>9.4721620044187098</v>
      </c>
      <c r="AA87" s="580">
        <f t="shared" si="86"/>
        <v>10.72813232325724</v>
      </c>
      <c r="AB87" s="580">
        <f t="shared" si="86"/>
        <v>10.147984536126938</v>
      </c>
      <c r="AC87" s="580">
        <f t="shared" si="86"/>
        <v>8.4356190059413514</v>
      </c>
      <c r="AD87" s="580">
        <f t="shared" si="86"/>
        <v>9.7148066430643372</v>
      </c>
      <c r="AE87" s="581">
        <f t="shared" si="86"/>
        <v>9.1555767013958231</v>
      </c>
      <c r="AF87" s="845">
        <f t="shared" si="73"/>
        <v>1.0938359359942031E-2</v>
      </c>
      <c r="AG87" s="1355">
        <f t="shared" si="87"/>
        <v>0</v>
      </c>
      <c r="AH87" s="835">
        <f t="shared" si="87"/>
        <v>0</v>
      </c>
      <c r="AI87" s="835">
        <f t="shared" si="87"/>
        <v>0</v>
      </c>
      <c r="AJ87" s="835">
        <f t="shared" si="87"/>
        <v>0</v>
      </c>
      <c r="AK87" s="835">
        <f t="shared" si="87"/>
        <v>0</v>
      </c>
      <c r="AL87" s="835">
        <f t="shared" si="87"/>
        <v>0</v>
      </c>
      <c r="AM87" s="843">
        <f t="shared" si="87"/>
        <v>0</v>
      </c>
      <c r="AN87" s="579">
        <f t="shared" si="75"/>
        <v>30.668178612474893</v>
      </c>
      <c r="AO87" s="580">
        <f t="shared" si="75"/>
        <v>25.624068533918695</v>
      </c>
      <c r="AP87" s="580">
        <f t="shared" si="75"/>
        <v>26.49432251956986</v>
      </c>
      <c r="AQ87" s="576">
        <f t="shared" si="76"/>
        <v>1.3203434628554955E-2</v>
      </c>
      <c r="AR87" s="580">
        <f t="shared" si="77"/>
        <v>27.500053054803015</v>
      </c>
      <c r="AS87" s="581">
        <f t="shared" si="78"/>
        <v>42.70408557416053</v>
      </c>
      <c r="AT87" s="579">
        <f t="shared" si="78"/>
        <v>18.544988920903094</v>
      </c>
      <c r="AU87" s="580">
        <f t="shared" si="78"/>
        <v>29.887358898837267</v>
      </c>
      <c r="AV87" s="578">
        <f t="shared" si="79"/>
        <v>8.9627099744550472E-3</v>
      </c>
      <c r="AW87" s="584">
        <f t="shared" si="80"/>
        <v>8.9627099744550472E-3</v>
      </c>
      <c r="AX87" s="582">
        <f t="shared" si="81"/>
        <v>1.0181</v>
      </c>
      <c r="AY87" s="583">
        <f t="shared" si="82"/>
        <v>59.81173561976982</v>
      </c>
      <c r="AZ87" s="578">
        <f t="shared" si="83"/>
        <v>3.7463752945220544E-2</v>
      </c>
      <c r="BA87" s="577">
        <f t="shared" si="83"/>
        <v>3.8262184573941017E-2</v>
      </c>
      <c r="BB87" s="577">
        <f t="shared" si="83"/>
        <v>3.6495906704979805E-2</v>
      </c>
      <c r="BC87" s="584">
        <f t="shared" si="83"/>
        <v>3.6727820499688861E-2</v>
      </c>
      <c r="BE87" s="848"/>
    </row>
    <row r="88" spans="1:57" s="325" customFormat="1" ht="14.25">
      <c r="A88" s="585">
        <f t="shared" si="85"/>
        <v>24</v>
      </c>
      <c r="B88" s="585">
        <f t="shared" si="84"/>
        <v>2046</v>
      </c>
      <c r="C88" s="574">
        <f t="shared" si="62"/>
        <v>0.10536326568147307</v>
      </c>
      <c r="D88" s="575">
        <f t="shared" si="62"/>
        <v>8.3838878027740524E-2</v>
      </c>
      <c r="E88" s="575">
        <f t="shared" si="62"/>
        <v>0.13257469621818299</v>
      </c>
      <c r="F88" s="576">
        <f t="shared" si="62"/>
        <v>0.10568198235996804</v>
      </c>
      <c r="G88" s="1355">
        <f t="shared" si="63"/>
        <v>0</v>
      </c>
      <c r="H88" s="835">
        <f t="shared" si="63"/>
        <v>0</v>
      </c>
      <c r="I88" s="835">
        <f t="shared" si="63"/>
        <v>0</v>
      </c>
      <c r="J88" s="835">
        <f t="shared" si="63"/>
        <v>0</v>
      </c>
      <c r="K88" s="1355">
        <f t="shared" si="64"/>
        <v>1.1447406527885337E-4</v>
      </c>
      <c r="L88" s="1318">
        <f t="shared" si="65"/>
        <v>123.60625415668034</v>
      </c>
      <c r="M88" s="580">
        <f t="shared" si="65"/>
        <v>154.31926499494122</v>
      </c>
      <c r="N88" s="580">
        <f t="shared" si="65"/>
        <v>154.31926499494122</v>
      </c>
      <c r="O88" s="581">
        <f t="shared" si="66"/>
        <v>0</v>
      </c>
      <c r="P88" s="831">
        <f t="shared" si="67"/>
        <v>0</v>
      </c>
      <c r="Q88" s="831">
        <f t="shared" si="67"/>
        <v>0</v>
      </c>
      <c r="R88" s="1313">
        <f t="shared" si="67"/>
        <v>0</v>
      </c>
      <c r="S88" s="831"/>
      <c r="T88" s="831"/>
      <c r="U88" s="832" t="str">
        <f t="shared" si="68"/>
        <v/>
      </c>
      <c r="V88" s="579">
        <f t="shared" si="69"/>
        <v>102.8205779834551</v>
      </c>
      <c r="W88" s="580">
        <f t="shared" si="70"/>
        <v>0</v>
      </c>
      <c r="X88" s="581">
        <f t="shared" si="71"/>
        <v>89.07230701138964</v>
      </c>
      <c r="Y88" s="579">
        <f t="shared" si="86"/>
        <v>7.7628676604130931</v>
      </c>
      <c r="Z88" s="580">
        <f t="shared" si="86"/>
        <v>9.5153124496426109</v>
      </c>
      <c r="AA88" s="580">
        <f t="shared" si="86"/>
        <v>10.769955330186306</v>
      </c>
      <c r="AB88" s="580">
        <f t="shared" si="86"/>
        <v>10.190855068661165</v>
      </c>
      <c r="AC88" s="580">
        <f t="shared" si="86"/>
        <v>8.4816499055810457</v>
      </c>
      <c r="AD88" s="580">
        <f t="shared" si="86"/>
        <v>9.7579406193318334</v>
      </c>
      <c r="AE88" s="581">
        <f t="shared" si="86"/>
        <v>9.1999404899309365</v>
      </c>
      <c r="AF88" s="845">
        <f t="shared" si="73"/>
        <v>1.0938359359942031E-2</v>
      </c>
      <c r="AG88" s="1355">
        <f t="shared" si="87"/>
        <v>0</v>
      </c>
      <c r="AH88" s="835">
        <f t="shared" si="87"/>
        <v>0</v>
      </c>
      <c r="AI88" s="835">
        <f t="shared" si="87"/>
        <v>0</v>
      </c>
      <c r="AJ88" s="835">
        <f t="shared" si="87"/>
        <v>0</v>
      </c>
      <c r="AK88" s="835">
        <f t="shared" si="87"/>
        <v>0</v>
      </c>
      <c r="AL88" s="835">
        <f t="shared" si="87"/>
        <v>0</v>
      </c>
      <c r="AM88" s="843">
        <f t="shared" si="87"/>
        <v>0</v>
      </c>
      <c r="AN88" s="579">
        <f t="shared" si="75"/>
        <v>30.855724429080468</v>
      </c>
      <c r="AO88" s="580">
        <f t="shared" si="75"/>
        <v>25.800388675769636</v>
      </c>
      <c r="AP88" s="580">
        <f t="shared" si="75"/>
        <v>26.685210675217089</v>
      </c>
      <c r="AQ88" s="576">
        <f t="shared" si="76"/>
        <v>1.3203434628554955E-2</v>
      </c>
      <c r="AR88" s="580">
        <f t="shared" si="77"/>
        <v>27.668224760466739</v>
      </c>
      <c r="AS88" s="581">
        <f t="shared" si="78"/>
        <v>43.024864521671724</v>
      </c>
      <c r="AT88" s="579">
        <f t="shared" si="78"/>
        <v>18.658397517320275</v>
      </c>
      <c r="AU88" s="580">
        <f t="shared" si="78"/>
        <v>30.070129750725624</v>
      </c>
      <c r="AV88" s="578">
        <f t="shared" si="79"/>
        <v>8.9627099744550472E-3</v>
      </c>
      <c r="AW88" s="584">
        <f t="shared" si="80"/>
        <v>8.9627099744550472E-3</v>
      </c>
      <c r="AX88" s="582">
        <f t="shared" si="81"/>
        <v>1.0181</v>
      </c>
      <c r="AY88" s="583">
        <f t="shared" si="82"/>
        <v>63.473678616898574</v>
      </c>
      <c r="AZ88" s="578">
        <f t="shared" si="83"/>
        <v>3.7059838675331323E-2</v>
      </c>
      <c r="BA88" s="577">
        <f t="shared" si="83"/>
        <v>3.7849662038648105E-2</v>
      </c>
      <c r="BB88" s="577">
        <f t="shared" si="83"/>
        <v>3.6102427238781064E-2</v>
      </c>
      <c r="BC88" s="584">
        <f t="shared" si="83"/>
        <v>3.6331840662232495E-2</v>
      </c>
      <c r="BE88" s="848"/>
    </row>
    <row r="89" spans="1:57" s="325" customFormat="1" ht="14.25">
      <c r="A89" s="738">
        <f t="shared" si="85"/>
        <v>25</v>
      </c>
      <c r="B89" s="738">
        <f t="shared" si="84"/>
        <v>2047</v>
      </c>
      <c r="C89" s="739">
        <f t="shared" si="62"/>
        <v>0.10785039895934728</v>
      </c>
      <c r="D89" s="740">
        <f t="shared" si="62"/>
        <v>8.496291992551791E-2</v>
      </c>
      <c r="E89" s="740">
        <f t="shared" si="62"/>
        <v>0.13965676905283925</v>
      </c>
      <c r="F89" s="741">
        <f t="shared" si="62"/>
        <v>0.11063915891598604</v>
      </c>
      <c r="G89" s="837">
        <f t="shared" si="63"/>
        <v>0</v>
      </c>
      <c r="H89" s="836">
        <f t="shared" si="63"/>
        <v>0</v>
      </c>
      <c r="I89" s="836">
        <f t="shared" si="63"/>
        <v>0</v>
      </c>
      <c r="J89" s="836">
        <f t="shared" si="63"/>
        <v>0</v>
      </c>
      <c r="K89" s="837">
        <f t="shared" si="64"/>
        <v>1.1447406527885337E-4</v>
      </c>
      <c r="L89" s="744">
        <f t="shared" si="65"/>
        <v>125.6669463691124</v>
      </c>
      <c r="M89" s="745">
        <f t="shared" si="65"/>
        <v>156.78947648168605</v>
      </c>
      <c r="N89" s="745">
        <f t="shared" si="65"/>
        <v>156.78947648168605</v>
      </c>
      <c r="O89" s="746">
        <f t="shared" si="66"/>
        <v>0</v>
      </c>
      <c r="P89" s="831">
        <f t="shared" si="67"/>
        <v>0</v>
      </c>
      <c r="Q89" s="831">
        <f t="shared" si="67"/>
        <v>0</v>
      </c>
      <c r="R89" s="1314">
        <f t="shared" si="67"/>
        <v>0</v>
      </c>
      <c r="S89" s="833"/>
      <c r="T89" s="833"/>
      <c r="U89" s="834" t="str">
        <f t="shared" si="68"/>
        <v/>
      </c>
      <c r="V89" s="744">
        <f t="shared" si="69"/>
        <v>102.8205779834551</v>
      </c>
      <c r="W89" s="745">
        <f t="shared" si="70"/>
        <v>0</v>
      </c>
      <c r="X89" s="746">
        <f t="shared" si="71"/>
        <v>89.07230701138964</v>
      </c>
      <c r="Y89" s="744">
        <f t="shared" si="86"/>
        <v>7.811013967696705</v>
      </c>
      <c r="Z89" s="745">
        <f t="shared" si="86"/>
        <v>9.5586594667708074</v>
      </c>
      <c r="AA89" s="745">
        <f t="shared" si="86"/>
        <v>10.811941381702809</v>
      </c>
      <c r="AB89" s="745">
        <f t="shared" si="86"/>
        <v>10.233906709331025</v>
      </c>
      <c r="AC89" s="745">
        <f t="shared" si="86"/>
        <v>8.5279319834354226</v>
      </c>
      <c r="AD89" s="745">
        <f t="shared" si="86"/>
        <v>9.8012661114963535</v>
      </c>
      <c r="AE89" s="746">
        <f t="shared" si="86"/>
        <v>9.2445192453433283</v>
      </c>
      <c r="AF89" s="846">
        <f t="shared" si="73"/>
        <v>1.0938359359942031E-2</v>
      </c>
      <c r="AG89" s="837">
        <f t="shared" si="87"/>
        <v>0</v>
      </c>
      <c r="AH89" s="836">
        <f t="shared" si="87"/>
        <v>0</v>
      </c>
      <c r="AI89" s="836">
        <f t="shared" si="87"/>
        <v>0</v>
      </c>
      <c r="AJ89" s="836">
        <f t="shared" si="87"/>
        <v>0</v>
      </c>
      <c r="AK89" s="836">
        <f t="shared" si="87"/>
        <v>0</v>
      </c>
      <c r="AL89" s="836">
        <f t="shared" si="87"/>
        <v>0</v>
      </c>
      <c r="AM89" s="844">
        <f t="shared" si="87"/>
        <v>0</v>
      </c>
      <c r="AN89" s="744">
        <f t="shared" si="75"/>
        <v>31.233652972546</v>
      </c>
      <c r="AO89" s="745">
        <f t="shared" si="75"/>
        <v>26.125562811110854</v>
      </c>
      <c r="AP89" s="745">
        <f t="shared" si="75"/>
        <v>27.028634511333397</v>
      </c>
      <c r="AQ89" s="741">
        <f t="shared" si="76"/>
        <v>1.3203434628554955E-2</v>
      </c>
      <c r="AR89" s="745">
        <f t="shared" si="77"/>
        <v>28.007112019718548</v>
      </c>
      <c r="AS89" s="746">
        <f t="shared" si="78"/>
        <v>43.36613836585326</v>
      </c>
      <c r="AT89" s="744">
        <f t="shared" si="78"/>
        <v>18.8869301843568</v>
      </c>
      <c r="AU89" s="745">
        <f t="shared" si="78"/>
        <v>30.43843613629215</v>
      </c>
      <c r="AV89" s="743">
        <f t="shared" si="79"/>
        <v>8.9627099744550472E-3</v>
      </c>
      <c r="AW89" s="747">
        <f t="shared" si="80"/>
        <v>8.9627099744550472E-3</v>
      </c>
      <c r="AX89" s="748">
        <f t="shared" si="81"/>
        <v>1.0181</v>
      </c>
      <c r="AY89" s="749">
        <f t="shared" si="82"/>
        <v>67.135621614027357</v>
      </c>
      <c r="AZ89" s="743">
        <f t="shared" si="83"/>
        <v>3.6660279194393942E-2</v>
      </c>
      <c r="BA89" s="742">
        <f t="shared" si="83"/>
        <v>3.7441587102048771E-2</v>
      </c>
      <c r="BB89" s="742">
        <f t="shared" si="83"/>
        <v>3.5713190059027532E-2</v>
      </c>
      <c r="BC89" s="747">
        <f t="shared" si="83"/>
        <v>3.5940130068895126E-2</v>
      </c>
      <c r="BE89" s="848"/>
    </row>
    <row r="90" spans="1:57">
      <c r="L90" s="325"/>
      <c r="M90" s="325"/>
    </row>
    <row r="91" spans="1:57" ht="20.25">
      <c r="A91" s="568" t="s">
        <v>633</v>
      </c>
      <c r="B91" s="569"/>
      <c r="C91" s="569"/>
      <c r="D91" s="569"/>
      <c r="E91" s="569"/>
      <c r="F91" s="569"/>
      <c r="G91" s="569"/>
      <c r="H91" s="569"/>
      <c r="I91" s="569"/>
      <c r="J91" s="569"/>
      <c r="K91" s="569"/>
      <c r="L91" s="1138"/>
      <c r="M91" s="1138"/>
      <c r="N91" s="1138"/>
      <c r="O91" s="569"/>
      <c r="P91" s="1138"/>
      <c r="Q91" s="1138"/>
      <c r="R91" s="569"/>
      <c r="S91" s="1138"/>
      <c r="T91" s="1138"/>
      <c r="U91" s="569"/>
      <c r="V91" s="569"/>
      <c r="W91" s="569"/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569"/>
      <c r="AU91" s="569"/>
      <c r="AV91" s="569"/>
      <c r="AW91" s="569"/>
      <c r="AX91" s="569"/>
      <c r="AY91" s="569"/>
      <c r="AZ91" s="569"/>
      <c r="BA91" s="569"/>
      <c r="BB91" s="569"/>
      <c r="BC91" s="570"/>
    </row>
    <row r="92" spans="1:57" ht="20.25">
      <c r="A92" s="1498" t="str">
        <f>Year1&amp;", "&amp;Year1&amp;"$"</f>
        <v>2021, 2021$</v>
      </c>
      <c r="B92" s="1499"/>
      <c r="C92" s="571"/>
      <c r="D92" s="571"/>
      <c r="E92" s="571"/>
      <c r="F92" s="571"/>
      <c r="G92" s="571"/>
      <c r="H92" s="571"/>
      <c r="I92" s="571"/>
      <c r="J92" s="571"/>
      <c r="K92" s="571"/>
      <c r="L92" s="1300"/>
      <c r="M92" s="1300"/>
      <c r="N92" s="1300"/>
      <c r="O92" s="571"/>
      <c r="P92" s="784" t="s">
        <v>708</v>
      </c>
      <c r="Q92" s="784" t="s">
        <v>708</v>
      </c>
      <c r="R92" s="784" t="s">
        <v>708</v>
      </c>
      <c r="S92" s="1302"/>
      <c r="T92" s="1302"/>
      <c r="U92" s="571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2"/>
    </row>
    <row r="93" spans="1:57" s="325" customFormat="1" ht="14.25">
      <c r="A93" s="587">
        <v>1</v>
      </c>
      <c r="B93" s="588">
        <v>2021</v>
      </c>
      <c r="C93" s="589">
        <f>NPV(realdiscrt1,C13:C$13)/(1+realdiscrt1)^-Half_Year</f>
        <v>7.3145160989263353E-2</v>
      </c>
      <c r="D93" s="590">
        <f>NPV(realdiscrt1,D13:D$13)/(1+realdiscrt1)^-Half_Year</f>
        <v>6.8902563702241473E-2</v>
      </c>
      <c r="E93" s="590">
        <f>NPV(realdiscrt1,E13:E$13)/(1+realdiscrt1)^-Half_Year</f>
        <v>6.3195763295539539E-2</v>
      </c>
      <c r="F93" s="591">
        <f>NPV(realdiscrt1,F13:F$13)/(1+realdiscrt1)^-Half_Year</f>
        <v>5.3907496077194979E-2</v>
      </c>
      <c r="G93" s="589">
        <f>NPV(realdiscrt1,G13:G$13)/(1+realdiscrt1)^-Half_Year</f>
        <v>4.4475701300230874E-3</v>
      </c>
      <c r="H93" s="590">
        <f>NPV(realdiscrt1,H13:H$13)/(1+realdiscrt1)^-Half_Year</f>
        <v>3.2282406505910201E-3</v>
      </c>
      <c r="I93" s="590">
        <f>NPV(realdiscrt1,I13:I$13)/(1+realdiscrt1)^-Half_Year</f>
        <v>2.8353946065666747E-3</v>
      </c>
      <c r="J93" s="590">
        <f>NPV(realdiscrt1,J13:J$13)/(1+realdiscrt1)^-Half_Year</f>
        <v>2.0206164617868599E-3</v>
      </c>
      <c r="K93" s="592">
        <f>NPV(realdiscrt1,K13:K$13)/(1+realdiscrt1)^-Half_Year</f>
        <v>1.6966565303024317E-3</v>
      </c>
      <c r="L93" s="1320">
        <f>NPV(realdiscrt1,L13:L$13)/(1+realdiscrt1)^-Half_Year</f>
        <v>67.134148332158375</v>
      </c>
      <c r="M93" s="595">
        <f>NPV(realdiscrt1,M13:M$13)/(1+realdiscrt1)^-Half_Year</f>
        <v>0</v>
      </c>
      <c r="N93" s="595">
        <f>NPV(realdiscrt1,N13:N$13)/(1+realdiscrt1)^-Half_Year</f>
        <v>0</v>
      </c>
      <c r="O93" s="1308">
        <f>NPV(realdiscrt1,O13:O$13)/(1+realdiscrt1)^-Half_Year</f>
        <v>0</v>
      </c>
      <c r="P93" s="782">
        <f t="shared" ref="P93:Q117" si="88">NPV(realdiscrt1,P13)/(1+realdiscrt1)^-Half_Year</f>
        <v>34.771536008445217</v>
      </c>
      <c r="Q93" s="782">
        <f t="shared" si="88"/>
        <v>0</v>
      </c>
      <c r="R93" s="1315">
        <f t="shared" ref="R93:R117" si="89">NPV(realdiscrt1,R13)/(1+realdiscrt1)^-Half_Year</f>
        <v>0</v>
      </c>
      <c r="S93" s="595">
        <f>NPV(realdiscrt1,S13:S$13)/(1+realdiscrt1)^-Half_Year</f>
        <v>0</v>
      </c>
      <c r="T93" s="595">
        <f>NPV(realdiscrt1,T13:T$13)/(1+realdiscrt1)^-Half_Year</f>
        <v>0</v>
      </c>
      <c r="U93" s="596">
        <f>NPV(realdiscrt1,U13:U$13)/(1+realdiscrt1)^-Half_Year</f>
        <v>0</v>
      </c>
      <c r="V93" s="597">
        <f>NPV(realdiscrt1,V13:V$13)/(1+realdiscrt1)^-Half_Year</f>
        <v>98.502976628687435</v>
      </c>
      <c r="W93" s="595">
        <f>NPV(realdiscrt1,W13:W$13)/(1+realdiscrt1)^-Half_Year</f>
        <v>0</v>
      </c>
      <c r="X93" s="598">
        <f>NPV(realdiscrt1,X13:X$13)/(1+realdiscrt1)^-Half_Year</f>
        <v>85.332017655240136</v>
      </c>
      <c r="Y93" s="594">
        <f>NPV(realdiscrt1,Y13:Y$13)/(1+realdiscrt1)^-Half_Year</f>
        <v>6.3815086872543336</v>
      </c>
      <c r="Z93" s="595">
        <f>NPV(realdiscrt1,Z13:Z$13)/(1+realdiscrt1)^-Half_Year</f>
        <v>8.1606688982575335</v>
      </c>
      <c r="AA93" s="595">
        <f>NPV(realdiscrt1,AA13:AA$13)/(1+realdiscrt1)^-Half_Year</f>
        <v>9.3893319226458356</v>
      </c>
      <c r="AB93" s="595">
        <f>NPV(realdiscrt1,AB13:AB$13)/(1+realdiscrt1)^-Half_Year</f>
        <v>8.8110046347544735</v>
      </c>
      <c r="AC93" s="595">
        <f>NPV(realdiscrt1,AC13:AC$13)/(1+realdiscrt1)^-Half_Year</f>
        <v>7.107443307176875</v>
      </c>
      <c r="AD93" s="595">
        <f>NPV(realdiscrt1,AD13:AD$13)/(1+realdiscrt1)^-Half_Year</f>
        <v>8.392167224979671</v>
      </c>
      <c r="AE93" s="598">
        <f>NPV(realdiscrt1,AE13:AE$13)/(1+realdiscrt1)^-Half_Year</f>
        <v>7.8307428728998492</v>
      </c>
      <c r="AF93" s="599">
        <f>NPV(realdiscrt1,AF13:AF$13)/(1+realdiscrt1)^-Half_Year</f>
        <v>0</v>
      </c>
      <c r="AG93" s="592">
        <f>NPV(realdiscrt1,AG13:AG$13)/(1+realdiscrt1)^-Half_Year</f>
        <v>0.26197600167204105</v>
      </c>
      <c r="AH93" s="593">
        <f>NPV(realdiscrt1,AH13:AH$13)/(1+realdiscrt1)^-Half_Year</f>
        <v>0.26197600167204105</v>
      </c>
      <c r="AI93" s="593">
        <f>NPV(realdiscrt1,AI13:AI$13)/(1+realdiscrt1)^-Half_Year</f>
        <v>0.49251488314343722</v>
      </c>
      <c r="AJ93" s="593">
        <f>NPV(realdiscrt1,AJ13:AJ$13)/(1+realdiscrt1)^-Half_Year</f>
        <v>0.41182627462844856</v>
      </c>
      <c r="AK93" s="593">
        <f>NPV(realdiscrt1,AK13:AK$13)/(1+realdiscrt1)^-Half_Year</f>
        <v>0.26197600167204105</v>
      </c>
      <c r="AL93" s="593">
        <f>NPV(realdiscrt1,AL13:AL$13)/(1+realdiscrt1)^-Half_Year</f>
        <v>0.49251488314343722</v>
      </c>
      <c r="AM93" s="593">
        <f>NPV(realdiscrt1,AM13:AM$13)/(1+realdiscrt1)^-Half_Year</f>
        <v>0.39176939194043697</v>
      </c>
      <c r="AN93" s="594">
        <f>NPV(realdiscrt1,AN13:AN$13)/(1+realdiscrt1)^-Half_Year</f>
        <v>20.303030909585758</v>
      </c>
      <c r="AO93" s="595">
        <f>NPV(realdiscrt1,AO13:AO$13)/(1+realdiscrt1)^-Half_Year</f>
        <v>16.64342164579493</v>
      </c>
      <c r="AP93" s="580">
        <f>NPV(realdiscrt1,AP13:AP$13)/(1+realdiscrt1)^-Half_Year</f>
        <v>16.980579384914563</v>
      </c>
      <c r="AQ93" s="596">
        <f>NPV(realdiscrt1,AQ13:AQ$13)/(1+realdiscrt1)^-Half_Year</f>
        <v>1.2004775436455457E-2</v>
      </c>
      <c r="AR93" s="595">
        <f>NPV(realdiscrt1,AR13:AR$13)/(1+realdiscrt1)^-Half_Year</f>
        <v>18.20565982225629</v>
      </c>
      <c r="AS93" s="598">
        <f>NPV(realdiscrt1,AS13:AS$13)/(1+realdiscrt1)^-Half_Year</f>
        <v>28.892728656878539</v>
      </c>
      <c r="AT93" s="594">
        <f>NPV(realdiscrt1,AT13:AT$13)/(1+realdiscrt1)^-Half_Year</f>
        <v>12.277203939521348</v>
      </c>
      <c r="AU93" s="595">
        <f>NPV(realdiscrt1,AU13:AU$13)/(1+realdiscrt1)^-Half_Year</f>
        <v>19.786110521807988</v>
      </c>
      <c r="AV93" s="594">
        <f>NPV(realdiscrt1,AV13:AV$13)/(1+realdiscrt1)^-Half_Year</f>
        <v>8.586351374969995E-3</v>
      </c>
      <c r="AW93" s="598">
        <f>NPV(realdiscrt1,AW13:AW$13)/(1+realdiscrt1)^-Half_Year</f>
        <v>8.586351374969995E-3</v>
      </c>
      <c r="AX93" s="600">
        <f>NPV(realdiscrt1,AX13:AX$13)/(1+realdiscrt1)^-Half_Year</f>
        <v>1.010975488330855</v>
      </c>
      <c r="AY93" s="601">
        <f>NPV(realdiscrt1,AY13:AY$13)/(1+realdiscrt1)^-Half_Year</f>
        <v>12.86329778823661</v>
      </c>
      <c r="AZ93" s="592">
        <f>NPV(realdiscrt1,AZ13:AZ$13)/(1+realdiscrt1)^-Half_Year</f>
        <v>4.5276865176840229E-2</v>
      </c>
      <c r="BA93" s="593">
        <f>NPV(realdiscrt1,BA13:BA$13)/(1+realdiscrt1)^-Half_Year</f>
        <v>4.6241810713913409E-2</v>
      </c>
      <c r="BB93" s="593">
        <f>NPV(realdiscrt1,BB13:BB$13)/(1+realdiscrt1)^-Half_Year</f>
        <v>4.410717340048867E-2</v>
      </c>
      <c r="BC93" s="596">
        <f>NPV(realdiscrt1,BC13:BC$13)/(1+realdiscrt1)^-Half_Year</f>
        <v>4.4387453105275469E-2</v>
      </c>
    </row>
    <row r="94" spans="1:57" s="325" customFormat="1" ht="14.25">
      <c r="A94" s="602">
        <v>2</v>
      </c>
      <c r="B94" s="603">
        <f t="shared" ref="B94:B117" si="90">B93+1</f>
        <v>2022</v>
      </c>
      <c r="C94" s="604">
        <f>NPV(realdiscrt1,C$13:C14)/(1+realdiscrt1)^-Half_Year</f>
        <v>0.14287274569571359</v>
      </c>
      <c r="D94" s="605">
        <f>NPV(realdiscrt1,D$13:D14)/(1+realdiscrt1)^-Half_Year</f>
        <v>0.13275563460362416</v>
      </c>
      <c r="E94" s="605">
        <f>NPV(realdiscrt1,E$13:E14)/(1+realdiscrt1)^-Half_Year</f>
        <v>0.12243715460001391</v>
      </c>
      <c r="F94" s="606">
        <f>NPV(realdiscrt1,F$13:F14)/(1+realdiscrt1)^-Half_Year</f>
        <v>0.10278871889734854</v>
      </c>
      <c r="G94" s="604">
        <f>NPV(realdiscrt1,G$13:G14)/(1+realdiscrt1)^-Half_Year</f>
        <v>1.1696635801694812E-2</v>
      </c>
      <c r="H94" s="605">
        <f>NPV(realdiscrt1,H$13:H14)/(1+realdiscrt1)^-Half_Year</f>
        <v>8.6261329515001633E-3</v>
      </c>
      <c r="I94" s="605">
        <f>NPV(realdiscrt1,I$13:I14)/(1+realdiscrt1)^-Half_Year</f>
        <v>7.9137739110351386E-3</v>
      </c>
      <c r="J94" s="605">
        <f>NPV(realdiscrt1,J$13:J14)/(1+realdiscrt1)^-Half_Year</f>
        <v>5.5212822430641207E-3</v>
      </c>
      <c r="K94" s="607">
        <f>NPV(realdiscrt1,K$13:K14)/(1+realdiscrt1)^-Half_Year</f>
        <v>4.3115334880965365E-3</v>
      </c>
      <c r="L94" s="1321">
        <f>NPV(realdiscrt1,L$13:L14)/(1+realdiscrt1)^-Half_Year</f>
        <v>130.73621734954966</v>
      </c>
      <c r="M94" s="609">
        <f>NPV(realdiscrt1,M$13:M14)/(1+realdiscrt1)^-Half_Year</f>
        <v>0</v>
      </c>
      <c r="N94" s="609">
        <f>NPV(realdiscrt1,N$13:N14)/(1+realdiscrt1)^-Half_Year</f>
        <v>0</v>
      </c>
      <c r="O94" s="612">
        <f>NPV(realdiscrt1,O$13:O14)/(1+realdiscrt1)^-Half_Year</f>
        <v>0</v>
      </c>
      <c r="P94" s="782">
        <f t="shared" si="88"/>
        <v>43.384812059383016</v>
      </c>
      <c r="Q94" s="782">
        <f t="shared" si="88"/>
        <v>0</v>
      </c>
      <c r="R94" s="1316">
        <f t="shared" si="89"/>
        <v>0</v>
      </c>
      <c r="S94" s="595">
        <f>NPV(realdiscrt1,S$13:S14)/(1+realdiscrt1)^-Half_Year</f>
        <v>0</v>
      </c>
      <c r="T94" s="595">
        <f>NPV(realdiscrt1,T$13:T14)/(1+realdiscrt1)^-Half_Year</f>
        <v>0</v>
      </c>
      <c r="U94" s="610">
        <f>NPV(realdiscrt1,U$13:U14)/(1+realdiscrt1)^-Half_Year</f>
        <v>0</v>
      </c>
      <c r="V94" s="611">
        <f>NPV(realdiscrt1,V$13:V14)/(1+realdiscrt1)^-Half_Year</f>
        <v>195.63215871650021</v>
      </c>
      <c r="W94" s="609">
        <f>NPV(realdiscrt1,W$13:W14)/(1+realdiscrt1)^-Half_Year</f>
        <v>0</v>
      </c>
      <c r="X94" s="612">
        <f>NPV(realdiscrt1,X$13:X14)/(1+realdiscrt1)^-Half_Year</f>
        <v>169.47393259451374</v>
      </c>
      <c r="Y94" s="608">
        <f>NPV(realdiscrt1,Y$13:Y14)/(1+realdiscrt1)^-Half_Year</f>
        <v>12.608758726814685</v>
      </c>
      <c r="Z94" s="609">
        <f>NPV(realdiscrt1,Z$13:Z14)/(1+realdiscrt1)^-Half_Year</f>
        <v>16.133730931864889</v>
      </c>
      <c r="AA94" s="609">
        <f>NPV(realdiscrt1,AA$13:AA14)/(1+realdiscrt1)^-Half_Year</f>
        <v>18.571686056694134</v>
      </c>
      <c r="AB94" s="609">
        <f>NPV(realdiscrt1,AB$13:AB14)/(1+realdiscrt1)^-Half_Year</f>
        <v>17.425159750150659</v>
      </c>
      <c r="AC94" s="609">
        <f>NPV(realdiscrt1,AC$13:AC14)/(1+realdiscrt1)^-Half_Year</f>
        <v>14.047006500864187</v>
      </c>
      <c r="AD94" s="609">
        <f>NPV(realdiscrt1,AD$13:AD14)/(1+realdiscrt1)^-Half_Year</f>
        <v>16.593547398252419</v>
      </c>
      <c r="AE94" s="612">
        <f>NPV(realdiscrt1,AE$13:AE14)/(1+realdiscrt1)^-Half_Year</f>
        <v>15.480709026093761</v>
      </c>
      <c r="AF94" s="613">
        <f>NPV(realdiscrt1,AF$13:AF14)/(1+realdiscrt1)^-Half_Year</f>
        <v>0</v>
      </c>
      <c r="AG94" s="607">
        <f>NPV(realdiscrt1,AG$13:AG14)/(1+realdiscrt1)^-Half_Year</f>
        <v>0.66495877841934925</v>
      </c>
      <c r="AH94" s="614">
        <f>NPV(realdiscrt1,AH$13:AH14)/(1+realdiscrt1)^-Half_Year</f>
        <v>0.66495877841934925</v>
      </c>
      <c r="AI94" s="614">
        <f>NPV(realdiscrt1,AI$13:AI14)/(1+realdiscrt1)^-Half_Year</f>
        <v>1.257148869792176</v>
      </c>
      <c r="AJ94" s="614">
        <f>NPV(realdiscrt1,AJ$13:AJ14)/(1+realdiscrt1)^-Half_Year</f>
        <v>1.0498823378116866</v>
      </c>
      <c r="AK94" s="614">
        <f>NPV(realdiscrt1,AK$13:AK14)/(1+realdiscrt1)^-Half_Year</f>
        <v>0.66495877841934925</v>
      </c>
      <c r="AL94" s="614">
        <f>NPV(realdiscrt1,AL$13:AL14)/(1+realdiscrt1)^-Half_Year</f>
        <v>1.257148869792176</v>
      </c>
      <c r="AM94" s="614">
        <f>NPV(realdiscrt1,AM$13:AM14)/(1+realdiscrt1)^-Half_Year</f>
        <v>0.99836179986225049</v>
      </c>
      <c r="AN94" s="594">
        <f>NPV(realdiscrt1,AN$13:AN14)/(1+realdiscrt1)^-Half_Year</f>
        <v>41.946993482700002</v>
      </c>
      <c r="AO94" s="595">
        <f>NPV(realdiscrt1,AO$13:AO14)/(1+realdiscrt1)^-Half_Year</f>
        <v>34.519866028205698</v>
      </c>
      <c r="AP94" s="580">
        <f>NPV(realdiscrt1,AP$13:AP14)/(1+realdiscrt1)^-Half_Year</f>
        <v>35.280809390024693</v>
      </c>
      <c r="AQ94" s="610">
        <f>NPV(realdiscrt1,AQ$13:AQ14)/(1+realdiscrt1)^-Half_Year</f>
        <v>2.410277887645141E-2</v>
      </c>
      <c r="AR94" s="595">
        <f>NPV(realdiscrt1,AR$13:AR14)/(1+realdiscrt1)^-Half_Year</f>
        <v>37.613728576450207</v>
      </c>
      <c r="AS94" s="612">
        <f>NPV(realdiscrt1,AS$13:AS14)/(1+realdiscrt1)^-Half_Year</f>
        <v>59.976640096225474</v>
      </c>
      <c r="AT94" s="594">
        <f>NPV(realdiscrt1,AT$13:AT14)/(1+realdiscrt1)^-Half_Year</f>
        <v>25.365266689996297</v>
      </c>
      <c r="AU94" s="609">
        <f>NPV(realdiscrt1,AU$13:AU14)/(1+realdiscrt1)^-Half_Year</f>
        <v>40.879012242177367</v>
      </c>
      <c r="AV94" s="608">
        <f>NPV(realdiscrt1,AV$13:AV14)/(1+realdiscrt1)^-Half_Year</f>
        <v>1.7052951215025154E-2</v>
      </c>
      <c r="AW94" s="612">
        <f>NPV(realdiscrt1,AW$13:AW14)/(1+realdiscrt1)^-Half_Year</f>
        <v>1.7052951215025154E-2</v>
      </c>
      <c r="AX94" s="600">
        <f>NPV(realdiscrt1,AX$13:AX14)/(1+realdiscrt1)^-Half_Year</f>
        <v>2.0078511732409217</v>
      </c>
      <c r="AY94" s="615">
        <f>NPV(realdiscrt1,AY$13:AY14)/(1+realdiscrt1)^-Half_Year</f>
        <v>26.315915639498751</v>
      </c>
      <c r="AZ94" s="607">
        <f>NPV(realdiscrt1,AZ$13:AZ14)/(1+realdiscrt1)^-Half_Year</f>
        <v>8.969261308930343E-2</v>
      </c>
      <c r="BA94" s="614">
        <f>NPV(realdiscrt1,BA$13:BA14)/(1+realdiscrt1)^-Half_Year</f>
        <v>9.1604151937474954E-2</v>
      </c>
      <c r="BB94" s="614">
        <f>NPV(realdiscrt1,BB$13:BB14)/(1+realdiscrt1)^-Half_Year</f>
        <v>8.737547581576921E-2</v>
      </c>
      <c r="BC94" s="610">
        <f>NPV(realdiscrt1,BC$13:BC14)/(1+realdiscrt1)^-Half_Year</f>
        <v>8.7930704606897725E-2</v>
      </c>
    </row>
    <row r="95" spans="1:57" s="325" customFormat="1" ht="14.25">
      <c r="A95" s="602">
        <f t="shared" ref="A95:A117" si="91">A94+1</f>
        <v>3</v>
      </c>
      <c r="B95" s="603">
        <f t="shared" si="90"/>
        <v>2023</v>
      </c>
      <c r="C95" s="604">
        <f>NPV(realdiscrt1,C$13:C15)/(1+realdiscrt1)^-Half_Year</f>
        <v>0.21381558082015184</v>
      </c>
      <c r="D95" s="605">
        <f>NPV(realdiscrt1,D$13:D15)/(1+realdiscrt1)^-Half_Year</f>
        <v>0.19621751334201279</v>
      </c>
      <c r="E95" s="605">
        <f>NPV(realdiscrt1,E$13:E15)/(1+realdiscrt1)^-Half_Year</f>
        <v>0.17795805086891797</v>
      </c>
      <c r="F95" s="606">
        <f>NPV(realdiscrt1,F$13:F15)/(1+realdiscrt1)^-Half_Year</f>
        <v>0.14773292864445489</v>
      </c>
      <c r="G95" s="604">
        <f>NPV(realdiscrt1,G$13:G15)/(1+realdiscrt1)^-Half_Year</f>
        <v>1.9683453484416417E-2</v>
      </c>
      <c r="H95" s="605">
        <f>NPV(realdiscrt1,H$13:H15)/(1+realdiscrt1)^-Half_Year</f>
        <v>1.4570496218785731E-2</v>
      </c>
      <c r="I95" s="605">
        <f>NPV(realdiscrt1,I$13:I15)/(1+realdiscrt1)^-Half_Year</f>
        <v>1.4443859210416205E-2</v>
      </c>
      <c r="J95" s="605">
        <f>NPV(realdiscrt1,J$13:J15)/(1+realdiscrt1)^-Half_Year</f>
        <v>9.8631816408935105E-3</v>
      </c>
      <c r="K95" s="607">
        <f>NPV(realdiscrt1,K$13:K15)/(1+realdiscrt1)^-Half_Year</f>
        <v>6.9535346183169098E-3</v>
      </c>
      <c r="L95" s="1321">
        <f>NPV(realdiscrt1,L$13:L15)/(1+realdiscrt1)^-Half_Year</f>
        <v>194.75826231416531</v>
      </c>
      <c r="M95" s="609">
        <f>NPV(realdiscrt1,M$13:M15)/(1+realdiscrt1)^-Half_Year</f>
        <v>24.847463729716182</v>
      </c>
      <c r="N95" s="609">
        <f>NPV(realdiscrt1,N$13:N15)/(1+realdiscrt1)^-Half_Year</f>
        <v>24.847463729716182</v>
      </c>
      <c r="O95" s="612">
        <f>NPV(realdiscrt1,O$13:O15)/(1+realdiscrt1)^-Half_Year</f>
        <v>0</v>
      </c>
      <c r="P95" s="782">
        <f t="shared" si="88"/>
        <v>7.8081250911114291</v>
      </c>
      <c r="Q95" s="782">
        <f t="shared" si="88"/>
        <v>0</v>
      </c>
      <c r="R95" s="1316">
        <f t="shared" si="89"/>
        <v>0</v>
      </c>
      <c r="S95" s="595">
        <f>NPV(realdiscrt1,S$13:S15)/(1+realdiscrt1)^-Half_Year</f>
        <v>0</v>
      </c>
      <c r="T95" s="595">
        <f>NPV(realdiscrt1,T$13:T15)/(1+realdiscrt1)^-Half_Year</f>
        <v>0</v>
      </c>
      <c r="U95" s="610">
        <f>NPV(realdiscrt1,U$13:U15)/(1+realdiscrt1)^-Half_Year</f>
        <v>0</v>
      </c>
      <c r="V95" s="611">
        <f>NPV(realdiscrt1,V$13:V15)/(1+realdiscrt1)^-Half_Year</f>
        <v>291.4067062066718</v>
      </c>
      <c r="W95" s="609">
        <f>NPV(realdiscrt1,W$13:W15)/(1+realdiscrt1)^-Half_Year</f>
        <v>0</v>
      </c>
      <c r="X95" s="612">
        <f>NPV(realdiscrt1,X$13:X15)/(1+realdiscrt1)^-Half_Year</f>
        <v>252.44234286054223</v>
      </c>
      <c r="Y95" s="608">
        <f>NPV(realdiscrt1,Y$13:Y15)/(1+realdiscrt1)^-Half_Year</f>
        <v>18.767504106656535</v>
      </c>
      <c r="Z95" s="609">
        <f>NPV(realdiscrt1,Z$13:Z15)/(1+realdiscrt1)^-Half_Year</f>
        <v>24.008604784908439</v>
      </c>
      <c r="AA95" s="609">
        <f>NPV(realdiscrt1,AA$13:AA15)/(1+realdiscrt1)^-Half_Year</f>
        <v>27.637600055542148</v>
      </c>
      <c r="AB95" s="609">
        <f>NPV(realdiscrt1,AB$13:AB15)/(1+realdiscrt1)^-Half_Year</f>
        <v>25.932084720828779</v>
      </c>
      <c r="AC95" s="609">
        <f>NPV(realdiscrt1,AC$13:AC15)/(1+realdiscrt1)^-Half_Year</f>
        <v>20.906086732482226</v>
      </c>
      <c r="AD95" s="609">
        <f>NPV(realdiscrt1,AD$13:AD15)/(1+realdiscrt1)^-Half_Year</f>
        <v>24.69361617698592</v>
      </c>
      <c r="AE95" s="612">
        <f>NPV(realdiscrt1,AE$13:AE15)/(1+realdiscrt1)^-Half_Year</f>
        <v>23.038465809737808</v>
      </c>
      <c r="AF95" s="613">
        <f>NPV(realdiscrt1,AF$13:AF15)/(1+realdiscrt1)^-Half_Year</f>
        <v>0</v>
      </c>
      <c r="AG95" s="607">
        <f>NPV(realdiscrt1,AG$13:AG15)/(1+realdiscrt1)^-Half_Year</f>
        <v>1.1132651709265355</v>
      </c>
      <c r="AH95" s="614">
        <f>NPV(realdiscrt1,AH$13:AH15)/(1+realdiscrt1)^-Half_Year</f>
        <v>1.1132651709265355</v>
      </c>
      <c r="AI95" s="614">
        <f>NPV(realdiscrt1,AI$13:AI15)/(1+realdiscrt1)^-Half_Year</f>
        <v>2.0824401832713142</v>
      </c>
      <c r="AJ95" s="614">
        <f>NPV(realdiscrt1,AJ$13:AJ15)/(1+realdiscrt1)^-Half_Year</f>
        <v>1.7432289289506417</v>
      </c>
      <c r="AK95" s="614">
        <f>NPV(realdiscrt1,AK$13:AK15)/(1+realdiscrt1)^-Half_Year</f>
        <v>1.1132651709265355</v>
      </c>
      <c r="AL95" s="614">
        <f>NPV(realdiscrt1,AL$13:AL15)/(1+realdiscrt1)^-Half_Year</f>
        <v>2.0824401832713142</v>
      </c>
      <c r="AM95" s="614">
        <f>NPV(realdiscrt1,AM$13:AM15)/(1+realdiscrt1)^-Half_Year</f>
        <v>1.6589107028766454</v>
      </c>
      <c r="AN95" s="594">
        <f>NPV(realdiscrt1,AN$13:AN15)/(1+realdiscrt1)^-Half_Year</f>
        <v>65.288729448687775</v>
      </c>
      <c r="AO95" s="595">
        <f>NPV(realdiscrt1,AO$13:AO15)/(1+realdiscrt1)^-Half_Year</f>
        <v>53.829349439460003</v>
      </c>
      <c r="AP95" s="580">
        <f>NPV(realdiscrt1,AP$13:AP15)/(1+realdiscrt1)^-Half_Year</f>
        <v>55.070976542111659</v>
      </c>
      <c r="AQ95" s="610">
        <f>NPV(realdiscrt1,AQ$13:AQ15)/(1+realdiscrt1)^-Half_Year</f>
        <v>3.6075682999183359E-2</v>
      </c>
      <c r="AR95" s="595">
        <f>NPV(realdiscrt1,AR$13:AR15)/(1+realdiscrt1)^-Half_Year</f>
        <v>58.544185046230993</v>
      </c>
      <c r="AS95" s="612">
        <f>NPV(realdiscrt1,AS$13:AS15)/(1+realdiscrt1)^-Half_Year</f>
        <v>93.457065853855084</v>
      </c>
      <c r="AT95" s="594">
        <f>NPV(realdiscrt1,AT$13:AT15)/(1+realdiscrt1)^-Half_Year</f>
        <v>39.479969762314049</v>
      </c>
      <c r="AU95" s="609">
        <f>NPV(realdiscrt1,AU$13:AU15)/(1+realdiscrt1)^-Half_Year</f>
        <v>63.626461608264052</v>
      </c>
      <c r="AV95" s="608">
        <f>NPV(realdiscrt1,AV$13:AV15)/(1+realdiscrt1)^-Half_Year</f>
        <v>2.5401469662637892E-2</v>
      </c>
      <c r="AW95" s="612">
        <f>NPV(realdiscrt1,AW$13:AW15)/(1+realdiscrt1)^-Half_Year</f>
        <v>2.5401469662637892E-2</v>
      </c>
      <c r="AX95" s="600">
        <f>NPV(realdiscrt1,AX$13:AX15)/(1+realdiscrt1)^-Half_Year</f>
        <v>2.9908237008989733</v>
      </c>
      <c r="AY95" s="615">
        <f>NPV(realdiscrt1,AY$13:AY15)/(1+realdiscrt1)^-Half_Year</f>
        <v>40.338913319794536</v>
      </c>
      <c r="AZ95" s="607">
        <f>NPV(realdiscrt1,AZ$13:AZ15)/(1+realdiscrt1)^-Half_Year</f>
        <v>0.13327356120333078</v>
      </c>
      <c r="BA95" s="614">
        <f>NPV(realdiscrt1,BA$13:BA15)/(1+realdiscrt1)^-Half_Year</f>
        <v>0.13611390201735835</v>
      </c>
      <c r="BB95" s="614">
        <f>NPV(realdiscrt1,BB$13:BB15)/(1+realdiscrt1)^-Half_Year</f>
        <v>0.12983054482099604</v>
      </c>
      <c r="BC95" s="610">
        <f>NPV(realdiscrt1,BC$13:BC15)/(1+realdiscrt1)^-Half_Year</f>
        <v>0.13065555499438286</v>
      </c>
    </row>
    <row r="96" spans="1:57" s="325" customFormat="1" ht="14.25">
      <c r="A96" s="602">
        <f t="shared" si="91"/>
        <v>4</v>
      </c>
      <c r="B96" s="603">
        <f t="shared" si="90"/>
        <v>2024</v>
      </c>
      <c r="C96" s="604">
        <f>NPV(realdiscrt1,C$13:C16)/(1+realdiscrt1)^-Half_Year</f>
        <v>0.28694248506603748</v>
      </c>
      <c r="D96" s="605">
        <f>NPV(realdiscrt1,D$13:D16)/(1+realdiscrt1)^-Half_Year</f>
        <v>0.26521565001938024</v>
      </c>
      <c r="E96" s="605">
        <f>NPV(realdiscrt1,E$13:E16)/(1+realdiscrt1)^-Half_Year</f>
        <v>0.23116438193650557</v>
      </c>
      <c r="F96" s="606">
        <f>NPV(realdiscrt1,F$13:F16)/(1+realdiscrt1)^-Half_Year</f>
        <v>0.19674809383536992</v>
      </c>
      <c r="G96" s="604">
        <f>NPV(realdiscrt1,G$13:G16)/(1+realdiscrt1)^-Half_Year</f>
        <v>2.756039651585547E-2</v>
      </c>
      <c r="H96" s="605">
        <f>NPV(realdiscrt1,H$13:H16)/(1+realdiscrt1)^-Half_Year</f>
        <v>2.0239555673446038E-2</v>
      </c>
      <c r="I96" s="605">
        <f>NPV(realdiscrt1,I$13:I16)/(1+realdiscrt1)^-Half_Year</f>
        <v>2.0810946979104353E-2</v>
      </c>
      <c r="J96" s="605">
        <f>NPV(realdiscrt1,J$13:J16)/(1+realdiscrt1)^-Half_Year</f>
        <v>1.3911015727524763E-2</v>
      </c>
      <c r="K96" s="607">
        <f>NPV(realdiscrt1,K$13:K16)/(1+realdiscrt1)^-Half_Year</f>
        <v>9.5622595970328225E-3</v>
      </c>
      <c r="L96" s="1321">
        <f>NPV(realdiscrt1,L$13:L16)/(1+realdiscrt1)^-Half_Year</f>
        <v>260.52942503182675</v>
      </c>
      <c r="M96" s="609">
        <f>NPV(realdiscrt1,M$13:M16)/(1+realdiscrt1)^-Half_Year</f>
        <v>67.319144699408866</v>
      </c>
      <c r="N96" s="609">
        <f>NPV(realdiscrt1,N$13:N16)/(1+realdiscrt1)^-Half_Year</f>
        <v>67.319144699408866</v>
      </c>
      <c r="O96" s="612">
        <f>NPV(realdiscrt1,O$13:O16)/(1+realdiscrt1)^-Half_Year</f>
        <v>0</v>
      </c>
      <c r="P96" s="782">
        <f t="shared" si="88"/>
        <v>5.9007685016304494</v>
      </c>
      <c r="Q96" s="782">
        <f t="shared" si="88"/>
        <v>0</v>
      </c>
      <c r="R96" s="1316">
        <f t="shared" si="89"/>
        <v>0</v>
      </c>
      <c r="S96" s="595">
        <f>NPV(realdiscrt1,S$13:S16)/(1+realdiscrt1)^-Half_Year</f>
        <v>0</v>
      </c>
      <c r="T96" s="595">
        <f>NPV(realdiscrt1,T$13:T16)/(1+realdiscrt1)^-Half_Year</f>
        <v>0</v>
      </c>
      <c r="U96" s="610">
        <f>NPV(realdiscrt1,U$13:U16)/(1+realdiscrt1)^-Half_Year</f>
        <v>0</v>
      </c>
      <c r="V96" s="611">
        <f>NPV(realdiscrt1,V$13:V16)/(1+realdiscrt1)^-Half_Year</f>
        <v>385.84551182385695</v>
      </c>
      <c r="W96" s="609">
        <f>NPV(realdiscrt1,W$13:W16)/(1+realdiscrt1)^-Half_Year</f>
        <v>0</v>
      </c>
      <c r="X96" s="612">
        <f>NPV(realdiscrt1,X$13:X16)/(1+realdiscrt1)^-Half_Year</f>
        <v>334.2536150076063</v>
      </c>
      <c r="Y96" s="608">
        <f>NPV(realdiscrt1,Y$13:Y16)/(1+realdiscrt1)^-Half_Year</f>
        <v>24.927468872503564</v>
      </c>
      <c r="Z96" s="609">
        <f>NPV(realdiscrt1,Z$13:Z16)/(1+realdiscrt1)^-Half_Year</f>
        <v>31.858544296199216</v>
      </c>
      <c r="AA96" s="609">
        <f>NPV(realdiscrt1,AA$13:AA16)/(1+realdiscrt1)^-Half_Year</f>
        <v>36.661412491206612</v>
      </c>
      <c r="AB96" s="609">
        <f>NPV(realdiscrt1,AB$13:AB16)/(1+realdiscrt1)^-Half_Year</f>
        <v>34.405231736458688</v>
      </c>
      <c r="AC96" s="609">
        <f>NPV(realdiscrt1,AC$13:AC16)/(1+realdiscrt1)^-Half_Year</f>
        <v>27.755968241637195</v>
      </c>
      <c r="AD96" s="609">
        <f>NPV(realdiscrt1,AD$13:AD16)/(1+realdiscrt1)^-Half_Year</f>
        <v>32.765683915533756</v>
      </c>
      <c r="AE96" s="612">
        <f>NPV(realdiscrt1,AE$13:AE16)/(1+realdiscrt1)^-Half_Year</f>
        <v>30.576438166040955</v>
      </c>
      <c r="AF96" s="613">
        <f>NPV(realdiscrt1,AF$13:AF16)/(1+realdiscrt1)^-Half_Year</f>
        <v>1.0046681448636722E-2</v>
      </c>
      <c r="AG96" s="607">
        <f>NPV(realdiscrt1,AG$13:AG16)/(1+realdiscrt1)^-Half_Year</f>
        <v>1.555319154666551</v>
      </c>
      <c r="AH96" s="614">
        <f>NPV(realdiscrt1,AH$13:AH16)/(1+realdiscrt1)^-Half_Year</f>
        <v>1.555319154666551</v>
      </c>
      <c r="AI96" s="614">
        <f>NPV(realdiscrt1,AI$13:AI16)/(1+realdiscrt1)^-Half_Year</f>
        <v>2.9062680620595254</v>
      </c>
      <c r="AJ96" s="614">
        <f>NPV(realdiscrt1,AJ$13:AJ16)/(1+realdiscrt1)^-Half_Year</f>
        <v>2.4334359444719844</v>
      </c>
      <c r="AK96" s="614">
        <f>NPV(realdiscrt1,AK$13:AK16)/(1+realdiscrt1)^-Half_Year</f>
        <v>1.555319154666551</v>
      </c>
      <c r="AL96" s="614">
        <f>NPV(realdiscrt1,AL$13:AL16)/(1+realdiscrt1)^-Half_Year</f>
        <v>2.9062680620595254</v>
      </c>
      <c r="AM96" s="614">
        <f>NPV(realdiscrt1,AM$13:AM16)/(1+realdiscrt1)^-Half_Year</f>
        <v>2.315903389528795</v>
      </c>
      <c r="AN96" s="594">
        <f>NPV(realdiscrt1,AN$13:AN16)/(1+realdiscrt1)^-Half_Year</f>
        <v>88.628934834756336</v>
      </c>
      <c r="AO96" s="595">
        <f>NPV(realdiscrt1,AO$13:AO16)/(1+realdiscrt1)^-Half_Year</f>
        <v>73.143665464964911</v>
      </c>
      <c r="AP96" s="580">
        <f>NPV(realdiscrt1,AP$13:AP16)/(1+realdiscrt1)^-Half_Year</f>
        <v>74.879387694569999</v>
      </c>
      <c r="AQ96" s="610">
        <f>NPV(realdiscrt1,AQ$13:AQ16)/(1+realdiscrt1)^-Half_Year</f>
        <v>4.7932764786559501E-2</v>
      </c>
      <c r="AR96" s="595">
        <f>NPV(realdiscrt1,AR$13:AR16)/(1+realdiscrt1)^-Half_Year</f>
        <v>79.473269050124088</v>
      </c>
      <c r="AS96" s="612">
        <f>NPV(realdiscrt1,AS$13:AS16)/(1+realdiscrt1)^-Half_Year</f>
        <v>126.61718248629265</v>
      </c>
      <c r="AT96" s="594">
        <f>NPV(realdiscrt1,AT$13:AT16)/(1+realdiscrt1)^-Half_Year</f>
        <v>53.593747295883531</v>
      </c>
      <c r="AU96" s="609">
        <f>NPV(realdiscrt1,AU$13:AU16)/(1+realdiscrt1)^-Half_Year</f>
        <v>86.372419363389824</v>
      </c>
      <c r="AV96" s="608">
        <f>NPV(realdiscrt1,AV$13:AV16)/(1+realdiscrt1)^-Half_Year</f>
        <v>3.363355356725245E-2</v>
      </c>
      <c r="AW96" s="612">
        <f>NPV(realdiscrt1,AW$13:AW16)/(1+realdiscrt1)^-Half_Year</f>
        <v>3.363355356725245E-2</v>
      </c>
      <c r="AX96" s="600">
        <f>NPV(realdiscrt1,AX$13:AX16)/(1+realdiscrt1)^-Half_Year</f>
        <v>3.96008697490252</v>
      </c>
      <c r="AY96" s="615">
        <f>NPV(realdiscrt1,AY$13:AY16)/(1+realdiscrt1)^-Half_Year</f>
        <v>55.28747840146108</v>
      </c>
      <c r="AZ96" s="607">
        <f>NPV(realdiscrt1,AZ$13:AZ16)/(1+realdiscrt1)^-Half_Year</f>
        <v>0.17587584759013844</v>
      </c>
      <c r="BA96" s="614">
        <f>NPV(realdiscrt1,BA$13:BA16)/(1+realdiscrt1)^-Half_Year</f>
        <v>0.17962413302350974</v>
      </c>
      <c r="BB96" s="614">
        <f>NPV(realdiscrt1,BB$13:BB16)/(1+realdiscrt1)^-Half_Year</f>
        <v>0.17133223504581696</v>
      </c>
      <c r="BC96" s="610">
        <f>NPV(realdiscrt1,BC$13:BC16)/(1+realdiscrt1)^-Half_Year</f>
        <v>0.17242096834148926</v>
      </c>
    </row>
    <row r="97" spans="1:55" s="325" customFormat="1" ht="14.25">
      <c r="A97" s="602">
        <f t="shared" si="91"/>
        <v>5</v>
      </c>
      <c r="B97" s="603">
        <f t="shared" si="90"/>
        <v>2025</v>
      </c>
      <c r="C97" s="604">
        <f>NPV(realdiscrt1,C$13:C17)/(1+realdiscrt1)^-Half_Year</f>
        <v>0.35444411185577468</v>
      </c>
      <c r="D97" s="605">
        <f>NPV(realdiscrt1,D$13:D17)/(1+realdiscrt1)^-Half_Year</f>
        <v>0.32934534522348552</v>
      </c>
      <c r="E97" s="605">
        <f>NPV(realdiscrt1,E$13:E17)/(1+realdiscrt1)^-Half_Year</f>
        <v>0.2851989507182815</v>
      </c>
      <c r="F97" s="606">
        <f>NPV(realdiscrt1,F$13:F17)/(1+realdiscrt1)^-Half_Year</f>
        <v>0.24559958545993926</v>
      </c>
      <c r="G97" s="604">
        <f>NPV(realdiscrt1,G$13:G17)/(1+realdiscrt1)^-Half_Year</f>
        <v>3.4829529997890574E-2</v>
      </c>
      <c r="H97" s="605">
        <f>NPV(realdiscrt1,H$13:H17)/(1+realdiscrt1)^-Half_Year</f>
        <v>2.5316024900901193E-2</v>
      </c>
      <c r="I97" s="605">
        <f>NPV(realdiscrt1,I$13:I17)/(1+realdiscrt1)^-Half_Year</f>
        <v>2.6155775728221597E-2</v>
      </c>
      <c r="J97" s="605">
        <f>NPV(realdiscrt1,J$13:J17)/(1+realdiscrt1)^-Half_Year</f>
        <v>1.7257899052069547E-2</v>
      </c>
      <c r="K97" s="607">
        <f>NPV(realdiscrt1,K$13:K17)/(1+realdiscrt1)^-Half_Year</f>
        <v>1.1440429032720578E-2</v>
      </c>
      <c r="L97" s="1321">
        <f>NPV(realdiscrt1,L$13:L17)/(1+realdiscrt1)^-Half_Year</f>
        <v>330.05353614756041</v>
      </c>
      <c r="M97" s="609">
        <f>NPV(realdiscrt1,M$13:M17)/(1+realdiscrt1)^-Half_Year</f>
        <v>129.95874250667768</v>
      </c>
      <c r="N97" s="609">
        <f>NPV(realdiscrt1,N$13:N17)/(1+realdiscrt1)^-Half_Year</f>
        <v>129.95874250667768</v>
      </c>
      <c r="O97" s="612">
        <f>NPV(realdiscrt1,O$13:O17)/(1+realdiscrt1)^-Half_Year</f>
        <v>0</v>
      </c>
      <c r="P97" s="782">
        <f t="shared" si="88"/>
        <v>3.9236014427563974</v>
      </c>
      <c r="Q97" s="782">
        <f t="shared" si="88"/>
        <v>0</v>
      </c>
      <c r="R97" s="1316">
        <f t="shared" si="89"/>
        <v>0</v>
      </c>
      <c r="S97" s="595">
        <f>NPV(realdiscrt1,S$13:S17)/(1+realdiscrt1)^-Half_Year</f>
        <v>0</v>
      </c>
      <c r="T97" s="595">
        <f>NPV(realdiscrt1,T$13:T17)/(1+realdiscrt1)^-Half_Year</f>
        <v>0</v>
      </c>
      <c r="U97" s="610">
        <f>NPV(realdiscrt1,U$13:U17)/(1+realdiscrt1)^-Half_Year</f>
        <v>0</v>
      </c>
      <c r="V97" s="611">
        <f>NPV(realdiscrt1,V$13:V17)/(1+realdiscrt1)^-Half_Year</f>
        <v>478.9672048009574</v>
      </c>
      <c r="W97" s="609">
        <f>NPV(realdiscrt1,W$13:W17)/(1+realdiscrt1)^-Half_Year</f>
        <v>0</v>
      </c>
      <c r="X97" s="612">
        <f>NPV(realdiscrt1,X$13:X17)/(1+realdiscrt1)^-Half_Year</f>
        <v>414.92388733005265</v>
      </c>
      <c r="Y97" s="608">
        <f>NPV(realdiscrt1,Y$13:Y17)/(1+realdiscrt1)^-Half_Year</f>
        <v>31.024924257791458</v>
      </c>
      <c r="Z97" s="609">
        <f>NPV(realdiscrt1,Z$13:Z17)/(1+realdiscrt1)^-Half_Year</f>
        <v>39.617392836016244</v>
      </c>
      <c r="AA97" s="609">
        <f>NPV(realdiscrt1,AA$13:AA17)/(1+realdiscrt1)^-Half_Year</f>
        <v>45.576457830394659</v>
      </c>
      <c r="AB97" s="609">
        <f>NPV(realdiscrt1,AB$13:AB17)/(1+realdiscrt1)^-Half_Year</f>
        <v>42.778499985515559</v>
      </c>
      <c r="AC97" s="609">
        <f>NPV(realdiscrt1,AC$13:AC17)/(1+realdiscrt1)^-Half_Year</f>
        <v>34.531808436197359</v>
      </c>
      <c r="AD97" s="609">
        <f>NPV(realdiscrt1,AD$13:AD17)/(1+realdiscrt1)^-Half_Year</f>
        <v>40.743619316966509</v>
      </c>
      <c r="AE97" s="612">
        <f>NPV(realdiscrt1,AE$13:AE17)/(1+realdiscrt1)^-Half_Year</f>
        <v>38.029057962070389</v>
      </c>
      <c r="AF97" s="613">
        <f>NPV(realdiscrt1,AF$13:AF17)/(1+realdiscrt1)^-Half_Year</f>
        <v>1.9953244531306983E-2</v>
      </c>
      <c r="AG97" s="607">
        <f>NPV(realdiscrt1,AG$13:AG17)/(1+realdiscrt1)^-Half_Year</f>
        <v>1.9515816779733617</v>
      </c>
      <c r="AH97" s="614">
        <f>NPV(realdiscrt1,AH$13:AH17)/(1+realdiscrt1)^-Half_Year</f>
        <v>1.9515816779733617</v>
      </c>
      <c r="AI97" s="614">
        <f>NPV(realdiscrt1,AI$13:AI17)/(1+realdiscrt1)^-Half_Year</f>
        <v>3.6393537301771253</v>
      </c>
      <c r="AJ97" s="614">
        <f>NPV(realdiscrt1,AJ$13:AJ17)/(1+realdiscrt1)^-Half_Year</f>
        <v>3.0486335119058072</v>
      </c>
      <c r="AK97" s="614">
        <f>NPV(realdiscrt1,AK$13:AK17)/(1+realdiscrt1)^-Half_Year</f>
        <v>1.9515816779733617</v>
      </c>
      <c r="AL97" s="614">
        <f>NPV(realdiscrt1,AL$13:AL17)/(1+realdiscrt1)^-Half_Year</f>
        <v>3.6393537301771253</v>
      </c>
      <c r="AM97" s="614">
        <f>NPV(realdiscrt1,AM$13:AM17)/(1+realdiscrt1)^-Half_Year</f>
        <v>2.9017973433640796</v>
      </c>
      <c r="AN97" s="594">
        <f>NPV(realdiscrt1,AN$13:AN17)/(1+realdiscrt1)^-Half_Year</f>
        <v>112.11722705634489</v>
      </c>
      <c r="AO97" s="595">
        <f>NPV(realdiscrt1,AO$13:AO17)/(1+realdiscrt1)^-Half_Year</f>
        <v>92.684172792545525</v>
      </c>
      <c r="AP97" s="580">
        <f>NPV(realdiscrt1,AP$13:AP17)/(1+realdiscrt1)^-Half_Year</f>
        <v>94.952229561314269</v>
      </c>
      <c r="AQ97" s="610">
        <f>NPV(realdiscrt1,AQ$13:AQ17)/(1+realdiscrt1)^-Half_Year</f>
        <v>5.9800834972819211E-2</v>
      </c>
      <c r="AR97" s="595">
        <f>NPV(realdiscrt1,AR$13:AR17)/(1+realdiscrt1)^-Half_Year</f>
        <v>100.53514202348866</v>
      </c>
      <c r="AS97" s="612">
        <f>NPV(realdiscrt1,AS$13:AS17)/(1+realdiscrt1)^-Half_Year</f>
        <v>159.24727157778995</v>
      </c>
      <c r="AT97" s="594">
        <f>NPV(realdiscrt1,AT$13:AT17)/(1+realdiscrt1)^-Half_Year</f>
        <v>67.79707265551572</v>
      </c>
      <c r="AU97" s="609">
        <f>NPV(realdiscrt1,AU$13:AU17)/(1+realdiscrt1)^-Half_Year</f>
        <v>109.2626936251235</v>
      </c>
      <c r="AV97" s="608">
        <f>NPV(realdiscrt1,AV$13:AV17)/(1+realdiscrt1)^-Half_Year</f>
        <v>4.1750826810146476E-2</v>
      </c>
      <c r="AW97" s="612">
        <f>NPV(realdiscrt1,AW$13:AW17)/(1+realdiscrt1)^-Half_Year</f>
        <v>4.1750826810146476E-2</v>
      </c>
      <c r="AX97" s="600">
        <f>NPV(realdiscrt1,AX$13:AX17)/(1+realdiscrt1)^-Half_Year</f>
        <v>4.915832194527713</v>
      </c>
      <c r="AY97" s="615">
        <f>NPV(realdiscrt1,AY$13:AY17)/(1+realdiscrt1)^-Half_Year</f>
        <v>71.133065973246119</v>
      </c>
      <c r="AZ97" s="607">
        <f>NPV(realdiscrt1,AZ$13:AZ17)/(1+realdiscrt1)^-Half_Year</f>
        <v>0.21753496176146547</v>
      </c>
      <c r="BA97" s="614">
        <f>NPV(realdiscrt1,BA$13:BA17)/(1+realdiscrt1)^-Half_Year</f>
        <v>0.22217109082405087</v>
      </c>
      <c r="BB97" s="614">
        <f>NPV(realdiscrt1,BB$13:BB17)/(1+realdiscrt1)^-Half_Year</f>
        <v>0.211915119158681</v>
      </c>
      <c r="BC97" s="610">
        <f>NPV(realdiscrt1,BC$13:BC17)/(1+realdiscrt1)^-Half_Year</f>
        <v>0.21326173700921403</v>
      </c>
    </row>
    <row r="98" spans="1:55" s="325" customFormat="1" ht="14.25">
      <c r="A98" s="602">
        <f t="shared" si="91"/>
        <v>6</v>
      </c>
      <c r="B98" s="603">
        <f t="shared" si="90"/>
        <v>2026</v>
      </c>
      <c r="C98" s="604">
        <f>NPV(realdiscrt1,C$13:C18)/(1+realdiscrt1)^-Half_Year</f>
        <v>0.42050138888226324</v>
      </c>
      <c r="D98" s="605">
        <f>NPV(realdiscrt1,D$13:D18)/(1+realdiscrt1)^-Half_Year</f>
        <v>0.39154881033336086</v>
      </c>
      <c r="E98" s="605">
        <f>NPV(realdiscrt1,E$13:E18)/(1+realdiscrt1)^-Half_Year</f>
        <v>0.34178104712523233</v>
      </c>
      <c r="F98" s="606">
        <f>NPV(realdiscrt1,F$13:F18)/(1+realdiscrt1)^-Half_Year</f>
        <v>0.29561749562114853</v>
      </c>
      <c r="G98" s="604">
        <f>NPV(realdiscrt1,G$13:G18)/(1+realdiscrt1)^-Half_Year</f>
        <v>4.0735460316848042E-2</v>
      </c>
      <c r="H98" s="605">
        <f>NPV(realdiscrt1,H$13:H18)/(1+realdiscrt1)^-Half_Year</f>
        <v>2.9782366009818862E-2</v>
      </c>
      <c r="I98" s="605">
        <f>NPV(realdiscrt1,I$13:I18)/(1+realdiscrt1)^-Half_Year</f>
        <v>3.0133683230596439E-2</v>
      </c>
      <c r="J98" s="605">
        <f>NPV(realdiscrt1,J$13:J18)/(1+realdiscrt1)^-Half_Year</f>
        <v>2.0156343092853309E-2</v>
      </c>
      <c r="K98" s="607">
        <f>NPV(realdiscrt1,K$13:K18)/(1+realdiscrt1)^-Half_Year</f>
        <v>1.2632838083377963E-2</v>
      </c>
      <c r="L98" s="1321">
        <f>NPV(realdiscrt1,L$13:L18)/(1+realdiscrt1)^-Half_Year</f>
        <v>404.36178572872728</v>
      </c>
      <c r="M98" s="609">
        <f>NPV(realdiscrt1,M$13:M18)/(1+realdiscrt1)^-Half_Year</f>
        <v>215.74377401993263</v>
      </c>
      <c r="N98" s="609">
        <f>NPV(realdiscrt1,N$13:N18)/(1+realdiscrt1)^-Half_Year</f>
        <v>215.74377401993263</v>
      </c>
      <c r="O98" s="612">
        <f>NPV(realdiscrt1,O$13:O18)/(1+realdiscrt1)^-Half_Year</f>
        <v>0</v>
      </c>
      <c r="P98" s="782">
        <f t="shared" si="88"/>
        <v>0</v>
      </c>
      <c r="Q98" s="782">
        <f t="shared" si="88"/>
        <v>4.1631246617918665</v>
      </c>
      <c r="R98" s="1316">
        <f t="shared" si="89"/>
        <v>4.1631246617918665</v>
      </c>
      <c r="S98" s="595">
        <f>NPV(realdiscrt1,S$13:S18)/(1+realdiscrt1)^-Half_Year</f>
        <v>0</v>
      </c>
      <c r="T98" s="595">
        <f>NPV(realdiscrt1,T$13:T18)/(1+realdiscrt1)^-Half_Year</f>
        <v>0</v>
      </c>
      <c r="U98" s="610">
        <f>NPV(realdiscrt1,U$13:U18)/(1+realdiscrt1)^-Half_Year</f>
        <v>0</v>
      </c>
      <c r="V98" s="611">
        <f>NPV(realdiscrt1,V$13:V18)/(1+realdiscrt1)^-Half_Year</f>
        <v>570.79015455397041</v>
      </c>
      <c r="W98" s="609">
        <f>NPV(realdiscrt1,W$13:W18)/(1+realdiscrt1)^-Half_Year</f>
        <v>0</v>
      </c>
      <c r="X98" s="612">
        <f>NPV(realdiscrt1,X$13:X18)/(1+realdiscrt1)^-Half_Year</f>
        <v>494.46907304577439</v>
      </c>
      <c r="Y98" s="608">
        <f>NPV(realdiscrt1,Y$13:Y18)/(1+realdiscrt1)^-Half_Year</f>
        <v>37.113328935930348</v>
      </c>
      <c r="Z98" s="609">
        <f>NPV(realdiscrt1,Z$13:Z18)/(1+realdiscrt1)^-Half_Year</f>
        <v>47.341380839319221</v>
      </c>
      <c r="AA98" s="609">
        <f>NPV(realdiscrt1,AA$13:AA18)/(1+realdiscrt1)^-Half_Year</f>
        <v>54.439844825096586</v>
      </c>
      <c r="AB98" s="609">
        <f>NPV(realdiscrt1,AB$13:AB18)/(1+realdiscrt1)^-Half_Year</f>
        <v>51.108297158070904</v>
      </c>
      <c r="AC98" s="609">
        <f>NPV(realdiscrt1,AC$13:AC18)/(1+realdiscrt1)^-Half_Year</f>
        <v>41.288287626161122</v>
      </c>
      <c r="AD98" s="609">
        <f>NPV(realdiscrt1,AD$13:AD18)/(1+realdiscrt1)^-Half_Year</f>
        <v>48.683704540885621</v>
      </c>
      <c r="AE98" s="612">
        <f>NPV(realdiscrt1,AE$13:AE18)/(1+realdiscrt1)^-Half_Year</f>
        <v>45.451907349151007</v>
      </c>
      <c r="AF98" s="613">
        <f>NPV(realdiscrt1,AF$13:AF18)/(1+realdiscrt1)^-Half_Year</f>
        <v>2.9721643441201994E-2</v>
      </c>
      <c r="AG98" s="607">
        <f>NPV(realdiscrt1,AG$13:AG18)/(1+realdiscrt1)^-Half_Year</f>
        <v>2.2348652463603167</v>
      </c>
      <c r="AH98" s="614">
        <f>NPV(realdiscrt1,AH$13:AH18)/(1+realdiscrt1)^-Half_Year</f>
        <v>2.2348652463603167</v>
      </c>
      <c r="AI98" s="614">
        <f>NPV(realdiscrt1,AI$13:AI18)/(1+realdiscrt1)^-Half_Year</f>
        <v>4.1570788724015602</v>
      </c>
      <c r="AJ98" s="614">
        <f>NPV(realdiscrt1,AJ$13:AJ18)/(1+realdiscrt1)^-Half_Year</f>
        <v>3.4843041032871245</v>
      </c>
      <c r="AK98" s="614">
        <f>NPV(realdiscrt1,AK$13:AK18)/(1+realdiscrt1)^-Half_Year</f>
        <v>2.2348652463603167</v>
      </c>
      <c r="AL98" s="614">
        <f>NPV(realdiscrt1,AL$13:AL18)/(1+realdiscrt1)^-Half_Year</f>
        <v>4.1570788724015602</v>
      </c>
      <c r="AM98" s="614">
        <f>NPV(realdiscrt1,AM$13:AM18)/(1+realdiscrt1)^-Half_Year</f>
        <v>3.3170715178215358</v>
      </c>
      <c r="AN98" s="594">
        <f>NPV(realdiscrt1,AN$13:AN18)/(1+realdiscrt1)^-Half_Year</f>
        <v>135.64037783611283</v>
      </c>
      <c r="AO98" s="595">
        <f>NPV(realdiscrt1,AO$13:AO18)/(1+realdiscrt1)^-Half_Year</f>
        <v>112.26946660330873</v>
      </c>
      <c r="AP98" s="580">
        <f>NPV(realdiscrt1,AP$13:AP18)/(1+realdiscrt1)^-Half_Year</f>
        <v>115.08708749332425</v>
      </c>
      <c r="AQ98" s="610">
        <f>NPV(realdiscrt1,AQ$13:AQ18)/(1+realdiscrt1)^-Half_Year</f>
        <v>7.16354576394551E-2</v>
      </c>
      <c r="AR98" s="595">
        <f>NPV(realdiscrt1,AR$13:AR18)/(1+realdiscrt1)^-Half_Year</f>
        <v>121.62827254923219</v>
      </c>
      <c r="AS98" s="612">
        <f>NPV(realdiscrt1,AS$13:AS18)/(1+realdiscrt1)^-Half_Year</f>
        <v>191.48123409294899</v>
      </c>
      <c r="AT98" s="594">
        <f>NPV(realdiscrt1,AT$13:AT18)/(1+realdiscrt1)^-Half_Year</f>
        <v>82.02147691857428</v>
      </c>
      <c r="AU98" s="609">
        <f>NPV(realdiscrt1,AU$13:AU18)/(1+realdiscrt1)^-Half_Year</f>
        <v>132.18693893718159</v>
      </c>
      <c r="AV98" s="608">
        <f>NPV(realdiscrt1,AV$13:AV18)/(1+realdiscrt1)^-Half_Year</f>
        <v>4.9754890624761884E-2</v>
      </c>
      <c r="AW98" s="612">
        <f>NPV(realdiscrt1,AW$13:AW18)/(1+realdiscrt1)^-Half_Year</f>
        <v>4.9754890624761884E-2</v>
      </c>
      <c r="AX98" s="600">
        <f>NPV(realdiscrt1,AX$13:AX18)/(1+realdiscrt1)^-Half_Year</f>
        <v>5.8582478924457844</v>
      </c>
      <c r="AY98" s="615">
        <f>NPV(realdiscrt1,AY$13:AY18)/(1+realdiscrt1)^-Half_Year</f>
        <v>87.84774730697842</v>
      </c>
      <c r="AZ98" s="607">
        <f>NPV(realdiscrt1,AZ$13:AZ18)/(1+realdiscrt1)^-Half_Year</f>
        <v>0.25828485528761563</v>
      </c>
      <c r="BA98" s="614">
        <f>NPV(realdiscrt1,BA$13:BA18)/(1+realdiscrt1)^-Half_Year</f>
        <v>0.26378945056889103</v>
      </c>
      <c r="BB98" s="614">
        <f>NPV(realdiscrt1,BB$13:BB18)/(1+realdiscrt1)^-Half_Year</f>
        <v>0.25161227161809496</v>
      </c>
      <c r="BC98" s="610">
        <f>NPV(realdiscrt1,BC$13:BC18)/(1+realdiscrt1)^-Half_Year</f>
        <v>0.2532111456282139</v>
      </c>
    </row>
    <row r="99" spans="1:55" s="325" customFormat="1" ht="14.25">
      <c r="A99" s="602">
        <f t="shared" si="91"/>
        <v>7</v>
      </c>
      <c r="B99" s="603">
        <f t="shared" si="90"/>
        <v>2027</v>
      </c>
      <c r="C99" s="604">
        <f>NPV(realdiscrt1,C$13:C19)/(1+realdiscrt1)^-Half_Year</f>
        <v>0.48973608857383089</v>
      </c>
      <c r="D99" s="605">
        <f>NPV(realdiscrt1,D$13:D19)/(1+realdiscrt1)^-Half_Year</f>
        <v>0.45659701910824929</v>
      </c>
      <c r="E99" s="605">
        <f>NPV(realdiscrt1,E$13:E19)/(1+realdiscrt1)^-Half_Year</f>
        <v>0.39455492220596411</v>
      </c>
      <c r="F99" s="606">
        <f>NPV(realdiscrt1,F$13:F19)/(1+realdiscrt1)^-Half_Year</f>
        <v>0.34177809605614851</v>
      </c>
      <c r="G99" s="604">
        <f>NPV(realdiscrt1,G$13:G19)/(1+realdiscrt1)^-Half_Year</f>
        <v>4.4932793447162292E-2</v>
      </c>
      <c r="H99" s="605">
        <f>NPV(realdiscrt1,H$13:H19)/(1+realdiscrt1)^-Half_Year</f>
        <v>3.2954546265519011E-2</v>
      </c>
      <c r="I99" s="605">
        <f>NPV(realdiscrt1,I$13:I19)/(1+realdiscrt1)^-Half_Year</f>
        <v>3.3305242179102988E-2</v>
      </c>
      <c r="J99" s="605">
        <f>NPV(realdiscrt1,J$13:J19)/(1+realdiscrt1)^-Half_Year</f>
        <v>2.2422355873904589E-2</v>
      </c>
      <c r="K99" s="607">
        <f>NPV(realdiscrt1,K$13:K19)/(1+realdiscrt1)^-Half_Year</f>
        <v>1.3523273956925394E-2</v>
      </c>
      <c r="L99" s="1321">
        <f>NPV(realdiscrt1,L$13:L19)/(1+realdiscrt1)^-Half_Year</f>
        <v>483.49254641747757</v>
      </c>
      <c r="M99" s="609">
        <f>NPV(realdiscrt1,M$13:M19)/(1+realdiscrt1)^-Half_Year</f>
        <v>316.89909428809551</v>
      </c>
      <c r="N99" s="609">
        <f>NPV(realdiscrt1,N$13:N19)/(1+realdiscrt1)^-Half_Year</f>
        <v>316.89909428809551</v>
      </c>
      <c r="O99" s="612">
        <f>NPV(realdiscrt1,O$13:O19)/(1+realdiscrt1)^-Half_Year</f>
        <v>0</v>
      </c>
      <c r="P99" s="782">
        <f t="shared" si="88"/>
        <v>0</v>
      </c>
      <c r="Q99" s="782">
        <f t="shared" si="88"/>
        <v>92.114999028346972</v>
      </c>
      <c r="R99" s="1316">
        <f t="shared" si="89"/>
        <v>92.114999028346972</v>
      </c>
      <c r="S99" s="595">
        <f>NPV(realdiscrt1,S$13:S19)/(1+realdiscrt1)^-Half_Year</f>
        <v>0</v>
      </c>
      <c r="T99" s="595">
        <f>NPV(realdiscrt1,T$13:T19)/(1+realdiscrt1)^-Half_Year</f>
        <v>0</v>
      </c>
      <c r="U99" s="610">
        <f>NPV(realdiscrt1,U$13:U19)/(1+realdiscrt1)^-Half_Year</f>
        <v>0</v>
      </c>
      <c r="V99" s="611">
        <f>NPV(realdiscrt1,V$13:V19)/(1+realdiscrt1)^-Half_Year</f>
        <v>661.33247430558561</v>
      </c>
      <c r="W99" s="609">
        <f>NPV(realdiscrt1,W$13:W19)/(1+realdiscrt1)^-Half_Year</f>
        <v>0</v>
      </c>
      <c r="X99" s="612">
        <f>NPV(realdiscrt1,X$13:X19)/(1+realdiscrt1)^-Half_Year</f>
        <v>572.9048634352913</v>
      </c>
      <c r="Y99" s="608">
        <f>NPV(realdiscrt1,Y$13:Y19)/(1+realdiscrt1)^-Half_Year</f>
        <v>43.152964975449692</v>
      </c>
      <c r="Z99" s="609">
        <f>NPV(realdiscrt1,Z$13:Z19)/(1+realdiscrt1)^-Half_Year</f>
        <v>54.989829140586231</v>
      </c>
      <c r="AA99" s="609">
        <f>NPV(realdiscrt1,AA$13:AA19)/(1+realdiscrt1)^-Half_Year</f>
        <v>63.210776132951771</v>
      </c>
      <c r="AB99" s="609">
        <f>NPV(realdiscrt1,AB$13:AB19)/(1+realdiscrt1)^-Half_Year</f>
        <v>59.35403326363182</v>
      </c>
      <c r="AC99" s="609">
        <f>NPV(realdiscrt1,AC$13:AC19)/(1+realdiscrt1)^-Half_Year</f>
        <v>47.985217436225149</v>
      </c>
      <c r="AD99" s="609">
        <f>NPV(realdiscrt1,AD$13:AD19)/(1+realdiscrt1)^-Half_Year</f>
        <v>56.545292941967816</v>
      </c>
      <c r="AE99" s="612">
        <f>NPV(realdiscrt1,AE$13:AE19)/(1+realdiscrt1)^-Half_Year</f>
        <v>52.804539945958261</v>
      </c>
      <c r="AF99" s="613">
        <f>NPV(realdiscrt1,AF$13:AF19)/(1+realdiscrt1)^-Half_Year</f>
        <v>3.9353805116905734E-2</v>
      </c>
      <c r="AG99" s="607">
        <f>NPV(realdiscrt1,AG$13:AG19)/(1+realdiscrt1)^-Half_Year</f>
        <v>2.4082441565229842</v>
      </c>
      <c r="AH99" s="614">
        <f>NPV(realdiscrt1,AH$13:AH19)/(1+realdiscrt1)^-Half_Year</f>
        <v>2.4082441565229842</v>
      </c>
      <c r="AI99" s="614">
        <f>NPV(realdiscrt1,AI$13:AI19)/(1+realdiscrt1)^-Half_Year</f>
        <v>4.4749402076997828</v>
      </c>
      <c r="AJ99" s="614">
        <f>NPV(realdiscrt1,AJ$13:AJ19)/(1+realdiscrt1)^-Half_Year</f>
        <v>3.7515965897879036</v>
      </c>
      <c r="AK99" s="614">
        <f>NPV(realdiscrt1,AK$13:AK19)/(1+realdiscrt1)^-Half_Year</f>
        <v>2.4082441565229842</v>
      </c>
      <c r="AL99" s="614">
        <f>NPV(realdiscrt1,AL$13:AL19)/(1+realdiscrt1)^-Half_Year</f>
        <v>4.4749402076997828</v>
      </c>
      <c r="AM99" s="614">
        <f>NPV(realdiscrt1,AM$13:AM19)/(1+realdiscrt1)^-Half_Year</f>
        <v>3.5717940333355216</v>
      </c>
      <c r="AN99" s="594">
        <f>NPV(realdiscrt1,AN$13:AN19)/(1+realdiscrt1)^-Half_Year</f>
        <v>159.02573947267442</v>
      </c>
      <c r="AO99" s="595">
        <f>NPV(realdiscrt1,AO$13:AO19)/(1+realdiscrt1)^-Half_Year</f>
        <v>131.79006612454231</v>
      </c>
      <c r="AP99" s="580">
        <f>NPV(realdiscrt1,AP$13:AP19)/(1+realdiscrt1)^-Half_Year</f>
        <v>135.16710100558501</v>
      </c>
      <c r="AQ99" s="610">
        <f>NPV(realdiscrt1,AQ$13:AQ19)/(1+realdiscrt1)^-Half_Year</f>
        <v>8.3270229122050579E-2</v>
      </c>
      <c r="AR99" s="595">
        <f>NPV(realdiscrt1,AR$13:AR19)/(1+realdiscrt1)^-Half_Year</f>
        <v>142.59784801171514</v>
      </c>
      <c r="AS99" s="612">
        <f>NPV(realdiscrt1,AS$13:AS19)/(1+realdiscrt1)^-Half_Year</f>
        <v>223.56557249426245</v>
      </c>
      <c r="AT99" s="594">
        <f>NPV(realdiscrt1,AT$13:AT19)/(1+realdiscrt1)^-Half_Year</f>
        <v>96.162560350406721</v>
      </c>
      <c r="AU99" s="609">
        <f>NPV(realdiscrt1,AU$13:AU19)/(1+realdiscrt1)^-Half_Year</f>
        <v>154.97690325305115</v>
      </c>
      <c r="AV99" s="608">
        <f>NPV(realdiscrt1,AV$13:AV19)/(1+realdiscrt1)^-Half_Year</f>
        <v>5.7647323912568126E-2</v>
      </c>
      <c r="AW99" s="612">
        <f>NPV(realdiscrt1,AW$13:AW19)/(1+realdiscrt1)^-Half_Year</f>
        <v>5.7647323912568126E-2</v>
      </c>
      <c r="AX99" s="600">
        <f>NPV(realdiscrt1,AX$13:AX19)/(1+realdiscrt1)^-Half_Year</f>
        <v>6.7875199719134729</v>
      </c>
      <c r="AY99" s="615">
        <f>NPV(realdiscrt1,AY$13:AY19)/(1+realdiscrt1)^-Half_Year</f>
        <v>105.40419822239627</v>
      </c>
      <c r="AZ99" s="607">
        <f>NPV(realdiscrt1,AZ$13:AZ19)/(1+realdiscrt1)^-Half_Year</f>
        <v>0.29817026949455422</v>
      </c>
      <c r="BA99" s="614">
        <f>NPV(realdiscrt1,BA$13:BA19)/(1+realdiscrt1)^-Half_Year</f>
        <v>0.30452490711606184</v>
      </c>
      <c r="BB99" s="614">
        <f>NPV(realdiscrt1,BB$13:BB19)/(1+realdiscrt1)^-Half_Year</f>
        <v>0.29046727789347698</v>
      </c>
      <c r="BC99" s="610">
        <f>NPV(realdiscrt1,BC$13:BC19)/(1+realdiscrt1)^-Half_Year</f>
        <v>0.29231305663243612</v>
      </c>
    </row>
    <row r="100" spans="1:55" s="325" customFormat="1" ht="14.25">
      <c r="A100" s="602">
        <f t="shared" si="91"/>
        <v>8</v>
      </c>
      <c r="B100" s="603">
        <f t="shared" si="90"/>
        <v>2028</v>
      </c>
      <c r="C100" s="604">
        <f>NPV(realdiscrt1,C$13:C20)/(1+realdiscrt1)^-Half_Year</f>
        <v>0.55977282005169393</v>
      </c>
      <c r="D100" s="605">
        <f>NPV(realdiscrt1,D$13:D20)/(1+realdiscrt1)^-Half_Year</f>
        <v>0.51858616632074217</v>
      </c>
      <c r="E100" s="605">
        <f>NPV(realdiscrt1,E$13:E20)/(1+realdiscrt1)^-Half_Year</f>
        <v>0.45080093085252837</v>
      </c>
      <c r="F100" s="606">
        <f>NPV(realdiscrt1,F$13:F20)/(1+realdiscrt1)^-Half_Year</f>
        <v>0.38814857269513797</v>
      </c>
      <c r="G100" s="604">
        <f>NPV(realdiscrt1,G$13:G20)/(1+realdiscrt1)^-Half_Year</f>
        <v>4.7883726620658727E-2</v>
      </c>
      <c r="H100" s="605">
        <f>NPV(realdiscrt1,H$13:H20)/(1+realdiscrt1)^-Half_Year</f>
        <v>3.5137827418620551E-2</v>
      </c>
      <c r="I100" s="605">
        <f>NPV(realdiscrt1,I$13:I20)/(1+realdiscrt1)^-Half_Year</f>
        <v>3.5721510688587588E-2</v>
      </c>
      <c r="J100" s="605">
        <f>NPV(realdiscrt1,J$13:J20)/(1+realdiscrt1)^-Half_Year</f>
        <v>2.409786743326521E-2</v>
      </c>
      <c r="K100" s="607">
        <f>NPV(realdiscrt1,K$13:K20)/(1+realdiscrt1)^-Half_Year</f>
        <v>1.4129087663135221E-2</v>
      </c>
      <c r="L100" s="1321">
        <f>NPV(realdiscrt1,L$13:L20)/(1+realdiscrt1)^-Half_Year</f>
        <v>567.2460820141107</v>
      </c>
      <c r="M100" s="609">
        <f>NPV(realdiscrt1,M$13:M20)/(1+realdiscrt1)^-Half_Year</f>
        <v>422.49343467895073</v>
      </c>
      <c r="N100" s="609">
        <f>NPV(realdiscrt1,N$13:N20)/(1+realdiscrt1)^-Half_Year</f>
        <v>422.49343467895073</v>
      </c>
      <c r="O100" s="612">
        <f>NPV(realdiscrt1,O$13:O20)/(1+realdiscrt1)^-Half_Year</f>
        <v>0</v>
      </c>
      <c r="P100" s="782">
        <f t="shared" si="88"/>
        <v>0</v>
      </c>
      <c r="Q100" s="782">
        <f t="shared" si="88"/>
        <v>125.35644206440841</v>
      </c>
      <c r="R100" s="1316">
        <f t="shared" si="89"/>
        <v>125.35644206440841</v>
      </c>
      <c r="S100" s="595">
        <f>NPV(realdiscrt1,S$13:S20)/(1+realdiscrt1)^-Half_Year</f>
        <v>0</v>
      </c>
      <c r="T100" s="595">
        <f>NPV(realdiscrt1,T$13:T20)/(1+realdiscrt1)^-Half_Year</f>
        <v>0</v>
      </c>
      <c r="U100" s="610">
        <f>NPV(realdiscrt1,U$13:U20)/(1+realdiscrt1)^-Half_Year</f>
        <v>0</v>
      </c>
      <c r="V100" s="611">
        <f>NPV(realdiscrt1,V$13:V20)/(1+realdiscrt1)^-Half_Year</f>
        <v>750.61202465824351</v>
      </c>
      <c r="W100" s="609">
        <f>NPV(realdiscrt1,W$13:W20)/(1+realdiscrt1)^-Half_Year</f>
        <v>0</v>
      </c>
      <c r="X100" s="612">
        <f>NPV(realdiscrt1,X$13:X20)/(1+realdiscrt1)^-Half_Year</f>
        <v>650.24673093705144</v>
      </c>
      <c r="Y100" s="608">
        <f>NPV(realdiscrt1,Y$13:Y20)/(1+realdiscrt1)^-Half_Year</f>
        <v>49.225015572525493</v>
      </c>
      <c r="Z100" s="609">
        <f>NPV(realdiscrt1,Z$13:Z20)/(1+realdiscrt1)^-Half_Year</f>
        <v>62.64803089721056</v>
      </c>
      <c r="AA100" s="609">
        <f>NPV(realdiscrt1,AA$13:AA20)/(1+realdiscrt1)^-Half_Year</f>
        <v>71.975777820343453</v>
      </c>
      <c r="AB100" s="609">
        <f>NPV(realdiscrt1,AB$13:AB20)/(1+realdiscrt1)^-Half_Year</f>
        <v>67.601207857012326</v>
      </c>
      <c r="AC100" s="609">
        <f>NPV(realdiscrt1,AC$13:AC20)/(1+realdiscrt1)^-Half_Year</f>
        <v>54.705599896713508</v>
      </c>
      <c r="AD100" s="609">
        <f>NPV(realdiscrt1,AD$13:AD20)/(1+realdiscrt1)^-Half_Year</f>
        <v>64.413735595722713</v>
      </c>
      <c r="AE100" s="612">
        <f>NPV(realdiscrt1,AE$13:AE20)/(1+realdiscrt1)^-Half_Year</f>
        <v>60.171280295255684</v>
      </c>
      <c r="AF100" s="613">
        <f>NPV(realdiscrt1,AF$13:AF20)/(1+realdiscrt1)^-Half_Year</f>
        <v>4.8851629622507643E-2</v>
      </c>
      <c r="AG100" s="607">
        <f>NPV(realdiscrt1,AG$13:AG20)/(1+realdiscrt1)^-Half_Year</f>
        <v>2.5412136996014105</v>
      </c>
      <c r="AH100" s="614">
        <f>NPV(realdiscrt1,AH$13:AH20)/(1+realdiscrt1)^-Half_Year</f>
        <v>2.5412136996014105</v>
      </c>
      <c r="AI100" s="614">
        <f>NPV(realdiscrt1,AI$13:AI20)/(1+realdiscrt1)^-Half_Year</f>
        <v>4.7123858203398301</v>
      </c>
      <c r="AJ100" s="614">
        <f>NPV(realdiscrt1,AJ$13:AJ20)/(1+realdiscrt1)^-Half_Year</f>
        <v>3.9524755780813834</v>
      </c>
      <c r="AK100" s="614">
        <f>NPV(realdiscrt1,AK$13:AK20)/(1+realdiscrt1)^-Half_Year</f>
        <v>2.5412136996014105</v>
      </c>
      <c r="AL100" s="614">
        <f>NPV(realdiscrt1,AL$13:AL20)/(1+realdiscrt1)^-Half_Year</f>
        <v>4.7123858203398301</v>
      </c>
      <c r="AM100" s="614">
        <f>NPV(realdiscrt1,AM$13:AM20)/(1+realdiscrt1)^-Half_Year</f>
        <v>3.7635836035771404</v>
      </c>
      <c r="AN100" s="594">
        <f>NPV(realdiscrt1,AN$13:AN20)/(1+realdiscrt1)^-Half_Year</f>
        <v>182.12422297596621</v>
      </c>
      <c r="AO100" s="595">
        <f>NPV(realdiscrt1,AO$13:AO20)/(1+realdiscrt1)^-Half_Year</f>
        <v>151.095898987612</v>
      </c>
      <c r="AP100" s="580">
        <f>NPV(realdiscrt1,AP$13:AP20)/(1+realdiscrt1)^-Half_Year</f>
        <v>155.03259766473056</v>
      </c>
      <c r="AQ100" s="610">
        <f>NPV(realdiscrt1,AQ$13:AQ20)/(1+realdiscrt1)^-Half_Year</f>
        <v>9.4635896969006844E-2</v>
      </c>
      <c r="AR100" s="595">
        <f>NPV(realdiscrt1,AR$13:AR20)/(1+realdiscrt1)^-Half_Year</f>
        <v>163.31018081284316</v>
      </c>
      <c r="AS100" s="612">
        <f>NPV(realdiscrt1,AS$13:AS20)/(1+realdiscrt1)^-Half_Year</f>
        <v>255.28901908396719</v>
      </c>
      <c r="AT100" s="594">
        <f>NPV(realdiscrt1,AT$13:AT20)/(1+realdiscrt1)^-Half_Year</f>
        <v>110.13016912401564</v>
      </c>
      <c r="AU100" s="609">
        <f>NPV(realdiscrt1,AU$13:AU20)/(1+realdiscrt1)^-Half_Year</f>
        <v>177.48729342669321</v>
      </c>
      <c r="AV100" s="608">
        <f>NPV(realdiscrt1,AV$13:AV20)/(1+realdiscrt1)^-Half_Year</f>
        <v>6.5429683554520224E-2</v>
      </c>
      <c r="AW100" s="612">
        <f>NPV(realdiscrt1,AW$13:AW20)/(1+realdiscrt1)^-Half_Year</f>
        <v>6.5429683554520224E-2</v>
      </c>
      <c r="AX100" s="600">
        <f>NPV(realdiscrt1,AX$13:AX20)/(1+realdiscrt1)^-Half_Year</f>
        <v>7.7038317434447592</v>
      </c>
      <c r="AY100" s="615">
        <f>NPV(realdiscrt1,AY$13:AY20)/(1+realdiscrt1)^-Half_Year</f>
        <v>123.77568765666656</v>
      </c>
      <c r="AZ100" s="607">
        <f>NPV(realdiscrt1,AZ$13:AZ20)/(1+realdiscrt1)^-Half_Year</f>
        <v>0.33722146120719526</v>
      </c>
      <c r="BA100" s="614">
        <f>NPV(realdiscrt1,BA$13:BA20)/(1+realdiscrt1)^-Half_Year</f>
        <v>0.34440836212726217</v>
      </c>
      <c r="BB100" s="614">
        <f>NPV(realdiscrt1,BB$13:BB20)/(1+realdiscrt1)^-Half_Year</f>
        <v>0.32850961314875077</v>
      </c>
      <c r="BC100" s="610">
        <f>NPV(realdiscrt1,BC$13:BC20)/(1+realdiscrt1)^-Half_Year</f>
        <v>0.33059713248618205</v>
      </c>
    </row>
    <row r="101" spans="1:55" s="325" customFormat="1" ht="14.25">
      <c r="A101" s="602">
        <f t="shared" si="91"/>
        <v>9</v>
      </c>
      <c r="B101" s="603">
        <f t="shared" si="90"/>
        <v>2029</v>
      </c>
      <c r="C101" s="604">
        <f>NPV(realdiscrt1,C$13:C21)/(1+realdiscrt1)^-Half_Year</f>
        <v>0.6307187664431475</v>
      </c>
      <c r="D101" s="605">
        <f>NPV(realdiscrt1,D$13:D21)/(1+realdiscrt1)^-Half_Year</f>
        <v>0.58373791735944325</v>
      </c>
      <c r="E101" s="605">
        <f>NPV(realdiscrt1,E$13:E21)/(1+realdiscrt1)^-Half_Year</f>
        <v>0.50511495148941921</v>
      </c>
      <c r="F101" s="606">
        <f>NPV(realdiscrt1,F$13:F21)/(1+realdiscrt1)^-Half_Year</f>
        <v>0.43447633387117207</v>
      </c>
      <c r="G101" s="604">
        <f>NPV(realdiscrt1,G$13:G21)/(1+realdiscrt1)^-Half_Year</f>
        <v>4.950079415538599E-2</v>
      </c>
      <c r="H101" s="605">
        <f>NPV(realdiscrt1,H$13:H21)/(1+realdiscrt1)^-Half_Year</f>
        <v>3.6350922166974366E-2</v>
      </c>
      <c r="I101" s="605">
        <f>NPV(realdiscrt1,I$13:I21)/(1+realdiscrt1)^-Half_Year</f>
        <v>3.6898115174671606E-2</v>
      </c>
      <c r="J101" s="605">
        <f>NPV(realdiscrt1,J$13:J21)/(1+realdiscrt1)^-Half_Year</f>
        <v>2.4910534741305758E-2</v>
      </c>
      <c r="K101" s="607">
        <f>NPV(realdiscrt1,K$13:K21)/(1+realdiscrt1)^-Half_Year</f>
        <v>1.4470208558656716E-2</v>
      </c>
      <c r="L101" s="1321">
        <f>NPV(realdiscrt1,L$13:L21)/(1+realdiscrt1)^-Half_Year</f>
        <v>655.47805549213558</v>
      </c>
      <c r="M101" s="609">
        <f>NPV(realdiscrt1,M$13:M21)/(1+realdiscrt1)^-Half_Year</f>
        <v>533.4436307961812</v>
      </c>
      <c r="N101" s="609">
        <f>NPV(realdiscrt1,N$13:N21)/(1+realdiscrt1)^-Half_Year</f>
        <v>533.4436307961812</v>
      </c>
      <c r="O101" s="612">
        <f>NPV(realdiscrt1,O$13:O21)/(1+realdiscrt1)^-Half_Year</f>
        <v>0</v>
      </c>
      <c r="P101" s="782">
        <f t="shared" si="88"/>
        <v>0</v>
      </c>
      <c r="Q101" s="782">
        <f t="shared" si="88"/>
        <v>145.95243071652496</v>
      </c>
      <c r="R101" s="1316">
        <f t="shared" si="89"/>
        <v>145.95243071652496</v>
      </c>
      <c r="S101" s="595">
        <f>NPV(realdiscrt1,S$13:S21)/(1+realdiscrt1)^-Half_Year</f>
        <v>0</v>
      </c>
      <c r="T101" s="595">
        <f>NPV(realdiscrt1,T$13:T21)/(1+realdiscrt1)^-Half_Year</f>
        <v>0</v>
      </c>
      <c r="U101" s="610">
        <f>NPV(realdiscrt1,U$13:U21)/(1+realdiscrt1)^-Half_Year</f>
        <v>0</v>
      </c>
      <c r="V101" s="611">
        <f>NPV(realdiscrt1,V$13:V21)/(1+realdiscrt1)^-Half_Year</f>
        <v>838.64641711736328</v>
      </c>
      <c r="W101" s="609">
        <f>NPV(realdiscrt1,W$13:W21)/(1+realdiscrt1)^-Half_Year</f>
        <v>0</v>
      </c>
      <c r="X101" s="612">
        <f>NPV(realdiscrt1,X$13:X21)/(1+realdiscrt1)^-Half_Year</f>
        <v>726.50993219956172</v>
      </c>
      <c r="Y101" s="608">
        <f>NPV(realdiscrt1,Y$13:Y21)/(1+realdiscrt1)^-Half_Year</f>
        <v>55.312036335128113</v>
      </c>
      <c r="Z101" s="609">
        <f>NPV(realdiscrt1,Z$13:Z21)/(1+realdiscrt1)^-Half_Year</f>
        <v>70.297610244585314</v>
      </c>
      <c r="AA101" s="609">
        <f>NPV(realdiscrt1,AA$13:AA21)/(1+realdiscrt1)^-Half_Year</f>
        <v>80.716354135580573</v>
      </c>
      <c r="AB101" s="609">
        <f>NPV(realdiscrt1,AB$13:AB21)/(1+realdiscrt1)^-Half_Year</f>
        <v>75.831528068781978</v>
      </c>
      <c r="AC101" s="609">
        <f>NPV(realdiscrt1,AC$13:AC21)/(1+realdiscrt1)^-Half_Year</f>
        <v>61.431571582583615</v>
      </c>
      <c r="AD101" s="609">
        <f>NPV(realdiscrt1,AD$13:AD21)/(1+realdiscrt1)^-Half_Year</f>
        <v>72.270687384944679</v>
      </c>
      <c r="AE101" s="612">
        <f>NPV(realdiscrt1,AE$13:AE21)/(1+realdiscrt1)^-Half_Year</f>
        <v>67.53399377931288</v>
      </c>
      <c r="AF101" s="613">
        <f>NPV(realdiscrt1,AF$13:AF21)/(1+realdiscrt1)^-Half_Year</f>
        <v>5.821699052241399E-2</v>
      </c>
      <c r="AG101" s="607">
        <f>NPV(realdiscrt1,AG$13:AG21)/(1+realdiscrt1)^-Half_Year</f>
        <v>2.6255019477005672</v>
      </c>
      <c r="AH101" s="614">
        <f>NPV(realdiscrt1,AH$13:AH21)/(1+realdiscrt1)^-Half_Year</f>
        <v>2.6255019477005672</v>
      </c>
      <c r="AI101" s="614">
        <f>NPV(realdiscrt1,AI$13:AI21)/(1+realdiscrt1)^-Half_Year</f>
        <v>4.8622315947383328</v>
      </c>
      <c r="AJ101" s="614">
        <f>NPV(realdiscrt1,AJ$13:AJ21)/(1+realdiscrt1)^-Half_Year</f>
        <v>4.0793762182751143</v>
      </c>
      <c r="AK101" s="614">
        <f>NPV(realdiscrt1,AK$13:AK21)/(1+realdiscrt1)^-Half_Year</f>
        <v>2.6255019477005672</v>
      </c>
      <c r="AL101" s="614">
        <f>NPV(realdiscrt1,AL$13:AL21)/(1+realdiscrt1)^-Half_Year</f>
        <v>4.8622315947383328</v>
      </c>
      <c r="AM101" s="614">
        <f>NPV(realdiscrt1,AM$13:AM21)/(1+realdiscrt1)^-Half_Year</f>
        <v>3.8847807389828288</v>
      </c>
      <c r="AN101" s="594">
        <f>NPV(realdiscrt1,AN$13:AN21)/(1+realdiscrt1)^-Half_Year</f>
        <v>205.10591749534927</v>
      </c>
      <c r="AO101" s="595">
        <f>NPV(realdiscrt1,AO$13:AO21)/(1+realdiscrt1)^-Half_Year</f>
        <v>170.36205783426593</v>
      </c>
      <c r="AP101" s="580">
        <f>NPV(realdiscrt1,AP$13:AP21)/(1+realdiscrt1)^-Half_Year</f>
        <v>174.87659771686262</v>
      </c>
      <c r="AQ101" s="610">
        <f>NPV(realdiscrt1,AQ$13:AQ21)/(1+realdiscrt1)^-Half_Year</f>
        <v>0.10579388362482842</v>
      </c>
      <c r="AR101" s="595">
        <f>NPV(realdiscrt1,AR$13:AR21)/(1+realdiscrt1)^-Half_Year</f>
        <v>183.91778932322376</v>
      </c>
      <c r="AS101" s="612">
        <f>NPV(realdiscrt1,AS$13:AS21)/(1+realdiscrt1)^-Half_Year</f>
        <v>286.6046557868824</v>
      </c>
      <c r="AT101" s="594">
        <f>NPV(realdiscrt1,AT$13:AT21)/(1+realdiscrt1)^-Half_Year</f>
        <v>124.02715582254017</v>
      </c>
      <c r="AU101" s="609">
        <f>NPV(realdiscrt1,AU$13:AU21)/(1+realdiscrt1)^-Half_Year</f>
        <v>199.88386809398853</v>
      </c>
      <c r="AV101" s="608">
        <f>NPV(realdiscrt1,AV$13:AV21)/(1+realdiscrt1)^-Half_Year</f>
        <v>7.3103504718172937E-2</v>
      </c>
      <c r="AW101" s="612">
        <f>NPV(realdiscrt1,AW$13:AW21)/(1+realdiscrt1)^-Half_Year</f>
        <v>7.3103504718172937E-2</v>
      </c>
      <c r="AX101" s="600">
        <f>NPV(realdiscrt1,AX$13:AX21)/(1+realdiscrt1)^-Half_Year</f>
        <v>8.6073639609711563</v>
      </c>
      <c r="AY101" s="615">
        <f>NPV(realdiscrt1,AY$13:AY21)/(1+realdiscrt1)^-Half_Year</f>
        <v>142.93606643514823</v>
      </c>
      <c r="AZ101" s="607">
        <f>NPV(realdiscrt1,AZ$13:AZ21)/(1+realdiscrt1)^-Half_Year</f>
        <v>0.37546738185029971</v>
      </c>
      <c r="BA101" s="614">
        <f>NPV(realdiscrt1,BA$13:BA21)/(1+realdiscrt1)^-Half_Year</f>
        <v>0.38346938404320596</v>
      </c>
      <c r="BB101" s="614">
        <f>NPV(realdiscrt1,BB$13:BB21)/(1+realdiscrt1)^-Half_Year</f>
        <v>0.36576748087166061</v>
      </c>
      <c r="BC101" s="610">
        <f>NPV(realdiscrt1,BC$13:BC21)/(1+realdiscrt1)^-Half_Year</f>
        <v>0.36809175589668824</v>
      </c>
    </row>
    <row r="102" spans="1:55" s="325" customFormat="1" ht="14.25">
      <c r="A102" s="602">
        <f t="shared" si="91"/>
        <v>10</v>
      </c>
      <c r="B102" s="603">
        <f t="shared" si="90"/>
        <v>2030</v>
      </c>
      <c r="C102" s="604">
        <f>NPV(realdiscrt1,C$13:C22)/(1+realdiscrt1)^-Half_Year</f>
        <v>0.6951620170719176</v>
      </c>
      <c r="D102" s="605">
        <f>NPV(realdiscrt1,D$13:D22)/(1+realdiscrt1)^-Half_Year</f>
        <v>0.64473871877170519</v>
      </c>
      <c r="E102" s="605">
        <f>NPV(realdiscrt1,E$13:E22)/(1+realdiscrt1)^-Half_Year</f>
        <v>0.5614777903318332</v>
      </c>
      <c r="F102" s="606">
        <f>NPV(realdiscrt1,F$13:F22)/(1+realdiscrt1)^-Half_Year</f>
        <v>0.48616709427084065</v>
      </c>
      <c r="G102" s="604">
        <f>NPV(realdiscrt1,G$13:G22)/(1+realdiscrt1)^-Half_Year</f>
        <v>5.0433965793483131E-2</v>
      </c>
      <c r="H102" s="605">
        <f>NPV(realdiscrt1,H$13:H22)/(1+realdiscrt1)^-Half_Year</f>
        <v>3.7012562889352257E-2</v>
      </c>
      <c r="I102" s="605">
        <f>NPV(realdiscrt1,I$13:I22)/(1+realdiscrt1)^-Half_Year</f>
        <v>3.7616819758253345E-2</v>
      </c>
      <c r="J102" s="605">
        <f>NPV(realdiscrt1,J$13:J22)/(1+realdiscrt1)^-Half_Year</f>
        <v>2.5382779130225248E-2</v>
      </c>
      <c r="K102" s="607">
        <f>NPV(realdiscrt1,K$13:K22)/(1+realdiscrt1)^-Half_Year</f>
        <v>1.4565590166862987E-2</v>
      </c>
      <c r="L102" s="1321">
        <f>NPV(realdiscrt1,L$13:L22)/(1+realdiscrt1)^-Half_Year</f>
        <v>738.30364983518632</v>
      </c>
      <c r="M102" s="609">
        <f>NPV(realdiscrt1,M$13:M22)/(1+realdiscrt1)^-Half_Year</f>
        <v>639.3221722034466</v>
      </c>
      <c r="N102" s="609">
        <f>NPV(realdiscrt1,N$13:N22)/(1+realdiscrt1)^-Half_Year</f>
        <v>639.3221722034466</v>
      </c>
      <c r="O102" s="612">
        <f>NPV(realdiscrt1,O$13:O22)/(1+realdiscrt1)^-Half_Year</f>
        <v>0</v>
      </c>
      <c r="P102" s="782">
        <f t="shared" si="88"/>
        <v>0</v>
      </c>
      <c r="Q102" s="782">
        <f t="shared" si="88"/>
        <v>143.37037841472147</v>
      </c>
      <c r="R102" s="1316">
        <f t="shared" si="89"/>
        <v>143.37037841472147</v>
      </c>
      <c r="S102" s="595">
        <f>NPV(realdiscrt1,S$13:S22)/(1+realdiscrt1)^-Half_Year</f>
        <v>0</v>
      </c>
      <c r="T102" s="595">
        <f>NPV(realdiscrt1,T$13:T22)/(1+realdiscrt1)^-Half_Year</f>
        <v>0</v>
      </c>
      <c r="U102" s="610">
        <f>NPV(realdiscrt1,U$13:U22)/(1+realdiscrt1)^-Half_Year</f>
        <v>0</v>
      </c>
      <c r="V102" s="611">
        <f>NPV(realdiscrt1,V$13:V22)/(1+realdiscrt1)^-Half_Year</f>
        <v>925.45301756543086</v>
      </c>
      <c r="W102" s="609">
        <f>NPV(realdiscrt1,W$13:W22)/(1+realdiscrt1)^-Half_Year</f>
        <v>0</v>
      </c>
      <c r="X102" s="612">
        <f>NPV(realdiscrt1,X$13:X22)/(1+realdiscrt1)^-Half_Year</f>
        <v>801.70951109095336</v>
      </c>
      <c r="Y102" s="608">
        <f>NPV(realdiscrt1,Y$13:Y22)/(1+realdiscrt1)^-Half_Year</f>
        <v>61.371400495411081</v>
      </c>
      <c r="Z102" s="609">
        <f>NPV(realdiscrt1,Z$13:Z22)/(1+realdiscrt1)^-Half_Year</f>
        <v>77.895008976590788</v>
      </c>
      <c r="AA102" s="609">
        <f>NPV(realdiscrt1,AA$13:AA22)/(1+realdiscrt1)^-Half_Year</f>
        <v>89.388832384792877</v>
      </c>
      <c r="AB102" s="609">
        <f>NPV(realdiscrt1,AB$13:AB22)/(1+realdiscrt1)^-Half_Year</f>
        <v>84.001521896735511</v>
      </c>
      <c r="AC102" s="609">
        <f>NPV(realdiscrt1,AC$13:AC22)/(1+realdiscrt1)^-Half_Year</f>
        <v>68.120043046169442</v>
      </c>
      <c r="AD102" s="609">
        <f>NPV(realdiscrt1,AD$13:AD22)/(1+realdiscrt1)^-Half_Year</f>
        <v>80.072621725189606</v>
      </c>
      <c r="AE102" s="612">
        <f>NPV(realdiscrt1,AE$13:AE22)/(1+realdiscrt1)^-Half_Year</f>
        <v>74.849344842457782</v>
      </c>
      <c r="AF102" s="613">
        <f>NPV(realdiscrt1,AF$13:AF22)/(1+realdiscrt1)^-Half_Year</f>
        <v>6.7451735250931816E-2</v>
      </c>
      <c r="AG102" s="607">
        <f>NPV(realdiscrt1,AG$13:AG22)/(1+realdiscrt1)^-Half_Year</f>
        <v>2.6716756713431566</v>
      </c>
      <c r="AH102" s="614">
        <f>NPV(realdiscrt1,AH$13:AH22)/(1+realdiscrt1)^-Half_Year</f>
        <v>2.6716756713431566</v>
      </c>
      <c r="AI102" s="614">
        <f>NPV(realdiscrt1,AI$13:AI22)/(1+realdiscrt1)^-Half_Year</f>
        <v>4.9361095525664744</v>
      </c>
      <c r="AJ102" s="614">
        <f>NPV(realdiscrt1,AJ$13:AJ22)/(1+realdiscrt1)^-Half_Year</f>
        <v>4.1435576941383134</v>
      </c>
      <c r="AK102" s="614">
        <f>NPV(realdiscrt1,AK$13:AK22)/(1+realdiscrt1)^-Half_Year</f>
        <v>2.6716756713431566</v>
      </c>
      <c r="AL102" s="614">
        <f>NPV(realdiscrt1,AL$13:AL22)/(1+realdiscrt1)^-Half_Year</f>
        <v>4.9361095525664744</v>
      </c>
      <c r="AM102" s="614">
        <f>NPV(realdiscrt1,AM$13:AM22)/(1+realdiscrt1)^-Half_Year</f>
        <v>3.9465519464718848</v>
      </c>
      <c r="AN102" s="594">
        <f>NPV(realdiscrt1,AN$13:AN22)/(1+realdiscrt1)^-Half_Year</f>
        <v>228.19228219656185</v>
      </c>
      <c r="AO102" s="595">
        <f>NPV(realdiscrt1,AO$13:AO22)/(1+realdiscrt1)^-Half_Year</f>
        <v>189.74619123264921</v>
      </c>
      <c r="AP102" s="580">
        <f>NPV(realdiscrt1,AP$13:AP22)/(1+realdiscrt1)^-Half_Year</f>
        <v>194.85741813784298</v>
      </c>
      <c r="AQ102" s="610">
        <f>NPV(realdiscrt1,AQ$13:AQ22)/(1+realdiscrt1)^-Half_Year</f>
        <v>0.11694092536318137</v>
      </c>
      <c r="AR102" s="595">
        <f>NPV(realdiscrt1,AR$13:AR22)/(1+realdiscrt1)^-Half_Year</f>
        <v>204.61925523511289</v>
      </c>
      <c r="AS102" s="612">
        <f>NPV(realdiscrt1,AS$13:AS22)/(1+realdiscrt1)^-Half_Year</f>
        <v>317.72293013260088</v>
      </c>
      <c r="AT102" s="594">
        <f>NPV(realdiscrt1,AT$13:AT22)/(1+realdiscrt1)^-Half_Year</f>
        <v>137.98743637972208</v>
      </c>
      <c r="AU102" s="609">
        <f>NPV(realdiscrt1,AU$13:AU22)/(1+realdiscrt1)^-Half_Year</f>
        <v>222.38244801336859</v>
      </c>
      <c r="AV102" s="608">
        <f>NPV(realdiscrt1,AV$13:AV22)/(1+realdiscrt1)^-Half_Year</f>
        <v>8.0670301160511743E-2</v>
      </c>
      <c r="AW102" s="612">
        <f>NPV(realdiscrt1,AW$13:AW22)/(1+realdiscrt1)^-Half_Year</f>
        <v>8.0670301160511743E-2</v>
      </c>
      <c r="AX102" s="600">
        <f>NPV(realdiscrt1,AX$13:AX22)/(1+realdiscrt1)^-Half_Year</f>
        <v>9.4982948574976671</v>
      </c>
      <c r="AY102" s="615">
        <f>NPV(realdiscrt1,AY$13:AY22)/(1+realdiscrt1)^-Half_Year</f>
        <v>163.31777209759304</v>
      </c>
      <c r="AZ102" s="607">
        <f>NPV(realdiscrt1,AZ$13:AZ22)/(1+realdiscrt1)^-Half_Year</f>
        <v>0.41271931376488752</v>
      </c>
      <c r="BA102" s="614">
        <f>NPV(realdiscrt1,BA$13:BA22)/(1+realdiscrt1)^-Half_Year</f>
        <v>0.42151523323338119</v>
      </c>
      <c r="BB102" s="614">
        <f>NPV(realdiscrt1,BB$13:BB22)/(1+realdiscrt1)^-Half_Year</f>
        <v>0.40205703877374743</v>
      </c>
      <c r="BC102" s="610">
        <f>NPV(realdiscrt1,BC$13:BC22)/(1+realdiscrt1)^-Half_Year</f>
        <v>0.40461191634687504</v>
      </c>
    </row>
    <row r="103" spans="1:55" s="325" customFormat="1" ht="14.25">
      <c r="A103" s="602">
        <f t="shared" si="91"/>
        <v>11</v>
      </c>
      <c r="B103" s="603">
        <f t="shared" si="90"/>
        <v>2031</v>
      </c>
      <c r="C103" s="604">
        <f>NPV(realdiscrt1,C$13:C23)/(1+realdiscrt1)^-Half_Year</f>
        <v>0.75830223800054442</v>
      </c>
      <c r="D103" s="605">
        <f>NPV(realdiscrt1,D$13:D23)/(1+realdiscrt1)^-Half_Year</f>
        <v>0.70413324556260026</v>
      </c>
      <c r="E103" s="605">
        <f>NPV(realdiscrt1,E$13:E23)/(1+realdiscrt1)^-Half_Year</f>
        <v>0.61219825380139081</v>
      </c>
      <c r="F103" s="606">
        <f>NPV(realdiscrt1,F$13:F23)/(1+realdiscrt1)^-Half_Year</f>
        <v>0.5306998143334507</v>
      </c>
      <c r="G103" s="604">
        <f>NPV(realdiscrt1,G$13:G23)/(1+realdiscrt1)^-Half_Year</f>
        <v>5.0433965793483131E-2</v>
      </c>
      <c r="H103" s="605">
        <f>NPV(realdiscrt1,H$13:H23)/(1+realdiscrt1)^-Half_Year</f>
        <v>3.7012562889352257E-2</v>
      </c>
      <c r="I103" s="605">
        <f>NPV(realdiscrt1,I$13:I23)/(1+realdiscrt1)^-Half_Year</f>
        <v>3.7616819758253345E-2</v>
      </c>
      <c r="J103" s="605">
        <f>NPV(realdiscrt1,J$13:J23)/(1+realdiscrt1)^-Half_Year</f>
        <v>2.5382779130225248E-2</v>
      </c>
      <c r="K103" s="607">
        <f>NPV(realdiscrt1,K$13:K23)/(1+realdiscrt1)^-Half_Year</f>
        <v>1.4660346199104952E-2</v>
      </c>
      <c r="L103" s="1321">
        <f>NPV(realdiscrt1,L$13:L23)/(1+realdiscrt1)^-Half_Year</f>
        <v>818.60156710298691</v>
      </c>
      <c r="M103" s="609">
        <f>NPV(realdiscrt1,M$13:M23)/(1+realdiscrt1)^-Half_Year</f>
        <v>740.55975636334097</v>
      </c>
      <c r="N103" s="609">
        <f>NPV(realdiscrt1,N$13:N23)/(1+realdiscrt1)^-Half_Year</f>
        <v>740.55975636334097</v>
      </c>
      <c r="O103" s="612">
        <f>NPV(realdiscrt1,O$13:O23)/(1+realdiscrt1)^-Half_Year</f>
        <v>0</v>
      </c>
      <c r="P103" s="782">
        <f t="shared" si="88"/>
        <v>0</v>
      </c>
      <c r="Q103" s="782">
        <f t="shared" si="88"/>
        <v>110.51523889407092</v>
      </c>
      <c r="R103" s="1316">
        <f t="shared" si="89"/>
        <v>110.51523889407092</v>
      </c>
      <c r="S103" s="595">
        <f>NPV(realdiscrt1,S$13:S23)/(1+realdiscrt1)^-Half_Year</f>
        <v>0</v>
      </c>
      <c r="T103" s="595">
        <f>NPV(realdiscrt1,T$13:T23)/(1+realdiscrt1)^-Half_Year</f>
        <v>0</v>
      </c>
      <c r="U103" s="610">
        <f>NPV(realdiscrt1,U$13:U23)/(1+realdiscrt1)^-Half_Year</f>
        <v>0</v>
      </c>
      <c r="V103" s="611">
        <f>NPV(realdiscrt1,V$13:V23)/(1+realdiscrt1)^-Half_Year</f>
        <v>1011.0489496876367</v>
      </c>
      <c r="W103" s="609">
        <f>NPV(realdiscrt1,W$13:W23)/(1+realdiscrt1)^-Half_Year</f>
        <v>0</v>
      </c>
      <c r="X103" s="612">
        <f>NPV(realdiscrt1,X$13:X23)/(1+realdiscrt1)^-Half_Year</f>
        <v>875.86030166657133</v>
      </c>
      <c r="Y103" s="608">
        <f>NPV(realdiscrt1,Y$13:Y23)/(1+realdiscrt1)^-Half_Year</f>
        <v>67.492633635195361</v>
      </c>
      <c r="Z103" s="609">
        <f>NPV(realdiscrt1,Z$13:Z23)/(1+realdiscrt1)^-Half_Year</f>
        <v>85.533868169657666</v>
      </c>
      <c r="AA103" s="609">
        <f>NPV(realdiscrt1,AA$13:AA23)/(1+realdiscrt1)^-Half_Year</f>
        <v>98.088080486989639</v>
      </c>
      <c r="AB103" s="609">
        <f>NPV(realdiscrt1,AB$13:AB23)/(1+realdiscrt1)^-Half_Year</f>
        <v>92.205031154440277</v>
      </c>
      <c r="AC103" s="609">
        <f>NPV(realdiscrt1,AC$13:AC23)/(1+realdiscrt1)^-Half_Year</f>
        <v>74.862376100265607</v>
      </c>
      <c r="AD103" s="609">
        <f>NPV(realdiscrt1,AD$13:AD23)/(1+realdiscrt1)^-Half_Year</f>
        <v>87.91323599428955</v>
      </c>
      <c r="AE103" s="612">
        <f>NPV(realdiscrt1,AE$13:AE23)/(1+realdiscrt1)^-Half_Year</f>
        <v>82.210010220601077</v>
      </c>
      <c r="AF103" s="613">
        <f>NPV(realdiscrt1,AF$13:AF23)/(1+realdiscrt1)^-Half_Year</f>
        <v>7.6557685476698403E-2</v>
      </c>
      <c r="AG103" s="607">
        <f>NPV(realdiscrt1,AG$13:AG23)/(1+realdiscrt1)^-Half_Year</f>
        <v>2.6807816215689231</v>
      </c>
      <c r="AH103" s="614">
        <f>NPV(realdiscrt1,AH$13:AH23)/(1+realdiscrt1)^-Half_Year</f>
        <v>2.6807816215689231</v>
      </c>
      <c r="AI103" s="614">
        <f>NPV(realdiscrt1,AI$13:AI23)/(1+realdiscrt1)^-Half_Year</f>
        <v>4.9361095525664744</v>
      </c>
      <c r="AJ103" s="614">
        <f>NPV(realdiscrt1,AJ$13:AJ23)/(1+realdiscrt1)^-Half_Year</f>
        <v>4.1467447767173322</v>
      </c>
      <c r="AK103" s="614">
        <f>NPV(realdiscrt1,AK$13:AK23)/(1+realdiscrt1)^-Half_Year</f>
        <v>2.6807816215689231</v>
      </c>
      <c r="AL103" s="614">
        <f>NPV(realdiscrt1,AL$13:AL23)/(1+realdiscrt1)^-Half_Year</f>
        <v>4.9361095525664744</v>
      </c>
      <c r="AM103" s="614">
        <f>NPV(realdiscrt1,AM$13:AM23)/(1+realdiscrt1)^-Half_Year</f>
        <v>3.9505312467205451</v>
      </c>
      <c r="AN103" s="594">
        <f>NPV(realdiscrt1,AN$13:AN23)/(1+realdiscrt1)^-Half_Year</f>
        <v>251.33004878472178</v>
      </c>
      <c r="AO103" s="595">
        <f>NPV(realdiscrt1,AO$13:AO23)/(1+realdiscrt1)^-Half_Year</f>
        <v>209.18231982170053</v>
      </c>
      <c r="AP103" s="580">
        <f>NPV(realdiscrt1,AP$13:AP23)/(1+realdiscrt1)^-Half_Year</f>
        <v>214.90454728472616</v>
      </c>
      <c r="AQ103" s="610">
        <f>NPV(realdiscrt1,AQ$13:AQ23)/(1+realdiscrt1)^-Half_Year</f>
        <v>0.12793250230634567</v>
      </c>
      <c r="AR103" s="595">
        <f>NPV(realdiscrt1,AR$13:AR23)/(1+realdiscrt1)^-Half_Year</f>
        <v>225.36681304688406</v>
      </c>
      <c r="AS103" s="612">
        <f>NPV(realdiscrt1,AS$13:AS23)/(1+realdiscrt1)^-Half_Year</f>
        <v>349.017772267461</v>
      </c>
      <c r="AT103" s="594">
        <f>NPV(realdiscrt1,AT$13:AT23)/(1+realdiscrt1)^-Half_Year</f>
        <v>151.97879955957936</v>
      </c>
      <c r="AU103" s="609">
        <f>NPV(realdiscrt1,AU$13:AU23)/(1+realdiscrt1)^-Half_Year</f>
        <v>244.93112111443659</v>
      </c>
      <c r="AV103" s="608">
        <f>NPV(realdiscrt1,AV$13:AV23)/(1+realdiscrt1)^-Half_Year</f>
        <v>8.8131565526560318E-2</v>
      </c>
      <c r="AW103" s="612">
        <f>NPV(realdiscrt1,AW$13:AW23)/(1+realdiscrt1)^-Half_Year</f>
        <v>8.8131565526560318E-2</v>
      </c>
      <c r="AX103" s="600">
        <f>NPV(realdiscrt1,AX$13:AX23)/(1+realdiscrt1)^-Half_Year</f>
        <v>10.376800180261483</v>
      </c>
      <c r="AY103" s="615">
        <f>NPV(realdiscrt1,AY$13:AY23)/(1+realdiscrt1)^-Half_Year</f>
        <v>184.99591770636158</v>
      </c>
      <c r="AZ103" s="607">
        <f>NPV(realdiscrt1,AZ$13:AZ23)/(1+realdiscrt1)^-Half_Year</f>
        <v>0.44901817116697318</v>
      </c>
      <c r="BA103" s="614">
        <f>NPV(realdiscrt1,BA$13:BA23)/(1+realdiscrt1)^-Half_Year</f>
        <v>0.45858769588207987</v>
      </c>
      <c r="BB103" s="614">
        <f>NPV(realdiscrt1,BB$13:BB23)/(1+realdiscrt1)^-Half_Year</f>
        <v>0.43741814408481822</v>
      </c>
      <c r="BC103" s="610">
        <f>NPV(realdiscrt1,BC$13:BC23)/(1+realdiscrt1)^-Half_Year</f>
        <v>0.44019772433992305</v>
      </c>
    </row>
    <row r="104" spans="1:55" s="325" customFormat="1" ht="14.25">
      <c r="A104" s="602">
        <f t="shared" si="91"/>
        <v>12</v>
      </c>
      <c r="B104" s="603">
        <f t="shared" si="90"/>
        <v>2032</v>
      </c>
      <c r="C104" s="604">
        <f>NPV(realdiscrt1,C$13:C24)/(1+realdiscrt1)^-Half_Year</f>
        <v>0.81966139331674104</v>
      </c>
      <c r="D104" s="605">
        <f>NPV(realdiscrt1,D$13:D24)/(1+realdiscrt1)^-Half_Year</f>
        <v>0.76152086815931108</v>
      </c>
      <c r="E104" s="605">
        <f>NPV(realdiscrt1,E$13:E24)/(1+realdiscrt1)^-Half_Year</f>
        <v>0.66358673641211663</v>
      </c>
      <c r="F104" s="606">
        <f>NPV(realdiscrt1,F$13:F24)/(1+realdiscrt1)^-Half_Year</f>
        <v>0.57559125591054794</v>
      </c>
      <c r="G104" s="604">
        <f>NPV(realdiscrt1,G$13:G24)/(1+realdiscrt1)^-Half_Year</f>
        <v>5.0433965793483131E-2</v>
      </c>
      <c r="H104" s="605">
        <f>NPV(realdiscrt1,H$13:H24)/(1+realdiscrt1)^-Half_Year</f>
        <v>3.7012562889352257E-2</v>
      </c>
      <c r="I104" s="605">
        <f>NPV(realdiscrt1,I$13:I24)/(1+realdiscrt1)^-Half_Year</f>
        <v>3.7616819758253345E-2</v>
      </c>
      <c r="J104" s="605">
        <f>NPV(realdiscrt1,J$13:J24)/(1+realdiscrt1)^-Half_Year</f>
        <v>2.5382779130225248E-2</v>
      </c>
      <c r="K104" s="607">
        <f>NPV(realdiscrt1,K$13:K24)/(1+realdiscrt1)^-Half_Year</f>
        <v>1.4754314325574492E-2</v>
      </c>
      <c r="L104" s="1321">
        <f>NPV(realdiscrt1,L$13:L24)/(1+realdiscrt1)^-Half_Year</f>
        <v>903.19314471512098</v>
      </c>
      <c r="M104" s="609">
        <f>NPV(realdiscrt1,M$13:M24)/(1+realdiscrt1)^-Half_Year</f>
        <v>846.93221700279082</v>
      </c>
      <c r="N104" s="609">
        <f>NPV(realdiscrt1,N$13:N24)/(1+realdiscrt1)^-Half_Year</f>
        <v>846.93221700279082</v>
      </c>
      <c r="O104" s="612">
        <f>NPV(realdiscrt1,O$13:O24)/(1+realdiscrt1)^-Half_Year</f>
        <v>0</v>
      </c>
      <c r="P104" s="782">
        <f t="shared" si="88"/>
        <v>0</v>
      </c>
      <c r="Q104" s="782">
        <f t="shared" si="88"/>
        <v>60.904719654977178</v>
      </c>
      <c r="R104" s="1316">
        <f t="shared" si="89"/>
        <v>60.904719654977178</v>
      </c>
      <c r="S104" s="595">
        <f>NPV(realdiscrt1,S$13:S24)/(1+realdiscrt1)^-Half_Year</f>
        <v>0</v>
      </c>
      <c r="T104" s="595">
        <f>NPV(realdiscrt1,T$13:T24)/(1+realdiscrt1)^-Half_Year</f>
        <v>0</v>
      </c>
      <c r="U104" s="610">
        <f>NPV(realdiscrt1,U$13:U24)/(1+realdiscrt1)^-Half_Year</f>
        <v>0</v>
      </c>
      <c r="V104" s="611">
        <f>NPV(realdiscrt1,V$13:V24)/(1+realdiscrt1)^-Half_Year</f>
        <v>1095.4510983497362</v>
      </c>
      <c r="W104" s="609">
        <f>NPV(realdiscrt1,W$13:W24)/(1+realdiscrt1)^-Half_Year</f>
        <v>0</v>
      </c>
      <c r="X104" s="612">
        <f>NPV(realdiscrt1,X$13:X24)/(1+realdiscrt1)^-Half_Year</f>
        <v>948.97693109517843</v>
      </c>
      <c r="Y104" s="608">
        <f>NPV(realdiscrt1,Y$13:Y24)/(1+realdiscrt1)^-Half_Year</f>
        <v>73.543486847000935</v>
      </c>
      <c r="Z104" s="609">
        <f>NPV(realdiscrt1,Z$13:Z24)/(1+realdiscrt1)^-Half_Year</f>
        <v>93.077097684016422</v>
      </c>
      <c r="AA104" s="609">
        <f>NPV(realdiscrt1,AA$13:AA24)/(1+realdiscrt1)^-Half_Year</f>
        <v>106.6758463485091</v>
      </c>
      <c r="AB104" s="609">
        <f>NPV(realdiscrt1,AB$13:AB24)/(1+realdiscrt1)^-Half_Year</f>
        <v>100.3049569430991</v>
      </c>
      <c r="AC104" s="609">
        <f>NPV(realdiscrt1,AC$13:AC24)/(1+realdiscrt1)^-Half_Year</f>
        <v>81.524100966116038</v>
      </c>
      <c r="AD104" s="609">
        <f>NPV(realdiscrt1,AD$13:AD24)/(1+realdiscrt1)^-Half_Year</f>
        <v>95.655450781110886</v>
      </c>
      <c r="AE104" s="612">
        <f>NPV(realdiscrt1,AE$13:AE24)/(1+realdiscrt1)^-Half_Year</f>
        <v>89.480050911958116</v>
      </c>
      <c r="AF104" s="613">
        <f>NPV(realdiscrt1,AF$13:AF24)/(1+realdiscrt1)^-Half_Year</f>
        <v>8.5536637462028164E-2</v>
      </c>
      <c r="AG104" s="607">
        <f>NPV(realdiscrt1,AG$13:AG24)/(1+realdiscrt1)^-Half_Year</f>
        <v>2.6897605735542527</v>
      </c>
      <c r="AH104" s="614">
        <f>NPV(realdiscrt1,AH$13:AH24)/(1+realdiscrt1)^-Half_Year</f>
        <v>2.6897605735542527</v>
      </c>
      <c r="AI104" s="614">
        <f>NPV(realdiscrt1,AI$13:AI24)/(1+realdiscrt1)^-Half_Year</f>
        <v>4.9361095525664744</v>
      </c>
      <c r="AJ104" s="614">
        <f>NPV(realdiscrt1,AJ$13:AJ24)/(1+realdiscrt1)^-Half_Year</f>
        <v>4.1498874099121972</v>
      </c>
      <c r="AK104" s="614">
        <f>NPV(realdiscrt1,AK$13:AK24)/(1+realdiscrt1)^-Half_Year</f>
        <v>2.6897605735542527</v>
      </c>
      <c r="AL104" s="614">
        <f>NPV(realdiscrt1,AL$13:AL24)/(1+realdiscrt1)^-Half_Year</f>
        <v>4.9361095525664744</v>
      </c>
      <c r="AM104" s="614">
        <f>NPV(realdiscrt1,AM$13:AM24)/(1+realdiscrt1)^-Half_Year</f>
        <v>3.9544550487381342</v>
      </c>
      <c r="AN104" s="594">
        <f>NPV(realdiscrt1,AN$13:AN24)/(1+realdiscrt1)^-Half_Year</f>
        <v>274.58976905029868</v>
      </c>
      <c r="AO104" s="595">
        <f>NPV(realdiscrt1,AO$13:AO24)/(1+realdiscrt1)^-Half_Year</f>
        <v>228.71951664944024</v>
      </c>
      <c r="AP104" s="580">
        <f>NPV(realdiscrt1,AP$13:AP24)/(1+realdiscrt1)^-Half_Year</f>
        <v>235.06762408982584</v>
      </c>
      <c r="AQ104" s="610">
        <f>NPV(realdiscrt1,AQ$13:AQ24)/(1+realdiscrt1)^-Half_Year</f>
        <v>0.13877078268003631</v>
      </c>
      <c r="AR104" s="595">
        <f>NPV(realdiscrt1,AR$13:AR24)/(1+realdiscrt1)^-Half_Year</f>
        <v>246.22372631277506</v>
      </c>
      <c r="AS104" s="612">
        <f>NPV(realdiscrt1,AS$13:AS24)/(1+realdiscrt1)^-Half_Year</f>
        <v>380.32779297931773</v>
      </c>
      <c r="AT104" s="594">
        <f>NPV(realdiscrt1,AT$13:AT24)/(1+realdiscrt1)^-Half_Year</f>
        <v>166.0439078948024</v>
      </c>
      <c r="AU104" s="609">
        <f>NPV(realdiscrt1,AU$13:AU24)/(1+realdiscrt1)^-Half_Year</f>
        <v>267.59864292093482</v>
      </c>
      <c r="AV104" s="608">
        <f>NPV(realdiscrt1,AV$13:AV24)/(1+realdiscrt1)^-Half_Year</f>
        <v>9.5488769643823329E-2</v>
      </c>
      <c r="AW104" s="612">
        <f>NPV(realdiscrt1,AW$13:AW24)/(1+realdiscrt1)^-Half_Year</f>
        <v>9.5488769643823329E-2</v>
      </c>
      <c r="AX104" s="600">
        <f>NPV(realdiscrt1,AX$13:AX24)/(1+realdiscrt1)^-Half_Year</f>
        <v>11.243053225400313</v>
      </c>
      <c r="AY104" s="615">
        <f>NPV(realdiscrt1,AY$13:AY24)/(1+realdiscrt1)^-Half_Year</f>
        <v>207.93037659015485</v>
      </c>
      <c r="AZ104" s="607">
        <f>NPV(realdiscrt1,AZ$13:AZ24)/(1+realdiscrt1)^-Half_Year</f>
        <v>0.48440300721371665</v>
      </c>
      <c r="BA104" s="614">
        <f>NPV(realdiscrt1,BA$13:BA24)/(1+realdiscrt1)^-Half_Year</f>
        <v>0.49472665745164851</v>
      </c>
      <c r="BB104" s="614">
        <f>NPV(realdiscrt1,BB$13:BB24)/(1+realdiscrt1)^-Half_Year</f>
        <v>0.47188884105479995</v>
      </c>
      <c r="BC104" s="610">
        <f>NPV(realdiscrt1,BC$13:BC24)/(1+realdiscrt1)^-Half_Year</f>
        <v>0.47488746587852437</v>
      </c>
    </row>
    <row r="105" spans="1:55" s="325" customFormat="1" ht="14.25">
      <c r="A105" s="602">
        <f t="shared" si="91"/>
        <v>13</v>
      </c>
      <c r="B105" s="603">
        <f t="shared" si="90"/>
        <v>2033</v>
      </c>
      <c r="C105" s="604">
        <f>NPV(realdiscrt1,C$13:C25)/(1+realdiscrt1)^-Half_Year</f>
        <v>0.88498484629833707</v>
      </c>
      <c r="D105" s="605">
        <f>NPV(realdiscrt1,D$13:D25)/(1+realdiscrt1)^-Half_Year</f>
        <v>0.81929648841612557</v>
      </c>
      <c r="E105" s="605">
        <f>NPV(realdiscrt1,E$13:E25)/(1+realdiscrt1)^-Half_Year</f>
        <v>0.71510343923893049</v>
      </c>
      <c r="F105" s="606">
        <f>NPV(realdiscrt1,F$13:F25)/(1+realdiscrt1)^-Half_Year</f>
        <v>0.61824061958894572</v>
      </c>
      <c r="G105" s="604">
        <f>NPV(realdiscrt1,G$13:G25)/(1+realdiscrt1)^-Half_Year</f>
        <v>5.0433965793483131E-2</v>
      </c>
      <c r="H105" s="605">
        <f>NPV(realdiscrt1,H$13:H25)/(1+realdiscrt1)^-Half_Year</f>
        <v>3.7012562889352257E-2</v>
      </c>
      <c r="I105" s="605">
        <f>NPV(realdiscrt1,I$13:I25)/(1+realdiscrt1)^-Half_Year</f>
        <v>3.7616819758253345E-2</v>
      </c>
      <c r="J105" s="605">
        <f>NPV(realdiscrt1,J$13:J25)/(1+realdiscrt1)^-Half_Year</f>
        <v>2.5382779130225248E-2</v>
      </c>
      <c r="K105" s="607">
        <f>NPV(realdiscrt1,K$13:K25)/(1+realdiscrt1)^-Half_Year</f>
        <v>1.4846971903839519E-2</v>
      </c>
      <c r="L105" s="1321">
        <f>NPV(realdiscrt1,L$13:L25)/(1+realdiscrt1)^-Half_Year</f>
        <v>982.60140700323939</v>
      </c>
      <c r="M105" s="609">
        <f>NPV(realdiscrt1,M$13:M25)/(1+realdiscrt1)^-Half_Year</f>
        <v>948.44227622347591</v>
      </c>
      <c r="N105" s="609">
        <f>NPV(realdiscrt1,N$13:N25)/(1+realdiscrt1)^-Half_Year</f>
        <v>948.44227622347591</v>
      </c>
      <c r="O105" s="612">
        <f>NPV(realdiscrt1,O$13:O25)/(1+realdiscrt1)^-Half_Year</f>
        <v>0</v>
      </c>
      <c r="P105" s="782">
        <f t="shared" si="88"/>
        <v>0</v>
      </c>
      <c r="Q105" s="782">
        <f t="shared" si="88"/>
        <v>35.156910185175306</v>
      </c>
      <c r="R105" s="1316">
        <f t="shared" si="89"/>
        <v>35.156910185175306</v>
      </c>
      <c r="S105" s="595">
        <f>NPV(realdiscrt1,S$13:S25)/(1+realdiscrt1)^-Half_Year</f>
        <v>0</v>
      </c>
      <c r="T105" s="595">
        <f>NPV(realdiscrt1,T$13:T25)/(1+realdiscrt1)^-Half_Year</f>
        <v>0</v>
      </c>
      <c r="U105" s="610">
        <f>NPV(realdiscrt1,U$13:U25)/(1+realdiscrt1)^-Half_Year</f>
        <v>0</v>
      </c>
      <c r="V105" s="611">
        <f>NPV(realdiscrt1,V$13:V25)/(1+realdiscrt1)^-Half_Year</f>
        <v>1178.6761129288002</v>
      </c>
      <c r="W105" s="609">
        <f>NPV(realdiscrt1,W$13:W25)/(1+realdiscrt1)^-Half_Year</f>
        <v>0</v>
      </c>
      <c r="X105" s="612">
        <f>NPV(realdiscrt1,X$13:X25)/(1+realdiscrt1)^-Half_Year</f>
        <v>1021.0738225443454</v>
      </c>
      <c r="Y105" s="608">
        <f>NPV(realdiscrt1,Y$13:Y25)/(1+realdiscrt1)^-Half_Year</f>
        <v>79.464256541112093</v>
      </c>
      <c r="Z105" s="609">
        <f>NPV(realdiscrt1,Z$13:Z25)/(1+realdiscrt1)^-Half_Year</f>
        <v>100.46333090063534</v>
      </c>
      <c r="AA105" s="609">
        <f>NPV(realdiscrt1,AA$13:AA25)/(1+realdiscrt1)^-Half_Year</f>
        <v>115.09044850099542</v>
      </c>
      <c r="AB105" s="609">
        <f>NPV(realdiscrt1,AB$13:AB25)/(1+realdiscrt1)^-Half_Year</f>
        <v>108.23999748869251</v>
      </c>
      <c r="AC105" s="609">
        <f>NPV(realdiscrt1,AC$13:AC25)/(1+realdiscrt1)^-Half_Year</f>
        <v>88.044722341953928</v>
      </c>
      <c r="AD105" s="609">
        <f>NPV(realdiscrt1,AD$13:AD25)/(1+realdiscrt1)^-Half_Year</f>
        <v>103.23792613589859</v>
      </c>
      <c r="AE105" s="612">
        <f>NPV(realdiscrt1,AE$13:AE25)/(1+realdiscrt1)^-Half_Year</f>
        <v>96.598496077944759</v>
      </c>
      <c r="AF105" s="613">
        <f>NPV(realdiscrt1,AF$13:AF25)/(1+realdiscrt1)^-Half_Year</f>
        <v>9.4390362417247728E-2</v>
      </c>
      <c r="AG105" s="607">
        <f>NPV(realdiscrt1,AG$13:AG25)/(1+realdiscrt1)^-Half_Year</f>
        <v>2.6897605735542527</v>
      </c>
      <c r="AH105" s="614">
        <f>NPV(realdiscrt1,AH$13:AH25)/(1+realdiscrt1)^-Half_Year</f>
        <v>2.6897605735542527</v>
      </c>
      <c r="AI105" s="614">
        <f>NPV(realdiscrt1,AI$13:AI25)/(1+realdiscrt1)^-Half_Year</f>
        <v>4.9361095525664744</v>
      </c>
      <c r="AJ105" s="614">
        <f>NPV(realdiscrt1,AJ$13:AJ25)/(1+realdiscrt1)^-Half_Year</f>
        <v>4.1498874099121972</v>
      </c>
      <c r="AK105" s="614">
        <f>NPV(realdiscrt1,AK$13:AK25)/(1+realdiscrt1)^-Half_Year</f>
        <v>2.6897605735542527</v>
      </c>
      <c r="AL105" s="614">
        <f>NPV(realdiscrt1,AL$13:AL25)/(1+realdiscrt1)^-Half_Year</f>
        <v>4.9361095525664744</v>
      </c>
      <c r="AM105" s="614">
        <f>NPV(realdiscrt1,AM$13:AM25)/(1+realdiscrt1)^-Half_Year</f>
        <v>3.9544550487381342</v>
      </c>
      <c r="AN105" s="594">
        <f>NPV(realdiscrt1,AN$13:AN25)/(1+realdiscrt1)^-Half_Year</f>
        <v>297.4519523889735</v>
      </c>
      <c r="AO105" s="595">
        <f>NPV(realdiscrt1,AO$13:AO25)/(1+realdiscrt1)^-Half_Year</f>
        <v>247.97149666349367</v>
      </c>
      <c r="AP105" s="580">
        <f>NPV(realdiscrt1,AP$13:AP25)/(1+realdiscrt1)^-Half_Year</f>
        <v>254.94412864012446</v>
      </c>
      <c r="AQ105" s="610">
        <f>NPV(realdiscrt1,AQ$13:AQ25)/(1+realdiscrt1)^-Half_Year</f>
        <v>0.14945790447030696</v>
      </c>
      <c r="AR105" s="595">
        <f>NPV(realdiscrt1,AR$13:AR25)/(1+realdiscrt1)^-Half_Year</f>
        <v>266.7241695476547</v>
      </c>
      <c r="AS105" s="612">
        <f>NPV(realdiscrt1,AS$13:AS25)/(1+realdiscrt1)^-Half_Year</f>
        <v>411.28698998966519</v>
      </c>
      <c r="AT105" s="594">
        <f>NPV(realdiscrt1,AT$13:AT25)/(1+realdiscrt1)^-Half_Year</f>
        <v>179.86862641104705</v>
      </c>
      <c r="AU105" s="609">
        <f>NPV(realdiscrt1,AU$13:AU25)/(1+realdiscrt1)^-Half_Year</f>
        <v>289.87874919291437</v>
      </c>
      <c r="AV105" s="608">
        <f>NPV(realdiscrt1,AV$13:AV25)/(1+realdiscrt1)^-Half_Year</f>
        <v>0.10274336481262282</v>
      </c>
      <c r="AW105" s="612">
        <f>NPV(realdiscrt1,AW$13:AW25)/(1+realdiscrt1)^-Half_Year</f>
        <v>0.10274336481262282</v>
      </c>
      <c r="AX105" s="600">
        <f>NPV(realdiscrt1,AX$13:AX25)/(1+realdiscrt1)^-Half_Year</f>
        <v>12.097224872137208</v>
      </c>
      <c r="AY105" s="615">
        <f>NPV(realdiscrt1,AY$13:AY25)/(1+realdiscrt1)^-Half_Year</f>
        <v>232.08188917723862</v>
      </c>
      <c r="AZ105" s="607">
        <f>NPV(realdiscrt1,AZ$13:AZ25)/(1+realdiscrt1)^-Half_Year</f>
        <v>0.51891109589069595</v>
      </c>
      <c r="BA105" s="614">
        <f>NPV(realdiscrt1,BA$13:BA25)/(1+realdiscrt1)^-Half_Year</f>
        <v>0.52997018631495085</v>
      </c>
      <c r="BB105" s="614">
        <f>NPV(realdiscrt1,BB$13:BB25)/(1+realdiscrt1)^-Half_Year</f>
        <v>0.50550544072551906</v>
      </c>
      <c r="BC105" s="610">
        <f>NPV(realdiscrt1,BC$13:BC25)/(1+realdiscrt1)^-Half_Year</f>
        <v>0.50871768274357376</v>
      </c>
    </row>
    <row r="106" spans="1:55" s="325" customFormat="1" ht="14.25">
      <c r="A106" s="602">
        <f t="shared" si="91"/>
        <v>14</v>
      </c>
      <c r="B106" s="603">
        <f t="shared" si="90"/>
        <v>2034</v>
      </c>
      <c r="C106" s="604">
        <f>NPV(realdiscrt1,C$13:C26)/(1+realdiscrt1)^-Half_Year</f>
        <v>0.94869851300478614</v>
      </c>
      <c r="D106" s="605">
        <f>NPV(realdiscrt1,D$13:D26)/(1+realdiscrt1)^-Half_Year</f>
        <v>0.8732145754590771</v>
      </c>
      <c r="E106" s="605">
        <f>NPV(realdiscrt1,E$13:E26)/(1+realdiscrt1)^-Half_Year</f>
        <v>0.76897590632566881</v>
      </c>
      <c r="F106" s="606">
        <f>NPV(realdiscrt1,F$13:F26)/(1+realdiscrt1)^-Half_Year</f>
        <v>0.66123702080183133</v>
      </c>
      <c r="G106" s="604">
        <f>NPV(realdiscrt1,G$13:G26)/(1+realdiscrt1)^-Half_Year</f>
        <v>5.0433965793483131E-2</v>
      </c>
      <c r="H106" s="605">
        <f>NPV(realdiscrt1,H$13:H26)/(1+realdiscrt1)^-Half_Year</f>
        <v>3.7012562889352257E-2</v>
      </c>
      <c r="I106" s="605">
        <f>NPV(realdiscrt1,I$13:I26)/(1+realdiscrt1)^-Half_Year</f>
        <v>3.7616819758253345E-2</v>
      </c>
      <c r="J106" s="605">
        <f>NPV(realdiscrt1,J$13:J26)/(1+realdiscrt1)^-Half_Year</f>
        <v>2.5382779130225248E-2</v>
      </c>
      <c r="K106" s="607">
        <f>NPV(realdiscrt1,K$13:K26)/(1+realdiscrt1)^-Half_Year</f>
        <v>1.493833721176361E-2</v>
      </c>
      <c r="L106" s="1321">
        <f>NPV(realdiscrt1,L$13:L26)/(1+realdiscrt1)^-Half_Year</f>
        <v>1059.5862825862798</v>
      </c>
      <c r="M106" s="609">
        <f>NPV(realdiscrt1,M$13:M26)/(1+realdiscrt1)^-Half_Year</f>
        <v>1045.5028611809184</v>
      </c>
      <c r="N106" s="609">
        <f>NPV(realdiscrt1,N$13:N26)/(1+realdiscrt1)^-Half_Year</f>
        <v>1045.5028611809184</v>
      </c>
      <c r="O106" s="612">
        <f>NPV(realdiscrt1,O$13:O26)/(1+realdiscrt1)^-Half_Year</f>
        <v>0</v>
      </c>
      <c r="P106" s="782">
        <f t="shared" si="88"/>
        <v>0</v>
      </c>
      <c r="Q106" s="782">
        <f t="shared" si="88"/>
        <v>16.52789489455704</v>
      </c>
      <c r="R106" s="1316">
        <f t="shared" si="89"/>
        <v>16.52789489455704</v>
      </c>
      <c r="S106" s="595">
        <f>NPV(realdiscrt1,S$13:S26)/(1+realdiscrt1)^-Half_Year</f>
        <v>0</v>
      </c>
      <c r="T106" s="595">
        <f>NPV(realdiscrt1,T$13:T26)/(1+realdiscrt1)^-Half_Year</f>
        <v>0</v>
      </c>
      <c r="U106" s="610">
        <f>NPV(realdiscrt1,U$13:U26)/(1+realdiscrt1)^-Half_Year</f>
        <v>0</v>
      </c>
      <c r="V106" s="611">
        <f>NPV(realdiscrt1,V$13:V26)/(1+realdiscrt1)^-Half_Year</f>
        <v>1260.7404105975122</v>
      </c>
      <c r="W106" s="609">
        <f>NPV(realdiscrt1,W$13:W26)/(1+realdiscrt1)^-Half_Year</f>
        <v>0</v>
      </c>
      <c r="X106" s="612">
        <f>NPV(realdiscrt1,X$13:X26)/(1+realdiscrt1)^-Half_Year</f>
        <v>1092.1651980256013</v>
      </c>
      <c r="Y106" s="608">
        <f>NPV(realdiscrt1,Y$13:Y26)/(1+realdiscrt1)^-Half_Year</f>
        <v>85.227653953719241</v>
      </c>
      <c r="Z106" s="609">
        <f>NPV(realdiscrt1,Z$13:Z26)/(1+realdiscrt1)^-Half_Year</f>
        <v>107.66560291245102</v>
      </c>
      <c r="AA106" s="609">
        <f>NPV(realdiscrt1,AA$13:AA26)/(1+realdiscrt1)^-Half_Year</f>
        <v>123.30513982032681</v>
      </c>
      <c r="AB106" s="609">
        <f>NPV(realdiscrt1,AB$13:AB26)/(1+realdiscrt1)^-Half_Year</f>
        <v>115.9833006277028</v>
      </c>
      <c r="AC106" s="609">
        <f>NPV(realdiscrt1,AC$13:AC26)/(1+realdiscrt1)^-Half_Year</f>
        <v>94.397030734181698</v>
      </c>
      <c r="AD106" s="609">
        <f>NPV(realdiscrt1,AD$13:AD26)/(1+realdiscrt1)^-Half_Year</f>
        <v>110.63373429820355</v>
      </c>
      <c r="AE106" s="612">
        <f>NPV(realdiscrt1,AE$13:AE26)/(1+realdiscrt1)^-Half_Year</f>
        <v>103.538294840726</v>
      </c>
      <c r="AF106" s="613">
        <f>NPV(realdiscrt1,AF$13:AF26)/(1+realdiscrt1)^-Half_Year</f>
        <v>0.10312060685008941</v>
      </c>
      <c r="AG106" s="607">
        <f>NPV(realdiscrt1,AG$13:AG26)/(1+realdiscrt1)^-Half_Year</f>
        <v>2.6897605735542527</v>
      </c>
      <c r="AH106" s="614">
        <f>NPV(realdiscrt1,AH$13:AH26)/(1+realdiscrt1)^-Half_Year</f>
        <v>2.6897605735542527</v>
      </c>
      <c r="AI106" s="614">
        <f>NPV(realdiscrt1,AI$13:AI26)/(1+realdiscrt1)^-Half_Year</f>
        <v>4.9361095525664744</v>
      </c>
      <c r="AJ106" s="614">
        <f>NPV(realdiscrt1,AJ$13:AJ26)/(1+realdiscrt1)^-Half_Year</f>
        <v>4.1498874099121972</v>
      </c>
      <c r="AK106" s="614">
        <f>NPV(realdiscrt1,AK$13:AK26)/(1+realdiscrt1)^-Half_Year</f>
        <v>2.6897605735542527</v>
      </c>
      <c r="AL106" s="614">
        <f>NPV(realdiscrt1,AL$13:AL26)/(1+realdiscrt1)^-Half_Year</f>
        <v>4.9361095525664744</v>
      </c>
      <c r="AM106" s="614">
        <f>NPV(realdiscrt1,AM$13:AM26)/(1+realdiscrt1)^-Half_Year</f>
        <v>3.9544550487381342</v>
      </c>
      <c r="AN106" s="594">
        <f>NPV(realdiscrt1,AN$13:AN26)/(1+realdiscrt1)^-Half_Year</f>
        <v>320.26541514641195</v>
      </c>
      <c r="AO106" s="595">
        <f>NPV(realdiscrt1,AO$13:AO26)/(1+realdiscrt1)^-Half_Year</f>
        <v>267.19609777488671</v>
      </c>
      <c r="AP106" s="580">
        <f>NPV(realdiscrt1,AP$13:AP26)/(1+realdiscrt1)^-Half_Year</f>
        <v>274.80320258217654</v>
      </c>
      <c r="AQ106" s="610">
        <f>NPV(realdiscrt1,AQ$13:AQ26)/(1+realdiscrt1)^-Half_Year</f>
        <v>0.1599959758452944</v>
      </c>
      <c r="AR106" s="595">
        <f>NPV(realdiscrt1,AR$13:AR26)/(1+realdiscrt1)^-Half_Year</f>
        <v>287.18092520050368</v>
      </c>
      <c r="AS106" s="612">
        <f>NPV(realdiscrt1,AS$13:AS26)/(1+realdiscrt1)^-Half_Year</f>
        <v>442.13906476863002</v>
      </c>
      <c r="AT106" s="594">
        <f>NPV(realdiscrt1,AT$13:AT26)/(1+realdiscrt1)^-Half_Year</f>
        <v>193.66388368504883</v>
      </c>
      <c r="AU106" s="609">
        <f>NPV(realdiscrt1,AU$13:AU26)/(1+realdiscrt1)^-Half_Year</f>
        <v>312.11137532218407</v>
      </c>
      <c r="AV106" s="608">
        <f>NPV(realdiscrt1,AV$13:AV26)/(1+realdiscrt1)^-Half_Year</f>
        <v>0.10989678209238528</v>
      </c>
      <c r="AW106" s="612">
        <f>NPV(realdiscrt1,AW$13:AW26)/(1+realdiscrt1)^-Half_Year</f>
        <v>0.10989678209238528</v>
      </c>
      <c r="AX106" s="600">
        <f>NPV(realdiscrt1,AX$13:AX26)/(1+realdiscrt1)^-Half_Year</f>
        <v>12.939483616488618</v>
      </c>
      <c r="AY106" s="615">
        <f>NPV(realdiscrt1,AY$13:AY26)/(1+realdiscrt1)^-Half_Year</f>
        <v>257.30379807807083</v>
      </c>
      <c r="AZ106" s="607">
        <f>NPV(realdiscrt1,AZ$13:AZ26)/(1+realdiscrt1)^-Half_Year</f>
        <v>0.55257801046352117</v>
      </c>
      <c r="BA106" s="614">
        <f>NPV(realdiscrt1,BA$13:BA26)/(1+realdiscrt1)^-Half_Year</f>
        <v>0.56435461387895125</v>
      </c>
      <c r="BB106" s="614">
        <f>NPV(realdiscrt1,BB$13:BB26)/(1+realdiscrt1)^-Half_Year</f>
        <v>0.53830259735558128</v>
      </c>
      <c r="BC106" s="610">
        <f>NPV(realdiscrt1,BC$13:BC26)/(1+realdiscrt1)^-Half_Year</f>
        <v>0.54172324940469041</v>
      </c>
    </row>
    <row r="107" spans="1:55" s="325" customFormat="1" ht="14.25">
      <c r="A107" s="602">
        <f t="shared" si="91"/>
        <v>15</v>
      </c>
      <c r="B107" s="603">
        <f t="shared" si="90"/>
        <v>2035</v>
      </c>
      <c r="C107" s="604">
        <f>NPV(realdiscrt1,C$13:C27)/(1+realdiscrt1)^-Half_Year</f>
        <v>1.0136480673654682</v>
      </c>
      <c r="D107" s="605">
        <f>NPV(realdiscrt1,D$13:D27)/(1+realdiscrt1)^-Half_Year</f>
        <v>0.93150536307880683</v>
      </c>
      <c r="E107" s="605">
        <f>NPV(realdiscrt1,E$13:E27)/(1+realdiscrt1)^-Half_Year</f>
        <v>0.82794063666796436</v>
      </c>
      <c r="F107" s="606">
        <f>NPV(realdiscrt1,F$13:F27)/(1+realdiscrt1)^-Half_Year</f>
        <v>0.71166220855675055</v>
      </c>
      <c r="G107" s="604">
        <f>NPV(realdiscrt1,G$13:G27)/(1+realdiscrt1)^-Half_Year</f>
        <v>5.0433965793483131E-2</v>
      </c>
      <c r="H107" s="605">
        <f>NPV(realdiscrt1,H$13:H27)/(1+realdiscrt1)^-Half_Year</f>
        <v>3.7012562889352257E-2</v>
      </c>
      <c r="I107" s="605">
        <f>NPV(realdiscrt1,I$13:I27)/(1+realdiscrt1)^-Half_Year</f>
        <v>3.7616819758253345E-2</v>
      </c>
      <c r="J107" s="605">
        <f>NPV(realdiscrt1,J$13:J27)/(1+realdiscrt1)^-Half_Year</f>
        <v>2.5382779130225248E-2</v>
      </c>
      <c r="K107" s="607">
        <f>NPV(realdiscrt1,K$13:K27)/(1+realdiscrt1)^-Half_Year</f>
        <v>1.5028428272293892E-2</v>
      </c>
      <c r="L107" s="1321">
        <f>NPV(realdiscrt1,L$13:L27)/(1+realdiscrt1)^-Half_Year</f>
        <v>1140.6876647818385</v>
      </c>
      <c r="M107" s="609">
        <f>NPV(realdiscrt1,M$13:M27)/(1+realdiscrt1)^-Half_Year</f>
        <v>1147.4864608361702</v>
      </c>
      <c r="N107" s="609">
        <f>NPV(realdiscrt1,N$13:N27)/(1+realdiscrt1)^-Half_Year</f>
        <v>1147.4864608361702</v>
      </c>
      <c r="O107" s="612">
        <f>NPV(realdiscrt1,O$13:O27)/(1+realdiscrt1)^-Half_Year</f>
        <v>0</v>
      </c>
      <c r="P107" s="782">
        <f t="shared" si="88"/>
        <v>0</v>
      </c>
      <c r="Q107" s="782">
        <f t="shared" si="88"/>
        <v>4.0131016826923505</v>
      </c>
      <c r="R107" s="1316">
        <f t="shared" si="89"/>
        <v>4.0131016826923505</v>
      </c>
      <c r="S107" s="595">
        <f>NPV(realdiscrt1,S$13:S27)/(1+realdiscrt1)^-Half_Year</f>
        <v>0</v>
      </c>
      <c r="T107" s="595">
        <f>NPV(realdiscrt1,T$13:T27)/(1+realdiscrt1)^-Half_Year</f>
        <v>0</v>
      </c>
      <c r="U107" s="610">
        <f>NPV(realdiscrt1,U$13:U27)/(1+realdiscrt1)^-Half_Year</f>
        <v>0</v>
      </c>
      <c r="V107" s="611">
        <f>NPV(realdiscrt1,V$13:V27)/(1+realdiscrt1)^-Half_Year</f>
        <v>1341.6601795626605</v>
      </c>
      <c r="W107" s="609">
        <f>NPV(realdiscrt1,W$13:W27)/(1+realdiscrt1)^-Half_Year</f>
        <v>0</v>
      </c>
      <c r="X107" s="612">
        <f>NPV(realdiscrt1,X$13:X27)/(1+realdiscrt1)^-Half_Year</f>
        <v>1162.2650811999033</v>
      </c>
      <c r="Y107" s="608">
        <f>NPV(realdiscrt1,Y$13:Y27)/(1+realdiscrt1)^-Half_Year</f>
        <v>90.935328801322726</v>
      </c>
      <c r="Z107" s="609">
        <f>NPV(realdiscrt1,Z$13:Z27)/(1+realdiscrt1)^-Half_Year</f>
        <v>114.78895396274784</v>
      </c>
      <c r="AA107" s="609">
        <f>NPV(realdiscrt1,AA$13:AA27)/(1+realdiscrt1)^-Half_Year</f>
        <v>131.42597900717323</v>
      </c>
      <c r="AB107" s="609">
        <f>NPV(realdiscrt1,AB$13:AB27)/(1+realdiscrt1)^-Half_Year</f>
        <v>123.64007950921177</v>
      </c>
      <c r="AC107" s="609">
        <f>NPV(realdiscrt1,AC$13:AC27)/(1+realdiscrt1)^-Half_Year</f>
        <v>100.68423678509777</v>
      </c>
      <c r="AD107" s="609">
        <f>NPV(realdiscrt1,AD$13:AD27)/(1+realdiscrt1)^-Half_Year</f>
        <v>117.9479650282357</v>
      </c>
      <c r="AE107" s="612">
        <f>NPV(realdiscrt1,AE$13:AE27)/(1+realdiscrt1)^-Half_Year</f>
        <v>110.4037157859844</v>
      </c>
      <c r="AF107" s="613">
        <f>NPV(realdiscrt1,AF$13:AF27)/(1+realdiscrt1)^-Half_Year</f>
        <v>0.11172909291021156</v>
      </c>
      <c r="AG107" s="607">
        <f>NPV(realdiscrt1,AG$13:AG27)/(1+realdiscrt1)^-Half_Year</f>
        <v>2.6897605735542527</v>
      </c>
      <c r="AH107" s="614">
        <f>NPV(realdiscrt1,AH$13:AH27)/(1+realdiscrt1)^-Half_Year</f>
        <v>2.6897605735542527</v>
      </c>
      <c r="AI107" s="614">
        <f>NPV(realdiscrt1,AI$13:AI27)/(1+realdiscrt1)^-Half_Year</f>
        <v>4.9361095525664744</v>
      </c>
      <c r="AJ107" s="614">
        <f>NPV(realdiscrt1,AJ$13:AJ27)/(1+realdiscrt1)^-Half_Year</f>
        <v>4.1498874099121972</v>
      </c>
      <c r="AK107" s="614">
        <f>NPV(realdiscrt1,AK$13:AK27)/(1+realdiscrt1)^-Half_Year</f>
        <v>2.6897605735542527</v>
      </c>
      <c r="AL107" s="614">
        <f>NPV(realdiscrt1,AL$13:AL27)/(1+realdiscrt1)^-Half_Year</f>
        <v>4.9361095525664744</v>
      </c>
      <c r="AM107" s="614">
        <f>NPV(realdiscrt1,AM$13:AM27)/(1+realdiscrt1)^-Half_Year</f>
        <v>3.9544550487381342</v>
      </c>
      <c r="AN107" s="594">
        <f>NPV(realdiscrt1,AN$13:AN27)/(1+realdiscrt1)^-Half_Year</f>
        <v>342.94684219353286</v>
      </c>
      <c r="AO107" s="595">
        <f>NPV(realdiscrt1,AO$13:AO27)/(1+realdiscrt1)^-Half_Year</f>
        <v>286.29601245701247</v>
      </c>
      <c r="AP107" s="580">
        <f>NPV(realdiscrt1,AP$13:AP27)/(1+realdiscrt1)^-Half_Year</f>
        <v>294.53488136490012</v>
      </c>
      <c r="AQ107" s="610">
        <f>NPV(realdiscrt1,AQ$13:AQ27)/(1+realdiscrt1)^-Half_Year</f>
        <v>0.17038707557108104</v>
      </c>
      <c r="AR107" s="595">
        <f>NPV(realdiscrt1,AR$13:AR27)/(1+realdiscrt1)^-Half_Year</f>
        <v>307.51928487409555</v>
      </c>
      <c r="AS107" s="612">
        <f>NPV(realdiscrt1,AS$13:AS27)/(1+realdiscrt1)^-Half_Year</f>
        <v>472.70700330357482</v>
      </c>
      <c r="AT107" s="594">
        <f>NPV(realdiscrt1,AT$13:AT27)/(1+realdiscrt1)^-Half_Year</f>
        <v>207.37929921768279</v>
      </c>
      <c r="AU107" s="609">
        <f>NPV(realdiscrt1,AU$13:AU27)/(1+realdiscrt1)^-Half_Year</f>
        <v>334.21532740427335</v>
      </c>
      <c r="AV107" s="608">
        <f>NPV(realdiscrt1,AV$13:AV27)/(1+realdiscrt1)^-Half_Year</f>
        <v>0.11695043258393605</v>
      </c>
      <c r="AW107" s="612">
        <f>NPV(realdiscrt1,AW$13:AW27)/(1+realdiscrt1)^-Half_Year</f>
        <v>0.11695043258393605</v>
      </c>
      <c r="AX107" s="600">
        <f>NPV(realdiscrt1,AX$13:AX27)/(1+realdiscrt1)^-Half_Year</f>
        <v>13.769995604502343</v>
      </c>
      <c r="AY107" s="615">
        <f>NPV(realdiscrt1,AY$13:AY27)/(1+realdiscrt1)^-Half_Year</f>
        <v>283.66828731365882</v>
      </c>
      <c r="AZ107" s="607">
        <f>NPV(realdiscrt1,AZ$13:AZ27)/(1+realdiscrt1)^-Half_Year</f>
        <v>0.58543769863242212</v>
      </c>
      <c r="BA107" s="614">
        <f>NPV(realdiscrt1,BA$13:BA27)/(1+realdiscrt1)^-Half_Year</f>
        <v>0.59791461134100565</v>
      </c>
      <c r="BB107" s="614">
        <f>NPV(realdiscrt1,BB$13:BB27)/(1+realdiscrt1)^-Half_Year</f>
        <v>0.57031338163339962</v>
      </c>
      <c r="BC107" s="610">
        <f>NPV(realdiscrt1,BC$13:BC27)/(1+realdiscrt1)^-Half_Year</f>
        <v>0.57393744669848057</v>
      </c>
    </row>
    <row r="108" spans="1:55" s="325" customFormat="1" ht="14.25">
      <c r="A108" s="602">
        <f t="shared" si="91"/>
        <v>16</v>
      </c>
      <c r="B108" s="603">
        <f t="shared" si="90"/>
        <v>2036</v>
      </c>
      <c r="C108" s="604">
        <f>NPV(realdiscrt1,C$13:C28)/(1+realdiscrt1)^-Half_Year</f>
        <v>1.0790782309059841</v>
      </c>
      <c r="D108" s="605">
        <f>NPV(realdiscrt1,D$13:D28)/(1+realdiscrt1)^-Half_Year</f>
        <v>0.98955345808234041</v>
      </c>
      <c r="E108" s="605">
        <f>NPV(realdiscrt1,E$13:E28)/(1+realdiscrt1)^-Half_Year</f>
        <v>0.88917135259932323</v>
      </c>
      <c r="F108" s="606">
        <f>NPV(realdiscrt1,F$13:F28)/(1+realdiscrt1)^-Half_Year</f>
        <v>0.76368458401085182</v>
      </c>
      <c r="G108" s="604">
        <f>NPV(realdiscrt1,G$13:G28)/(1+realdiscrt1)^-Half_Year</f>
        <v>5.0433965793483131E-2</v>
      </c>
      <c r="H108" s="605">
        <f>NPV(realdiscrt1,H$13:H28)/(1+realdiscrt1)^-Half_Year</f>
        <v>3.7012562889352257E-2</v>
      </c>
      <c r="I108" s="605">
        <f>NPV(realdiscrt1,I$13:I28)/(1+realdiscrt1)^-Half_Year</f>
        <v>3.7616819758253345E-2</v>
      </c>
      <c r="J108" s="605">
        <f>NPV(realdiscrt1,J$13:J28)/(1+realdiscrt1)^-Half_Year</f>
        <v>2.5382779130225248E-2</v>
      </c>
      <c r="K108" s="607">
        <f>NPV(realdiscrt1,K$13:K28)/(1+realdiscrt1)^-Half_Year</f>
        <v>1.5117262857016296E-2</v>
      </c>
      <c r="L108" s="1321">
        <f>NPV(realdiscrt1,L$13:L28)/(1+realdiscrt1)^-Half_Year</f>
        <v>1221.9911662540851</v>
      </c>
      <c r="M108" s="609">
        <f>NPV(realdiscrt1,M$13:M28)/(1+realdiscrt1)^-Half_Year</f>
        <v>1249.6574217499251</v>
      </c>
      <c r="N108" s="609">
        <f>NPV(realdiscrt1,N$13:N28)/(1+realdiscrt1)^-Half_Year</f>
        <v>1249.6574217499251</v>
      </c>
      <c r="O108" s="612">
        <f>NPV(realdiscrt1,O$13:O28)/(1+realdiscrt1)^-Half_Year</f>
        <v>0</v>
      </c>
      <c r="P108" s="782">
        <f t="shared" si="88"/>
        <v>0</v>
      </c>
      <c r="Q108" s="782">
        <f t="shared" si="88"/>
        <v>0</v>
      </c>
      <c r="R108" s="1316">
        <f t="shared" si="89"/>
        <v>0</v>
      </c>
      <c r="S108" s="595">
        <f>NPV(realdiscrt1,S$13:S28)/(1+realdiscrt1)^-Half_Year</f>
        <v>0</v>
      </c>
      <c r="T108" s="595">
        <f>NPV(realdiscrt1,T$13:T28)/(1+realdiscrt1)^-Half_Year</f>
        <v>0</v>
      </c>
      <c r="U108" s="610">
        <f>NPV(realdiscrt1,U$13:U28)/(1+realdiscrt1)^-Half_Year</f>
        <v>0</v>
      </c>
      <c r="V108" s="611">
        <f>NPV(realdiscrt1,V$13:V28)/(1+realdiscrt1)^-Half_Year</f>
        <v>1421.4513822584643</v>
      </c>
      <c r="W108" s="609">
        <f>NPV(realdiscrt1,W$13:W28)/(1+realdiscrt1)^-Half_Year</f>
        <v>0</v>
      </c>
      <c r="X108" s="612">
        <f>NPV(realdiscrt1,X$13:X28)/(1+realdiscrt1)^-Half_Year</f>
        <v>1231.3873001439777</v>
      </c>
      <c r="Y108" s="608">
        <f>NPV(realdiscrt1,Y$13:Y28)/(1+realdiscrt1)^-Half_Year</f>
        <v>96.598306267412809</v>
      </c>
      <c r="Z108" s="609">
        <f>NPV(realdiscrt1,Z$13:Z28)/(1+realdiscrt1)^-Half_Year</f>
        <v>121.84495540711309</v>
      </c>
      <c r="AA108" s="609">
        <f>NPV(realdiscrt1,AA$13:AA28)/(1+realdiscrt1)^-Half_Year</f>
        <v>139.46477612272298</v>
      </c>
      <c r="AB108" s="609">
        <f>NPV(realdiscrt1,AB$13:AB28)/(1+realdiscrt1)^-Half_Year</f>
        <v>131.22196657074275</v>
      </c>
      <c r="AC108" s="609">
        <f>NPV(realdiscrt1,AC$13:AC28)/(1+realdiscrt1)^-Half_Year</f>
        <v>106.91758597338878</v>
      </c>
      <c r="AD108" s="609">
        <f>NPV(realdiscrt1,AD$13:AD28)/(1+realdiscrt1)^-Half_Year</f>
        <v>125.19220858415211</v>
      </c>
      <c r="AE108" s="612">
        <f>NPV(realdiscrt1,AE$13:AE28)/(1+realdiscrt1)^-Half_Year</f>
        <v>117.20618931673647</v>
      </c>
      <c r="AF108" s="613">
        <f>NPV(realdiscrt1,AF$13:AF28)/(1+realdiscrt1)^-Half_Year</f>
        <v>0.12021751872891409</v>
      </c>
      <c r="AG108" s="607">
        <f>NPV(realdiscrt1,AG$13:AG28)/(1+realdiscrt1)^-Half_Year</f>
        <v>2.6897605735542527</v>
      </c>
      <c r="AH108" s="614">
        <f>NPV(realdiscrt1,AH$13:AH28)/(1+realdiscrt1)^-Half_Year</f>
        <v>2.6897605735542527</v>
      </c>
      <c r="AI108" s="614">
        <f>NPV(realdiscrt1,AI$13:AI28)/(1+realdiscrt1)^-Half_Year</f>
        <v>4.9361095525664744</v>
      </c>
      <c r="AJ108" s="614">
        <f>NPV(realdiscrt1,AJ$13:AJ28)/(1+realdiscrt1)^-Half_Year</f>
        <v>4.1498874099121972</v>
      </c>
      <c r="AK108" s="614">
        <f>NPV(realdiscrt1,AK$13:AK28)/(1+realdiscrt1)^-Half_Year</f>
        <v>2.6897605735542527</v>
      </c>
      <c r="AL108" s="614">
        <f>NPV(realdiscrt1,AL$13:AL28)/(1+realdiscrt1)^-Half_Year</f>
        <v>4.9361095525664744</v>
      </c>
      <c r="AM108" s="614">
        <f>NPV(realdiscrt1,AM$13:AM28)/(1+realdiscrt1)^-Half_Year</f>
        <v>3.9544550487381342</v>
      </c>
      <c r="AN108" s="594">
        <f>NPV(realdiscrt1,AN$13:AN28)/(1+realdiscrt1)^-Half_Year</f>
        <v>365.76177160777399</v>
      </c>
      <c r="AO108" s="595">
        <f>NPV(realdiscrt1,AO$13:AO28)/(1+realdiscrt1)^-Half_Year</f>
        <v>305.51827018937132</v>
      </c>
      <c r="AP108" s="580">
        <f>NPV(realdiscrt1,AP$13:AP28)/(1+realdiscrt1)^-Half_Year</f>
        <v>314.40734984300747</v>
      </c>
      <c r="AQ108" s="610">
        <f>NPV(realdiscrt1,AQ$13:AQ28)/(1+realdiscrt1)^-Half_Year</f>
        <v>0.18063325342175746</v>
      </c>
      <c r="AR108" s="595">
        <f>NPV(realdiscrt1,AR$13:AR28)/(1+realdiscrt1)^-Half_Year</f>
        <v>327.97735567318773</v>
      </c>
      <c r="AS108" s="612">
        <f>NPV(realdiscrt1,AS$13:AS28)/(1+realdiscrt1)^-Half_Year</f>
        <v>503.29750311553494</v>
      </c>
      <c r="AT108" s="594">
        <f>NPV(realdiscrt1,AT$13:AT28)/(1+realdiscrt1)^-Half_Year</f>
        <v>221.17544337624662</v>
      </c>
      <c r="AU108" s="609">
        <f>NPV(realdiscrt1,AU$13:AU28)/(1+realdiscrt1)^-Half_Year</f>
        <v>356.44938284888639</v>
      </c>
      <c r="AV108" s="608">
        <f>NPV(realdiscrt1,AV$13:AV28)/(1+realdiscrt1)^-Half_Year</f>
        <v>0.12390570770785647</v>
      </c>
      <c r="AW108" s="612">
        <f>NPV(realdiscrt1,AW$13:AW28)/(1+realdiscrt1)^-Half_Year</f>
        <v>0.12390570770785647</v>
      </c>
      <c r="AX108" s="600">
        <f>NPV(realdiscrt1,AX$13:AX28)/(1+realdiscrt1)^-Half_Year</f>
        <v>14.588924665031906</v>
      </c>
      <c r="AY108" s="615">
        <f>NPV(realdiscrt1,AY$13:AY28)/(1+realdiscrt1)^-Half_Year</f>
        <v>311.24383058086357</v>
      </c>
      <c r="AZ108" s="607">
        <f>NPV(realdiscrt1,AZ$13:AZ28)/(1+realdiscrt1)^-Half_Year</f>
        <v>0.61748976685898882</v>
      </c>
      <c r="BA108" s="614">
        <f>NPV(realdiscrt1,BA$13:BA28)/(1+realdiscrt1)^-Half_Year</f>
        <v>0.6306497767755701</v>
      </c>
      <c r="BB108" s="614">
        <f>NPV(realdiscrt1,BB$13:BB28)/(1+realdiscrt1)^-Half_Year</f>
        <v>0.60153741018731588</v>
      </c>
      <c r="BC108" s="610">
        <f>NPV(realdiscrt1,BC$13:BC28)/(1+realdiscrt1)^-Half_Year</f>
        <v>0.60535988881714464</v>
      </c>
    </row>
    <row r="109" spans="1:55" s="325" customFormat="1" ht="14.25">
      <c r="A109" s="602">
        <f t="shared" si="91"/>
        <v>17</v>
      </c>
      <c r="B109" s="603">
        <f t="shared" si="90"/>
        <v>2037</v>
      </c>
      <c r="C109" s="604">
        <f>NPV(realdiscrt1,C$13:C29)/(1+realdiscrt1)^-Half_Year</f>
        <v>1.1450015318513396</v>
      </c>
      <c r="D109" s="605">
        <f>NPV(realdiscrt1,D$13:D29)/(1+realdiscrt1)^-Half_Year</f>
        <v>1.04737330958444</v>
      </c>
      <c r="E109" s="605">
        <f>NPV(realdiscrt1,E$13:E29)/(1+realdiscrt1)^-Half_Year</f>
        <v>0.95275664080130706</v>
      </c>
      <c r="F109" s="606">
        <f>NPV(realdiscrt1,F$13:F29)/(1+realdiscrt1)^-Half_Year</f>
        <v>0.81735736608817988</v>
      </c>
      <c r="G109" s="604">
        <f>NPV(realdiscrt1,G$13:G29)/(1+realdiscrt1)^-Half_Year</f>
        <v>5.0433965793483131E-2</v>
      </c>
      <c r="H109" s="605">
        <f>NPV(realdiscrt1,H$13:H29)/(1+realdiscrt1)^-Half_Year</f>
        <v>3.7012562889352257E-2</v>
      </c>
      <c r="I109" s="605">
        <f>NPV(realdiscrt1,I$13:I29)/(1+realdiscrt1)^-Half_Year</f>
        <v>3.7616819758253345E-2</v>
      </c>
      <c r="J109" s="605">
        <f>NPV(realdiscrt1,J$13:J29)/(1+realdiscrt1)^-Half_Year</f>
        <v>2.5382779130225248E-2</v>
      </c>
      <c r="K109" s="607">
        <f>NPV(realdiscrt1,K$13:K29)/(1+realdiscrt1)^-Half_Year</f>
        <v>1.5204858489661214E-2</v>
      </c>
      <c r="L109" s="1321">
        <f>NPV(realdiscrt1,L$13:L29)/(1+realdiscrt1)^-Half_Year</f>
        <v>1303.4972907207239</v>
      </c>
      <c r="M109" s="609">
        <f>NPV(realdiscrt1,M$13:M29)/(1+realdiscrt1)^-Half_Year</f>
        <v>1352.0160881367556</v>
      </c>
      <c r="N109" s="609">
        <f>NPV(realdiscrt1,N$13:N29)/(1+realdiscrt1)^-Half_Year</f>
        <v>1352.0160881367556</v>
      </c>
      <c r="O109" s="612">
        <f>NPV(realdiscrt1,O$13:O29)/(1+realdiscrt1)^-Half_Year</f>
        <v>0</v>
      </c>
      <c r="P109" s="782">
        <f t="shared" si="88"/>
        <v>0</v>
      </c>
      <c r="Q109" s="782">
        <f t="shared" si="88"/>
        <v>0</v>
      </c>
      <c r="R109" s="1316">
        <f t="shared" si="89"/>
        <v>0</v>
      </c>
      <c r="S109" s="595">
        <f>NPV(realdiscrt1,S$13:S29)/(1+realdiscrt1)^-Half_Year</f>
        <v>0</v>
      </c>
      <c r="T109" s="595">
        <f>NPV(realdiscrt1,T$13:T29)/(1+realdiscrt1)^-Half_Year</f>
        <v>0</v>
      </c>
      <c r="U109" s="610">
        <f>NPV(realdiscrt1,U$13:U29)/(1+realdiscrt1)^-Half_Year</f>
        <v>0</v>
      </c>
      <c r="V109" s="611">
        <f>NPV(realdiscrt1,V$13:V29)/(1+realdiscrt1)^-Half_Year</f>
        <v>1500.1297584953629</v>
      </c>
      <c r="W109" s="609">
        <f>NPV(realdiscrt1,W$13:W29)/(1+realdiscrt1)^-Half_Year</f>
        <v>0</v>
      </c>
      <c r="X109" s="612">
        <f>NPV(realdiscrt1,X$13:X29)/(1+realdiscrt1)^-Half_Year</f>
        <v>1299.5454900780815</v>
      </c>
      <c r="Y109" s="608">
        <f>NPV(realdiscrt1,Y$13:Y29)/(1+realdiscrt1)^-Half_Year</f>
        <v>102.21693638172444</v>
      </c>
      <c r="Z109" s="609">
        <f>NPV(realdiscrt1,Z$13:Z29)/(1+realdiscrt1)^-Half_Year</f>
        <v>128.83424402020344</v>
      </c>
      <c r="AA109" s="609">
        <f>NPV(realdiscrt1,AA$13:AA29)/(1+realdiscrt1)^-Half_Year</f>
        <v>147.42236001006825</v>
      </c>
      <c r="AB109" s="609">
        <f>NPV(realdiscrt1,AB$13:AB29)/(1+realdiscrt1)^-Half_Year</f>
        <v>138.72969433765488</v>
      </c>
      <c r="AC109" s="609">
        <f>NPV(realdiscrt1,AC$13:AC29)/(1+realdiscrt1)^-Half_Year</f>
        <v>113.09753964255587</v>
      </c>
      <c r="AD109" s="609">
        <f>NPV(realdiscrt1,AD$13:AD29)/(1+realdiscrt1)^-Half_Year</f>
        <v>132.36713464738915</v>
      </c>
      <c r="AE109" s="612">
        <f>NPV(realdiscrt1,AE$13:AE29)/(1+realdiscrt1)^-Half_Year</f>
        <v>123.94629258287945</v>
      </c>
      <c r="AF109" s="613">
        <f>NPV(realdiscrt1,AF$13:AF29)/(1+realdiscrt1)^-Half_Year</f>
        <v>0.12858755875411607</v>
      </c>
      <c r="AG109" s="607">
        <f>NPV(realdiscrt1,AG$13:AG29)/(1+realdiscrt1)^-Half_Year</f>
        <v>2.6897605735542527</v>
      </c>
      <c r="AH109" s="614">
        <f>NPV(realdiscrt1,AH$13:AH29)/(1+realdiscrt1)^-Half_Year</f>
        <v>2.6897605735542527</v>
      </c>
      <c r="AI109" s="614">
        <f>NPV(realdiscrt1,AI$13:AI29)/(1+realdiscrt1)^-Half_Year</f>
        <v>4.9361095525664744</v>
      </c>
      <c r="AJ109" s="614">
        <f>NPV(realdiscrt1,AJ$13:AJ29)/(1+realdiscrt1)^-Half_Year</f>
        <v>4.1498874099121972</v>
      </c>
      <c r="AK109" s="614">
        <f>NPV(realdiscrt1,AK$13:AK29)/(1+realdiscrt1)^-Half_Year</f>
        <v>2.6897605735542527</v>
      </c>
      <c r="AL109" s="614">
        <f>NPV(realdiscrt1,AL$13:AL29)/(1+realdiscrt1)^-Half_Year</f>
        <v>4.9361095525664744</v>
      </c>
      <c r="AM109" s="614">
        <f>NPV(realdiscrt1,AM$13:AM29)/(1+realdiscrt1)^-Half_Year</f>
        <v>3.9544550487381342</v>
      </c>
      <c r="AN109" s="594">
        <f>NPV(realdiscrt1,AN$13:AN29)/(1+realdiscrt1)^-Half_Year</f>
        <v>388.32144813485331</v>
      </c>
      <c r="AO109" s="595">
        <f>NPV(realdiscrt1,AO$13:AO29)/(1+realdiscrt1)^-Half_Year</f>
        <v>324.51313609013317</v>
      </c>
      <c r="AP109" s="580">
        <f>NPV(realdiscrt1,AP$13:AP29)/(1+realdiscrt1)^-Half_Year</f>
        <v>334.04591725443657</v>
      </c>
      <c r="AQ109" s="610">
        <f>NPV(realdiscrt1,AQ$13:AQ29)/(1+realdiscrt1)^-Half_Year</f>
        <v>0.19073653058376583</v>
      </c>
      <c r="AR109" s="595">
        <f>NPV(realdiscrt1,AR$13:AR29)/(1+realdiscrt1)^-Half_Year</f>
        <v>348.20654206319784</v>
      </c>
      <c r="AS109" s="612">
        <f>NPV(realdiscrt1,AS$13:AS29)/(1+realdiscrt1)^-Half_Year</f>
        <v>533.66469839730291</v>
      </c>
      <c r="AT109" s="594">
        <f>NPV(realdiscrt1,AT$13:AT29)/(1+realdiscrt1)^-Half_Year</f>
        <v>234.81723660239089</v>
      </c>
      <c r="AU109" s="609">
        <f>NPV(realdiscrt1,AU$13:AU29)/(1+realdiscrt1)^-Half_Year</f>
        <v>378.43468421048175</v>
      </c>
      <c r="AV109" s="608">
        <f>NPV(realdiscrt1,AV$13:AV29)/(1+realdiscrt1)^-Half_Year</f>
        <v>0.13076397947895904</v>
      </c>
      <c r="AW109" s="612">
        <f>NPV(realdiscrt1,AW$13:AW29)/(1+realdiscrt1)^-Half_Year</f>
        <v>0.13076397947895904</v>
      </c>
      <c r="AX109" s="600">
        <f>NPV(realdiscrt1,AX$13:AX29)/(1+realdiscrt1)^-Half_Year</f>
        <v>15.396432342053842</v>
      </c>
      <c r="AY109" s="615">
        <f>NPV(realdiscrt1,AY$13:AY29)/(1+realdiscrt1)^-Half_Year</f>
        <v>339.99151919811032</v>
      </c>
      <c r="AZ109" s="607">
        <f>NPV(realdiscrt1,AZ$13:AZ29)/(1+realdiscrt1)^-Half_Year</f>
        <v>0.64875406469163766</v>
      </c>
      <c r="BA109" s="614">
        <f>NPV(realdiscrt1,BA$13:BA29)/(1+realdiscrt1)^-Half_Year</f>
        <v>0.66258038276682296</v>
      </c>
      <c r="BB109" s="614">
        <f>NPV(realdiscrt1,BB$13:BB29)/(1+realdiscrt1)^-Half_Year</f>
        <v>0.63199401976846092</v>
      </c>
      <c r="BC109" s="610">
        <f>NPV(realdiscrt1,BC$13:BC29)/(1+realdiscrt1)^-Half_Year</f>
        <v>0.63601003538749323</v>
      </c>
    </row>
    <row r="110" spans="1:55" s="325" customFormat="1" ht="14.25">
      <c r="A110" s="602">
        <f t="shared" si="91"/>
        <v>18</v>
      </c>
      <c r="B110" s="603">
        <f t="shared" si="90"/>
        <v>2038</v>
      </c>
      <c r="C110" s="604">
        <f>NPV(realdiscrt1,C$13:C30)/(1+realdiscrt1)^-Half_Year</f>
        <v>1.2114311710753236</v>
      </c>
      <c r="D110" s="605">
        <f>NPV(realdiscrt1,D$13:D30)/(1+realdiscrt1)^-Half_Year</f>
        <v>1.1049800068223845</v>
      </c>
      <c r="E110" s="605">
        <f>NPV(realdiscrt1,E$13:E30)/(1+realdiscrt1)^-Half_Year</f>
        <v>1.018788638545181</v>
      </c>
      <c r="F110" s="606">
        <f>NPV(realdiscrt1,F$13:F30)/(1+realdiscrt1)^-Half_Year</f>
        <v>0.87273569520434036</v>
      </c>
      <c r="G110" s="604">
        <f>NPV(realdiscrt1,G$13:G30)/(1+realdiscrt1)^-Half_Year</f>
        <v>5.0433965793483131E-2</v>
      </c>
      <c r="H110" s="605">
        <f>NPV(realdiscrt1,H$13:H30)/(1+realdiscrt1)^-Half_Year</f>
        <v>3.7012562889352257E-2</v>
      </c>
      <c r="I110" s="605">
        <f>NPV(realdiscrt1,I$13:I30)/(1+realdiscrt1)^-Half_Year</f>
        <v>3.7616819758253345E-2</v>
      </c>
      <c r="J110" s="605">
        <f>NPV(realdiscrt1,J$13:J30)/(1+realdiscrt1)^-Half_Year</f>
        <v>2.5382779130225248E-2</v>
      </c>
      <c r="K110" s="607">
        <f>NPV(realdiscrt1,K$13:K30)/(1+realdiscrt1)^-Half_Year</f>
        <v>1.5291232449560285E-2</v>
      </c>
      <c r="L110" s="1321">
        <f>NPV(realdiscrt1,L$13:L30)/(1+realdiscrt1)^-Half_Year</f>
        <v>1385.2065431548133</v>
      </c>
      <c r="M110" s="609">
        <f>NPV(realdiscrt1,M$13:M30)/(1+realdiscrt1)^-Half_Year</f>
        <v>1454.5628048436156</v>
      </c>
      <c r="N110" s="609">
        <f>NPV(realdiscrt1,N$13:N30)/(1+realdiscrt1)^-Half_Year</f>
        <v>1454.5628048436156</v>
      </c>
      <c r="O110" s="612">
        <f>NPV(realdiscrt1,O$13:O30)/(1+realdiscrt1)^-Half_Year</f>
        <v>0</v>
      </c>
      <c r="P110" s="782">
        <f t="shared" si="88"/>
        <v>0</v>
      </c>
      <c r="Q110" s="782">
        <f t="shared" si="88"/>
        <v>0</v>
      </c>
      <c r="R110" s="1316">
        <f t="shared" si="89"/>
        <v>0</v>
      </c>
      <c r="S110" s="595">
        <f>NPV(realdiscrt1,S$13:S30)/(1+realdiscrt1)^-Half_Year</f>
        <v>0</v>
      </c>
      <c r="T110" s="595">
        <f>NPV(realdiscrt1,T$13:T30)/(1+realdiscrt1)^-Half_Year</f>
        <v>0</v>
      </c>
      <c r="U110" s="610">
        <f>NPV(realdiscrt1,U$13:U30)/(1+realdiscrt1)^-Half_Year</f>
        <v>0</v>
      </c>
      <c r="V110" s="611">
        <f>NPV(realdiscrt1,V$13:V30)/(1+realdiscrt1)^-Half_Year</f>
        <v>1577.7108285648899</v>
      </c>
      <c r="W110" s="609">
        <f>NPV(realdiscrt1,W$13:W30)/(1+realdiscrt1)^-Half_Year</f>
        <v>0</v>
      </c>
      <c r="X110" s="612">
        <f>NPV(realdiscrt1,X$13:X30)/(1+realdiscrt1)^-Half_Year</f>
        <v>1366.7530960557192</v>
      </c>
      <c r="Y110" s="608">
        <f>NPV(realdiscrt1,Y$13:Y30)/(1+realdiscrt1)^-Half_Year</f>
        <v>107.79156643287416</v>
      </c>
      <c r="Z110" s="609">
        <f>NPV(realdiscrt1,Z$13:Z30)/(1+realdiscrt1)^-Half_Year</f>
        <v>135.75745055612111</v>
      </c>
      <c r="AA110" s="609">
        <f>NPV(realdiscrt1,AA$13:AA30)/(1+realdiscrt1)^-Half_Year</f>
        <v>155.29955113878194</v>
      </c>
      <c r="AB110" s="609">
        <f>NPV(realdiscrt1,AB$13:AB30)/(1+realdiscrt1)^-Half_Year</f>
        <v>146.16398817039374</v>
      </c>
      <c r="AC110" s="609">
        <f>NPV(realdiscrt1,AC$13:AC30)/(1+realdiscrt1)^-Half_Year</f>
        <v>119.22455518418361</v>
      </c>
      <c r="AD110" s="609">
        <f>NPV(realdiscrt1,AD$13:AD30)/(1+realdiscrt1)^-Half_Year</f>
        <v>139.47340649144854</v>
      </c>
      <c r="AE110" s="612">
        <f>NPV(realdiscrt1,AE$13:AE30)/(1+realdiscrt1)^-Half_Year</f>
        <v>130.62459744256014</v>
      </c>
      <c r="AF110" s="613">
        <f>NPV(realdiscrt1,AF$13:AF30)/(1+realdiscrt1)^-Half_Year</f>
        <v>0.13684086408066148</v>
      </c>
      <c r="AG110" s="607">
        <f>NPV(realdiscrt1,AG$13:AG30)/(1+realdiscrt1)^-Half_Year</f>
        <v>2.6897605735542527</v>
      </c>
      <c r="AH110" s="614">
        <f>NPV(realdiscrt1,AH$13:AH30)/(1+realdiscrt1)^-Half_Year</f>
        <v>2.6897605735542527</v>
      </c>
      <c r="AI110" s="614">
        <f>NPV(realdiscrt1,AI$13:AI30)/(1+realdiscrt1)^-Half_Year</f>
        <v>4.9361095525664744</v>
      </c>
      <c r="AJ110" s="614">
        <f>NPV(realdiscrt1,AJ$13:AJ30)/(1+realdiscrt1)^-Half_Year</f>
        <v>4.1498874099121972</v>
      </c>
      <c r="AK110" s="614">
        <f>NPV(realdiscrt1,AK$13:AK30)/(1+realdiscrt1)^-Half_Year</f>
        <v>2.6897605735542527</v>
      </c>
      <c r="AL110" s="614">
        <f>NPV(realdiscrt1,AL$13:AL30)/(1+realdiscrt1)^-Half_Year</f>
        <v>4.9361095525664744</v>
      </c>
      <c r="AM110" s="614">
        <f>NPV(realdiscrt1,AM$13:AM30)/(1+realdiscrt1)^-Half_Year</f>
        <v>3.9544550487381342</v>
      </c>
      <c r="AN110" s="594">
        <f>NPV(realdiscrt1,AN$13:AN30)/(1+realdiscrt1)^-Half_Year</f>
        <v>410.70389940008374</v>
      </c>
      <c r="AO110" s="595">
        <f>NPV(realdiscrt1,AO$13:AO30)/(1+realdiscrt1)^-Half_Year</f>
        <v>343.32698733727375</v>
      </c>
      <c r="AP110" s="580">
        <f>NPV(realdiscrt1,AP$13:AP30)/(1+realdiscrt1)^-Half_Year</f>
        <v>353.49494376890732</v>
      </c>
      <c r="AQ110" s="610">
        <f>NPV(realdiscrt1,AQ$13:AQ30)/(1+realdiscrt1)^-Half_Year</f>
        <v>0.20069890005460433</v>
      </c>
      <c r="AR110" s="595">
        <f>NPV(realdiscrt1,AR$13:AR30)/(1+realdiscrt1)^-Half_Year</f>
        <v>368.27681115443119</v>
      </c>
      <c r="AS110" s="612">
        <f>NPV(realdiscrt1,AS$13:AS30)/(1+realdiscrt1)^-Half_Year</f>
        <v>564.00742779119048</v>
      </c>
      <c r="AT110" s="594">
        <f>NPV(realdiscrt1,AT$13:AT30)/(1+realdiscrt1)^-Half_Year</f>
        <v>248.35186205183015</v>
      </c>
      <c r="AU110" s="609">
        <f>NPV(realdiscrt1,AU$13:AU30)/(1+realdiscrt1)^-Half_Year</f>
        <v>400.24727251096743</v>
      </c>
      <c r="AV110" s="608">
        <f>NPV(realdiscrt1,AV$13:AV30)/(1+realdiscrt1)^-Half_Year</f>
        <v>0.13752660077693435</v>
      </c>
      <c r="AW110" s="612">
        <f>NPV(realdiscrt1,AW$13:AW30)/(1+realdiscrt1)^-Half_Year</f>
        <v>0.13752660077693435</v>
      </c>
      <c r="AX110" s="600">
        <f>NPV(realdiscrt1,AX$13:AX30)/(1+realdiscrt1)^-Half_Year</f>
        <v>16.192677926534259</v>
      </c>
      <c r="AY110" s="615">
        <f>NPV(realdiscrt1,AY$13:AY30)/(1+realdiscrt1)^-Half_Year</f>
        <v>370.07796390988159</v>
      </c>
      <c r="AZ110" s="607">
        <f>NPV(realdiscrt1,AZ$13:AZ30)/(1+realdiscrt1)^-Half_Year</f>
        <v>0.6792499538198904</v>
      </c>
      <c r="BA110" s="614">
        <f>NPV(realdiscrt1,BA$13:BA30)/(1+realdiscrt1)^-Half_Year</f>
        <v>0.6937262036427454</v>
      </c>
      <c r="BB110" s="614">
        <f>NPV(realdiscrt1,BB$13:BB30)/(1+realdiscrt1)^-Half_Year</f>
        <v>0.66170207187251762</v>
      </c>
      <c r="BC110" s="610">
        <f>NPV(realdiscrt1,BC$13:BC30)/(1+realdiscrt1)^-Half_Year</f>
        <v>0.6659068677608706</v>
      </c>
    </row>
    <row r="111" spans="1:55" s="325" customFormat="1" ht="14.25">
      <c r="A111" s="602">
        <f t="shared" si="91"/>
        <v>19</v>
      </c>
      <c r="B111" s="603">
        <f t="shared" si="90"/>
        <v>2039</v>
      </c>
      <c r="C111" s="604">
        <f>NPV(realdiscrt1,C$13:C31)/(1+realdiscrt1)^-Half_Year</f>
        <v>1.2783810620048353</v>
      </c>
      <c r="D111" s="605">
        <f>NPV(realdiscrt1,D$13:D31)/(1+realdiscrt1)^-Half_Year</f>
        <v>1.1623893192288539</v>
      </c>
      <c r="E111" s="605">
        <f>NPV(realdiscrt1,E$13:E31)/(1+realdiscrt1)^-Half_Year</f>
        <v>1.0873631809839313</v>
      </c>
      <c r="F111" s="606">
        <f>NPV(realdiscrt1,F$13:F31)/(1+realdiscrt1)^-Half_Year</f>
        <v>0.92987671058613197</v>
      </c>
      <c r="G111" s="604">
        <f>NPV(realdiscrt1,G$13:G31)/(1+realdiscrt1)^-Half_Year</f>
        <v>5.0433965793483131E-2</v>
      </c>
      <c r="H111" s="605">
        <f>NPV(realdiscrt1,H$13:H31)/(1+realdiscrt1)^-Half_Year</f>
        <v>3.7012562889352257E-2</v>
      </c>
      <c r="I111" s="605">
        <f>NPV(realdiscrt1,I$13:I31)/(1+realdiscrt1)^-Half_Year</f>
        <v>3.7616819758253345E-2</v>
      </c>
      <c r="J111" s="605">
        <f>NPV(realdiscrt1,J$13:J31)/(1+realdiscrt1)^-Half_Year</f>
        <v>2.5382779130225248E-2</v>
      </c>
      <c r="K111" s="607">
        <f>NPV(realdiscrt1,K$13:K31)/(1+realdiscrt1)^-Half_Year</f>
        <v>1.5376401775054954E-2</v>
      </c>
      <c r="L111" s="1321">
        <f>NPV(realdiscrt1,L$13:L31)/(1+realdiscrt1)^-Half_Year</f>
        <v>1467.1194297878969</v>
      </c>
      <c r="M111" s="609">
        <f>NPV(realdiscrt1,M$13:M31)/(1+realdiscrt1)^-Half_Year</f>
        <v>1557.2979173510014</v>
      </c>
      <c r="N111" s="609">
        <f>NPV(realdiscrt1,N$13:N31)/(1+realdiscrt1)^-Half_Year</f>
        <v>1557.2979173510014</v>
      </c>
      <c r="O111" s="612">
        <f>NPV(realdiscrt1,O$13:O31)/(1+realdiscrt1)^-Half_Year</f>
        <v>0</v>
      </c>
      <c r="P111" s="782">
        <f t="shared" si="88"/>
        <v>0</v>
      </c>
      <c r="Q111" s="782">
        <f t="shared" si="88"/>
        <v>0</v>
      </c>
      <c r="R111" s="1316">
        <f t="shared" si="89"/>
        <v>0</v>
      </c>
      <c r="S111" s="595">
        <f>NPV(realdiscrt1,S$13:S31)/(1+realdiscrt1)^-Half_Year</f>
        <v>0</v>
      </c>
      <c r="T111" s="595">
        <f>NPV(realdiscrt1,T$13:T31)/(1+realdiscrt1)^-Half_Year</f>
        <v>0</v>
      </c>
      <c r="U111" s="610">
        <f>NPV(realdiscrt1,U$13:U31)/(1+realdiscrt1)^-Half_Year</f>
        <v>0</v>
      </c>
      <c r="V111" s="611">
        <f>NPV(realdiscrt1,V$13:V31)/(1+realdiscrt1)^-Half_Year</f>
        <v>1654.2098963012434</v>
      </c>
      <c r="W111" s="609">
        <f>NPV(realdiscrt1,W$13:W31)/(1+realdiscrt1)^-Half_Year</f>
        <v>0</v>
      </c>
      <c r="X111" s="612">
        <f>NPV(realdiscrt1,X$13:X31)/(1+realdiscrt1)^-Half_Year</f>
        <v>1433.023375615848</v>
      </c>
      <c r="Y111" s="608">
        <f>NPV(realdiscrt1,Y$13:Y31)/(1+realdiscrt1)^-Half_Year</f>
        <v>113.32254098982612</v>
      </c>
      <c r="Z111" s="609">
        <f>NPV(realdiscrt1,Z$13:Z31)/(1+realdiscrt1)^-Half_Year</f>
        <v>142.615199805337</v>
      </c>
      <c r="AA111" s="609">
        <f>NPV(realdiscrt1,AA$13:AA31)/(1+realdiscrt1)^-Half_Year</f>
        <v>163.09716168951221</v>
      </c>
      <c r="AB111" s="609">
        <f>NPV(realdiscrt1,AB$13:AB31)/(1+realdiscrt1)^-Half_Year</f>
        <v>153.52556633457263</v>
      </c>
      <c r="AC111" s="609">
        <f>NPV(realdiscrt1,AC$13:AC31)/(1+realdiscrt1)^-Half_Year</f>
        <v>125.2990860717926</v>
      </c>
      <c r="AD111" s="609">
        <f>NPV(realdiscrt1,AD$13:AD31)/(1+realdiscrt1)^-Half_Year</f>
        <v>146.51168104321283</v>
      </c>
      <c r="AE111" s="612">
        <f>NPV(realdiscrt1,AE$13:AE31)/(1+realdiscrt1)^-Half_Year</f>
        <v>137.24167051069392</v>
      </c>
      <c r="AF111" s="613">
        <f>NPV(realdiscrt1,AF$13:AF31)/(1+realdiscrt1)^-Half_Year</f>
        <v>0.14497906277601827</v>
      </c>
      <c r="AG111" s="607">
        <f>NPV(realdiscrt1,AG$13:AG31)/(1+realdiscrt1)^-Half_Year</f>
        <v>2.6897605735542527</v>
      </c>
      <c r="AH111" s="614">
        <f>NPV(realdiscrt1,AH$13:AH31)/(1+realdiscrt1)^-Half_Year</f>
        <v>2.6897605735542527</v>
      </c>
      <c r="AI111" s="614">
        <f>NPV(realdiscrt1,AI$13:AI31)/(1+realdiscrt1)^-Half_Year</f>
        <v>4.9361095525664744</v>
      </c>
      <c r="AJ111" s="614">
        <f>NPV(realdiscrt1,AJ$13:AJ31)/(1+realdiscrt1)^-Half_Year</f>
        <v>4.1498874099121972</v>
      </c>
      <c r="AK111" s="614">
        <f>NPV(realdiscrt1,AK$13:AK31)/(1+realdiscrt1)^-Half_Year</f>
        <v>2.6897605735542527</v>
      </c>
      <c r="AL111" s="614">
        <f>NPV(realdiscrt1,AL$13:AL31)/(1+realdiscrt1)^-Half_Year</f>
        <v>4.9361095525664744</v>
      </c>
      <c r="AM111" s="614">
        <f>NPV(realdiscrt1,AM$13:AM31)/(1+realdiscrt1)^-Half_Year</f>
        <v>3.9544550487381342</v>
      </c>
      <c r="AN111" s="594">
        <f>NPV(realdiscrt1,AN$13:AN31)/(1+realdiscrt1)^-Half_Year</f>
        <v>433.07708945670106</v>
      </c>
      <c r="AO111" s="595">
        <f>NPV(realdiscrt1,AO$13:AO31)/(1+realdiscrt1)^-Half_Year</f>
        <v>362.12506286915641</v>
      </c>
      <c r="AP111" s="580">
        <f>NPV(realdiscrt1,AP$13:AP31)/(1+realdiscrt1)^-Half_Year</f>
        <v>372.93030303832398</v>
      </c>
      <c r="AQ111" s="610">
        <f>NPV(realdiscrt1,AQ$13:AQ31)/(1+realdiscrt1)^-Half_Year</f>
        <v>0.21052232703597057</v>
      </c>
      <c r="AR111" s="595">
        <f>NPV(realdiscrt1,AR$13:AR31)/(1+realdiscrt1)^-Half_Year</f>
        <v>388.33877575091674</v>
      </c>
      <c r="AS111" s="612">
        <f>NPV(realdiscrt1,AS$13:AS31)/(1+realdiscrt1)^-Half_Year</f>
        <v>594.48417310795207</v>
      </c>
      <c r="AT111" s="594">
        <f>NPV(realdiscrt1,AT$13:AT31)/(1+realdiscrt1)^-Half_Year</f>
        <v>261.88088726614319</v>
      </c>
      <c r="AU111" s="609">
        <f>NPV(realdiscrt1,AU$13:AU31)/(1+realdiscrt1)^-Half_Year</f>
        <v>422.0508353955928</v>
      </c>
      <c r="AV111" s="608">
        <f>NPV(realdiscrt1,AV$13:AV31)/(1+realdiscrt1)^-Half_Year</f>
        <v>0.14419490561322362</v>
      </c>
      <c r="AW111" s="612">
        <f>NPV(realdiscrt1,AW$13:AW31)/(1+realdiscrt1)^-Half_Year</f>
        <v>0.14419490561322362</v>
      </c>
      <c r="AX111" s="600">
        <f>NPV(realdiscrt1,AX$13:AX31)/(1+realdiscrt1)^-Half_Year</f>
        <v>16.977818487850978</v>
      </c>
      <c r="AY111" s="615">
        <f>NPV(realdiscrt1,AY$13:AY31)/(1+realdiscrt1)^-Half_Year</f>
        <v>401.56113803203067</v>
      </c>
      <c r="AZ111" s="607">
        <f>NPV(realdiscrt1,AZ$13:AZ31)/(1+realdiscrt1)^-Half_Year</f>
        <v>0.70899632006488889</v>
      </c>
      <c r="BA111" s="614">
        <f>NPV(realdiscrt1,BA$13:BA31)/(1+realdiscrt1)^-Half_Year</f>
        <v>0.72410652772117934</v>
      </c>
      <c r="BB111" s="614">
        <f>NPV(realdiscrt1,BB$13:BB31)/(1+realdiscrt1)^-Half_Year</f>
        <v>0.69067996442046975</v>
      </c>
      <c r="BC111" s="610">
        <f>NPV(realdiscrt1,BC$13:BC31)/(1+realdiscrt1)^-Half_Year</f>
        <v>0.69506890076812933</v>
      </c>
    </row>
    <row r="112" spans="1:55" s="325" customFormat="1" ht="14.25">
      <c r="A112" s="602">
        <f t="shared" si="91"/>
        <v>20</v>
      </c>
      <c r="B112" s="603">
        <f t="shared" si="90"/>
        <v>2040</v>
      </c>
      <c r="C112" s="604">
        <f>NPV(realdiscrt1,C$13:C32)/(1+realdiscrt1)^-Half_Year</f>
        <v>1.3458658729116457</v>
      </c>
      <c r="D112" s="605">
        <f>NPV(realdiscrt1,D$13:D32)/(1+realdiscrt1)^-Half_Year</f>
        <v>1.2196177388905409</v>
      </c>
      <c r="E112" s="605">
        <f>NPV(realdiscrt1,E$13:E32)/(1+realdiscrt1)^-Half_Year</f>
        <v>1.1585799548317088</v>
      </c>
      <c r="F112" s="606">
        <f>NPV(realdiscrt1,F$13:F32)/(1+realdiscrt1)^-Half_Year</f>
        <v>0.98883963109534578</v>
      </c>
      <c r="G112" s="604">
        <f>NPV(realdiscrt1,G$13:G32)/(1+realdiscrt1)^-Half_Year</f>
        <v>5.0433965793483131E-2</v>
      </c>
      <c r="H112" s="605">
        <f>NPV(realdiscrt1,H$13:H32)/(1+realdiscrt1)^-Half_Year</f>
        <v>3.7012562889352257E-2</v>
      </c>
      <c r="I112" s="605">
        <f>NPV(realdiscrt1,I$13:I32)/(1+realdiscrt1)^-Half_Year</f>
        <v>3.7616819758253345E-2</v>
      </c>
      <c r="J112" s="605">
        <f>NPV(realdiscrt1,J$13:J32)/(1+realdiscrt1)^-Half_Year</f>
        <v>2.5382779130225248E-2</v>
      </c>
      <c r="K112" s="607">
        <f>NPV(realdiscrt1,K$13:K32)/(1+realdiscrt1)^-Half_Year</f>
        <v>1.5460383266857492E-2</v>
      </c>
      <c r="L112" s="1321">
        <f>NPV(realdiscrt1,L$13:L32)/(1+realdiscrt1)^-Half_Year</f>
        <v>1549.236458113138</v>
      </c>
      <c r="M112" s="609">
        <f>NPV(realdiscrt1,M$13:M32)/(1+realdiscrt1)^-Half_Year</f>
        <v>1660.2217717741155</v>
      </c>
      <c r="N112" s="609">
        <f>NPV(realdiscrt1,N$13:N32)/(1+realdiscrt1)^-Half_Year</f>
        <v>1660.2217717741155</v>
      </c>
      <c r="O112" s="612">
        <f>NPV(realdiscrt1,O$13:O32)/(1+realdiscrt1)^-Half_Year</f>
        <v>0</v>
      </c>
      <c r="P112" s="782">
        <f t="shared" si="88"/>
        <v>0</v>
      </c>
      <c r="Q112" s="782">
        <f t="shared" si="88"/>
        <v>0</v>
      </c>
      <c r="R112" s="1316">
        <f t="shared" si="89"/>
        <v>0</v>
      </c>
      <c r="S112" s="595">
        <f>NPV(realdiscrt1,S$13:S32)/(1+realdiscrt1)^-Half_Year</f>
        <v>0</v>
      </c>
      <c r="T112" s="595">
        <f>NPV(realdiscrt1,T$13:T32)/(1+realdiscrt1)^-Half_Year</f>
        <v>0</v>
      </c>
      <c r="U112" s="610">
        <f>NPV(realdiscrt1,U$13:U32)/(1+realdiscrt1)^-Half_Year</f>
        <v>0</v>
      </c>
      <c r="V112" s="611">
        <f>NPV(realdiscrt1,V$13:V32)/(1+realdiscrt1)^-Half_Year</f>
        <v>1729.6420521001605</v>
      </c>
      <c r="W112" s="609">
        <f>NPV(realdiscrt1,W$13:W32)/(1+realdiscrt1)^-Half_Year</f>
        <v>0</v>
      </c>
      <c r="X112" s="612">
        <f>NPV(realdiscrt1,X$13:X32)/(1+realdiscrt1)^-Half_Year</f>
        <v>1498.3694013980924</v>
      </c>
      <c r="Y112" s="608">
        <f>NPV(realdiscrt1,Y$13:Y32)/(1+realdiscrt1)^-Half_Year</f>
        <v>118.81020192318985</v>
      </c>
      <c r="Z112" s="609">
        <f>NPV(realdiscrt1,Z$13:Z32)/(1+realdiscrt1)^-Half_Year</f>
        <v>149.40811065107522</v>
      </c>
      <c r="AA112" s="609">
        <f>NPV(realdiscrt1,AA$13:AA32)/(1+realdiscrt1)^-Half_Year</f>
        <v>170.81599563772306</v>
      </c>
      <c r="AB112" s="609">
        <f>NPV(realdiscrt1,AB$13:AB32)/(1+realdiscrt1)^-Half_Year</f>
        <v>160.81514007036753</v>
      </c>
      <c r="AC112" s="609">
        <f>NPV(realdiscrt1,AC$13:AC32)/(1+realdiscrt1)^-Half_Year</f>
        <v>131.32158189440193</v>
      </c>
      <c r="AD112" s="609">
        <f>NPV(realdiscrt1,AD$13:AD32)/(1+realdiscrt1)^-Half_Year</f>
        <v>153.48260894367368</v>
      </c>
      <c r="AE112" s="612">
        <f>NPV(realdiscrt1,AE$13:AE32)/(1+realdiscrt1)^-Half_Year</f>
        <v>143.79807320703847</v>
      </c>
      <c r="AF112" s="613">
        <f>NPV(realdiscrt1,AF$13:AF32)/(1+realdiscrt1)^-Half_Year</f>
        <v>0.15300376020143494</v>
      </c>
      <c r="AG112" s="607">
        <f>NPV(realdiscrt1,AG$13:AG32)/(1+realdiscrt1)^-Half_Year</f>
        <v>2.6897605735542527</v>
      </c>
      <c r="AH112" s="614">
        <f>NPV(realdiscrt1,AH$13:AH32)/(1+realdiscrt1)^-Half_Year</f>
        <v>2.6897605735542527</v>
      </c>
      <c r="AI112" s="614">
        <f>NPV(realdiscrt1,AI$13:AI32)/(1+realdiscrt1)^-Half_Year</f>
        <v>4.9361095525664744</v>
      </c>
      <c r="AJ112" s="614">
        <f>NPV(realdiscrt1,AJ$13:AJ32)/(1+realdiscrt1)^-Half_Year</f>
        <v>4.1498874099121972</v>
      </c>
      <c r="AK112" s="614">
        <f>NPV(realdiscrt1,AK$13:AK32)/(1+realdiscrt1)^-Half_Year</f>
        <v>2.6897605735542527</v>
      </c>
      <c r="AL112" s="614">
        <f>NPV(realdiscrt1,AL$13:AL32)/(1+realdiscrt1)^-Half_Year</f>
        <v>4.9361095525664744</v>
      </c>
      <c r="AM112" s="614">
        <f>NPV(realdiscrt1,AM$13:AM32)/(1+realdiscrt1)^-Half_Year</f>
        <v>3.9544550487381342</v>
      </c>
      <c r="AN112" s="594">
        <f>NPV(realdiscrt1,AN$13:AN32)/(1+realdiscrt1)^-Half_Year</f>
        <v>455.29754658484404</v>
      </c>
      <c r="AO112" s="595">
        <f>NPV(realdiscrt1,AO$13:AO32)/(1+realdiscrt1)^-Half_Year</f>
        <v>380.76951703181493</v>
      </c>
      <c r="AP112" s="580">
        <f>NPV(realdiscrt1,AP$13:AP32)/(1+realdiscrt1)^-Half_Year</f>
        <v>392.20830490626304</v>
      </c>
      <c r="AQ112" s="610">
        <f>NPV(realdiscrt1,AQ$13:AQ32)/(1+realdiscrt1)^-Half_Year</f>
        <v>0.22020874932142237</v>
      </c>
      <c r="AR112" s="595">
        <f>NPV(realdiscrt1,AR$13:AR32)/(1+realdiscrt1)^-Half_Year</f>
        <v>408.26378524193836</v>
      </c>
      <c r="AS112" s="612">
        <f>NPV(realdiscrt1,AS$13:AS32)/(1+realdiscrt1)^-Half_Year</f>
        <v>624.74074396015021</v>
      </c>
      <c r="AT112" s="594">
        <f>NPV(realdiscrt1,AT$13:AT32)/(1+realdiscrt1)^-Half_Year</f>
        <v>275.31755517087464</v>
      </c>
      <c r="AU112" s="609">
        <f>NPV(realdiscrt1,AU$13:AU32)/(1+realdiscrt1)^-Half_Year</f>
        <v>443.7055539713773</v>
      </c>
      <c r="AV112" s="608">
        <f>NPV(realdiscrt1,AV$13:AV32)/(1+realdiscrt1)^-Half_Year</f>
        <v>0.15077020939416899</v>
      </c>
      <c r="AW112" s="612">
        <f>NPV(realdiscrt1,AW$13:AW32)/(1+realdiscrt1)^-Half_Year</f>
        <v>0.15077020939416899</v>
      </c>
      <c r="AX112" s="600">
        <f>NPV(realdiscrt1,AX$13:AX32)/(1+realdiscrt1)^-Half_Year</f>
        <v>17.752008904777426</v>
      </c>
      <c r="AY112" s="615">
        <f>NPV(realdiscrt1,AY$13:AY32)/(1+realdiscrt1)^-Half_Year</f>
        <v>434.39622979133026</v>
      </c>
      <c r="AZ112" s="607">
        <f>NPV(realdiscrt1,AZ$13:AZ32)/(1+realdiscrt1)^-Half_Year</f>
        <v>0.7380115850752087</v>
      </c>
      <c r="BA112" s="614">
        <f>NPV(realdiscrt1,BA$13:BA32)/(1+realdiscrt1)^-Half_Year</f>
        <v>0.7537401692549035</v>
      </c>
      <c r="BB112" s="614">
        <f>NPV(realdiscrt1,BB$13:BB32)/(1+realdiscrt1)^-Half_Year</f>
        <v>0.71894564315226361</v>
      </c>
      <c r="BC112" s="610">
        <f>NPV(realdiscrt1,BC$13:BC32)/(1+realdiscrt1)^-Half_Year</f>
        <v>0.7235141941856934</v>
      </c>
    </row>
    <row r="113" spans="1:55" s="325" customFormat="1" ht="14.25">
      <c r="A113" s="602">
        <f t="shared" si="91"/>
        <v>21</v>
      </c>
      <c r="B113" s="603">
        <f t="shared" si="90"/>
        <v>2041</v>
      </c>
      <c r="C113" s="604">
        <f>NPV(realdiscrt1,C$13:C33)/(1+realdiscrt1)^-Half_Year</f>
        <v>1.4139010717345299</v>
      </c>
      <c r="D113" s="605">
        <f>NPV(realdiscrt1,D$13:D33)/(1+realdiscrt1)^-Half_Year</f>
        <v>1.276682525535435</v>
      </c>
      <c r="E113" s="605">
        <f>NPV(realdiscrt1,E$13:E33)/(1+realdiscrt1)^-Half_Year</f>
        <v>1.2325426587225927</v>
      </c>
      <c r="F113" s="606">
        <f>NPV(realdiscrt1,F$13:F33)/(1+realdiscrt1)^-Half_Year</f>
        <v>1.0496858397329782</v>
      </c>
      <c r="G113" s="604">
        <f>NPV(realdiscrt1,G$13:G33)/(1+realdiscrt1)^-Half_Year</f>
        <v>5.0433965793483131E-2</v>
      </c>
      <c r="H113" s="605">
        <f>NPV(realdiscrt1,H$13:H33)/(1+realdiscrt1)^-Half_Year</f>
        <v>3.7012562889352257E-2</v>
      </c>
      <c r="I113" s="605">
        <f>NPV(realdiscrt1,I$13:I33)/(1+realdiscrt1)^-Half_Year</f>
        <v>3.7616819758253345E-2</v>
      </c>
      <c r="J113" s="605">
        <f>NPV(realdiscrt1,J$13:J33)/(1+realdiscrt1)^-Half_Year</f>
        <v>2.5382779130225248E-2</v>
      </c>
      <c r="K113" s="607">
        <f>NPV(realdiscrt1,K$13:K33)/(1+realdiscrt1)^-Half_Year</f>
        <v>1.5543193491365159E-2</v>
      </c>
      <c r="L113" s="1321">
        <f>NPV(realdiscrt1,L$13:L33)/(1+realdiscrt1)^-Half_Year</f>
        <v>1631.558136888465</v>
      </c>
      <c r="M113" s="609">
        <f>NPV(realdiscrt1,M$13:M33)/(1+realdiscrt1)^-Half_Year</f>
        <v>1763.3347148640337</v>
      </c>
      <c r="N113" s="609">
        <f>NPV(realdiscrt1,N$13:N33)/(1+realdiscrt1)^-Half_Year</f>
        <v>1763.3347148640337</v>
      </c>
      <c r="O113" s="612">
        <f>NPV(realdiscrt1,O$13:O33)/(1+realdiscrt1)^-Half_Year</f>
        <v>0</v>
      </c>
      <c r="P113" s="782">
        <f t="shared" si="88"/>
        <v>0</v>
      </c>
      <c r="Q113" s="782">
        <f t="shared" si="88"/>
        <v>0</v>
      </c>
      <c r="R113" s="1316">
        <f t="shared" si="89"/>
        <v>0</v>
      </c>
      <c r="S113" s="595">
        <f>NPV(realdiscrt1,S$13:S33)/(1+realdiscrt1)^-Half_Year</f>
        <v>0</v>
      </c>
      <c r="T113" s="595">
        <f>NPV(realdiscrt1,T$13:T33)/(1+realdiscrt1)^-Half_Year</f>
        <v>0</v>
      </c>
      <c r="U113" s="610">
        <f>NPV(realdiscrt1,U$13:U33)/(1+realdiscrt1)^-Half_Year</f>
        <v>0</v>
      </c>
      <c r="V113" s="611">
        <f>NPV(realdiscrt1,V$13:V33)/(1+realdiscrt1)^-Half_Year</f>
        <v>1804.0221758956836</v>
      </c>
      <c r="W113" s="609">
        <f>NPV(realdiscrt1,W$13:W33)/(1+realdiscrt1)^-Half_Year</f>
        <v>0</v>
      </c>
      <c r="X113" s="612">
        <f>NPV(realdiscrt1,X$13:X33)/(1+realdiscrt1)^-Half_Year</f>
        <v>1562.8040637214849</v>
      </c>
      <c r="Y113" s="608">
        <f>NPV(realdiscrt1,Y$13:Y33)/(1+realdiscrt1)^-Half_Year</f>
        <v>124.25488842635147</v>
      </c>
      <c r="Z113" s="609">
        <f>NPV(realdiscrt1,Z$13:Z33)/(1+realdiscrt1)^-Half_Year</f>
        <v>156.13679612516486</v>
      </c>
      <c r="AA113" s="609">
        <f>NPV(realdiscrt1,AA$13:AA33)/(1+realdiscrt1)^-Half_Year</f>
        <v>178.45684883658822</v>
      </c>
      <c r="AB113" s="609">
        <f>NPV(realdiscrt1,AB$13:AB33)/(1+realdiscrt1)^-Half_Year</f>
        <v>168.03341366123388</v>
      </c>
      <c r="AC113" s="609">
        <f>NPV(realdiscrt1,AC$13:AC33)/(1+realdiscrt1)^-Half_Year</f>
        <v>137.29248838980433</v>
      </c>
      <c r="AD113" s="609">
        <f>NPV(realdiscrt1,AD$13:AD33)/(1+realdiscrt1)^-Half_Year</f>
        <v>160.3868346080792</v>
      </c>
      <c r="AE113" s="612">
        <f>NPV(realdiscrt1,AE$13:AE33)/(1+realdiscrt1)^-Half_Year</f>
        <v>150.29436180382694</v>
      </c>
      <c r="AF113" s="613">
        <f>NPV(realdiscrt1,AF$13:AF33)/(1+realdiscrt1)^-Half_Year</f>
        <v>0.16091653932861827</v>
      </c>
      <c r="AG113" s="607">
        <f>NPV(realdiscrt1,AG$13:AG33)/(1+realdiscrt1)^-Half_Year</f>
        <v>2.6897605735542527</v>
      </c>
      <c r="AH113" s="614">
        <f>NPV(realdiscrt1,AH$13:AH33)/(1+realdiscrt1)^-Half_Year</f>
        <v>2.6897605735542527</v>
      </c>
      <c r="AI113" s="614">
        <f>NPV(realdiscrt1,AI$13:AI33)/(1+realdiscrt1)^-Half_Year</f>
        <v>4.9361095525664744</v>
      </c>
      <c r="AJ113" s="614">
        <f>NPV(realdiscrt1,AJ$13:AJ33)/(1+realdiscrt1)^-Half_Year</f>
        <v>4.1498874099121972</v>
      </c>
      <c r="AK113" s="614">
        <f>NPV(realdiscrt1,AK$13:AK33)/(1+realdiscrt1)^-Half_Year</f>
        <v>2.6897605735542527</v>
      </c>
      <c r="AL113" s="614">
        <f>NPV(realdiscrt1,AL$13:AL33)/(1+realdiscrt1)^-Half_Year</f>
        <v>4.9361095525664744</v>
      </c>
      <c r="AM113" s="614">
        <f>NPV(realdiscrt1,AM$13:AM33)/(1+realdiscrt1)^-Half_Year</f>
        <v>3.9544550487381342</v>
      </c>
      <c r="AN113" s="594">
        <f>NPV(realdiscrt1,AN$13:AN33)/(1+realdiscrt1)^-Half_Year</f>
        <v>477.24255392187843</v>
      </c>
      <c r="AO113" s="595">
        <f>NPV(realdiscrt1,AO$13:AO33)/(1+realdiscrt1)^-Half_Year</f>
        <v>399.19515163765936</v>
      </c>
      <c r="AP113" s="580">
        <f>NPV(realdiscrt1,AP$13:AP33)/(1+realdiscrt1)^-Half_Year</f>
        <v>411.26982102687521</v>
      </c>
      <c r="AQ113" s="610">
        <f>NPV(realdiscrt1,AQ$13:AQ33)/(1+realdiscrt1)^-Half_Year</f>
        <v>0.22976007767863155</v>
      </c>
      <c r="AR113" s="595">
        <f>NPV(realdiscrt1,AR$13:AR33)/(1+realdiscrt1)^-Half_Year</f>
        <v>427.94179982774767</v>
      </c>
      <c r="AS113" s="612">
        <f>NPV(realdiscrt1,AS$13:AS33)/(1+realdiscrt1)^-Half_Year</f>
        <v>654.90151412028399</v>
      </c>
      <c r="AT113" s="594">
        <f>NPV(realdiscrt1,AT$13:AT33)/(1+realdiscrt1)^-Half_Year</f>
        <v>288.58765911401844</v>
      </c>
      <c r="AU113" s="609">
        <f>NPV(realdiscrt1,AU$13:AU33)/(1+realdiscrt1)^-Half_Year</f>
        <v>465.09183577856527</v>
      </c>
      <c r="AV113" s="608">
        <f>NPV(realdiscrt1,AV$13:AV33)/(1+realdiscrt1)^-Half_Year</f>
        <v>0.15725380918049389</v>
      </c>
      <c r="AW113" s="612">
        <f>NPV(realdiscrt1,AW$13:AW33)/(1+realdiscrt1)^-Half_Year</f>
        <v>0.15725380918049389</v>
      </c>
      <c r="AX113" s="600">
        <f>NPV(realdiscrt1,AX$13:AX33)/(1+realdiscrt1)^-Half_Year</f>
        <v>18.515401896034387</v>
      </c>
      <c r="AY113" s="615">
        <f>NPV(realdiscrt1,AY$13:AY33)/(1+realdiscrt1)^-Half_Year</f>
        <v>468.73563083924284</v>
      </c>
      <c r="AZ113" s="607">
        <f>NPV(realdiscrt1,AZ$13:AZ33)/(1+realdiscrt1)^-Half_Year</f>
        <v>0.76631371773521528</v>
      </c>
      <c r="BA113" s="614">
        <f>NPV(realdiscrt1,BA$13:BA33)/(1+realdiscrt1)^-Half_Year</f>
        <v>0.78264548008312607</v>
      </c>
      <c r="BB113" s="614">
        <f>NPV(realdiscrt1,BB$13:BB33)/(1+realdiscrt1)^-Half_Year</f>
        <v>0.74651661274043812</v>
      </c>
      <c r="BC113" s="610">
        <f>NPV(realdiscrt1,BC$13:BC33)/(1+realdiscrt1)^-Half_Year</f>
        <v>0.75126036391981021</v>
      </c>
    </row>
    <row r="114" spans="1:55" s="325" customFormat="1" ht="14.25">
      <c r="A114" s="602">
        <f t="shared" si="91"/>
        <v>22</v>
      </c>
      <c r="B114" s="603">
        <f t="shared" si="90"/>
        <v>2042</v>
      </c>
      <c r="C114" s="604">
        <f>NPV(realdiscrt1,C$13:C34)/(1+realdiscrt1)^-Half_Year</f>
        <v>1.4825029735832638</v>
      </c>
      <c r="D114" s="605">
        <f>NPV(realdiscrt1,D$13:D34)/(1+realdiscrt1)^-Half_Year</f>
        <v>1.3336017542002851</v>
      </c>
      <c r="E114" s="605">
        <f>NPV(realdiscrt1,E$13:E34)/(1+realdiscrt1)^-Half_Year</f>
        <v>1.3093591705546723</v>
      </c>
      <c r="F114" s="606">
        <f>NPV(realdiscrt1,F$13:F34)/(1+realdiscrt1)^-Half_Year</f>
        <v>1.1124789720096544</v>
      </c>
      <c r="G114" s="604">
        <f>NPV(realdiscrt1,G$13:G34)/(1+realdiscrt1)^-Half_Year</f>
        <v>5.0433965793483131E-2</v>
      </c>
      <c r="H114" s="605">
        <f>NPV(realdiscrt1,H$13:H34)/(1+realdiscrt1)^-Half_Year</f>
        <v>3.7012562889352257E-2</v>
      </c>
      <c r="I114" s="605">
        <f>NPV(realdiscrt1,I$13:I34)/(1+realdiscrt1)^-Half_Year</f>
        <v>3.7616819758253345E-2</v>
      </c>
      <c r="J114" s="605">
        <f>NPV(realdiscrt1,J$13:J34)/(1+realdiscrt1)^-Half_Year</f>
        <v>2.5382779130225248E-2</v>
      </c>
      <c r="K114" s="607">
        <f>NPV(realdiscrt1,K$13:K34)/(1+realdiscrt1)^-Half_Year</f>
        <v>1.5624848783928119E-2</v>
      </c>
      <c r="L114" s="1321">
        <f>NPV(realdiscrt1,L$13:L34)/(1+realdiscrt1)^-Half_Year</f>
        <v>1714.0849761397214</v>
      </c>
      <c r="M114" s="609">
        <f>NPV(realdiscrt1,M$13:M34)/(1+realdiscrt1)^-Half_Year</f>
        <v>1866.6370940088723</v>
      </c>
      <c r="N114" s="609">
        <f>NPV(realdiscrt1,N$13:N34)/(1+realdiscrt1)^-Half_Year</f>
        <v>1866.6370940088723</v>
      </c>
      <c r="O114" s="612">
        <f>NPV(realdiscrt1,O$13:O34)/(1+realdiscrt1)^-Half_Year</f>
        <v>0</v>
      </c>
      <c r="P114" s="782">
        <f t="shared" si="88"/>
        <v>0</v>
      </c>
      <c r="Q114" s="782">
        <f t="shared" si="88"/>
        <v>0</v>
      </c>
      <c r="R114" s="1316">
        <f t="shared" si="89"/>
        <v>0</v>
      </c>
      <c r="S114" s="595">
        <f>NPV(realdiscrt1,S$13:S34)/(1+realdiscrt1)^-Half_Year</f>
        <v>0</v>
      </c>
      <c r="T114" s="595">
        <f>NPV(realdiscrt1,T$13:T34)/(1+realdiscrt1)^-Half_Year</f>
        <v>0</v>
      </c>
      <c r="U114" s="610">
        <f>NPV(realdiscrt1,U$13:U34)/(1+realdiscrt1)^-Half_Year</f>
        <v>0</v>
      </c>
      <c r="V114" s="611">
        <f>NPV(realdiscrt1,V$13:V34)/(1+realdiscrt1)^-Half_Year</f>
        <v>1877.3649400954143</v>
      </c>
      <c r="W114" s="609">
        <f>NPV(realdiscrt1,W$13:W34)/(1+realdiscrt1)^-Half_Year</f>
        <v>0</v>
      </c>
      <c r="X114" s="612">
        <f>NPV(realdiscrt1,X$13:X34)/(1+realdiscrt1)^-Half_Year</f>
        <v>1626.3400731272436</v>
      </c>
      <c r="Y114" s="608">
        <f>NPV(realdiscrt1,Y$13:Y34)/(1+realdiscrt1)^-Half_Year</f>
        <v>129.65693703643916</v>
      </c>
      <c r="Z114" s="609">
        <f>NPV(realdiscrt1,Z$13:Z34)/(1+realdiscrt1)^-Half_Year</f>
        <v>162.80186346336347</v>
      </c>
      <c r="AA114" s="609">
        <f>NPV(realdiscrt1,AA$13:AA34)/(1+realdiscrt1)^-Half_Year</f>
        <v>186.02050909904804</v>
      </c>
      <c r="AB114" s="609">
        <f>NPV(realdiscrt1,AB$13:AB34)/(1+realdiscrt1)^-Half_Year</f>
        <v>175.18108450195098</v>
      </c>
      <c r="AC114" s="609">
        <f>NPV(realdiscrt1,AC$13:AC34)/(1+realdiscrt1)^-Half_Year</f>
        <v>143.21224747755605</v>
      </c>
      <c r="AD114" s="609">
        <f>NPV(realdiscrt1,AD$13:AD34)/(1+realdiscrt1)^-Half_Year</f>
        <v>167.22499628550591</v>
      </c>
      <c r="AE114" s="612">
        <f>NPV(realdiscrt1,AE$13:AE34)/(1+realdiscrt1)^-Half_Year</f>
        <v>156.73108747296459</v>
      </c>
      <c r="AF114" s="613">
        <f>NPV(realdiscrt1,AF$13:AF34)/(1+realdiscrt1)^-Half_Year</f>
        <v>0.16871896105199385</v>
      </c>
      <c r="AG114" s="607">
        <f>NPV(realdiscrt1,AG$13:AG34)/(1+realdiscrt1)^-Half_Year</f>
        <v>2.6897605735542527</v>
      </c>
      <c r="AH114" s="614">
        <f>NPV(realdiscrt1,AH$13:AH34)/(1+realdiscrt1)^-Half_Year</f>
        <v>2.6897605735542527</v>
      </c>
      <c r="AI114" s="614">
        <f>NPV(realdiscrt1,AI$13:AI34)/(1+realdiscrt1)^-Half_Year</f>
        <v>4.9361095525664744</v>
      </c>
      <c r="AJ114" s="614">
        <f>NPV(realdiscrt1,AJ$13:AJ34)/(1+realdiscrt1)^-Half_Year</f>
        <v>4.1498874099121972</v>
      </c>
      <c r="AK114" s="614">
        <f>NPV(realdiscrt1,AK$13:AK34)/(1+realdiscrt1)^-Half_Year</f>
        <v>2.6897605735542527</v>
      </c>
      <c r="AL114" s="614">
        <f>NPV(realdiscrt1,AL$13:AL34)/(1+realdiscrt1)^-Half_Year</f>
        <v>4.9361095525664744</v>
      </c>
      <c r="AM114" s="614">
        <f>NPV(realdiscrt1,AM$13:AM34)/(1+realdiscrt1)^-Half_Year</f>
        <v>3.9544550487381342</v>
      </c>
      <c r="AN114" s="594">
        <f>NPV(realdiscrt1,AN$13:AN34)/(1+realdiscrt1)^-Half_Year</f>
        <v>498.92240213743997</v>
      </c>
      <c r="AO114" s="595">
        <f>NPV(realdiscrt1,AO$13:AO34)/(1+realdiscrt1)^-Half_Year</f>
        <v>417.34759547881589</v>
      </c>
      <c r="AP114" s="580">
        <f>NPV(realdiscrt1,AP$13:AP34)/(1+realdiscrt1)^-Half_Year</f>
        <v>430.03830965164161</v>
      </c>
      <c r="AQ114" s="610">
        <f>NPV(realdiscrt1,AQ$13:AQ34)/(1+realdiscrt1)^-Half_Year</f>
        <v>0.23917819622630676</v>
      </c>
      <c r="AR114" s="595">
        <f>NPV(realdiscrt1,AR$13:AR34)/(1+realdiscrt1)^-Half_Year</f>
        <v>447.38204711734397</v>
      </c>
      <c r="AS114" s="612">
        <f>NPV(realdiscrt1,AS$13:AS34)/(1+realdiscrt1)^-Half_Year</f>
        <v>684.81089621192928</v>
      </c>
      <c r="AT114" s="594">
        <f>NPV(realdiscrt1,AT$13:AT34)/(1+realdiscrt1)^-Half_Year</f>
        <v>301.69742184381113</v>
      </c>
      <c r="AU114" s="609">
        <f>NPV(realdiscrt1,AU$13:AU34)/(1+realdiscrt1)^-Half_Year</f>
        <v>486.21970948369739</v>
      </c>
      <c r="AV114" s="608">
        <f>NPV(realdiscrt1,AV$13:AV34)/(1+realdiscrt1)^-Half_Year</f>
        <v>0.16364698394316451</v>
      </c>
      <c r="AW114" s="612">
        <f>NPV(realdiscrt1,AW$13:AW34)/(1+realdiscrt1)^-Half_Year</f>
        <v>0.16364698394316451</v>
      </c>
      <c r="AX114" s="600">
        <f>NPV(realdiscrt1,AX$13:AX34)/(1+realdiscrt1)^-Half_Year</f>
        <v>19.268148050415707</v>
      </c>
      <c r="AY114" s="615">
        <f>NPV(realdiscrt1,AY$13:AY34)/(1+realdiscrt1)^-Half_Year</f>
        <v>504.62773820901776</v>
      </c>
      <c r="AZ114" s="607">
        <f>NPV(realdiscrt1,AZ$13:AZ34)/(1+realdiscrt1)^-Half_Year</f>
        <v>0.79392024529302718</v>
      </c>
      <c r="BA114" s="614">
        <f>NPV(realdiscrt1,BA$13:BA34)/(1+realdiscrt1)^-Half_Year</f>
        <v>0.81084036099660772</v>
      </c>
      <c r="BB114" s="614">
        <f>NPV(realdiscrt1,BB$13:BB34)/(1+realdiscrt1)^-Half_Year</f>
        <v>0.77340994763060689</v>
      </c>
      <c r="BC114" s="610">
        <f>NPV(realdiscrt1,BC$13:BC34)/(1+realdiscrt1)^-Half_Year</f>
        <v>0.77832459291591738</v>
      </c>
    </row>
    <row r="115" spans="1:55" s="325" customFormat="1" ht="14.25">
      <c r="A115" s="602">
        <f t="shared" si="91"/>
        <v>23</v>
      </c>
      <c r="B115" s="603">
        <f t="shared" si="90"/>
        <v>2043</v>
      </c>
      <c r="C115" s="604">
        <f>NPV(realdiscrt1,C$13:C35)/(1+realdiscrt1)^-Half_Year</f>
        <v>1.5516887910850459</v>
      </c>
      <c r="D115" s="605">
        <f>NPV(realdiscrt1,D$13:D35)/(1+realdiscrt1)^-Half_Year</f>
        <v>1.3903943657388109</v>
      </c>
      <c r="E115" s="605">
        <f>NPV(realdiscrt1,E$13:E35)/(1+realdiscrt1)^-Half_Year</f>
        <v>1.3891417221402667</v>
      </c>
      <c r="F115" s="606">
        <f>NPV(realdiscrt1,F$13:F35)/(1+realdiscrt1)^-Half_Year</f>
        <v>1.1772850083781523</v>
      </c>
      <c r="G115" s="604">
        <f>NPV(realdiscrt1,G$13:G35)/(1+realdiscrt1)^-Half_Year</f>
        <v>5.0433965793483131E-2</v>
      </c>
      <c r="H115" s="605">
        <f>NPV(realdiscrt1,H$13:H35)/(1+realdiscrt1)^-Half_Year</f>
        <v>3.7012562889352257E-2</v>
      </c>
      <c r="I115" s="605">
        <f>NPV(realdiscrt1,I$13:I35)/(1+realdiscrt1)^-Half_Year</f>
        <v>3.7616819758253345E-2</v>
      </c>
      <c r="J115" s="605">
        <f>NPV(realdiscrt1,J$13:J35)/(1+realdiscrt1)^-Half_Year</f>
        <v>2.5382779130225248E-2</v>
      </c>
      <c r="K115" s="607">
        <f>NPV(realdiscrt1,K$13:K35)/(1+realdiscrt1)^-Half_Year</f>
        <v>1.5705365252071796E-2</v>
      </c>
      <c r="L115" s="1321">
        <f>NPV(realdiscrt1,L$13:L35)/(1+realdiscrt1)^-Half_Year</f>
        <v>1796.8174871638291</v>
      </c>
      <c r="M115" s="609">
        <f>NPV(realdiscrt1,M$13:M35)/(1+realdiscrt1)^-Half_Year</f>
        <v>1970.1292572349591</v>
      </c>
      <c r="N115" s="609">
        <f>NPV(realdiscrt1,N$13:N35)/(1+realdiscrt1)^-Half_Year</f>
        <v>1970.1292572349591</v>
      </c>
      <c r="O115" s="612">
        <f>NPV(realdiscrt1,O$13:O35)/(1+realdiscrt1)^-Half_Year</f>
        <v>0</v>
      </c>
      <c r="P115" s="782">
        <f t="shared" si="88"/>
        <v>0</v>
      </c>
      <c r="Q115" s="782">
        <f t="shared" si="88"/>
        <v>0</v>
      </c>
      <c r="R115" s="1316">
        <f t="shared" si="89"/>
        <v>0</v>
      </c>
      <c r="S115" s="595">
        <f>NPV(realdiscrt1,S$13:S35)/(1+realdiscrt1)^-Half_Year</f>
        <v>0</v>
      </c>
      <c r="T115" s="595">
        <f>NPV(realdiscrt1,T$13:T35)/(1+realdiscrt1)^-Half_Year</f>
        <v>0</v>
      </c>
      <c r="U115" s="610">
        <f>NPV(realdiscrt1,U$13:U35)/(1+realdiscrt1)^-Half_Year</f>
        <v>0</v>
      </c>
      <c r="V115" s="611">
        <f>NPV(realdiscrt1,V$13:V35)/(1+realdiscrt1)^-Half_Year</f>
        <v>1949.6848124748292</v>
      </c>
      <c r="W115" s="609">
        <f>NPV(realdiscrt1,W$13:W35)/(1+realdiscrt1)^-Half_Year</f>
        <v>0</v>
      </c>
      <c r="X115" s="612">
        <f>NPV(realdiscrt1,X$13:X35)/(1+realdiscrt1)^-Half_Year</f>
        <v>1688.9899628860844</v>
      </c>
      <c r="Y115" s="608">
        <f>NPV(realdiscrt1,Y$13:Y35)/(1+realdiscrt1)^-Half_Year</f>
        <v>135.01668165512473</v>
      </c>
      <c r="Z115" s="609">
        <f>NPV(realdiscrt1,Z$13:Z35)/(1+realdiscrt1)^-Half_Year</f>
        <v>169.40391416015754</v>
      </c>
      <c r="AA115" s="609">
        <f>NPV(realdiscrt1,AA$13:AA35)/(1+realdiscrt1)^-Half_Year</f>
        <v>193.50775627903707</v>
      </c>
      <c r="AB115" s="609">
        <f>NPV(realdiscrt1,AB$13:AB35)/(1+realdiscrt1)^-Half_Year</f>
        <v>182.25884316600101</v>
      </c>
      <c r="AC115" s="609">
        <f>NPV(realdiscrt1,AC$13:AC35)/(1+realdiscrt1)^-Half_Year</f>
        <v>149.08129729168442</v>
      </c>
      <c r="AD115" s="609">
        <f>NPV(realdiscrt1,AD$13:AD35)/(1+realdiscrt1)^-Half_Year</f>
        <v>173.99772611786045</v>
      </c>
      <c r="AE115" s="612">
        <f>NPV(realdiscrt1,AE$13:AE35)/(1+realdiscrt1)^-Half_Year</f>
        <v>163.10879633279228</v>
      </c>
      <c r="AF115" s="613">
        <f>NPV(realdiscrt1,AF$13:AF35)/(1+realdiscrt1)^-Half_Year</f>
        <v>0.17641256449661244</v>
      </c>
      <c r="AG115" s="607">
        <f>NPV(realdiscrt1,AG$13:AG35)/(1+realdiscrt1)^-Half_Year</f>
        <v>2.6897605735542527</v>
      </c>
      <c r="AH115" s="614">
        <f>NPV(realdiscrt1,AH$13:AH35)/(1+realdiscrt1)^-Half_Year</f>
        <v>2.6897605735542527</v>
      </c>
      <c r="AI115" s="614">
        <f>NPV(realdiscrt1,AI$13:AI35)/(1+realdiscrt1)^-Half_Year</f>
        <v>4.9361095525664744</v>
      </c>
      <c r="AJ115" s="614">
        <f>NPV(realdiscrt1,AJ$13:AJ35)/(1+realdiscrt1)^-Half_Year</f>
        <v>4.1498874099121972</v>
      </c>
      <c r="AK115" s="614">
        <f>NPV(realdiscrt1,AK$13:AK35)/(1+realdiscrt1)^-Half_Year</f>
        <v>2.6897605735542527</v>
      </c>
      <c r="AL115" s="614">
        <f>NPV(realdiscrt1,AL$13:AL35)/(1+realdiscrt1)^-Half_Year</f>
        <v>4.9361095525664744</v>
      </c>
      <c r="AM115" s="614">
        <f>NPV(realdiscrt1,AM$13:AM35)/(1+realdiscrt1)^-Half_Year</f>
        <v>3.9544550487381342</v>
      </c>
      <c r="AN115" s="594">
        <f>NPV(realdiscrt1,AN$13:AN35)/(1+realdiscrt1)^-Half_Year</f>
        <v>520.3470594904478</v>
      </c>
      <c r="AO115" s="595">
        <f>NPV(realdiscrt1,AO$13:AO35)/(1+realdiscrt1)^-Half_Year</f>
        <v>435.25845543414641</v>
      </c>
      <c r="AP115" s="580">
        <f>NPV(realdiscrt1,AP$13:AP35)/(1+realdiscrt1)^-Half_Year</f>
        <v>448.55399161974492</v>
      </c>
      <c r="AQ115" s="610">
        <f>NPV(realdiscrt1,AQ$13:AQ35)/(1+realdiscrt1)^-Half_Year</f>
        <v>0.24846496280585939</v>
      </c>
      <c r="AR115" s="595">
        <f>NPV(realdiscrt1,AR$13:AR35)/(1+realdiscrt1)^-Half_Year</f>
        <v>466.59346561511649</v>
      </c>
      <c r="AS115" s="612">
        <f>NPV(realdiscrt1,AS$13:AS35)/(1+realdiscrt1)^-Half_Year</f>
        <v>714.54293889439589</v>
      </c>
      <c r="AT115" s="594">
        <f>NPV(realdiscrt1,AT$13:AT35)/(1+realdiscrt1)^-Half_Year</f>
        <v>314.65287114734616</v>
      </c>
      <c r="AU115" s="609">
        <f>NPV(realdiscrt1,AU$13:AU35)/(1+realdiscrt1)^-Half_Year</f>
        <v>507.09888955125751</v>
      </c>
      <c r="AV115" s="608">
        <f>NPV(realdiscrt1,AV$13:AV35)/(1+realdiscrt1)^-Half_Year</f>
        <v>0.16995099481568263</v>
      </c>
      <c r="AW115" s="612">
        <f>NPV(realdiscrt1,AW$13:AW35)/(1+realdiscrt1)^-Half_Year</f>
        <v>0.16995099481568263</v>
      </c>
      <c r="AX115" s="600">
        <f>NPV(realdiscrt1,AX$13:AX35)/(1+realdiscrt1)^-Half_Year</f>
        <v>20.01039585649379</v>
      </c>
      <c r="AY115" s="615">
        <f>NPV(realdiscrt1,AY$13:AY35)/(1+realdiscrt1)^-Half_Year</f>
        <v>542.11795710219951</v>
      </c>
      <c r="AZ115" s="607">
        <f>NPV(realdiscrt1,AZ$13:AZ35)/(1+realdiscrt1)^-Half_Year</f>
        <v>0.82084826421497847</v>
      </c>
      <c r="BA115" s="614">
        <f>NPV(realdiscrt1,BA$13:BA35)/(1+realdiscrt1)^-Half_Year</f>
        <v>0.83834227282345586</v>
      </c>
      <c r="BB115" s="614">
        <f>NPV(realdiscrt1,BB$13:BB35)/(1+realdiscrt1)^-Half_Year</f>
        <v>0.79964230261550284</v>
      </c>
      <c r="BC115" s="610">
        <f>NPV(realdiscrt1,BC$13:BC35)/(1+realdiscrt1)^-Half_Year</f>
        <v>0.80472364179988198</v>
      </c>
    </row>
    <row r="116" spans="1:55" s="325" customFormat="1" ht="14.25">
      <c r="A116" s="602">
        <f t="shared" si="91"/>
        <v>24</v>
      </c>
      <c r="B116" s="603">
        <f t="shared" si="90"/>
        <v>2044</v>
      </c>
      <c r="C116" s="604">
        <f>NPV(realdiscrt1,C$13:C36)/(1+realdiscrt1)^-Half_Year</f>
        <v>1.6214766877435234</v>
      </c>
      <c r="D116" s="605">
        <f>NPV(realdiscrt1,D$13:D36)/(1+realdiscrt1)^-Half_Year</f>
        <v>1.447080220340855</v>
      </c>
      <c r="E116" s="605">
        <f>NPV(realdiscrt1,E$13:E36)/(1+realdiscrt1)^-Half_Year</f>
        <v>1.4720070814986892</v>
      </c>
      <c r="F116" s="606">
        <f>NPV(realdiscrt1,F$13:F36)/(1+realdiscrt1)^-Half_Year</f>
        <v>1.2441723709345855</v>
      </c>
      <c r="G116" s="604">
        <f>NPV(realdiscrt1,G$13:G36)/(1+realdiscrt1)^-Half_Year</f>
        <v>5.0433965793483131E-2</v>
      </c>
      <c r="H116" s="605">
        <f>NPV(realdiscrt1,H$13:H36)/(1+realdiscrt1)^-Half_Year</f>
        <v>3.7012562889352257E-2</v>
      </c>
      <c r="I116" s="605">
        <f>NPV(realdiscrt1,I$13:I36)/(1+realdiscrt1)^-Half_Year</f>
        <v>3.7616819758253345E-2</v>
      </c>
      <c r="J116" s="605">
        <f>NPV(realdiscrt1,J$13:J36)/(1+realdiscrt1)^-Half_Year</f>
        <v>2.5382779130225248E-2</v>
      </c>
      <c r="K116" s="607">
        <f>NPV(realdiscrt1,K$13:K36)/(1+realdiscrt1)^-Half_Year</f>
        <v>1.5784758778674295E-2</v>
      </c>
      <c r="L116" s="1321">
        <f>NPV(realdiscrt1,L$13:L36)/(1+realdiscrt1)^-Half_Year</f>
        <v>1879.7561825319528</v>
      </c>
      <c r="M116" s="609">
        <f>NPV(realdiscrt1,M$13:M36)/(1+realdiscrt1)^-Half_Year</f>
        <v>2073.8115532080046</v>
      </c>
      <c r="N116" s="609">
        <f>NPV(realdiscrt1,N$13:N36)/(1+realdiscrt1)^-Half_Year</f>
        <v>2073.8115532080046</v>
      </c>
      <c r="O116" s="612">
        <f>NPV(realdiscrt1,O$13:O36)/(1+realdiscrt1)^-Half_Year</f>
        <v>0</v>
      </c>
      <c r="P116" s="782">
        <f t="shared" si="88"/>
        <v>0</v>
      </c>
      <c r="Q116" s="782">
        <f t="shared" si="88"/>
        <v>0</v>
      </c>
      <c r="R116" s="1316">
        <f t="shared" si="89"/>
        <v>0</v>
      </c>
      <c r="S116" s="595">
        <f>NPV(realdiscrt1,S$13:S36)/(1+realdiscrt1)^-Half_Year</f>
        <v>0</v>
      </c>
      <c r="T116" s="595">
        <f>NPV(realdiscrt1,T$13:T36)/(1+realdiscrt1)^-Half_Year</f>
        <v>0</v>
      </c>
      <c r="U116" s="610">
        <f>NPV(realdiscrt1,U$13:U36)/(1+realdiscrt1)^-Half_Year</f>
        <v>0</v>
      </c>
      <c r="V116" s="611">
        <f>NPV(realdiscrt1,V$13:V36)/(1+realdiscrt1)^-Half_Year</f>
        <v>2020.9960590312282</v>
      </c>
      <c r="W116" s="609">
        <f>NPV(realdiscrt1,W$13:W36)/(1+realdiscrt1)^-Half_Year</f>
        <v>0</v>
      </c>
      <c r="X116" s="612">
        <f>NPV(realdiscrt1,X$13:X36)/(1+realdiscrt1)^-Half_Year</f>
        <v>1750.7660914705646</v>
      </c>
      <c r="Y116" s="608">
        <f>NPV(realdiscrt1,Y$13:Y36)/(1+realdiscrt1)^-Half_Year</f>
        <v>140.33445356926211</v>
      </c>
      <c r="Z116" s="609">
        <f>NPV(realdiscrt1,Z$13:Z36)/(1+realdiscrt1)^-Half_Year</f>
        <v>175.94354402304498</v>
      </c>
      <c r="AA116" s="609">
        <f>NPV(realdiscrt1,AA$13:AA36)/(1+realdiscrt1)^-Half_Year</f>
        <v>200.91936235189141</v>
      </c>
      <c r="AB116" s="609">
        <f>NPV(realdiscrt1,AB$13:AB36)/(1+realdiscrt1)^-Half_Year</f>
        <v>189.26737347228877</v>
      </c>
      <c r="AC116" s="609">
        <f>NPV(realdiscrt1,AC$13:AC36)/(1+realdiscrt1)^-Half_Year</f>
        <v>154.9000722131149</v>
      </c>
      <c r="AD116" s="609">
        <f>NPV(realdiscrt1,AD$13:AD36)/(1+realdiscrt1)^-Half_Year</f>
        <v>180.7056501983169</v>
      </c>
      <c r="AE116" s="612">
        <f>NPV(realdiscrt1,AE$13:AE36)/(1+realdiscrt1)^-Half_Year</f>
        <v>169.42802949442151</v>
      </c>
      <c r="AF116" s="613">
        <f>NPV(realdiscrt1,AF$13:AF36)/(1+realdiscrt1)^-Half_Year</f>
        <v>0.18399886732176129</v>
      </c>
      <c r="AG116" s="607">
        <f>NPV(realdiscrt1,AG$13:AG36)/(1+realdiscrt1)^-Half_Year</f>
        <v>2.6897605735542527</v>
      </c>
      <c r="AH116" s="614">
        <f>NPV(realdiscrt1,AH$13:AH36)/(1+realdiscrt1)^-Half_Year</f>
        <v>2.6897605735542527</v>
      </c>
      <c r="AI116" s="614">
        <f>NPV(realdiscrt1,AI$13:AI36)/(1+realdiscrt1)^-Half_Year</f>
        <v>4.9361095525664744</v>
      </c>
      <c r="AJ116" s="614">
        <f>NPV(realdiscrt1,AJ$13:AJ36)/(1+realdiscrt1)^-Half_Year</f>
        <v>4.1498874099121972</v>
      </c>
      <c r="AK116" s="614">
        <f>NPV(realdiscrt1,AK$13:AK36)/(1+realdiscrt1)^-Half_Year</f>
        <v>2.6897605735542527</v>
      </c>
      <c r="AL116" s="614">
        <f>NPV(realdiscrt1,AL$13:AL36)/(1+realdiscrt1)^-Half_Year</f>
        <v>4.9361095525664744</v>
      </c>
      <c r="AM116" s="614">
        <f>NPV(realdiscrt1,AM$13:AM36)/(1+realdiscrt1)^-Half_Year</f>
        <v>3.9544550487381342</v>
      </c>
      <c r="AN116" s="594">
        <f>NPV(realdiscrt1,AN$13:AN36)/(1+realdiscrt1)^-Half_Year</f>
        <v>541.54727104197832</v>
      </c>
      <c r="AO116" s="595">
        <f>NPV(realdiscrt1,AO$13:AO36)/(1+realdiscrt1)^-Half_Year</f>
        <v>452.9557808620163</v>
      </c>
      <c r="AP116" s="580">
        <f>NPV(realdiscrt1,AP$13:AP36)/(1+realdiscrt1)^-Half_Year</f>
        <v>466.84728236673959</v>
      </c>
      <c r="AQ116" s="610">
        <f>NPV(realdiscrt1,AQ$13:AQ36)/(1+realdiscrt1)^-Half_Year</f>
        <v>0.2576222093478861</v>
      </c>
      <c r="AR116" s="595">
        <f>NPV(realdiscrt1,AR$13:AR36)/(1+realdiscrt1)^-Half_Year</f>
        <v>485.60362431436801</v>
      </c>
      <c r="AS116" s="612">
        <f>NPV(realdiscrt1,AS$13:AS36)/(1+realdiscrt1)^-Half_Year</f>
        <v>744.06393688519927</v>
      </c>
      <c r="AT116" s="594">
        <f>NPV(realdiscrt1,AT$13:AT36)/(1+realdiscrt1)^-Half_Year</f>
        <v>327.47259850422324</v>
      </c>
      <c r="AU116" s="609">
        <f>NPV(realdiscrt1,AU$13:AU36)/(1+realdiscrt1)^-Half_Year</f>
        <v>527.75933826516109</v>
      </c>
      <c r="AV116" s="608">
        <f>NPV(realdiscrt1,AV$13:AV36)/(1+realdiscrt1)^-Half_Year</f>
        <v>0.17616708534286005</v>
      </c>
      <c r="AW116" s="612">
        <f>NPV(realdiscrt1,AW$13:AW36)/(1+realdiscrt1)^-Half_Year</f>
        <v>0.17616708534286005</v>
      </c>
      <c r="AX116" s="600">
        <f>NPV(realdiscrt1,AX$13:AX36)/(1+realdiscrt1)^-Half_Year</f>
        <v>20.742291731910836</v>
      </c>
      <c r="AY116" s="615">
        <f>NPV(realdiscrt1,AY$13:AY36)/(1+realdiscrt1)^-Half_Year</f>
        <v>581.2487937452488</v>
      </c>
      <c r="AZ116" s="607">
        <f>NPV(realdiscrt1,AZ$13:AZ36)/(1+realdiscrt1)^-Half_Year</f>
        <v>0.84711445077330116</v>
      </c>
      <c r="BA116" s="614">
        <f>NPV(realdiscrt1,BA$13:BA36)/(1+realdiscrt1)^-Half_Year</f>
        <v>0.86516824724245289</v>
      </c>
      <c r="BB116" s="614">
        <f>NPV(realdiscrt1,BB$13:BB36)/(1+realdiscrt1)^-Half_Year</f>
        <v>0.82522992314913746</v>
      </c>
      <c r="BC116" s="610">
        <f>NPV(realdiscrt1,BC$13:BC36)/(1+realdiscrt1)^-Half_Year</f>
        <v>0.83047385925770045</v>
      </c>
    </row>
    <row r="117" spans="1:55" s="325" customFormat="1" ht="14.25">
      <c r="A117" s="616">
        <f t="shared" si="91"/>
        <v>25</v>
      </c>
      <c r="B117" s="617">
        <f t="shared" si="90"/>
        <v>2045</v>
      </c>
      <c r="C117" s="618">
        <f>NPV(realdiscrt1,C$13:C37)/(1+realdiscrt1)^-Half_Year</f>
        <v>1.6918858344907837</v>
      </c>
      <c r="D117" s="619">
        <f>NPV(realdiscrt1,D$13:D37)/(1+realdiscrt1)^-Half_Year</f>
        <v>1.5036801542428486</v>
      </c>
      <c r="E117" s="619">
        <f>NPV(realdiscrt1,E$13:E37)/(1+realdiscrt1)^-Half_Year</f>
        <v>1.5580767431443359</v>
      </c>
      <c r="F117" s="620">
        <f>NPV(realdiscrt1,F$13:F37)/(1+realdiscrt1)^-Half_Year</f>
        <v>1.3132120246060781</v>
      </c>
      <c r="G117" s="618">
        <f>NPV(realdiscrt1,G$13:G37)/(1+realdiscrt1)^-Half_Year</f>
        <v>5.0433965793483131E-2</v>
      </c>
      <c r="H117" s="619">
        <f>NPV(realdiscrt1,H$13:H37)/(1+realdiscrt1)^-Half_Year</f>
        <v>3.7012562889352257E-2</v>
      </c>
      <c r="I117" s="619">
        <f>NPV(realdiscrt1,I$13:I37)/(1+realdiscrt1)^-Half_Year</f>
        <v>3.7616819758253345E-2</v>
      </c>
      <c r="J117" s="619">
        <f>NPV(realdiscrt1,J$13:J37)/(1+realdiscrt1)^-Half_Year</f>
        <v>2.5382779130225248E-2</v>
      </c>
      <c r="K117" s="621">
        <f>NPV(realdiscrt1,K$13:K37)/(1+realdiscrt1)^-Half_Year</f>
        <v>1.5863045025099481E-2</v>
      </c>
      <c r="L117" s="622">
        <f>NPV(realdiscrt1,L$13:L37)/(1+realdiscrt1)^-Half_Year</f>
        <v>1962.901576092677</v>
      </c>
      <c r="M117" s="623">
        <f>NPV(realdiscrt1,M$13:M37)/(1+realdiscrt1)^-Half_Year</f>
        <v>2177.6843312342789</v>
      </c>
      <c r="N117" s="623">
        <f>NPV(realdiscrt1,N$13:N37)/(1+realdiscrt1)^-Half_Year</f>
        <v>2177.6843312342789</v>
      </c>
      <c r="O117" s="626">
        <f>NPV(realdiscrt1,O$13:O37)/(1+realdiscrt1)^-Half_Year</f>
        <v>0</v>
      </c>
      <c r="P117" s="783">
        <f t="shared" si="88"/>
        <v>0</v>
      </c>
      <c r="Q117" s="783">
        <f t="shared" si="88"/>
        <v>0</v>
      </c>
      <c r="R117" s="1317">
        <f t="shared" si="89"/>
        <v>0</v>
      </c>
      <c r="S117" s="630">
        <f>NPV(realdiscrt1,S$13:S37)/(1+realdiscrt1)^-Half_Year</f>
        <v>0</v>
      </c>
      <c r="T117" s="630">
        <f>NPV(realdiscrt1,T$13:T37)/(1+realdiscrt1)^-Half_Year</f>
        <v>0</v>
      </c>
      <c r="U117" s="624">
        <f>NPV(realdiscrt1,U$13:U37)/(1+realdiscrt1)^-Half_Year</f>
        <v>0</v>
      </c>
      <c r="V117" s="625">
        <f>NPV(realdiscrt1,V$13:V37)/(1+realdiscrt1)^-Half_Year</f>
        <v>2091.312746797882</v>
      </c>
      <c r="W117" s="623">
        <f>NPV(realdiscrt1,W$13:W37)/(1+realdiscrt1)^-Half_Year</f>
        <v>0</v>
      </c>
      <c r="X117" s="626">
        <f>NPV(realdiscrt1,X$13:X37)/(1+realdiscrt1)^-Half_Year</f>
        <v>1811.6806449929466</v>
      </c>
      <c r="Y117" s="622">
        <f>NPV(realdiscrt1,Y$13:Y37)/(1+realdiscrt1)^-Half_Year</f>
        <v>145.61058147136413</v>
      </c>
      <c r="Z117" s="623">
        <f>NPV(realdiscrt1,Z$13:Z37)/(1+realdiscrt1)^-Half_Year</f>
        <v>182.42134322630415</v>
      </c>
      <c r="AA117" s="623">
        <f>NPV(realdiscrt1,AA$13:AA37)/(1+realdiscrt1)^-Half_Year</f>
        <v>208.25609149394319</v>
      </c>
      <c r="AB117" s="623">
        <f>NPV(realdiscrt1,AB$13:AB37)/(1+realdiscrt1)^-Half_Year</f>
        <v>196.20735255120906</v>
      </c>
      <c r="AC117" s="623">
        <f>NPV(realdiscrt1,AC$13:AC37)/(1+realdiscrt1)^-Half_Year</f>
        <v>160.66900290182079</v>
      </c>
      <c r="AD117" s="623">
        <f>NPV(realdiscrt1,AD$13:AD37)/(1+realdiscrt1)^-Half_Year</f>
        <v>187.34938862919489</v>
      </c>
      <c r="AE117" s="626">
        <f>NPV(realdiscrt1,AE$13:AE37)/(1+realdiscrt1)^-Half_Year</f>
        <v>175.6893231076445</v>
      </c>
      <c r="AF117" s="627">
        <f>NPV(realdiscrt1,AF$13:AF37)/(1+realdiscrt1)^-Half_Year</f>
        <v>0.19147936602034146</v>
      </c>
      <c r="AG117" s="621">
        <f>NPV(realdiscrt1,AG$13:AG37)/(1+realdiscrt1)^-Half_Year</f>
        <v>2.6897605735542527</v>
      </c>
      <c r="AH117" s="628">
        <f>NPV(realdiscrt1,AH$13:AH37)/(1+realdiscrt1)^-Half_Year</f>
        <v>2.6897605735542527</v>
      </c>
      <c r="AI117" s="628">
        <f>NPV(realdiscrt1,AI$13:AI37)/(1+realdiscrt1)^-Half_Year</f>
        <v>4.9361095525664744</v>
      </c>
      <c r="AJ117" s="628">
        <f>NPV(realdiscrt1,AJ$13:AJ37)/(1+realdiscrt1)^-Half_Year</f>
        <v>4.1498874099121972</v>
      </c>
      <c r="AK117" s="628">
        <f>NPV(realdiscrt1,AK$13:AK37)/(1+realdiscrt1)^-Half_Year</f>
        <v>2.6897605735542527</v>
      </c>
      <c r="AL117" s="628">
        <f>NPV(realdiscrt1,AL$13:AL37)/(1+realdiscrt1)^-Half_Year</f>
        <v>4.9361095525664744</v>
      </c>
      <c r="AM117" s="628">
        <f>NPV(realdiscrt1,AM$13:AM37)/(1+realdiscrt1)^-Half_Year</f>
        <v>3.9544550487381342</v>
      </c>
      <c r="AN117" s="629">
        <f>NPV(realdiscrt1,AN$13:AN37)/(1+realdiscrt1)^-Half_Year</f>
        <v>562.52055073130634</v>
      </c>
      <c r="AO117" s="630">
        <f>NPV(realdiscrt1,AO$13:AO37)/(1+realdiscrt1)^-Half_Year</f>
        <v>470.47950677124851</v>
      </c>
      <c r="AP117" s="580">
        <f>NPV(realdiscrt1,AP$13:AP37)/(1+realdiscrt1)^-Half_Year</f>
        <v>484.96615546330395</v>
      </c>
      <c r="AQ117" s="624">
        <f>NPV(realdiscrt1,AQ$13:AQ37)/(1+realdiscrt1)^-Half_Year</f>
        <v>0.26665174223353977</v>
      </c>
      <c r="AR117" s="630">
        <f>NPV(realdiscrt1,AR$13:AR37)/(1+realdiscrt1)^-Half_Year</f>
        <v>504.41029397277191</v>
      </c>
      <c r="AS117" s="626">
        <f>NPV(realdiscrt1,AS$13:AS37)/(1+realdiscrt1)^-Half_Year</f>
        <v>773.26830346794577</v>
      </c>
      <c r="AT117" s="629">
        <f>NPV(realdiscrt1,AT$13:AT37)/(1+realdiscrt1)^-Half_Year</f>
        <v>340.15510059827903</v>
      </c>
      <c r="AU117" s="623">
        <f>NPV(realdiscrt1,AU$13:AU37)/(1+realdiscrt1)^-Half_Year</f>
        <v>548.19863286042812</v>
      </c>
      <c r="AV117" s="622">
        <f>NPV(realdiscrt1,AV$13:AV37)/(1+realdiscrt1)^-Half_Year</f>
        <v>0.18229648172612331</v>
      </c>
      <c r="AW117" s="626">
        <f>NPV(realdiscrt1,AW$13:AW37)/(1+realdiscrt1)^-Half_Year</f>
        <v>0.18229648172612331</v>
      </c>
      <c r="AX117" s="631">
        <f>NPV(realdiscrt1,AX$13:AX37)/(1+realdiscrt1)^-Half_Year</f>
        <v>21.46398005226153</v>
      </c>
      <c r="AY117" s="632">
        <f>NPV(realdiscrt1,AY$13:AY37)/(1+realdiscrt1)^-Half_Year</f>
        <v>622.15269859427383</v>
      </c>
      <c r="AZ117" s="621">
        <f>NPV(realdiscrt1,AZ$13:AZ37)/(1+realdiscrt1)^-Half_Year</f>
        <v>0.8727350713735863</v>
      </c>
      <c r="BA117" s="628">
        <f>NPV(realdiscrt1,BA$13:BA37)/(1+realdiscrt1)^-Half_Year</f>
        <v>0.8913348973306171</v>
      </c>
      <c r="BB117" s="628">
        <f>NPV(realdiscrt1,BB$13:BB37)/(1+realdiscrt1)^-Half_Year</f>
        <v>0.85018865540745969</v>
      </c>
      <c r="BC117" s="624">
        <f>NPV(realdiscrt1,BC$13:BC37)/(1+realdiscrt1)^-Half_Year</f>
        <v>0.85559119216008783</v>
      </c>
    </row>
    <row r="118" spans="1:55" ht="20.25">
      <c r="A118" s="1498" t="str">
        <f>Year2&amp;", "&amp;Year2&amp;"$"</f>
        <v>2022, 2022$</v>
      </c>
      <c r="B118" s="1499"/>
      <c r="C118" s="571"/>
      <c r="D118" s="571"/>
      <c r="E118" s="571"/>
      <c r="F118" s="571"/>
      <c r="G118" s="571"/>
      <c r="H118" s="571"/>
      <c r="I118" s="571"/>
      <c r="J118" s="571"/>
      <c r="K118" s="571"/>
      <c r="L118" s="1322"/>
      <c r="M118" s="1322"/>
      <c r="N118" s="1300"/>
      <c r="O118" s="571"/>
      <c r="P118" s="1300"/>
      <c r="Q118" s="1300"/>
      <c r="R118" s="571"/>
      <c r="S118" s="1300"/>
      <c r="T118" s="1300"/>
      <c r="U118" s="571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1"/>
      <c r="AH118" s="571"/>
      <c r="AI118" s="571"/>
      <c r="AJ118" s="571"/>
      <c r="AK118" s="571"/>
      <c r="AL118" s="571"/>
      <c r="AM118" s="571"/>
      <c r="AN118" s="571"/>
      <c r="AO118" s="571"/>
      <c r="AP118" s="571"/>
      <c r="AQ118" s="571"/>
      <c r="AR118" s="571"/>
      <c r="AS118" s="571"/>
      <c r="AT118" s="571"/>
      <c r="AU118" s="571"/>
      <c r="AV118" s="571"/>
      <c r="AW118" s="571"/>
      <c r="AX118" s="571"/>
      <c r="AY118" s="571"/>
      <c r="AZ118" s="571"/>
      <c r="BA118" s="571"/>
      <c r="BB118" s="571"/>
      <c r="BC118" s="572"/>
    </row>
    <row r="119" spans="1:55" s="325" customFormat="1" ht="14.25">
      <c r="A119" s="587">
        <v>1</v>
      </c>
      <c r="B119" s="588">
        <v>2022</v>
      </c>
      <c r="C119" s="589">
        <f>NPV(realdiscrt2,C39:C$39)/(1+realdiscrt2)^-Half_Year</f>
        <v>7.1993731209409884E-2</v>
      </c>
      <c r="D119" s="590">
        <f>NPV(realdiscrt2,D39:D$39)/(1+realdiscrt2)^-Half_Year</f>
        <v>6.5928295705677625E-2</v>
      </c>
      <c r="E119" s="590">
        <f>NPV(realdiscrt2,E39:E$39)/(1+realdiscrt2)^-Half_Year</f>
        <v>6.1166736521869804E-2</v>
      </c>
      <c r="F119" s="591">
        <f>NPV(realdiscrt2,F39:F$39)/(1+realdiscrt2)^-Half_Year</f>
        <v>5.0469862561808562E-2</v>
      </c>
      <c r="G119" s="589">
        <f>NPV(realdiscrt2,G39:G$39)/(1+realdiscrt2)^-Half_Year</f>
        <v>4.5280711493765049E-3</v>
      </c>
      <c r="H119" s="590">
        <f>NPV(realdiscrt2,H39:H$39)/(1+realdiscrt2)^-Half_Year</f>
        <v>3.2866718063667179E-3</v>
      </c>
      <c r="I119" s="590">
        <f>NPV(realdiscrt2,I39:I$39)/(1+realdiscrt2)^-Half_Year</f>
        <v>2.8867152489455315E-3</v>
      </c>
      <c r="J119" s="590">
        <f>NPV(realdiscrt2,J39:J$39)/(1+realdiscrt2)^-Half_Year</f>
        <v>2.0571896197452018E-3</v>
      </c>
      <c r="K119" s="592">
        <f>NPV(realdiscrt2,K39:K$39)/(1+realdiscrt2)^-Half_Year</f>
        <v>1.7273660135009058E-3</v>
      </c>
      <c r="L119" s="1320">
        <f>NPV(realdiscrt2,L39:L$39)/(1+realdiscrt2)^-Half_Year</f>
        <v>65.669136260456497</v>
      </c>
      <c r="M119" s="595">
        <f>NPV(realdiscrt2,M39:M$39)/(1+realdiscrt2)^-Half_Year</f>
        <v>0</v>
      </c>
      <c r="N119" s="595">
        <f>NPV(realdiscrt2,N39:N$39)/(1+realdiscrt2)^-Half_Year</f>
        <v>0</v>
      </c>
      <c r="O119" s="1308">
        <f>NPV(realdiscrt2,O39:O$39)/(1+realdiscrt2)^-Half_Year</f>
        <v>0</v>
      </c>
      <c r="P119" s="782">
        <f t="shared" ref="P119:Q143" si="92">NPV(realdiscrt2,P39)/(1+realdiscrt2)^-Half_Year</f>
        <v>35.400900810198081</v>
      </c>
      <c r="Q119" s="782">
        <f t="shared" si="92"/>
        <v>0</v>
      </c>
      <c r="R119" s="1315">
        <f t="shared" ref="R119:R143" si="93">NPV(realdiscrt2,R39)/(1+realdiscrt2)^-Half_Year</f>
        <v>0</v>
      </c>
      <c r="S119" s="595">
        <f>NPV(realdiscrt2,S39:S$39)/(1+realdiscrt2)^-Half_Year</f>
        <v>0</v>
      </c>
      <c r="T119" s="595">
        <f>NPV(realdiscrt2,T39:T$39)/(1+realdiscrt2)^-Half_Year</f>
        <v>0</v>
      </c>
      <c r="U119" s="596">
        <f>NPV(realdiscrt2,U39:U$39)/(1+realdiscrt2)^-Half_Year</f>
        <v>0</v>
      </c>
      <c r="V119" s="597">
        <f>NPV(realdiscrt2,V39:V$39)/(1+realdiscrt2)^-Half_Year</f>
        <v>100.28588050566668</v>
      </c>
      <c r="W119" s="595">
        <f>NPV(realdiscrt2,W39:W$39)/(1+realdiscrt2)^-Half_Year</f>
        <v>0</v>
      </c>
      <c r="X119" s="598">
        <f>NPV(realdiscrt2,X39:X$39)/(1+realdiscrt2)^-Half_Year</f>
        <v>86.876527174799989</v>
      </c>
      <c r="Y119" s="594">
        <f>NPV(realdiscrt2,Y39:Y$39)/(1+realdiscrt2)^-Half_Year</f>
        <v>6.4296356658460638</v>
      </c>
      <c r="Z119" s="595">
        <f>NPV(realdiscrt2,Z39:Z$39)/(1+realdiscrt2)^-Half_Year</f>
        <v>8.2321865496995947</v>
      </c>
      <c r="AA119" s="595">
        <f>NPV(realdiscrt2,AA39:AA$39)/(1+realdiscrt2)^-Half_Year</f>
        <v>9.4807806434048754</v>
      </c>
      <c r="AB119" s="595">
        <f>NPV(realdiscrt2,AB39:AB$39)/(1+realdiscrt2)^-Half_Year</f>
        <v>8.8941151566465599</v>
      </c>
      <c r="AC119" s="595">
        <f>NPV(realdiscrt2,AC39:AC$39)/(1+realdiscrt2)^-Half_Year</f>
        <v>7.1650989974821524</v>
      </c>
      <c r="AD119" s="595">
        <f>NPV(realdiscrt2,AD39:AD$39)/(1+realdiscrt2)^-Half_Year</f>
        <v>8.4679250289041157</v>
      </c>
      <c r="AE119" s="598">
        <f>NPV(realdiscrt2,AE39:AE$39)/(1+realdiscrt2)^-Half_Year</f>
        <v>7.8985900531727165</v>
      </c>
      <c r="AF119" s="599">
        <f>NPV(realdiscrt2,AF39:AF$39)/(1+realdiscrt2)^-Half_Year</f>
        <v>0</v>
      </c>
      <c r="AG119" s="592">
        <f>NPV(realdiscrt2,AG39:AG$39)/(1+realdiscrt2)^-Half_Year</f>
        <v>0.26671776730230501</v>
      </c>
      <c r="AH119" s="593">
        <f>NPV(realdiscrt2,AH39:AH$39)/(1+realdiscrt2)^-Half_Year</f>
        <v>0.26671776730230501</v>
      </c>
      <c r="AI119" s="593">
        <f>NPV(realdiscrt2,AI39:AI$39)/(1+realdiscrt2)^-Half_Year</f>
        <v>0.50142940252833346</v>
      </c>
      <c r="AJ119" s="593">
        <f>NPV(realdiscrt2,AJ39:AJ$39)/(1+realdiscrt2)^-Half_Year</f>
        <v>0.41928033019922351</v>
      </c>
      <c r="AK119" s="593">
        <f>NPV(realdiscrt2,AK39:AK$39)/(1+realdiscrt2)^-Half_Year</f>
        <v>0.26671776730230501</v>
      </c>
      <c r="AL119" s="593">
        <f>NPV(realdiscrt2,AL39:AL$39)/(1+realdiscrt2)^-Half_Year</f>
        <v>0.50142940252833346</v>
      </c>
      <c r="AM119" s="593">
        <f>NPV(realdiscrt2,AM39:AM$39)/(1+realdiscrt2)^-Half_Year</f>
        <v>0.39886041793455901</v>
      </c>
      <c r="AN119" s="594">
        <f>NPV(realdiscrt2,AN39:AN$39)/(1+realdiscrt2)^-Half_Year</f>
        <v>22.347391356740459</v>
      </c>
      <c r="AO119" s="595">
        <f>NPV(realdiscrt2,AO39:AO$39)/(1+realdiscrt2)^-Half_Year</f>
        <v>18.457428824839106</v>
      </c>
      <c r="AP119" s="325">
        <f>NPV(realdiscrt2,AP39:AP$39)/(1+realdiscrt2)^-Half_Year</f>
        <v>18.894987480276214</v>
      </c>
      <c r="AQ119" s="596">
        <f>NPV(realdiscrt2,AQ39:AQ$39)/(1+realdiscrt2)^-Half_Year</f>
        <v>1.2491188551795821E-2</v>
      </c>
      <c r="AR119" s="595">
        <f>NPV(realdiscrt2,AR39:AR$39)/(1+realdiscrt2)^-Half_Year</f>
        <v>20.038830988705229</v>
      </c>
      <c r="AS119" s="598">
        <f>NPV(realdiscrt2,AS39:AS$39)/(1+realdiscrt2)^-Half_Year</f>
        <v>32.094138561125703</v>
      </c>
      <c r="AT119" s="594">
        <f>NPV(realdiscrt2,AT39:AT$39)/(1+realdiscrt2)^-Half_Year</f>
        <v>13.513424789865381</v>
      </c>
      <c r="AU119" s="595">
        <f>NPV(realdiscrt2,AU39:AU$39)/(1+realdiscrt2)^-Half_Year</f>
        <v>21.778421026281386</v>
      </c>
      <c r="AV119" s="594">
        <f>NPV(realdiscrt2,AV39:AV$39)/(1+realdiscrt2)^-Half_Year</f>
        <v>8.741764334856952E-3</v>
      </c>
      <c r="AW119" s="598">
        <f>NPV(realdiscrt2,AW39:AW$39)/(1+realdiscrt2)^-Half_Year</f>
        <v>8.741764334856952E-3</v>
      </c>
      <c r="AX119" s="600">
        <f>NPV(realdiscrt2,AX39:AX$39)/(1+realdiscrt2)^-Half_Year</f>
        <v>1.010975488330855</v>
      </c>
      <c r="AY119" s="601">
        <f>NPV(realdiscrt2,AY39:AY$39)/(1+realdiscrt2)^-Half_Year</f>
        <v>13.88982793142816</v>
      </c>
      <c r="AZ119" s="592">
        <f>NPV(realdiscrt2,AZ39:AZ$39)/(1+realdiscrt2)^-Half_Year</f>
        <v>4.585925971961826E-2</v>
      </c>
      <c r="BA119" s="593">
        <f>NPV(realdiscrt2,BA39:BA$39)/(1+realdiscrt2)^-Half_Year</f>
        <v>4.6836617313327299E-2</v>
      </c>
      <c r="BB119" s="593">
        <f>NPV(realdiscrt2,BB39:BB$39)/(1+realdiscrt2)^-Half_Year</f>
        <v>4.4674522243777146E-2</v>
      </c>
      <c r="BC119" s="596">
        <f>NPV(realdiscrt2,BC39:BC$39)/(1+realdiscrt2)^-Half_Year</f>
        <v>4.4958407175424986E-2</v>
      </c>
    </row>
    <row r="120" spans="1:55" s="325" customFormat="1" ht="14.25">
      <c r="A120" s="602">
        <v>2</v>
      </c>
      <c r="B120" s="603">
        <f t="shared" ref="B120:B143" si="94">B119+1</f>
        <v>2023</v>
      </c>
      <c r="C120" s="604">
        <f>NPV(realdiscrt2,C$39:C40)/(1+realdiscrt2)^-Half_Year</f>
        <v>0.14524220847539238</v>
      </c>
      <c r="D120" s="605">
        <f>NPV(realdiscrt2,D$39:D40)/(1+realdiscrt2)^-Half_Year</f>
        <v>0.13145268550306388</v>
      </c>
      <c r="E120" s="605">
        <f>NPV(realdiscrt2,E$39:E40)/(1+realdiscrt2)^-Half_Year</f>
        <v>0.11849206191951324</v>
      </c>
      <c r="F120" s="606">
        <f>NPV(realdiscrt2,F$39:F40)/(1+realdiscrt2)^-Half_Year</f>
        <v>9.6874759125695861E-2</v>
      </c>
      <c r="G120" s="604">
        <f>NPV(realdiscrt2,G$39:G40)/(1+realdiscrt2)^-Half_Year</f>
        <v>1.1908344909705488E-2</v>
      </c>
      <c r="H120" s="605">
        <f>NPV(realdiscrt2,H$39:H40)/(1+realdiscrt2)^-Half_Year</f>
        <v>8.782265957922317E-3</v>
      </c>
      <c r="I120" s="605">
        <f>NPV(realdiscrt2,I$39:I40)/(1+realdiscrt2)^-Half_Year</f>
        <v>8.0570132188248732E-3</v>
      </c>
      <c r="J120" s="605">
        <f>NPV(realdiscrt2,J$39:J40)/(1+realdiscrt2)^-Half_Year</f>
        <v>5.6212174516635819E-3</v>
      </c>
      <c r="K120" s="607">
        <f>NPV(realdiscrt2,K$39:K40)/(1+realdiscrt2)^-Half_Year</f>
        <v>4.3895722442310846E-3</v>
      </c>
      <c r="L120" s="1321">
        <f>NPV(realdiscrt2,L$39:L40)/(1+realdiscrt2)^-Half_Year</f>
        <v>131.77189768642216</v>
      </c>
      <c r="M120" s="609">
        <f>NPV(realdiscrt2,M$39:M40)/(1+realdiscrt2)^-Half_Year</f>
        <v>25.655006300931962</v>
      </c>
      <c r="N120" s="609">
        <f>NPV(realdiscrt2,N$39:N40)/(1+realdiscrt2)^-Half_Year</f>
        <v>25.655006300931962</v>
      </c>
      <c r="O120" s="612">
        <f>NPV(realdiscrt2,O$39:O40)/(1+realdiscrt2)^-Half_Year</f>
        <v>0</v>
      </c>
      <c r="P120" s="782">
        <f t="shared" si="92"/>
        <v>44.170077157657857</v>
      </c>
      <c r="Q120" s="782">
        <f t="shared" si="92"/>
        <v>0</v>
      </c>
      <c r="R120" s="1316">
        <f t="shared" si="93"/>
        <v>0</v>
      </c>
      <c r="S120" s="595">
        <f>NPV(realdiscrt2,S$39:S40)/(1+realdiscrt2)^-Half_Year</f>
        <v>0</v>
      </c>
      <c r="T120" s="595">
        <f>NPV(realdiscrt2,T$39:T40)/(1+realdiscrt2)^-Half_Year</f>
        <v>0</v>
      </c>
      <c r="U120" s="610">
        <f>NPV(realdiscrt2,U$39:U40)/(1+realdiscrt2)^-Half_Year</f>
        <v>0</v>
      </c>
      <c r="V120" s="611">
        <f>NPV(realdiscrt2,V$39:V40)/(1+realdiscrt2)^-Half_Year</f>
        <v>199.17310078926886</v>
      </c>
      <c r="W120" s="609">
        <f>NPV(realdiscrt2,W$39:W40)/(1+realdiscrt2)^-Half_Year</f>
        <v>0</v>
      </c>
      <c r="X120" s="612">
        <f>NPV(realdiscrt2,X$39:X40)/(1+realdiscrt2)^-Half_Year</f>
        <v>172.54141077447443</v>
      </c>
      <c r="Y120" s="608">
        <f>NPV(realdiscrt2,Y$39:Y40)/(1+realdiscrt2)^-Half_Year</f>
        <v>12.788540270532771</v>
      </c>
      <c r="Z120" s="609">
        <f>NPV(realdiscrt2,Z$39:Z40)/(1+realdiscrt2)^-Half_Year</f>
        <v>16.362993802967061</v>
      </c>
      <c r="AA120" s="609">
        <f>NPV(realdiscrt2,AA$39:AA40)/(1+realdiscrt2)^-Half_Year</f>
        <v>18.841336847215448</v>
      </c>
      <c r="AB120" s="609">
        <f>NPV(realdiscrt2,AB$39:AB40)/(1+realdiscrt2)^-Half_Year</f>
        <v>17.67751518887172</v>
      </c>
      <c r="AC120" s="609">
        <f>NPV(realdiscrt2,AC$39:AC40)/(1+realdiscrt2)^-Half_Year</f>
        <v>14.247099336627778</v>
      </c>
      <c r="AD120" s="609">
        <f>NPV(realdiscrt2,AD$39:AD40)/(1+realdiscrt2)^-Half_Year</f>
        <v>16.831246042946454</v>
      </c>
      <c r="AE120" s="612">
        <f>NPV(realdiscrt2,AE$39:AE40)/(1+realdiscrt2)^-Half_Year</f>
        <v>15.70197393228519</v>
      </c>
      <c r="AF120" s="613">
        <f>NPV(realdiscrt2,AF$39:AF40)/(1+realdiscrt2)^-Half_Year</f>
        <v>0</v>
      </c>
      <c r="AG120" s="607">
        <f>NPV(realdiscrt2,AG$39:AG40)/(1+realdiscrt2)^-Half_Year</f>
        <v>0.67699453230873952</v>
      </c>
      <c r="AH120" s="614">
        <f>NPV(realdiscrt2,AH$39:AH40)/(1+realdiscrt2)^-Half_Year</f>
        <v>0.67699453230873952</v>
      </c>
      <c r="AI120" s="614">
        <f>NPV(realdiscrt2,AI$39:AI40)/(1+realdiscrt2)^-Half_Year</f>
        <v>1.2799032643354145</v>
      </c>
      <c r="AJ120" s="614">
        <f>NPV(realdiscrt2,AJ$39:AJ40)/(1+realdiscrt2)^-Half_Year</f>
        <v>1.068885208126078</v>
      </c>
      <c r="AK120" s="614">
        <f>NPV(realdiscrt2,AK$39:AK40)/(1+realdiscrt2)^-Half_Year</f>
        <v>0.67699453230873952</v>
      </c>
      <c r="AL120" s="614">
        <f>NPV(realdiscrt2,AL$39:AL40)/(1+realdiscrt2)^-Half_Year</f>
        <v>1.2799032643354145</v>
      </c>
      <c r="AM120" s="614">
        <f>NPV(realdiscrt2,AM$39:AM40)/(1+realdiscrt2)^-Half_Year</f>
        <v>1.0164321484397574</v>
      </c>
      <c r="AN120" s="594">
        <f>NPV(realdiscrt2,AN$39:AN40)/(1+realdiscrt2)^-Half_Year</f>
        <v>46.447733741622848</v>
      </c>
      <c r="AO120" s="595">
        <f>NPV(realdiscrt2,AO$39:AO40)/(1+realdiscrt2)^-Half_Year</f>
        <v>38.394470446959183</v>
      </c>
      <c r="AP120" s="325">
        <f>NPV(realdiscrt2,AP$39:AP40)/(1+realdiscrt2)^-Half_Year</f>
        <v>39.328335064806012</v>
      </c>
      <c r="AQ120" s="610">
        <f>NPV(realdiscrt2,AQ$39:AQ40)/(1+realdiscrt2)^-Half_Year</f>
        <v>2.4853212058516566E-2</v>
      </c>
      <c r="AR120" s="595">
        <f>NPV(realdiscrt2,AR$39:AR40)/(1+realdiscrt2)^-Half_Year</f>
        <v>41.649527293753891</v>
      </c>
      <c r="AS120" s="612">
        <f>NPV(realdiscrt2,AS$39:AS40)/(1+realdiscrt2)^-Half_Year</f>
        <v>66.662678155878282</v>
      </c>
      <c r="AT120" s="594">
        <f>NPV(realdiscrt2,AT$39:AT40)/(1+realdiscrt2)^-Half_Year</f>
        <v>28.086855712033465</v>
      </c>
      <c r="AU120" s="609">
        <f>NPV(realdiscrt2,AU$39:AU40)/(1+realdiscrt2)^-Half_Year</f>
        <v>45.265162496765889</v>
      </c>
      <c r="AV120" s="608">
        <f>NPV(realdiscrt2,AV$39:AV40)/(1+realdiscrt2)^-Half_Year</f>
        <v>1.7361609632017109E-2</v>
      </c>
      <c r="AW120" s="612">
        <f>NPV(realdiscrt2,AW$39:AW40)/(1+realdiscrt2)^-Half_Year</f>
        <v>1.7361609632017109E-2</v>
      </c>
      <c r="AX120" s="600">
        <f>NPV(realdiscrt2,AX$39:AX40)/(1+realdiscrt2)^-Half_Year</f>
        <v>2.0078511732409217</v>
      </c>
      <c r="AY120" s="615">
        <f>NPV(realdiscrt2,AY$39:AY40)/(1+realdiscrt2)^-Half_Year</f>
        <v>28.368573036333569</v>
      </c>
      <c r="AZ120" s="607">
        <f>NPV(realdiscrt2,AZ$39:AZ40)/(1+realdiscrt2)^-Half_Year</f>
        <v>9.0856588647351522E-2</v>
      </c>
      <c r="BA120" s="614">
        <f>NPV(realdiscrt2,BA$39:BA40)/(1+realdiscrt2)^-Half_Year</f>
        <v>9.2792934270806912E-2</v>
      </c>
      <c r="BB120" s="614">
        <f>NPV(realdiscrt2,BB$39:BB40)/(1+realdiscrt2)^-Half_Year</f>
        <v>8.8509380991673867E-2</v>
      </c>
      <c r="BC120" s="610">
        <f>NPV(realdiscrt2,BC$39:BC40)/(1+realdiscrt2)^-Half_Year</f>
        <v>8.9071815200503363E-2</v>
      </c>
    </row>
    <row r="121" spans="1:55" s="325" customFormat="1" ht="14.25">
      <c r="A121" s="602">
        <f t="shared" ref="A121:A143" si="95">A120+1</f>
        <v>3</v>
      </c>
      <c r="B121" s="603">
        <f t="shared" si="94"/>
        <v>2024</v>
      </c>
      <c r="C121" s="604">
        <f>NPV(realdiscrt2,C$39:C41)/(1+realdiscrt2)^-Half_Year</f>
        <v>0.22074573710926937</v>
      </c>
      <c r="D121" s="605">
        <f>NPV(realdiscrt2,D$39:D41)/(1+realdiscrt2)^-Half_Year</f>
        <v>0.2026932616224458</v>
      </c>
      <c r="E121" s="605">
        <f>NPV(realdiscrt2,E$39:E41)/(1+realdiscrt2)^-Half_Year</f>
        <v>0.17342759874679745</v>
      </c>
      <c r="F121" s="606">
        <f>NPV(realdiscrt2,F$39:F41)/(1+realdiscrt2)^-Half_Year</f>
        <v>0.14748291718531564</v>
      </c>
      <c r="G121" s="604">
        <f>NPV(realdiscrt2,G$39:G41)/(1+realdiscrt2)^-Half_Year</f>
        <v>2.0039723992484357E-2</v>
      </c>
      <c r="H121" s="605">
        <f>NPV(realdiscrt2,H$39:H41)/(1+realdiscrt2)^-Half_Year</f>
        <v>1.4834222200345755E-2</v>
      </c>
      <c r="I121" s="605">
        <f>NPV(realdiscrt2,I$39:I41)/(1+realdiscrt2)^-Half_Year</f>
        <v>1.4705293062124741E-2</v>
      </c>
      <c r="J121" s="605">
        <f>NPV(realdiscrt2,J$39:J41)/(1+realdiscrt2)^-Half_Year</f>
        <v>1.0041705228593685E-2</v>
      </c>
      <c r="K121" s="607">
        <f>NPV(realdiscrt2,K$39:K41)/(1+realdiscrt2)^-Half_Year</f>
        <v>7.079393594908447E-3</v>
      </c>
      <c r="L121" s="1321">
        <f>NPV(realdiscrt2,L$39:L41)/(1+realdiscrt2)^-Half_Year</f>
        <v>199.68062319240758</v>
      </c>
      <c r="M121" s="609">
        <f>NPV(realdiscrt2,M$39:M41)/(1+realdiscrt2)^-Half_Year</f>
        <v>69.507016902139668</v>
      </c>
      <c r="N121" s="609">
        <f>NPV(realdiscrt2,N$39:N41)/(1+realdiscrt2)^-Half_Year</f>
        <v>69.507016902139668</v>
      </c>
      <c r="O121" s="612">
        <f>NPV(realdiscrt2,O$39:O41)/(1+realdiscrt2)^-Half_Year</f>
        <v>0</v>
      </c>
      <c r="P121" s="782">
        <f t="shared" si="92"/>
        <v>7.9494521552605457</v>
      </c>
      <c r="Q121" s="782">
        <f t="shared" si="92"/>
        <v>0</v>
      </c>
      <c r="R121" s="1316">
        <f t="shared" si="93"/>
        <v>0</v>
      </c>
      <c r="S121" s="595">
        <f>NPV(realdiscrt2,S$39:S41)/(1+realdiscrt2)^-Half_Year</f>
        <v>0</v>
      </c>
      <c r="T121" s="595">
        <f>NPV(realdiscrt2,T$39:T41)/(1+realdiscrt2)^-Half_Year</f>
        <v>0</v>
      </c>
      <c r="U121" s="610">
        <f>NPV(realdiscrt2,U$39:U41)/(1+realdiscrt2)^-Half_Year</f>
        <v>0</v>
      </c>
      <c r="V121" s="611">
        <f>NPV(realdiscrt2,V$39:V41)/(1+realdiscrt2)^-Half_Year</f>
        <v>296.68116758901255</v>
      </c>
      <c r="W121" s="609">
        <f>NPV(realdiscrt2,W$39:W41)/(1+realdiscrt2)^-Half_Year</f>
        <v>0</v>
      </c>
      <c r="X121" s="612">
        <f>NPV(realdiscrt2,X$39:X41)/(1+realdiscrt2)^-Half_Year</f>
        <v>257.01154926631807</v>
      </c>
      <c r="Y121" s="608">
        <f>NPV(realdiscrt2,Y$39:Y41)/(1+realdiscrt2)^-Half_Year</f>
        <v>19.148703891269825</v>
      </c>
      <c r="Z121" s="609">
        <f>NPV(realdiscrt2,Z$39:Z41)/(1+realdiscrt2)^-Half_Year</f>
        <v>24.468056348374791</v>
      </c>
      <c r="AA121" s="609">
        <f>NPV(realdiscrt2,AA$39:AA41)/(1+realdiscrt2)^-Half_Year</f>
        <v>28.158423187039006</v>
      </c>
      <c r="AB121" s="609">
        <f>NPV(realdiscrt2,AB$39:AB41)/(1+realdiscrt2)^-Half_Year</f>
        <v>26.426039482509605</v>
      </c>
      <c r="AC121" s="609">
        <f>NPV(realdiscrt2,AC$39:AC41)/(1+realdiscrt2)^-Half_Year</f>
        <v>21.319601994830283</v>
      </c>
      <c r="AD121" s="609">
        <f>NPV(realdiscrt2,AD$39:AD41)/(1+realdiscrt2)^-Half_Year</f>
        <v>25.165655982997094</v>
      </c>
      <c r="AE121" s="612">
        <f>NPV(realdiscrt2,AE$39:AE41)/(1+realdiscrt2)^-Half_Year</f>
        <v>23.484930390168198</v>
      </c>
      <c r="AF121" s="613">
        <f>NPV(realdiscrt2,AF$39:AF41)/(1+realdiscrt2)^-Half_Year</f>
        <v>0</v>
      </c>
      <c r="AG121" s="607">
        <f>NPV(realdiscrt2,AG$39:AG41)/(1+realdiscrt2)^-Half_Year</f>
        <v>1.1334152705203056</v>
      </c>
      <c r="AH121" s="614">
        <f>NPV(realdiscrt2,AH$39:AH41)/(1+realdiscrt2)^-Half_Year</f>
        <v>1.1334152705203056</v>
      </c>
      <c r="AI121" s="614">
        <f>NPV(realdiscrt2,AI$39:AI41)/(1+realdiscrt2)^-Half_Year</f>
        <v>2.1201323505885248</v>
      </c>
      <c r="AJ121" s="614">
        <f>NPV(realdiscrt2,AJ$39:AJ41)/(1+realdiscrt2)^-Half_Year</f>
        <v>1.7747813725646484</v>
      </c>
      <c r="AK121" s="614">
        <f>NPV(realdiscrt2,AK$39:AK41)/(1+realdiscrt2)^-Half_Year</f>
        <v>1.1334152705203056</v>
      </c>
      <c r="AL121" s="614">
        <f>NPV(realdiscrt2,AL$39:AL41)/(1+realdiscrt2)^-Half_Year</f>
        <v>2.1201323505885248</v>
      </c>
      <c r="AM121" s="614">
        <f>NPV(realdiscrt2,AM$39:AM41)/(1+realdiscrt2)^-Half_Year</f>
        <v>1.6889369865987129</v>
      </c>
      <c r="AN121" s="594">
        <f>NPV(realdiscrt2,AN$39:AN41)/(1+realdiscrt2)^-Half_Year</f>
        <v>70.546495802738633</v>
      </c>
      <c r="AO121" s="595">
        <f>NPV(realdiscrt2,AO$39:AO41)/(1+realdiscrt2)^-Half_Year</f>
        <v>58.336501743293006</v>
      </c>
      <c r="AP121" s="325">
        <f>NPV(realdiscrt2,AP$39:AP41)/(1+realdiscrt2)^-Half_Year</f>
        <v>59.780519579719254</v>
      </c>
      <c r="AQ121" s="610">
        <f>NPV(realdiscrt2,AQ$39:AQ41)/(1+realdiscrt2)^-Half_Year</f>
        <v>3.7095649003982434E-2</v>
      </c>
      <c r="AR121" s="595">
        <f>NPV(realdiscrt2,AR$39:AR41)/(1+realdiscrt2)^-Half_Year</f>
        <v>63.258806527773501</v>
      </c>
      <c r="AS121" s="612">
        <f>NPV(realdiscrt2,AS$39:AS41)/(1+realdiscrt2)^-Half_Year</f>
        <v>100.90049857887008</v>
      </c>
      <c r="AT121" s="594">
        <f>NPV(realdiscrt2,AT$39:AT41)/(1+realdiscrt2)^-Half_Year</f>
        <v>42.659331015443961</v>
      </c>
      <c r="AU121" s="609">
        <f>NPV(realdiscrt2,AU$39:AU41)/(1+realdiscrt2)^-Half_Year</f>
        <v>68.750363878933257</v>
      </c>
      <c r="AV121" s="608">
        <f>NPV(realdiscrt2,AV$39:AV41)/(1+realdiscrt2)^-Half_Year</f>
        <v>2.586123626353164E-2</v>
      </c>
      <c r="AW121" s="612">
        <f>NPV(realdiscrt2,AW$39:AW41)/(1+realdiscrt2)^-Half_Year</f>
        <v>2.586123626353164E-2</v>
      </c>
      <c r="AX121" s="600">
        <f>NPV(realdiscrt2,AX$39:AX41)/(1+realdiscrt2)^-Half_Year</f>
        <v>2.9908237008989733</v>
      </c>
      <c r="AY121" s="615">
        <f>NPV(realdiscrt2,AY$39:AY41)/(1+realdiscrt2)^-Half_Year</f>
        <v>43.802966483154265</v>
      </c>
      <c r="AZ121" s="607">
        <f>NPV(realdiscrt2,AZ$39:AZ41)/(1+realdiscrt2)^-Half_Year</f>
        <v>0.1348434493417304</v>
      </c>
      <c r="BA121" s="614">
        <f>NPV(realdiscrt2,BA$39:BA41)/(1+realdiscrt2)^-Half_Year</f>
        <v>0.13771724778465821</v>
      </c>
      <c r="BB121" s="614">
        <f>NPV(realdiscrt2,BB$39:BB41)/(1+realdiscrt2)^-Half_Year</f>
        <v>0.13135987614880143</v>
      </c>
      <c r="BC121" s="610">
        <f>NPV(realdiscrt2,BC$39:BC41)/(1+realdiscrt2)^-Half_Year</f>
        <v>0.13219460448139073</v>
      </c>
    </row>
    <row r="122" spans="1:55" s="325" customFormat="1" ht="14.25">
      <c r="A122" s="602">
        <f t="shared" si="95"/>
        <v>4</v>
      </c>
      <c r="B122" s="603">
        <f t="shared" si="94"/>
        <v>2025</v>
      </c>
      <c r="C122" s="604">
        <f>NPV(realdiscrt2,C$39:C42)/(1+realdiscrt2)^-Half_Year</f>
        <v>0.29044116676967302</v>
      </c>
      <c r="D122" s="605">
        <f>NPV(realdiscrt2,D$39:D42)/(1+realdiscrt2)^-Half_Year</f>
        <v>0.26890717192068453</v>
      </c>
      <c r="E122" s="605">
        <f>NPV(realdiscrt2,E$39:E42)/(1+realdiscrt2)^-Half_Year</f>
        <v>0.22921829101398108</v>
      </c>
      <c r="F122" s="606">
        <f>NPV(realdiscrt2,F$39:F42)/(1+realdiscrt2)^-Half_Year</f>
        <v>0.19792208228768343</v>
      </c>
      <c r="G122" s="604">
        <f>NPV(realdiscrt2,G$39:G42)/(1+realdiscrt2)^-Half_Year</f>
        <v>2.8059239692792459E-2</v>
      </c>
      <c r="H122" s="605">
        <f>NPV(realdiscrt2,H$39:H42)/(1+realdiscrt2)^-Half_Year</f>
        <v>2.0605891631135412E-2</v>
      </c>
      <c r="I122" s="605">
        <f>NPV(realdiscrt2,I$39:I42)/(1+realdiscrt2)^-Half_Year</f>
        <v>2.1187625119426144E-2</v>
      </c>
      <c r="J122" s="605">
        <f>NPV(realdiscrt2,J$39:J42)/(1+realdiscrt2)^-Half_Year</f>
        <v>1.4162805112192964E-2</v>
      </c>
      <c r="K122" s="607">
        <f>NPV(realdiscrt2,K$39:K42)/(1+realdiscrt2)^-Half_Year</f>
        <v>9.7353364957391188E-3</v>
      </c>
      <c r="L122" s="1321">
        <f>NPV(realdiscrt2,L$39:L42)/(1+realdiscrt2)^-Half_Year</f>
        <v>271.46426791940257</v>
      </c>
      <c r="M122" s="609">
        <f>NPV(realdiscrt2,M$39:M42)/(1+realdiscrt2)^-Half_Year</f>
        <v>134.18240163814471</v>
      </c>
      <c r="N122" s="609">
        <f>NPV(realdiscrt2,N$39:N42)/(1+realdiscrt2)^-Half_Year</f>
        <v>134.18240163814471</v>
      </c>
      <c r="O122" s="612">
        <f>NPV(realdiscrt2,O$39:O42)/(1+realdiscrt2)^-Half_Year</f>
        <v>0</v>
      </c>
      <c r="P122" s="782">
        <f t="shared" si="92"/>
        <v>6.0075724115099627</v>
      </c>
      <c r="Q122" s="782">
        <f t="shared" si="92"/>
        <v>0</v>
      </c>
      <c r="R122" s="1316">
        <f t="shared" si="93"/>
        <v>0</v>
      </c>
      <c r="S122" s="595">
        <f>NPV(realdiscrt2,S$39:S42)/(1+realdiscrt2)^-Half_Year</f>
        <v>0</v>
      </c>
      <c r="T122" s="595">
        <f>NPV(realdiscrt2,T$39:T42)/(1+realdiscrt2)^-Half_Year</f>
        <v>0</v>
      </c>
      <c r="U122" s="610">
        <f>NPV(realdiscrt2,U$39:U42)/(1+realdiscrt2)^-Half_Year</f>
        <v>0</v>
      </c>
      <c r="V122" s="611">
        <f>NPV(realdiscrt2,V$39:V42)/(1+realdiscrt2)^-Half_Year</f>
        <v>392.82931558786873</v>
      </c>
      <c r="W122" s="609">
        <f>NPV(realdiscrt2,W$39:W42)/(1+realdiscrt2)^-Half_Year</f>
        <v>0</v>
      </c>
      <c r="X122" s="612">
        <f>NPV(realdiscrt2,X$39:X42)/(1+realdiscrt2)^-Half_Year</f>
        <v>340.30360543924394</v>
      </c>
      <c r="Y122" s="608">
        <f>NPV(realdiscrt2,Y$39:Y42)/(1+realdiscrt2)^-Half_Year</f>
        <v>25.444326576579584</v>
      </c>
      <c r="Z122" s="609">
        <f>NPV(realdiscrt2,Z$39:Z42)/(1+realdiscrt2)^-Half_Year</f>
        <v>32.479067465735866</v>
      </c>
      <c r="AA122" s="609">
        <f>NPV(realdiscrt2,AA$39:AA42)/(1+realdiscrt2)^-Half_Year</f>
        <v>37.363207499750665</v>
      </c>
      <c r="AB122" s="609">
        <f>NPV(realdiscrt2,AB$39:AB42)/(1+realdiscrt2)^-Half_Year</f>
        <v>35.071438949660823</v>
      </c>
      <c r="AC122" s="609">
        <f>NPV(realdiscrt2,AC$39:AC42)/(1+realdiscrt2)^-Half_Year</f>
        <v>28.315656995713653</v>
      </c>
      <c r="AD122" s="609">
        <f>NPV(realdiscrt2,AD$39:AD42)/(1+realdiscrt2)^-Half_Year</f>
        <v>33.402874284976413</v>
      </c>
      <c r="AE122" s="612">
        <f>NPV(realdiscrt2,AE$39:AE42)/(1+realdiscrt2)^-Half_Year</f>
        <v>31.179760329568584</v>
      </c>
      <c r="AF122" s="613">
        <f>NPV(realdiscrt2,AF$39:AF42)/(1+realdiscrt2)^-Half_Year</f>
        <v>1.0228526382857045E-2</v>
      </c>
      <c r="AG122" s="607">
        <f>NPV(realdiscrt2,AG$39:AG42)/(1+realdiscrt2)^-Half_Year</f>
        <v>1.5834704313660155</v>
      </c>
      <c r="AH122" s="614">
        <f>NPV(realdiscrt2,AH$39:AH42)/(1+realdiscrt2)^-Half_Year</f>
        <v>1.5834704313660155</v>
      </c>
      <c r="AI122" s="614">
        <f>NPV(realdiscrt2,AI$39:AI42)/(1+realdiscrt2)^-Half_Year</f>
        <v>2.9588715139828028</v>
      </c>
      <c r="AJ122" s="614">
        <f>NPV(realdiscrt2,AJ$39:AJ42)/(1+realdiscrt2)^-Half_Year</f>
        <v>2.4774811350669275</v>
      </c>
      <c r="AK122" s="614">
        <f>NPV(realdiscrt2,AK$39:AK42)/(1+realdiscrt2)^-Half_Year</f>
        <v>1.5834704313660155</v>
      </c>
      <c r="AL122" s="614">
        <f>NPV(realdiscrt2,AL$39:AL42)/(1+realdiscrt2)^-Half_Year</f>
        <v>2.9588715139828028</v>
      </c>
      <c r="AM122" s="614">
        <f>NPV(realdiscrt2,AM$39:AM42)/(1+realdiscrt2)^-Half_Year</f>
        <v>2.3578212408792667</v>
      </c>
      <c r="AN122" s="594">
        <f>NPV(realdiscrt2,AN$39:AN42)/(1+realdiscrt2)^-Half_Year</f>
        <v>94.798157521528822</v>
      </c>
      <c r="AO122" s="595">
        <f>NPV(realdiscrt2,AO$39:AO42)/(1+realdiscrt2)^-Half_Year</f>
        <v>78.512075559019976</v>
      </c>
      <c r="AP122" s="325">
        <f>NPV(realdiscrt2,AP$39:AP42)/(1+realdiscrt2)^-Half_Year</f>
        <v>80.505728807132712</v>
      </c>
      <c r="AQ122" s="610">
        <f>NPV(realdiscrt2,AQ$39:AQ42)/(1+realdiscrt2)^-Half_Year</f>
        <v>4.9349431471295585E-2</v>
      </c>
      <c r="AR122" s="595">
        <f>NPV(realdiscrt2,AR$39:AR42)/(1+realdiscrt2)^-Half_Year</f>
        <v>85.005190372772404</v>
      </c>
      <c r="AS122" s="612">
        <f>NPV(realdiscrt2,AS$39:AS42)/(1+realdiscrt2)^-Half_Year</f>
        <v>134.59106556584103</v>
      </c>
      <c r="AT122" s="594">
        <f>NPV(realdiscrt2,AT$39:AT42)/(1+realdiscrt2)^-Half_Year</f>
        <v>57.324264449264199</v>
      </c>
      <c r="AU122" s="609">
        <f>NPV(realdiscrt2,AU$39:AU42)/(1+realdiscrt2)^-Half_Year</f>
        <v>92.384572054173276</v>
      </c>
      <c r="AV122" s="608">
        <f>NPV(realdiscrt2,AV$39:AV42)/(1+realdiscrt2)^-Half_Year</f>
        <v>3.4242320886819715E-2</v>
      </c>
      <c r="AW122" s="612">
        <f>NPV(realdiscrt2,AW$39:AW42)/(1+realdiscrt2)^-Half_Year</f>
        <v>3.4242320886819715E-2</v>
      </c>
      <c r="AX122" s="600">
        <f>NPV(realdiscrt2,AX$39:AX42)/(1+realdiscrt2)^-Half_Year</f>
        <v>3.96008697490252</v>
      </c>
      <c r="AY122" s="615">
        <f>NPV(realdiscrt2,AY$39:AY42)/(1+realdiscrt2)^-Half_Year</f>
        <v>60.163535651022329</v>
      </c>
      <c r="AZ122" s="607">
        <f>NPV(realdiscrt2,AZ$39:AZ42)/(1+realdiscrt2)^-Half_Year</f>
        <v>0.17785648472362556</v>
      </c>
      <c r="BA122" s="614">
        <f>NPV(realdiscrt2,BA$39:BA42)/(1+realdiscrt2)^-Half_Year</f>
        <v>0.18164698171371693</v>
      </c>
      <c r="BB122" s="614">
        <f>NPV(realdiscrt2,BB$39:BB42)/(1+realdiscrt2)^-Half_Year</f>
        <v>0.17326170399533355</v>
      </c>
      <c r="BC122" s="610">
        <f>NPV(realdiscrt2,BC$39:BC42)/(1+realdiscrt2)^-Half_Year</f>
        <v>0.17436269813081656</v>
      </c>
    </row>
    <row r="123" spans="1:55" s="325" customFormat="1" ht="14.25">
      <c r="A123" s="602">
        <f t="shared" si="95"/>
        <v>5</v>
      </c>
      <c r="B123" s="603">
        <f t="shared" si="94"/>
        <v>2026</v>
      </c>
      <c r="C123" s="604">
        <f>NPV(realdiscrt2,C$39:C43)/(1+realdiscrt2)^-Half_Year</f>
        <v>0.35864530529952238</v>
      </c>
      <c r="D123" s="605">
        <f>NPV(realdiscrt2,D$39:D43)/(1+realdiscrt2)^-Half_Year</f>
        <v>0.3331322496466308</v>
      </c>
      <c r="E123" s="605">
        <f>NPV(realdiscrt2,E$39:E43)/(1+realdiscrt2)^-Half_Year</f>
        <v>0.28763930555415779</v>
      </c>
      <c r="F123" s="606">
        <f>NPV(realdiscrt2,F$39:F43)/(1+realdiscrt2)^-Half_Year</f>
        <v>0.24956557452913206</v>
      </c>
      <c r="G123" s="604">
        <f>NPV(realdiscrt2,G$39:G43)/(1+realdiscrt2)^-Half_Year</f>
        <v>3.5459944490852394E-2</v>
      </c>
      <c r="H123" s="605">
        <f>NPV(realdiscrt2,H$39:H43)/(1+realdiscrt2)^-Half_Year</f>
        <v>2.5774244951607506E-2</v>
      </c>
      <c r="I123" s="605">
        <f>NPV(realdiscrt2,I$39:I43)/(1+realdiscrt2)^-Half_Year</f>
        <v>2.6629195268902409E-2</v>
      </c>
      <c r="J123" s="605">
        <f>NPV(realdiscrt2,J$39:J43)/(1+realdiscrt2)^-Half_Year</f>
        <v>1.757026702491201E-2</v>
      </c>
      <c r="K123" s="607">
        <f>NPV(realdiscrt2,K$39:K43)/(1+realdiscrt2)^-Half_Year</f>
        <v>1.164750079821282E-2</v>
      </c>
      <c r="L123" s="1321">
        <f>NPV(realdiscrt2,L$39:L43)/(1+realdiscrt2)^-Half_Year</f>
        <v>348.18753561195746</v>
      </c>
      <c r="M123" s="609">
        <f>NPV(realdiscrt2,M$39:M43)/(1+realdiscrt2)^-Half_Year</f>
        <v>222.75544667558043</v>
      </c>
      <c r="N123" s="609">
        <f>NPV(realdiscrt2,N$39:N43)/(1+realdiscrt2)^-Half_Year</f>
        <v>222.75544667558043</v>
      </c>
      <c r="O123" s="612">
        <f>NPV(realdiscrt2,O$39:O43)/(1+realdiscrt2)^-Half_Year</f>
        <v>0</v>
      </c>
      <c r="P123" s="782">
        <f t="shared" si="92"/>
        <v>3.9946186288702883</v>
      </c>
      <c r="Q123" s="782">
        <f t="shared" si="92"/>
        <v>0</v>
      </c>
      <c r="R123" s="1316">
        <f t="shared" si="93"/>
        <v>0</v>
      </c>
      <c r="S123" s="595">
        <f>NPV(realdiscrt2,S$39:S43)/(1+realdiscrt2)^-Half_Year</f>
        <v>0</v>
      </c>
      <c r="T123" s="595">
        <f>NPV(realdiscrt2,T$39:T43)/(1+realdiscrt2)^-Half_Year</f>
        <v>0</v>
      </c>
      <c r="U123" s="610">
        <f>NPV(realdiscrt2,U$39:U43)/(1+realdiscrt2)^-Half_Year</f>
        <v>0</v>
      </c>
      <c r="V123" s="611">
        <f>NPV(realdiscrt2,V$39:V43)/(1+realdiscrt2)^-Half_Year</f>
        <v>487.63651120785471</v>
      </c>
      <c r="W123" s="609">
        <f>NPV(realdiscrt2,W$39:W43)/(1+realdiscrt2)^-Half_Year</f>
        <v>0</v>
      </c>
      <c r="X123" s="612">
        <f>NPV(realdiscrt2,X$39:X43)/(1+realdiscrt2)^-Half_Year</f>
        <v>422.43400969072667</v>
      </c>
      <c r="Y123" s="608">
        <f>NPV(realdiscrt2,Y$39:Y43)/(1+realdiscrt2)^-Half_Year</f>
        <v>31.730604406757983</v>
      </c>
      <c r="Z123" s="609">
        <f>NPV(realdiscrt2,Z$39:Z43)/(1+realdiscrt2)^-Half_Year</f>
        <v>40.454085079146189</v>
      </c>
      <c r="AA123" s="609">
        <f>NPV(realdiscrt2,AA$39:AA43)/(1+realdiscrt2)^-Half_Year</f>
        <v>46.514654571780405</v>
      </c>
      <c r="AB123" s="609">
        <f>NPV(realdiscrt2,AB$39:AB43)/(1+realdiscrt2)^-Half_Year</f>
        <v>43.671954530324214</v>
      </c>
      <c r="AC123" s="609">
        <f>NPV(realdiscrt2,AC$39:AC43)/(1+realdiscrt2)^-Half_Year</f>
        <v>35.291721759351233</v>
      </c>
      <c r="AD123" s="609">
        <f>NPV(realdiscrt2,AD$39:AD43)/(1+realdiscrt2)^-Half_Year</f>
        <v>41.60101227867289</v>
      </c>
      <c r="AE123" s="612">
        <f>NPV(realdiscrt2,AE$39:AE43)/(1+realdiscrt2)^-Half_Year</f>
        <v>38.843852321729322</v>
      </c>
      <c r="AF123" s="613">
        <f>NPV(realdiscrt2,AF$39:AF43)/(1+realdiscrt2)^-Half_Year</f>
        <v>2.0314398257323639E-2</v>
      </c>
      <c r="AG123" s="607">
        <f>NPV(realdiscrt2,AG$39:AG43)/(1+realdiscrt2)^-Half_Year</f>
        <v>1.9869053063446793</v>
      </c>
      <c r="AH123" s="614">
        <f>NPV(realdiscrt2,AH$39:AH43)/(1+realdiscrt2)^-Half_Year</f>
        <v>1.9869053063446793</v>
      </c>
      <c r="AI123" s="614">
        <f>NPV(realdiscrt2,AI$39:AI43)/(1+realdiscrt2)^-Half_Year</f>
        <v>3.7052260326933304</v>
      </c>
      <c r="AJ123" s="614">
        <f>NPV(realdiscrt2,AJ$39:AJ43)/(1+realdiscrt2)^-Half_Year</f>
        <v>3.1038137784713027</v>
      </c>
      <c r="AK123" s="614">
        <f>NPV(realdiscrt2,AK$39:AK43)/(1+realdiscrt2)^-Half_Year</f>
        <v>1.9869053063446793</v>
      </c>
      <c r="AL123" s="614">
        <f>NPV(realdiscrt2,AL$39:AL43)/(1+realdiscrt2)^-Half_Year</f>
        <v>3.7052260326933304</v>
      </c>
      <c r="AM123" s="614">
        <f>NPV(realdiscrt2,AM$39:AM43)/(1+realdiscrt2)^-Half_Year</f>
        <v>2.9543198752789701</v>
      </c>
      <c r="AN123" s="594">
        <f>NPV(realdiscrt2,AN$39:AN43)/(1+realdiscrt2)^-Half_Year</f>
        <v>119.0858107016392</v>
      </c>
      <c r="AO123" s="595">
        <f>NPV(realdiscrt2,AO$39:AO43)/(1+realdiscrt2)^-Half_Year</f>
        <v>98.733891418632965</v>
      </c>
      <c r="AP123" s="325">
        <f>NPV(realdiscrt2,AP$39:AP43)/(1+realdiscrt2)^-Half_Year</f>
        <v>101.29496962193301</v>
      </c>
      <c r="AQ123" s="610">
        <f>NPV(realdiscrt2,AQ$39:AQ43)/(1+realdiscrt2)^-Half_Year</f>
        <v>6.1568679374597153E-2</v>
      </c>
      <c r="AR123" s="595">
        <f>NPV(realdiscrt2,AR$39:AR43)/(1+realdiscrt2)^-Half_Year</f>
        <v>106.7838476406026</v>
      </c>
      <c r="AS123" s="612">
        <f>NPV(realdiscrt2,AS$39:AS43)/(1+realdiscrt2)^-Half_Year</f>
        <v>167.87263186274279</v>
      </c>
      <c r="AT123" s="594">
        <f>NPV(realdiscrt2,AT$39:AT43)/(1+realdiscrt2)^-Half_Year</f>
        <v>72.010961850872164</v>
      </c>
      <c r="AU123" s="609">
        <f>NPV(realdiscrt2,AU$39:AU43)/(1+realdiscrt2)^-Half_Year</f>
        <v>116.05385533887328</v>
      </c>
      <c r="AV123" s="608">
        <f>NPV(realdiscrt2,AV$39:AV43)/(1+realdiscrt2)^-Half_Year</f>
        <v>4.2506516775410133E-2</v>
      </c>
      <c r="AW123" s="612">
        <f>NPV(realdiscrt2,AW$39:AW43)/(1+realdiscrt2)^-Half_Year</f>
        <v>4.2506516775410133E-2</v>
      </c>
      <c r="AX123" s="600">
        <f>NPV(realdiscrt2,AX$39:AX43)/(1+realdiscrt2)^-Half_Year</f>
        <v>4.915832194527713</v>
      </c>
      <c r="AY123" s="615">
        <f>NPV(realdiscrt2,AY$39:AY43)/(1+realdiscrt2)^-Half_Year</f>
        <v>77.421444128100944</v>
      </c>
      <c r="AZ123" s="607">
        <f>NPV(realdiscrt2,AZ$39:AZ43)/(1+realdiscrt2)^-Half_Year</f>
        <v>0.2199307497893756</v>
      </c>
      <c r="BA123" s="614">
        <f>NPV(realdiscrt2,BA$39:BA43)/(1+realdiscrt2)^-Half_Year</f>
        <v>0.22461793815026437</v>
      </c>
      <c r="BB123" s="614">
        <f>NPV(realdiscrt2,BB$39:BB43)/(1+realdiscrt2)^-Half_Year</f>
        <v>0.21424901390967846</v>
      </c>
      <c r="BC123" s="610">
        <f>NPV(realdiscrt2,BC$39:BC43)/(1+realdiscrt2)^-Half_Year</f>
        <v>0.21561046252993396</v>
      </c>
    </row>
    <row r="124" spans="1:55" s="325" customFormat="1" ht="14.25">
      <c r="A124" s="602">
        <f t="shared" si="95"/>
        <v>6</v>
      </c>
      <c r="B124" s="603">
        <f t="shared" si="94"/>
        <v>2027</v>
      </c>
      <c r="C124" s="604">
        <f>NPV(realdiscrt2,C$39:C44)/(1+realdiscrt2)^-Half_Year</f>
        <v>0.43013013273106598</v>
      </c>
      <c r="D124" s="605">
        <f>NPV(realdiscrt2,D$39:D44)/(1+realdiscrt2)^-Half_Year</f>
        <v>0.40029452520670317</v>
      </c>
      <c r="E124" s="605">
        <f>NPV(realdiscrt2,E$39:E44)/(1+realdiscrt2)^-Half_Year</f>
        <v>0.34212833157501332</v>
      </c>
      <c r="F124" s="606">
        <f>NPV(realdiscrt2,F$39:F44)/(1+realdiscrt2)^-Half_Year</f>
        <v>0.29722639447826948</v>
      </c>
      <c r="G124" s="604">
        <f>NPV(realdiscrt2,G$39:G44)/(1+realdiscrt2)^-Half_Year</f>
        <v>4.1472772148582998E-2</v>
      </c>
      <c r="H124" s="605">
        <f>NPV(realdiscrt2,H$39:H44)/(1+realdiscrt2)^-Half_Year</f>
        <v>3.0321426834596581E-2</v>
      </c>
      <c r="I124" s="605">
        <f>NPV(realdiscrt2,I$39:I44)/(1+realdiscrt2)^-Half_Year</f>
        <v>3.0679102897070241E-2</v>
      </c>
      <c r="J124" s="605">
        <f>NPV(realdiscrt2,J$39:J44)/(1+realdiscrt2)^-Half_Year</f>
        <v>2.0521172902833958E-2</v>
      </c>
      <c r="K124" s="607">
        <f>NPV(realdiscrt2,K$39:K44)/(1+realdiscrt2)^-Half_Year</f>
        <v>1.2861492452687102E-2</v>
      </c>
      <c r="L124" s="1321">
        <f>NPV(realdiscrt2,L$39:L44)/(1+realdiscrt2)^-Half_Year</f>
        <v>429.89004602309205</v>
      </c>
      <c r="M124" s="609">
        <f>NPV(realdiscrt2,M$39:M44)/(1+realdiscrt2)^-Half_Year</f>
        <v>327.19831485245868</v>
      </c>
      <c r="N124" s="609">
        <f>NPV(realdiscrt2,N$39:N44)/(1+realdiscrt2)^-Half_Year</f>
        <v>327.19831485245868</v>
      </c>
      <c r="O124" s="612">
        <f>NPV(realdiscrt2,O$39:O44)/(1+realdiscrt2)^-Half_Year</f>
        <v>0</v>
      </c>
      <c r="P124" s="782">
        <f t="shared" si="92"/>
        <v>0</v>
      </c>
      <c r="Q124" s="782">
        <f t="shared" si="92"/>
        <v>4.2384772181703001</v>
      </c>
      <c r="R124" s="1316">
        <f t="shared" si="93"/>
        <v>4.2384772181703001</v>
      </c>
      <c r="S124" s="595">
        <f>NPV(realdiscrt2,S$39:S44)/(1+realdiscrt2)^-Half_Year</f>
        <v>0</v>
      </c>
      <c r="T124" s="595">
        <f>NPV(realdiscrt2,T$39:T44)/(1+realdiscrt2)^-Half_Year</f>
        <v>0</v>
      </c>
      <c r="U124" s="610">
        <f>NPV(realdiscrt2,U$39:U44)/(1+realdiscrt2)^-Half_Year</f>
        <v>0</v>
      </c>
      <c r="V124" s="611">
        <f>NPV(realdiscrt2,V$39:V44)/(1+realdiscrt2)^-Half_Year</f>
        <v>581.12145635139734</v>
      </c>
      <c r="W124" s="609">
        <f>NPV(realdiscrt2,W$39:W44)/(1+realdiscrt2)^-Half_Year</f>
        <v>0</v>
      </c>
      <c r="X124" s="612">
        <f>NPV(realdiscrt2,X$39:X44)/(1+realdiscrt2)^-Half_Year</f>
        <v>503.41896326790288</v>
      </c>
      <c r="Y124" s="608">
        <f>NPV(realdiscrt2,Y$39:Y44)/(1+realdiscrt2)^-Half_Year</f>
        <v>37.966528617561721</v>
      </c>
      <c r="Z124" s="609">
        <f>NPV(realdiscrt2,Z$39:Z44)/(1+realdiscrt2)^-Half_Year</f>
        <v>48.351107950204366</v>
      </c>
      <c r="AA124" s="609">
        <f>NPV(realdiscrt2,AA$39:AA44)/(1+realdiscrt2)^-Half_Year</f>
        <v>55.570641147140876</v>
      </c>
      <c r="AB124" s="609">
        <f>NPV(realdiscrt2,AB$39:AB44)/(1+realdiscrt2)^-Half_Year</f>
        <v>52.185677059315864</v>
      </c>
      <c r="AC124" s="609">
        <f>NPV(realdiscrt2,AC$39:AC44)/(1+realdiscrt2)^-Half_Year</f>
        <v>42.206301788242342</v>
      </c>
      <c r="AD124" s="609">
        <f>NPV(realdiscrt2,AD$39:AD44)/(1+realdiscrt2)^-Half_Year</f>
        <v>49.71810230279025</v>
      </c>
      <c r="AE124" s="612">
        <f>NPV(realdiscrt2,AE$39:AE44)/(1+realdiscrt2)^-Half_Year</f>
        <v>46.435445477932809</v>
      </c>
      <c r="AF124" s="613">
        <f>NPV(realdiscrt2,AF$39:AF44)/(1+realdiscrt2)^-Half_Year</f>
        <v>3.0259605187487746E-2</v>
      </c>
      <c r="AG124" s="607">
        <f>NPV(realdiscrt2,AG$39:AG44)/(1+realdiscrt2)^-Half_Year</f>
        <v>2.2753163073194376</v>
      </c>
      <c r="AH124" s="614">
        <f>NPV(realdiscrt2,AH$39:AH44)/(1+realdiscrt2)^-Half_Year</f>
        <v>2.2753163073194376</v>
      </c>
      <c r="AI124" s="614">
        <f>NPV(realdiscrt2,AI$39:AI44)/(1+realdiscrt2)^-Half_Year</f>
        <v>4.2323219999920276</v>
      </c>
      <c r="AJ124" s="614">
        <f>NPV(realdiscrt2,AJ$39:AJ44)/(1+realdiscrt2)^-Half_Year</f>
        <v>3.5473700075566215</v>
      </c>
      <c r="AK124" s="614">
        <f>NPV(realdiscrt2,AK$39:AK44)/(1+realdiscrt2)^-Half_Year</f>
        <v>2.2753163073194376</v>
      </c>
      <c r="AL124" s="614">
        <f>NPV(realdiscrt2,AL$39:AL44)/(1+realdiscrt2)^-Half_Year</f>
        <v>4.2323219999920276</v>
      </c>
      <c r="AM124" s="614">
        <f>NPV(realdiscrt2,AM$39:AM44)/(1+realdiscrt2)^-Half_Year</f>
        <v>3.3771105122941063</v>
      </c>
      <c r="AN124" s="594">
        <f>NPV(realdiscrt2,AN$39:AN44)/(1+realdiscrt2)^-Half_Year</f>
        <v>143.23119659138905</v>
      </c>
      <c r="AO124" s="595">
        <f>NPV(realdiscrt2,AO$39:AO44)/(1+realdiscrt2)^-Half_Year</f>
        <v>118.88891042430664</v>
      </c>
      <c r="AP124" s="325">
        <f>NPV(realdiscrt2,AP$39:AP44)/(1+realdiscrt2)^-Half_Year</f>
        <v>122.02758357334226</v>
      </c>
      <c r="AQ124" s="610">
        <f>NPV(realdiscrt2,AQ$39:AQ44)/(1+realdiscrt2)^-Half_Year</f>
        <v>7.3581580930376964E-2</v>
      </c>
      <c r="AR124" s="595">
        <f>NPV(realdiscrt2,AR$39:AR44)/(1+realdiscrt2)^-Half_Year</f>
        <v>128.43493430561628</v>
      </c>
      <c r="AS124" s="612">
        <f>NPV(realdiscrt2,AS$39:AS44)/(1+realdiscrt2)^-Half_Year</f>
        <v>200.99971126209894</v>
      </c>
      <c r="AT124" s="594">
        <f>NPV(realdiscrt2,AT$39:AT44)/(1+realdiscrt2)^-Half_Year</f>
        <v>86.611630494239179</v>
      </c>
      <c r="AU124" s="609">
        <f>NPV(realdiscrt2,AU$39:AU44)/(1+realdiscrt2)^-Half_Year</f>
        <v>139.58449349500859</v>
      </c>
      <c r="AV124" s="608">
        <f>NPV(realdiscrt2,AV$39:AV44)/(1+realdiscrt2)^-Half_Year</f>
        <v>5.0655454145070077E-2</v>
      </c>
      <c r="AW124" s="612">
        <f>NPV(realdiscrt2,AW$39:AW44)/(1+realdiscrt2)^-Half_Year</f>
        <v>5.0655454145070077E-2</v>
      </c>
      <c r="AX124" s="600">
        <f>NPV(realdiscrt2,AX$39:AX44)/(1+realdiscrt2)^-Half_Year</f>
        <v>5.8582478924457844</v>
      </c>
      <c r="AY124" s="615">
        <f>NPV(realdiscrt2,AY$39:AY44)/(1+realdiscrt2)^-Half_Year</f>
        <v>95.548479698269858</v>
      </c>
      <c r="AZ124" s="607">
        <f>NPV(realdiscrt2,AZ$39:AZ44)/(1+realdiscrt2)^-Half_Year</f>
        <v>0.26111243995803973</v>
      </c>
      <c r="BA124" s="614">
        <f>NPV(realdiscrt2,BA$39:BA44)/(1+realdiscrt2)^-Half_Year</f>
        <v>0.26667729703521825</v>
      </c>
      <c r="BB124" s="614">
        <f>NPV(realdiscrt2,BB$39:BB44)/(1+realdiscrt2)^-Half_Year</f>
        <v>0.25436680788901045</v>
      </c>
      <c r="BC124" s="610">
        <f>NPV(realdiscrt2,BC$39:BC44)/(1+realdiscrt2)^-Half_Year</f>
        <v>0.25598318564179334</v>
      </c>
    </row>
    <row r="125" spans="1:55" s="325" customFormat="1" ht="14.25">
      <c r="A125" s="602">
        <f t="shared" si="95"/>
        <v>7</v>
      </c>
      <c r="B125" s="603">
        <f t="shared" si="94"/>
        <v>2028</v>
      </c>
      <c r="C125" s="604">
        <f>NPV(realdiscrt2,C$39:C45)/(1+realdiscrt2)^-Half_Year</f>
        <v>0.50244305798195965</v>
      </c>
      <c r="D125" s="605">
        <f>NPV(realdiscrt2,D$39:D45)/(1+realdiscrt2)^-Half_Year</f>
        <v>0.46429831970360202</v>
      </c>
      <c r="E125" s="605">
        <f>NPV(realdiscrt2,E$39:E45)/(1+realdiscrt2)^-Half_Year</f>
        <v>0.40020233550259088</v>
      </c>
      <c r="F125" s="606">
        <f>NPV(realdiscrt2,F$39:F45)/(1+realdiscrt2)^-Half_Year</f>
        <v>0.34510391160802617</v>
      </c>
      <c r="G125" s="604">
        <f>NPV(realdiscrt2,G$39:G45)/(1+realdiscrt2)^-Half_Year</f>
        <v>4.574607700855593E-2</v>
      </c>
      <c r="H125" s="605">
        <f>NPV(realdiscrt2,H$39:H45)/(1+realdiscrt2)^-Half_Year</f>
        <v>3.3551023552924907E-2</v>
      </c>
      <c r="I125" s="605">
        <f>NPV(realdiscrt2,I$39:I45)/(1+realdiscrt2)^-Half_Year</f>
        <v>3.3908067062544754E-2</v>
      </c>
      <c r="J125" s="605">
        <f>NPV(realdiscrt2,J$39:J45)/(1+realdiscrt2)^-Half_Year</f>
        <v>2.2828200515222268E-2</v>
      </c>
      <c r="K125" s="607">
        <f>NPV(realdiscrt2,K$39:K45)/(1+realdiscrt2)^-Half_Year</f>
        <v>1.3768045215545744E-2</v>
      </c>
      <c r="L125" s="1321">
        <f>NPV(realdiscrt2,L$39:L45)/(1+realdiscrt2)^-Half_Year</f>
        <v>516.36557152661578</v>
      </c>
      <c r="M125" s="609">
        <f>NPV(realdiscrt2,M$39:M45)/(1+realdiscrt2)^-Half_Year</f>
        <v>436.22447130601665</v>
      </c>
      <c r="N125" s="609">
        <f>NPV(realdiscrt2,N$39:N45)/(1+realdiscrt2)^-Half_Year</f>
        <v>436.22447130601665</v>
      </c>
      <c r="O125" s="612">
        <f>NPV(realdiscrt2,O$39:O45)/(1+realdiscrt2)^-Half_Year</f>
        <v>0</v>
      </c>
      <c r="P125" s="782">
        <f t="shared" si="92"/>
        <v>0</v>
      </c>
      <c r="Q125" s="782">
        <f t="shared" si="92"/>
        <v>93.782280510760046</v>
      </c>
      <c r="R125" s="1316">
        <f t="shared" si="93"/>
        <v>93.782280510760046</v>
      </c>
      <c r="S125" s="595">
        <f>NPV(realdiscrt2,S$39:S45)/(1+realdiscrt2)^-Half_Year</f>
        <v>0</v>
      </c>
      <c r="T125" s="595">
        <f>NPV(realdiscrt2,T$39:T45)/(1+realdiscrt2)^-Half_Year</f>
        <v>0</v>
      </c>
      <c r="U125" s="610">
        <f>NPV(realdiscrt2,U$39:U45)/(1+realdiscrt2)^-Half_Year</f>
        <v>0</v>
      </c>
      <c r="V125" s="611">
        <f>NPV(realdiscrt2,V$39:V45)/(1+realdiscrt2)^-Half_Year</f>
        <v>673.30259209051655</v>
      </c>
      <c r="W125" s="609">
        <f>NPV(realdiscrt2,W$39:W45)/(1+realdiscrt2)^-Half_Year</f>
        <v>0</v>
      </c>
      <c r="X125" s="612">
        <f>NPV(realdiscrt2,X$39:X45)/(1+realdiscrt2)^-Half_Year</f>
        <v>583.27444146347023</v>
      </c>
      <c r="Y125" s="608">
        <f>NPV(realdiscrt2,Y$39:Y45)/(1+realdiscrt2)^-Half_Year</f>
        <v>44.23592085904248</v>
      </c>
      <c r="Z125" s="609">
        <f>NPV(realdiscrt2,Z$39:Z45)/(1+realdiscrt2)^-Half_Year</f>
        <v>56.258201263918991</v>
      </c>
      <c r="AA125" s="609">
        <f>NPV(realdiscrt2,AA$39:AA45)/(1+realdiscrt2)^-Half_Year</f>
        <v>64.620505389372781</v>
      </c>
      <c r="AB125" s="609">
        <f>NPV(realdiscrt2,AB$39:AB45)/(1+realdiscrt2)^-Half_Year</f>
        <v>60.700884826981245</v>
      </c>
      <c r="AC125" s="609">
        <f>NPV(realdiscrt2,AC$39:AC45)/(1+realdiscrt2)^-Half_Year</f>
        <v>49.145096678696575</v>
      </c>
      <c r="AD125" s="609">
        <f>NPV(realdiscrt2,AD$39:AD45)/(1+realdiscrt2)^-Half_Year</f>
        <v>57.842269342792186</v>
      </c>
      <c r="AE125" s="612">
        <f>NPV(realdiscrt2,AE$39:AE45)/(1+realdiscrt2)^-Half_Year</f>
        <v>54.041604888582391</v>
      </c>
      <c r="AF125" s="613">
        <f>NPV(realdiscrt2,AF$39:AF45)/(1+realdiscrt2)^-Half_Year</f>
        <v>4.0066108989521718E-2</v>
      </c>
      <c r="AG125" s="607">
        <f>NPV(realdiscrt2,AG$39:AG45)/(1+realdiscrt2)^-Half_Year</f>
        <v>2.4518333757560491</v>
      </c>
      <c r="AH125" s="614">
        <f>NPV(realdiscrt2,AH$39:AH45)/(1+realdiscrt2)^-Half_Year</f>
        <v>2.4518333757560491</v>
      </c>
      <c r="AI125" s="614">
        <f>NPV(realdiscrt2,AI$39:AI45)/(1+realdiscrt2)^-Half_Year</f>
        <v>4.5559366254591485</v>
      </c>
      <c r="AJ125" s="614">
        <f>NPV(realdiscrt2,AJ$39:AJ45)/(1+realdiscrt2)^-Half_Year</f>
        <v>3.8195004880630647</v>
      </c>
      <c r="AK125" s="614">
        <f>NPV(realdiscrt2,AK$39:AK45)/(1+realdiscrt2)^-Half_Year</f>
        <v>2.4518333757560491</v>
      </c>
      <c r="AL125" s="614">
        <f>NPV(realdiscrt2,AL$39:AL45)/(1+realdiscrt2)^-Half_Year</f>
        <v>4.5559366254591485</v>
      </c>
      <c r="AM125" s="614">
        <f>NPV(realdiscrt2,AM$39:AM45)/(1+realdiscrt2)^-Half_Year</f>
        <v>3.6364435053388946</v>
      </c>
      <c r="AN125" s="594">
        <f>NPV(realdiscrt2,AN$39:AN45)/(1+realdiscrt2)^-Half_Year</f>
        <v>167.0803808085378</v>
      </c>
      <c r="AO125" s="595">
        <f>NPV(realdiscrt2,AO$39:AO45)/(1+realdiscrt2)^-Half_Year</f>
        <v>138.82218285542609</v>
      </c>
      <c r="AP125" s="325">
        <f>NPV(realdiscrt2,AP$39:AP45)/(1+realdiscrt2)^-Half_Year</f>
        <v>142.53870887391005</v>
      </c>
      <c r="AQ125" s="610">
        <f>NPV(realdiscrt2,AQ$39:AQ45)/(1+realdiscrt2)^-Half_Year</f>
        <v>8.5316632982359308E-2</v>
      </c>
      <c r="AR125" s="595">
        <f>NPV(realdiscrt2,AR$39:AR45)/(1+realdiscrt2)^-Half_Year</f>
        <v>149.82041792278096</v>
      </c>
      <c r="AS125" s="612">
        <f>NPV(realdiscrt2,AS$39:AS45)/(1+realdiscrt2)^-Half_Year</f>
        <v>233.75416986596906</v>
      </c>
      <c r="AT125" s="594">
        <f>NPV(realdiscrt2,AT$39:AT45)/(1+realdiscrt2)^-Half_Year</f>
        <v>101.03318655299037</v>
      </c>
      <c r="AU125" s="609">
        <f>NPV(realdiscrt2,AU$39:AU45)/(1+realdiscrt2)^-Half_Year</f>
        <v>162.82647134929402</v>
      </c>
      <c r="AV125" s="608">
        <f>NPV(realdiscrt2,AV$39:AV45)/(1+realdiscrt2)^-Half_Year</f>
        <v>5.8690740475385618E-2</v>
      </c>
      <c r="AW125" s="612">
        <f>NPV(realdiscrt2,AW$39:AW45)/(1+realdiscrt2)^-Half_Year</f>
        <v>5.8690740475385618E-2</v>
      </c>
      <c r="AX125" s="600">
        <f>NPV(realdiscrt2,AX$39:AX45)/(1+realdiscrt2)^-Half_Year</f>
        <v>6.7875199719134729</v>
      </c>
      <c r="AY125" s="615">
        <f>NPV(realdiscrt2,AY$39:AY45)/(1+realdiscrt2)^-Half_Year</f>
        <v>114.51704253915391</v>
      </c>
      <c r="AZ125" s="607">
        <f>NPV(realdiscrt2,AZ$39:AZ45)/(1+realdiscrt2)^-Half_Year</f>
        <v>0.3014327954013416</v>
      </c>
      <c r="BA125" s="614">
        <f>NPV(realdiscrt2,BA$39:BA45)/(1+realdiscrt2)^-Half_Year</f>
        <v>0.30785696433428261</v>
      </c>
      <c r="BB125" s="614">
        <f>NPV(realdiscrt2,BB$39:BB45)/(1+realdiscrt2)^-Half_Year</f>
        <v>0.29364551904008057</v>
      </c>
      <c r="BC125" s="610">
        <f>NPV(realdiscrt2,BC$39:BC45)/(1+realdiscrt2)^-Half_Year</f>
        <v>0.29551149396078602</v>
      </c>
    </row>
    <row r="126" spans="1:55" s="325" customFormat="1" ht="14.25">
      <c r="A126" s="602">
        <f t="shared" si="95"/>
        <v>8</v>
      </c>
      <c r="B126" s="603">
        <f t="shared" si="94"/>
        <v>2029</v>
      </c>
      <c r="C126" s="604">
        <f>NPV(realdiscrt2,C$39:C46)/(1+realdiscrt2)^-Half_Year</f>
        <v>0.57569474763113537</v>
      </c>
      <c r="D126" s="605">
        <f>NPV(realdiscrt2,D$39:D46)/(1+realdiscrt2)^-Half_Year</f>
        <v>0.5315675026510609</v>
      </c>
      <c r="E126" s="605">
        <f>NPV(realdiscrt2,E$39:E46)/(1+realdiscrt2)^-Half_Year</f>
        <v>0.4562815618101807</v>
      </c>
      <c r="F126" s="606">
        <f>NPV(realdiscrt2,F$39:F46)/(1+realdiscrt2)^-Half_Year</f>
        <v>0.3929373250222814</v>
      </c>
      <c r="G126" s="604">
        <f>NPV(realdiscrt2,G$39:G46)/(1+realdiscrt2)^-Half_Year</f>
        <v>4.8750422072492652E-2</v>
      </c>
      <c r="H126" s="605">
        <f>NPV(realdiscrt2,H$39:H46)/(1+realdiscrt2)^-Half_Year</f>
        <v>3.577382209489758E-2</v>
      </c>
      <c r="I126" s="605">
        <f>NPV(realdiscrt2,I$39:I46)/(1+realdiscrt2)^-Half_Year</f>
        <v>3.6368070032051031E-2</v>
      </c>
      <c r="J126" s="605">
        <f>NPV(realdiscrt2,J$39:J46)/(1+realdiscrt2)^-Half_Year</f>
        <v>2.4534038833807312E-2</v>
      </c>
      <c r="K126" s="607">
        <f>NPV(realdiscrt2,K$39:K46)/(1+realdiscrt2)^-Half_Year</f>
        <v>1.4384824149837968E-2</v>
      </c>
      <c r="L126" s="1321">
        <f>NPV(realdiscrt2,L$39:L46)/(1+realdiscrt2)^-Half_Year</f>
        <v>607.46508414267657</v>
      </c>
      <c r="M126" s="609">
        <f>NPV(realdiscrt2,M$39:M46)/(1+realdiscrt2)^-Half_Year</f>
        <v>550.78054879705712</v>
      </c>
      <c r="N126" s="609">
        <f>NPV(realdiscrt2,N$39:N46)/(1+realdiscrt2)^-Half_Year</f>
        <v>550.78054879705712</v>
      </c>
      <c r="O126" s="612">
        <f>NPV(realdiscrt2,O$39:O46)/(1+realdiscrt2)^-Half_Year</f>
        <v>0</v>
      </c>
      <c r="P126" s="782">
        <f t="shared" si="92"/>
        <v>0</v>
      </c>
      <c r="Q126" s="782">
        <f t="shared" si="92"/>
        <v>127.6253936657742</v>
      </c>
      <c r="R126" s="1316">
        <f t="shared" si="93"/>
        <v>127.6253936657742</v>
      </c>
      <c r="S126" s="595">
        <f>NPV(realdiscrt2,S$39:S46)/(1+realdiscrt2)^-Half_Year</f>
        <v>0</v>
      </c>
      <c r="T126" s="595">
        <f>NPV(realdiscrt2,T$39:T46)/(1+realdiscrt2)^-Half_Year</f>
        <v>0</v>
      </c>
      <c r="U126" s="610">
        <f>NPV(realdiscrt2,U$39:U46)/(1+realdiscrt2)^-Half_Year</f>
        <v>0</v>
      </c>
      <c r="V126" s="611">
        <f>NPV(realdiscrt2,V$39:V46)/(1+realdiscrt2)^-Half_Year</f>
        <v>764.19810230455766</v>
      </c>
      <c r="W126" s="609">
        <f>NPV(realdiscrt2,W$39:W46)/(1+realdiscrt2)^-Half_Year</f>
        <v>0</v>
      </c>
      <c r="X126" s="612">
        <f>NPV(realdiscrt2,X$39:X46)/(1+realdiscrt2)^-Half_Year</f>
        <v>662.01619676701205</v>
      </c>
      <c r="Y126" s="608">
        <f>NPV(realdiscrt2,Y$39:Y46)/(1+realdiscrt2)^-Half_Year</f>
        <v>50.52076979642969</v>
      </c>
      <c r="Z126" s="609">
        <f>NPV(realdiscrt2,Z$39:Z46)/(1+realdiscrt2)^-Half_Year</f>
        <v>64.156391940083438</v>
      </c>
      <c r="AA126" s="609">
        <f>NPV(realdiscrt2,AA$39:AA46)/(1+realdiscrt2)^-Half_Year</f>
        <v>73.645150434855097</v>
      </c>
      <c r="AB126" s="609">
        <f>NPV(realdiscrt2,AB$39:AB46)/(1+realdiscrt2)^-Half_Year</f>
        <v>69.198690445633403</v>
      </c>
      <c r="AC126" s="609">
        <f>NPV(realdiscrt2,AC$39:AC46)/(1+realdiscrt2)^-Half_Year</f>
        <v>56.089662444357458</v>
      </c>
      <c r="AD126" s="609">
        <f>NPV(realdiscrt2,AD$39:AD46)/(1+realdiscrt2)^-Half_Year</f>
        <v>65.954572065163873</v>
      </c>
      <c r="AE126" s="612">
        <f>NPV(realdiscrt2,AE$39:AE46)/(1+realdiscrt2)^-Half_Year</f>
        <v>61.643606560871447</v>
      </c>
      <c r="AF126" s="613">
        <f>NPV(realdiscrt2,AF$39:AF46)/(1+realdiscrt2)^-Half_Year</f>
        <v>4.9735844118675022E-2</v>
      </c>
      <c r="AG126" s="607">
        <f>NPV(realdiscrt2,AG$39:AG46)/(1+realdiscrt2)^-Half_Year</f>
        <v>2.5872096675641956</v>
      </c>
      <c r="AH126" s="614">
        <f>NPV(realdiscrt2,AH$39:AH46)/(1+realdiscrt2)^-Half_Year</f>
        <v>2.5872096675641956</v>
      </c>
      <c r="AI126" s="614">
        <f>NPV(realdiscrt2,AI$39:AI46)/(1+realdiscrt2)^-Half_Year</f>
        <v>4.7976800036879812</v>
      </c>
      <c r="AJ126" s="614">
        <f>NPV(realdiscrt2,AJ$39:AJ46)/(1+realdiscrt2)^-Half_Year</f>
        <v>4.024015386044657</v>
      </c>
      <c r="AK126" s="614">
        <f>NPV(realdiscrt2,AK$39:AK46)/(1+realdiscrt2)^-Half_Year</f>
        <v>2.5872096675641956</v>
      </c>
      <c r="AL126" s="614">
        <f>NPV(realdiscrt2,AL$39:AL46)/(1+realdiscrt2)^-Half_Year</f>
        <v>4.7976800036879812</v>
      </c>
      <c r="AM126" s="614">
        <f>NPV(realdiscrt2,AM$39:AM46)/(1+realdiscrt2)^-Half_Year</f>
        <v>3.8317044668018871</v>
      </c>
      <c r="AN126" s="594">
        <f>NPV(realdiscrt2,AN$39:AN46)/(1+realdiscrt2)^-Half_Year</f>
        <v>190.80898039980082</v>
      </c>
      <c r="AO126" s="595">
        <f>NPV(realdiscrt2,AO$39:AO46)/(1+realdiscrt2)^-Half_Year</f>
        <v>158.71449186459628</v>
      </c>
      <c r="AP126" s="325">
        <f>NPV(realdiscrt2,AP$39:AP46)/(1+realdiscrt2)^-Half_Year</f>
        <v>163.02763892773638</v>
      </c>
      <c r="AQ126" s="610">
        <f>NPV(realdiscrt2,AQ$39:AQ46)/(1+realdiscrt2)^-Half_Year</f>
        <v>9.6837254204495085E-2</v>
      </c>
      <c r="AR126" s="595">
        <f>NPV(realdiscrt2,AR$39:AR46)/(1+realdiscrt2)^-Half_Year</f>
        <v>171.09777370974894</v>
      </c>
      <c r="AS126" s="612">
        <f>NPV(realdiscrt2,AS$39:AS46)/(1+realdiscrt2)^-Half_Year</f>
        <v>266.08756476172903</v>
      </c>
      <c r="AT126" s="594">
        <f>NPV(realdiscrt2,AT$39:AT46)/(1+realdiscrt2)^-Half_Year</f>
        <v>115.38182531921696</v>
      </c>
      <c r="AU126" s="609">
        <f>NPV(realdiscrt2,AU$39:AU46)/(1+realdiscrt2)^-Half_Year</f>
        <v>185.95093469327642</v>
      </c>
      <c r="AV126" s="608">
        <f>NPV(realdiscrt2,AV$39:AV46)/(1+realdiscrt2)^-Half_Year</f>
        <v>6.6613960826857041E-2</v>
      </c>
      <c r="AW126" s="612">
        <f>NPV(realdiscrt2,AW$39:AW46)/(1+realdiscrt2)^-Half_Year</f>
        <v>6.6613960826857041E-2</v>
      </c>
      <c r="AX126" s="600">
        <f>NPV(realdiscrt2,AX$39:AX46)/(1+realdiscrt2)^-Half_Year</f>
        <v>7.7038317434447592</v>
      </c>
      <c r="AY126" s="615">
        <f>NPV(realdiscrt2,AY$39:AY46)/(1+realdiscrt2)^-Half_Year</f>
        <v>134.30013362793625</v>
      </c>
      <c r="AZ126" s="607">
        <f>NPV(realdiscrt2,AZ$39:AZ46)/(1+realdiscrt2)^-Half_Year</f>
        <v>0.34092170846534697</v>
      </c>
      <c r="BA126" s="614">
        <f>NPV(realdiscrt2,BA$39:BA46)/(1+realdiscrt2)^-Half_Year</f>
        <v>0.34818746946249457</v>
      </c>
      <c r="BB126" s="614">
        <f>NPV(realdiscrt2,BB$39:BB46)/(1+realdiscrt2)^-Half_Year</f>
        <v>0.33211426746398504</v>
      </c>
      <c r="BC126" s="610">
        <f>NPV(realdiscrt2,BC$39:BC46)/(1+realdiscrt2)^-Half_Year</f>
        <v>0.33422469263213367</v>
      </c>
    </row>
    <row r="127" spans="1:55" s="325" customFormat="1" ht="14.25">
      <c r="A127" s="602">
        <f t="shared" si="95"/>
        <v>9</v>
      </c>
      <c r="B127" s="603">
        <f t="shared" si="94"/>
        <v>2030</v>
      </c>
      <c r="C127" s="604">
        <f>NPV(realdiscrt2,C$39:C47)/(1+realdiscrt2)^-Half_Year</f>
        <v>0.64223240390534053</v>
      </c>
      <c r="D127" s="605">
        <f>NPV(realdiscrt2,D$39:D47)/(1+realdiscrt2)^-Half_Year</f>
        <v>0.59455083010922138</v>
      </c>
      <c r="E127" s="605">
        <f>NPV(realdiscrt2,E$39:E47)/(1+realdiscrt2)^-Half_Year</f>
        <v>0.51447619291497315</v>
      </c>
      <c r="F127" s="606">
        <f>NPV(realdiscrt2,F$39:F47)/(1+realdiscrt2)^-Half_Year</f>
        <v>0.44630803513493916</v>
      </c>
      <c r="G127" s="604">
        <f>NPV(realdiscrt2,G$39:G47)/(1+realdiscrt2)^-Half_Year</f>
        <v>5.0396758529598476E-2</v>
      </c>
      <c r="H127" s="605">
        <f>NPV(realdiscrt2,H$39:H47)/(1+realdiscrt2)^-Half_Year</f>
        <v>3.7008873858196602E-2</v>
      </c>
      <c r="I127" s="605">
        <f>NPV(realdiscrt2,I$39:I47)/(1+realdiscrt2)^-Half_Year</f>
        <v>3.7565971059333167E-2</v>
      </c>
      <c r="J127" s="605">
        <f>NPV(realdiscrt2,J$39:J47)/(1+realdiscrt2)^-Half_Year</f>
        <v>2.5361415420123396E-2</v>
      </c>
      <c r="K127" s="607">
        <f>NPV(realdiscrt2,K$39:K47)/(1+realdiscrt2)^-Half_Year</f>
        <v>1.4732119333568406E-2</v>
      </c>
      <c r="L127" s="1321">
        <f>NPV(realdiscrt2,L$39:L47)/(1+realdiscrt2)^-Half_Year</f>
        <v>692.98251030187657</v>
      </c>
      <c r="M127" s="609">
        <f>NPV(realdiscrt2,M$39:M47)/(1+realdiscrt2)^-Half_Year</f>
        <v>660.10014280005862</v>
      </c>
      <c r="N127" s="609">
        <f>NPV(realdiscrt2,N$39:N47)/(1+realdiscrt2)^-Half_Year</f>
        <v>660.10014280005862</v>
      </c>
      <c r="O127" s="612">
        <f>NPV(realdiscrt2,O$39:O47)/(1+realdiscrt2)^-Half_Year</f>
        <v>0</v>
      </c>
      <c r="P127" s="782">
        <f t="shared" si="92"/>
        <v>0</v>
      </c>
      <c r="Q127" s="782">
        <f t="shared" si="92"/>
        <v>148.59416971249405</v>
      </c>
      <c r="R127" s="1316">
        <f t="shared" si="93"/>
        <v>148.59416971249405</v>
      </c>
      <c r="S127" s="595">
        <f>NPV(realdiscrt2,S$39:S47)/(1+realdiscrt2)^-Half_Year</f>
        <v>0</v>
      </c>
      <c r="T127" s="595">
        <f>NPV(realdiscrt2,T$39:T47)/(1+realdiscrt2)^-Half_Year</f>
        <v>0</v>
      </c>
      <c r="U127" s="610">
        <f>NPV(realdiscrt2,U$39:U47)/(1+realdiscrt2)^-Half_Year</f>
        <v>0</v>
      </c>
      <c r="V127" s="611">
        <f>NPV(realdiscrt2,V$39:V47)/(1+realdiscrt2)^-Half_Year</f>
        <v>853.82591726718738</v>
      </c>
      <c r="W127" s="609">
        <f>NPV(realdiscrt2,W$39:W47)/(1+realdiscrt2)^-Half_Year</f>
        <v>0</v>
      </c>
      <c r="X127" s="612">
        <f>NPV(realdiscrt2,X$39:X47)/(1+realdiscrt2)^-Half_Year</f>
        <v>739.65976197237387</v>
      </c>
      <c r="Y127" s="608">
        <f>NPV(realdiscrt2,Y$39:Y47)/(1+realdiscrt2)^-Half_Year</f>
        <v>56.777063291921849</v>
      </c>
      <c r="Z127" s="609">
        <f>NPV(realdiscrt2,Z$39:Z47)/(1+realdiscrt2)^-Half_Year</f>
        <v>72.000706130879081</v>
      </c>
      <c r="AA127" s="609">
        <f>NPV(realdiscrt2,AA$39:AA47)/(1+realdiscrt2)^-Half_Year</f>
        <v>82.599484227166812</v>
      </c>
      <c r="AB127" s="609">
        <f>NPV(realdiscrt2,AB$39:AB47)/(1+realdiscrt2)^-Half_Year</f>
        <v>77.634209072995432</v>
      </c>
      <c r="AC127" s="609">
        <f>NPV(realdiscrt2,AC$39:AC47)/(1+realdiscrt2)^-Half_Year</f>
        <v>62.995509230509818</v>
      </c>
      <c r="AD127" s="609">
        <f>NPV(realdiscrt2,AD$39:AD47)/(1+realdiscrt2)^-Half_Year</f>
        <v>74.010069271466762</v>
      </c>
      <c r="AE127" s="612">
        <f>NPV(realdiscrt2,AE$39:AE47)/(1+realdiscrt2)^-Half_Year</f>
        <v>69.196706533568573</v>
      </c>
      <c r="AF127" s="613">
        <f>NPV(realdiscrt2,AF$39:AF47)/(1+realdiscrt2)^-Half_Year</f>
        <v>5.9270718050869677E-2</v>
      </c>
      <c r="AG127" s="607">
        <f>NPV(realdiscrt2,AG$39:AG47)/(1+realdiscrt2)^-Half_Year</f>
        <v>2.6730235329539478</v>
      </c>
      <c r="AH127" s="614">
        <f>NPV(realdiscrt2,AH$39:AH47)/(1+realdiscrt2)^-Half_Year</f>
        <v>2.6730235329539478</v>
      </c>
      <c r="AI127" s="614">
        <f>NPV(realdiscrt2,AI$39:AI47)/(1+realdiscrt2)^-Half_Year</f>
        <v>4.9502379866030957</v>
      </c>
      <c r="AJ127" s="614">
        <f>NPV(realdiscrt2,AJ$39:AJ47)/(1+realdiscrt2)^-Half_Year</f>
        <v>4.1532129278258951</v>
      </c>
      <c r="AK127" s="614">
        <f>NPV(realdiscrt2,AK$39:AK47)/(1+realdiscrt2)^-Half_Year</f>
        <v>2.6730235329539478</v>
      </c>
      <c r="AL127" s="614">
        <f>NPV(realdiscrt2,AL$39:AL47)/(1+realdiscrt2)^-Half_Year</f>
        <v>4.9502379866030957</v>
      </c>
      <c r="AM127" s="614">
        <f>NPV(realdiscrt2,AM$39:AM47)/(1+realdiscrt2)^-Half_Year</f>
        <v>3.9550952703584183</v>
      </c>
      <c r="AN127" s="594">
        <f>NPV(realdiscrt2,AN$39:AN47)/(1+realdiscrt2)^-Half_Year</f>
        <v>214.64565195380283</v>
      </c>
      <c r="AO127" s="595">
        <f>NPV(realdiscrt2,AO$39:AO47)/(1+realdiscrt2)^-Half_Year</f>
        <v>178.72860959842703</v>
      </c>
      <c r="AP127" s="325">
        <f>NPV(realdiscrt2,AP$39:AP47)/(1+realdiscrt2)^-Half_Year</f>
        <v>183.65783601239858</v>
      </c>
      <c r="AQ127" s="610">
        <f>NPV(realdiscrt2,AQ$39:AQ47)/(1+realdiscrt2)^-Half_Year</f>
        <v>0.10834657479934451</v>
      </c>
      <c r="AR127" s="595">
        <f>NPV(realdiscrt2,AR$39:AR47)/(1+realdiscrt2)^-Half_Year</f>
        <v>192.4720372637745</v>
      </c>
      <c r="AS127" s="612">
        <f>NPV(realdiscrt2,AS$39:AS47)/(1+realdiscrt2)^-Half_Year</f>
        <v>298.21718302368333</v>
      </c>
      <c r="AT127" s="594">
        <f>NPV(realdiscrt2,AT$39:AT47)/(1+realdiscrt2)^-Half_Year</f>
        <v>129.79581499450731</v>
      </c>
      <c r="AU127" s="609">
        <f>NPV(realdiscrt2,AU$39:AU47)/(1+realdiscrt2)^-Half_Year</f>
        <v>209.18071846003633</v>
      </c>
      <c r="AV127" s="608">
        <f>NPV(realdiscrt2,AV$39:AV47)/(1+realdiscrt2)^-Half_Year</f>
        <v>7.4426678153571874E-2</v>
      </c>
      <c r="AW127" s="612">
        <f>NPV(realdiscrt2,AW$39:AW47)/(1+realdiscrt2)^-Half_Year</f>
        <v>7.4426678153571874E-2</v>
      </c>
      <c r="AX127" s="600">
        <f>NPV(realdiscrt2,AX$39:AX47)/(1+realdiscrt2)^-Half_Year</f>
        <v>8.6073639609711563</v>
      </c>
      <c r="AY127" s="615">
        <f>NPV(realdiscrt2,AY$39:AY47)/(1+realdiscrt2)^-Half_Year</f>
        <v>155.34424472441049</v>
      </c>
      <c r="AZ127" s="607">
        <f>NPV(realdiscrt2,AZ$39:AZ47)/(1+realdiscrt2)^-Half_Year</f>
        <v>0.37938432816715889</v>
      </c>
      <c r="BA127" s="614">
        <f>NPV(realdiscrt2,BA$39:BA47)/(1+realdiscrt2)^-Half_Year</f>
        <v>0.38746980875135051</v>
      </c>
      <c r="BB127" s="614">
        <f>NPV(realdiscrt2,BB$39:BB47)/(1+realdiscrt2)^-Half_Year</f>
        <v>0.36958323599788961</v>
      </c>
      <c r="BC127" s="610">
        <f>NPV(realdiscrt2,BC$39:BC47)/(1+realdiscrt2)^-Half_Year</f>
        <v>0.37193175829695152</v>
      </c>
    </row>
    <row r="128" spans="1:55" s="325" customFormat="1" ht="14.25">
      <c r="A128" s="602">
        <f t="shared" si="95"/>
        <v>10</v>
      </c>
      <c r="B128" s="603">
        <f t="shared" si="94"/>
        <v>2031</v>
      </c>
      <c r="C128" s="604">
        <f>NPV(realdiscrt2,C$39:C48)/(1+realdiscrt2)^-Half_Year</f>
        <v>0.70742468201414765</v>
      </c>
      <c r="D128" s="605">
        <f>NPV(realdiscrt2,D$39:D48)/(1+realdiscrt2)^-Half_Year</f>
        <v>0.65587567902082056</v>
      </c>
      <c r="E128" s="605">
        <f>NPV(realdiscrt2,E$39:E48)/(1+realdiscrt2)^-Half_Year</f>
        <v>0.56684507144729157</v>
      </c>
      <c r="F128" s="606">
        <f>NPV(realdiscrt2,F$39:F48)/(1+realdiscrt2)^-Half_Year</f>
        <v>0.49228806859958413</v>
      </c>
      <c r="G128" s="604">
        <f>NPV(realdiscrt2,G$39:G48)/(1+realdiscrt2)^-Half_Year</f>
        <v>5.134682057434517E-2</v>
      </c>
      <c r="H128" s="605">
        <f>NPV(realdiscrt2,H$39:H48)/(1+realdiscrt2)^-Half_Year</f>
        <v>3.7682490277649534E-2</v>
      </c>
      <c r="I128" s="605">
        <f>NPV(realdiscrt2,I$39:I48)/(1+realdiscrt2)^-Half_Year</f>
        <v>3.8297684195877736E-2</v>
      </c>
      <c r="J128" s="605">
        <f>NPV(realdiscrt2,J$39:J48)/(1+realdiscrt2)^-Half_Year</f>
        <v>2.584220743248233E-2</v>
      </c>
      <c r="K128" s="607">
        <f>NPV(realdiscrt2,K$39:K48)/(1+realdiscrt2)^-Half_Year</f>
        <v>1.4829227348883207E-2</v>
      </c>
      <c r="L128" s="1321">
        <f>NPV(realdiscrt2,L$39:L48)/(1+realdiscrt2)^-Half_Year</f>
        <v>775.89010988088069</v>
      </c>
      <c r="M128" s="609">
        <f>NPV(realdiscrt2,M$39:M48)/(1+realdiscrt2)^-Half_Year</f>
        <v>764.62794844514963</v>
      </c>
      <c r="N128" s="609">
        <f>NPV(realdiscrt2,N$39:N48)/(1+realdiscrt2)^-Half_Year</f>
        <v>764.62794844514963</v>
      </c>
      <c r="O128" s="612">
        <f>NPV(realdiscrt2,O$39:O48)/(1+realdiscrt2)^-Half_Year</f>
        <v>0</v>
      </c>
      <c r="P128" s="782">
        <f t="shared" si="92"/>
        <v>0</v>
      </c>
      <c r="Q128" s="782">
        <f t="shared" si="92"/>
        <v>145.96538226402797</v>
      </c>
      <c r="R128" s="1316">
        <f t="shared" si="93"/>
        <v>145.96538226402797</v>
      </c>
      <c r="S128" s="595">
        <f>NPV(realdiscrt2,S$39:S48)/(1+realdiscrt2)^-Half_Year</f>
        <v>0</v>
      </c>
      <c r="T128" s="595">
        <f>NPV(realdiscrt2,T$39:T48)/(1+realdiscrt2)^-Half_Year</f>
        <v>0</v>
      </c>
      <c r="U128" s="610">
        <f>NPV(realdiscrt2,U$39:U48)/(1+realdiscrt2)^-Half_Year</f>
        <v>0</v>
      </c>
      <c r="V128" s="611">
        <f>NPV(realdiscrt2,V$39:V48)/(1+realdiscrt2)^-Half_Year</f>
        <v>942.20371718336492</v>
      </c>
      <c r="W128" s="609">
        <f>NPV(realdiscrt2,W$39:W48)/(1+realdiscrt2)^-Half_Year</f>
        <v>0</v>
      </c>
      <c r="X128" s="612">
        <f>NPV(realdiscrt2,X$39:X48)/(1+realdiscrt2)^-Half_Year</f>
        <v>816.22045324169949</v>
      </c>
      <c r="Y128" s="608">
        <f>NPV(realdiscrt2,Y$39:Y48)/(1+realdiscrt2)^-Half_Year</f>
        <v>63.097236508749127</v>
      </c>
      <c r="Z128" s="609">
        <f>NPV(realdiscrt2,Z$39:Z48)/(1+realdiscrt2)^-Half_Year</f>
        <v>79.887828247720648</v>
      </c>
      <c r="AA128" s="609">
        <f>NPV(realdiscrt2,AA$39:AA48)/(1+realdiscrt2)^-Half_Year</f>
        <v>91.581457892684966</v>
      </c>
      <c r="AB128" s="609">
        <f>NPV(realdiscrt2,AB$39:AB48)/(1+realdiscrt2)^-Half_Year</f>
        <v>86.104332381575603</v>
      </c>
      <c r="AC128" s="609">
        <f>NPV(realdiscrt2,AC$39:AC48)/(1+realdiscrt2)^-Half_Year</f>
        <v>69.956968108864118</v>
      </c>
      <c r="AD128" s="609">
        <f>NPV(realdiscrt2,AD$39:AD48)/(1+realdiscrt2)^-Half_Year</f>
        <v>82.105503504312466</v>
      </c>
      <c r="AE128" s="612">
        <f>NPV(realdiscrt2,AE$39:AE48)/(1+realdiscrt2)^-Half_Year</f>
        <v>76.796593536501518</v>
      </c>
      <c r="AF128" s="613">
        <f>NPV(realdiscrt2,AF$39:AF48)/(1+realdiscrt2)^-Half_Year</f>
        <v>6.8672611658973676E-2</v>
      </c>
      <c r="AG128" s="607">
        <f>NPV(realdiscrt2,AG$39:AG48)/(1+realdiscrt2)^-Half_Year</f>
        <v>2.7200330009944675</v>
      </c>
      <c r="AH128" s="614">
        <f>NPV(realdiscrt2,AH$39:AH48)/(1+realdiscrt2)^-Half_Year</f>
        <v>2.7200330009944675</v>
      </c>
      <c r="AI128" s="614">
        <f>NPV(realdiscrt2,AI$39:AI48)/(1+realdiscrt2)^-Half_Year</f>
        <v>5.0254531354679273</v>
      </c>
      <c r="AJ128" s="614">
        <f>NPV(realdiscrt2,AJ$39:AJ48)/(1+realdiscrt2)^-Half_Year</f>
        <v>4.2185560884022175</v>
      </c>
      <c r="AK128" s="614">
        <f>NPV(realdiscrt2,AK$39:AK48)/(1+realdiscrt2)^-Half_Year</f>
        <v>2.7200330009944675</v>
      </c>
      <c r="AL128" s="614">
        <f>NPV(realdiscrt2,AL$39:AL48)/(1+realdiscrt2)^-Half_Year</f>
        <v>5.0254531354679273</v>
      </c>
      <c r="AM128" s="614">
        <f>NPV(realdiscrt2,AM$39:AM48)/(1+realdiscrt2)^-Half_Year</f>
        <v>4.0179845367030262</v>
      </c>
      <c r="AN128" s="594">
        <f>NPV(realdiscrt2,AN$39:AN48)/(1+realdiscrt2)^-Half_Year</f>
        <v>238.53539595607793</v>
      </c>
      <c r="AO128" s="595">
        <f>NPV(realdiscrt2,AO$39:AO48)/(1+realdiscrt2)^-Half_Year</f>
        <v>198.79641236662255</v>
      </c>
      <c r="AP128" s="325">
        <f>NPV(realdiscrt2,AP$39:AP48)/(1+realdiscrt2)^-Half_Year</f>
        <v>204.35649685655548</v>
      </c>
      <c r="AQ128" s="610">
        <f>NPV(realdiscrt2,AQ$39:AQ48)/(1+realdiscrt2)^-Half_Year</f>
        <v>0.11969537799316166</v>
      </c>
      <c r="AR128" s="595">
        <f>NPV(realdiscrt2,AR$39:AR48)/(1+realdiscrt2)^-Half_Year</f>
        <v>213.89389070442823</v>
      </c>
      <c r="AS128" s="612">
        <f>NPV(realdiscrt2,AS$39:AS48)/(1+realdiscrt2)^-Half_Year</f>
        <v>330.52910752792644</v>
      </c>
      <c r="AT128" s="594">
        <f>NPV(realdiscrt2,AT$39:AT48)/(1+realdiscrt2)^-Half_Year</f>
        <v>144.24189747770993</v>
      </c>
      <c r="AU128" s="609">
        <f>NPV(realdiscrt2,AU$39:AU48)/(1+realdiscrt2)^-Half_Year</f>
        <v>232.46222343688908</v>
      </c>
      <c r="AV128" s="608">
        <f>NPV(realdiscrt2,AV$39:AV48)/(1+realdiscrt2)^-Half_Year</f>
        <v>8.2130433611517006E-2</v>
      </c>
      <c r="AW128" s="612">
        <f>NPV(realdiscrt2,AW$39:AW48)/(1+realdiscrt2)^-Half_Year</f>
        <v>8.2130433611517006E-2</v>
      </c>
      <c r="AX128" s="600">
        <f>NPV(realdiscrt2,AX$39:AX48)/(1+realdiscrt2)^-Half_Year</f>
        <v>9.4982948574976671</v>
      </c>
      <c r="AY128" s="615">
        <f>NPV(realdiscrt2,AY$39:AY48)/(1+realdiscrt2)^-Half_Year</f>
        <v>177.72693006546405</v>
      </c>
      <c r="AZ128" s="607">
        <f>NPV(realdiscrt2,AZ$39:AZ48)/(1+realdiscrt2)^-Half_Year</f>
        <v>0.41686289843481222</v>
      </c>
      <c r="BA128" s="614">
        <f>NPV(realdiscrt2,BA$39:BA48)/(1+realdiscrt2)^-Half_Year</f>
        <v>0.42574712643613194</v>
      </c>
      <c r="BB128" s="614">
        <f>NPV(realdiscrt2,BB$39:BB48)/(1+realdiscrt2)^-Half_Year</f>
        <v>0.4060935772315703</v>
      </c>
      <c r="BC128" s="610">
        <f>NPV(realdiscrt2,BC$39:BC48)/(1+realdiscrt2)^-Half_Year</f>
        <v>0.40867410504977353</v>
      </c>
    </row>
    <row r="129" spans="1:55" s="325" customFormat="1" ht="14.25">
      <c r="A129" s="602">
        <f t="shared" si="95"/>
        <v>11</v>
      </c>
      <c r="B129" s="603">
        <f t="shared" si="94"/>
        <v>2032</v>
      </c>
      <c r="C129" s="604">
        <f>NPV(realdiscrt2,C$39:C49)/(1+realdiscrt2)^-Half_Year</f>
        <v>0.77077800987812062</v>
      </c>
      <c r="D129" s="605">
        <f>NPV(realdiscrt2,D$39:D49)/(1+realdiscrt2)^-Half_Year</f>
        <v>0.71512839935192452</v>
      </c>
      <c r="E129" s="605">
        <f>NPV(realdiscrt2,E$39:E49)/(1+realdiscrt2)^-Half_Year</f>
        <v>0.61990367974286575</v>
      </c>
      <c r="F129" s="606">
        <f>NPV(realdiscrt2,F$39:F49)/(1+realdiscrt2)^-Half_Year</f>
        <v>0.53863848202793696</v>
      </c>
      <c r="G129" s="604">
        <f>NPV(realdiscrt2,G$39:G49)/(1+realdiscrt2)^-Half_Year</f>
        <v>5.134682057434517E-2</v>
      </c>
      <c r="H129" s="605">
        <f>NPV(realdiscrt2,H$39:H49)/(1+realdiscrt2)^-Half_Year</f>
        <v>3.7682490277649534E-2</v>
      </c>
      <c r="I129" s="605">
        <f>NPV(realdiscrt2,I$39:I49)/(1+realdiscrt2)^-Half_Year</f>
        <v>3.8297684195877736E-2</v>
      </c>
      <c r="J129" s="605">
        <f>NPV(realdiscrt2,J$39:J49)/(1+realdiscrt2)^-Half_Year</f>
        <v>2.584220743248233E-2</v>
      </c>
      <c r="K129" s="607">
        <f>NPV(realdiscrt2,K$39:K49)/(1+realdiscrt2)^-Half_Year</f>
        <v>1.4925698465308753E-2</v>
      </c>
      <c r="L129" s="1321">
        <f>NPV(realdiscrt2,L$39:L49)/(1+realdiscrt2)^-Half_Year</f>
        <v>863.23091376540913</v>
      </c>
      <c r="M129" s="609">
        <f>NPV(realdiscrt2,M$39:M49)/(1+realdiscrt2)^-Half_Year</f>
        <v>874.45751405538158</v>
      </c>
      <c r="N129" s="609">
        <f>NPV(realdiscrt2,N$39:N49)/(1+realdiscrt2)^-Half_Year</f>
        <v>874.45751405538158</v>
      </c>
      <c r="O129" s="612">
        <f>NPV(realdiscrt2,O$39:O49)/(1+realdiscrt2)^-Half_Year</f>
        <v>0</v>
      </c>
      <c r="P129" s="782">
        <f t="shared" si="92"/>
        <v>0</v>
      </c>
      <c r="Q129" s="782">
        <f t="shared" si="92"/>
        <v>112.51556471805361</v>
      </c>
      <c r="R129" s="1316">
        <f t="shared" si="93"/>
        <v>112.51556471805361</v>
      </c>
      <c r="S129" s="595">
        <f>NPV(realdiscrt2,S$39:S49)/(1+realdiscrt2)^-Half_Year</f>
        <v>0</v>
      </c>
      <c r="T129" s="595">
        <f>NPV(realdiscrt2,T$39:T49)/(1+realdiscrt2)^-Half_Year</f>
        <v>0</v>
      </c>
      <c r="U129" s="610">
        <f>NPV(realdiscrt2,U$39:U49)/(1+realdiscrt2)^-Half_Year</f>
        <v>0</v>
      </c>
      <c r="V129" s="611">
        <f>NPV(realdiscrt2,V$39:V49)/(1+realdiscrt2)^-Half_Year</f>
        <v>1029.3489356769828</v>
      </c>
      <c r="W129" s="609">
        <f>NPV(realdiscrt2,W$39:W49)/(1+realdiscrt2)^-Half_Year</f>
        <v>0</v>
      </c>
      <c r="X129" s="612">
        <f>NPV(realdiscrt2,X$39:X49)/(1+realdiscrt2)^-Half_Year</f>
        <v>891.7133731267362</v>
      </c>
      <c r="Y129" s="608">
        <f>NPV(realdiscrt2,Y$39:Y49)/(1+realdiscrt2)^-Half_Year</f>
        <v>69.344742449938366</v>
      </c>
      <c r="Z129" s="609">
        <f>NPV(realdiscrt2,Z$39:Z49)/(1+realdiscrt2)^-Half_Year</f>
        <v>87.676212721296054</v>
      </c>
      <c r="AA129" s="609">
        <f>NPV(realdiscrt2,AA$39:AA49)/(1+realdiscrt2)^-Half_Year</f>
        <v>100.44832614470381</v>
      </c>
      <c r="AB129" s="609">
        <f>NPV(realdiscrt2,AB$39:AB49)/(1+realdiscrt2)^-Half_Year</f>
        <v>94.467505758365832</v>
      </c>
      <c r="AC129" s="609">
        <f>NPV(realdiscrt2,AC$39:AC49)/(1+realdiscrt2)^-Half_Year</f>
        <v>76.835199032854689</v>
      </c>
      <c r="AD129" s="609">
        <f>NPV(realdiscrt2,AD$39:AD49)/(1+realdiscrt2)^-Half_Year</f>
        <v>90.099340271705501</v>
      </c>
      <c r="AE129" s="612">
        <f>NPV(realdiscrt2,AE$39:AE49)/(1+realdiscrt2)^-Half_Year</f>
        <v>84.302910550327653</v>
      </c>
      <c r="AF129" s="613">
        <f>NPV(realdiscrt2,AF$39:AF49)/(1+realdiscrt2)^-Half_Year</f>
        <v>7.7943379583826633E-2</v>
      </c>
      <c r="AG129" s="607">
        <f>NPV(realdiscrt2,AG$39:AG49)/(1+realdiscrt2)^-Half_Year</f>
        <v>2.7293037689193205</v>
      </c>
      <c r="AH129" s="614">
        <f>NPV(realdiscrt2,AH$39:AH49)/(1+realdiscrt2)^-Half_Year</f>
        <v>2.7293037689193205</v>
      </c>
      <c r="AI129" s="614">
        <f>NPV(realdiscrt2,AI$39:AI49)/(1+realdiscrt2)^-Half_Year</f>
        <v>5.0254531354679273</v>
      </c>
      <c r="AJ129" s="614">
        <f>NPV(realdiscrt2,AJ$39:AJ49)/(1+realdiscrt2)^-Half_Year</f>
        <v>4.2218008571759169</v>
      </c>
      <c r="AK129" s="614">
        <f>NPV(realdiscrt2,AK$39:AK49)/(1+realdiscrt2)^-Half_Year</f>
        <v>2.7293037689193205</v>
      </c>
      <c r="AL129" s="614">
        <f>NPV(realdiscrt2,AL$39:AL49)/(1+realdiscrt2)^-Half_Year</f>
        <v>5.0254531354679273</v>
      </c>
      <c r="AM129" s="614">
        <f>NPV(realdiscrt2,AM$39:AM49)/(1+realdiscrt2)^-Half_Year</f>
        <v>4.0220358622861871</v>
      </c>
      <c r="AN129" s="594">
        <f>NPV(realdiscrt2,AN$39:AN49)/(1+realdiscrt2)^-Half_Year</f>
        <v>262.5510571302861</v>
      </c>
      <c r="AO129" s="595">
        <f>NPV(realdiscrt2,AO$39:AO49)/(1+realdiscrt2)^-Half_Year</f>
        <v>218.96856809126379</v>
      </c>
      <c r="AP129" s="325">
        <f>NPV(realdiscrt2,AP$39:AP49)/(1+realdiscrt2)^-Half_Year</f>
        <v>225.17487365782088</v>
      </c>
      <c r="AQ129" s="610">
        <f>NPV(realdiscrt2,AQ$39:AQ49)/(1+realdiscrt2)^-Half_Year</f>
        <v>0.13088590247899723</v>
      </c>
      <c r="AR129" s="595">
        <f>NPV(realdiscrt2,AR$39:AR49)/(1+realdiscrt2)^-Half_Year</f>
        <v>235.42865365146071</v>
      </c>
      <c r="AS129" s="612">
        <f>NPV(realdiscrt2,AS$39:AS49)/(1+realdiscrt2)^-Half_Year</f>
        <v>362.85670391291853</v>
      </c>
      <c r="AT129" s="594">
        <f>NPV(realdiscrt2,AT$39:AT49)/(1+realdiscrt2)^-Half_Year</f>
        <v>158.76412183382772</v>
      </c>
      <c r="AU129" s="609">
        <f>NPV(realdiscrt2,AU$39:AU49)/(1+realdiscrt2)^-Half_Year</f>
        <v>255.86643970209846</v>
      </c>
      <c r="AV129" s="608">
        <f>NPV(realdiscrt2,AV$39:AV49)/(1+realdiscrt2)^-Half_Year</f>
        <v>8.9726746862591078E-2</v>
      </c>
      <c r="AW129" s="612">
        <f>NPV(realdiscrt2,AW$39:AW49)/(1+realdiscrt2)^-Half_Year</f>
        <v>8.9726746862591078E-2</v>
      </c>
      <c r="AX129" s="600">
        <f>NPV(realdiscrt2,AX$39:AX49)/(1+realdiscrt2)^-Half_Year</f>
        <v>10.376800180261483</v>
      </c>
      <c r="AY129" s="615">
        <f>NPV(realdiscrt2,AY$39:AY49)/(1+realdiscrt2)^-Half_Year</f>
        <v>201.40675886298055</v>
      </c>
      <c r="AZ129" s="607">
        <f>NPV(realdiscrt2,AZ$39:AZ49)/(1+realdiscrt2)^-Half_Year</f>
        <v>0.45339774165307484</v>
      </c>
      <c r="BA129" s="614">
        <f>NPV(realdiscrt2,BA$39:BA49)/(1+realdiscrt2)^-Half_Year</f>
        <v>0.46306060425671158</v>
      </c>
      <c r="BB129" s="614">
        <f>NPV(realdiscrt2,BB$39:BB49)/(1+realdiscrt2)^-Half_Year</f>
        <v>0.44168457185307636</v>
      </c>
      <c r="BC129" s="610">
        <f>NPV(realdiscrt2,BC$39:BC49)/(1+realdiscrt2)^-Half_Year</f>
        <v>0.44449126318837945</v>
      </c>
    </row>
    <row r="130" spans="1:55" s="325" customFormat="1" ht="14.25">
      <c r="A130" s="602">
        <f t="shared" si="95"/>
        <v>12</v>
      </c>
      <c r="B130" s="603">
        <f t="shared" si="94"/>
        <v>2033</v>
      </c>
      <c r="C130" s="604">
        <f>NPV(realdiscrt2,C$39:C50)/(1+realdiscrt2)^-Half_Year</f>
        <v>0.83822447508161857</v>
      </c>
      <c r="D130" s="605">
        <f>NPV(realdiscrt2,D$39:D50)/(1+realdiscrt2)^-Half_Year</f>
        <v>0.77478172726708538</v>
      </c>
      <c r="E130" s="605">
        <f>NPV(realdiscrt2,E$39:E50)/(1+realdiscrt2)^-Half_Year</f>
        <v>0.67309467541155121</v>
      </c>
      <c r="F130" s="606">
        <f>NPV(realdiscrt2,F$39:F50)/(1+realdiscrt2)^-Half_Year</f>
        <v>0.58267395002588285</v>
      </c>
      <c r="G130" s="604">
        <f>NPV(realdiscrt2,G$39:G50)/(1+realdiscrt2)^-Half_Year</f>
        <v>5.134682057434517E-2</v>
      </c>
      <c r="H130" s="605">
        <f>NPV(realdiscrt2,H$39:H50)/(1+realdiscrt2)^-Half_Year</f>
        <v>3.7682490277649534E-2</v>
      </c>
      <c r="I130" s="605">
        <f>NPV(realdiscrt2,I$39:I50)/(1+realdiscrt2)^-Half_Year</f>
        <v>3.8297684195877736E-2</v>
      </c>
      <c r="J130" s="605">
        <f>NPV(realdiscrt2,J$39:J50)/(1+realdiscrt2)^-Half_Year</f>
        <v>2.584220743248233E-2</v>
      </c>
      <c r="K130" s="607">
        <f>NPV(realdiscrt2,K$39:K50)/(1+realdiscrt2)^-Half_Year</f>
        <v>1.5021367414867391E-2</v>
      </c>
      <c r="L130" s="1321">
        <f>NPV(realdiscrt2,L$39:L50)/(1+realdiscrt2)^-Half_Year</f>
        <v>945.21994457789117</v>
      </c>
      <c r="M130" s="609">
        <f>NPV(realdiscrt2,M$39:M50)/(1+realdiscrt2)^-Half_Year</f>
        <v>979.26665020073904</v>
      </c>
      <c r="N130" s="609">
        <f>NPV(realdiscrt2,N$39:N50)/(1+realdiscrt2)^-Half_Year</f>
        <v>979.26665020073904</v>
      </c>
      <c r="O130" s="612">
        <f>NPV(realdiscrt2,O$39:O50)/(1+realdiscrt2)^-Half_Year</f>
        <v>0</v>
      </c>
      <c r="P130" s="782">
        <f t="shared" si="92"/>
        <v>0</v>
      </c>
      <c r="Q130" s="782">
        <f t="shared" si="92"/>
        <v>62.007095080732277</v>
      </c>
      <c r="R130" s="1316">
        <f t="shared" si="93"/>
        <v>62.007095080732277</v>
      </c>
      <c r="S130" s="595">
        <f>NPV(realdiscrt2,S$39:S50)/(1+realdiscrt2)^-Half_Year</f>
        <v>0</v>
      </c>
      <c r="T130" s="595">
        <f>NPV(realdiscrt2,T$39:T50)/(1+realdiscrt2)^-Half_Year</f>
        <v>0</v>
      </c>
      <c r="U130" s="610">
        <f>NPV(realdiscrt2,U$39:U50)/(1+realdiscrt2)^-Half_Year</f>
        <v>0</v>
      </c>
      <c r="V130" s="611">
        <f>NPV(realdiscrt2,V$39:V50)/(1+realdiscrt2)^-Half_Year</f>
        <v>1115.2787632298664</v>
      </c>
      <c r="W130" s="609">
        <f>NPV(realdiscrt2,W$39:W50)/(1+realdiscrt2)^-Half_Year</f>
        <v>0</v>
      </c>
      <c r="X130" s="612">
        <f>NPV(realdiscrt2,X$39:X50)/(1+realdiscrt2)^-Half_Year</f>
        <v>966.15341354800114</v>
      </c>
      <c r="Y130" s="608">
        <f>NPV(realdiscrt2,Y$39:Y50)/(1+realdiscrt2)^-Half_Year</f>
        <v>75.457937159108155</v>
      </c>
      <c r="Z130" s="609">
        <f>NPV(realdiscrt2,Z$39:Z50)/(1+realdiscrt2)^-Half_Year</f>
        <v>95.302498517455092</v>
      </c>
      <c r="AA130" s="609">
        <f>NPV(realdiscrt2,AA$39:AA50)/(1+realdiscrt2)^-Half_Year</f>
        <v>109.13640286714595</v>
      </c>
      <c r="AB130" s="609">
        <f>NPV(realdiscrt2,AB$39:AB50)/(1+realdiscrt2)^-Half_Year</f>
        <v>102.66043512169102</v>
      </c>
      <c r="AC130" s="609">
        <f>NPV(realdiscrt2,AC$39:AC50)/(1+realdiscrt2)^-Half_Year</f>
        <v>83.567740603407302</v>
      </c>
      <c r="AD130" s="609">
        <f>NPV(realdiscrt2,AD$39:AD50)/(1+realdiscrt2)^-Half_Year</f>
        <v>97.928246075523788</v>
      </c>
      <c r="AE130" s="612">
        <f>NPV(realdiscrt2,AE$39:AE50)/(1+realdiscrt2)^-Half_Year</f>
        <v>91.65270518420887</v>
      </c>
      <c r="AF130" s="613">
        <f>NPV(realdiscrt2,AF$39:AF50)/(1+realdiscrt2)^-Half_Year</f>
        <v>8.7084850600090843E-2</v>
      </c>
      <c r="AG130" s="607">
        <f>NPV(realdiscrt2,AG$39:AG50)/(1+realdiscrt2)^-Half_Year</f>
        <v>2.7384452399355848</v>
      </c>
      <c r="AH130" s="614">
        <f>NPV(realdiscrt2,AH$39:AH50)/(1+realdiscrt2)^-Half_Year</f>
        <v>2.7384452399355848</v>
      </c>
      <c r="AI130" s="614">
        <f>NPV(realdiscrt2,AI$39:AI50)/(1+realdiscrt2)^-Half_Year</f>
        <v>5.0254531354679273</v>
      </c>
      <c r="AJ130" s="614">
        <f>NPV(realdiscrt2,AJ$39:AJ50)/(1+realdiscrt2)^-Half_Year</f>
        <v>4.2250003720316096</v>
      </c>
      <c r="AK130" s="614">
        <f>NPV(realdiscrt2,AK$39:AK50)/(1+realdiscrt2)^-Half_Year</f>
        <v>2.7384452399355848</v>
      </c>
      <c r="AL130" s="614">
        <f>NPV(realdiscrt2,AL$39:AL50)/(1+realdiscrt2)^-Half_Year</f>
        <v>5.0254531354679273</v>
      </c>
      <c r="AM130" s="614">
        <f>NPV(realdiscrt2,AM$39:AM50)/(1+realdiscrt2)^-Half_Year</f>
        <v>4.0260306851202943</v>
      </c>
      <c r="AN130" s="594">
        <f>NPV(realdiscrt2,AN$39:AN50)/(1+realdiscrt2)^-Half_Year</f>
        <v>286.15626142746783</v>
      </c>
      <c r="AO130" s="595">
        <f>NPV(realdiscrt2,AO$39:AO50)/(1+realdiscrt2)^-Half_Year</f>
        <v>238.84623745577397</v>
      </c>
      <c r="AP130" s="325">
        <f>NPV(realdiscrt2,AP$39:AP50)/(1+realdiscrt2)^-Half_Year</f>
        <v>245.69736460600424</v>
      </c>
      <c r="AQ130" s="610">
        <f>NPV(realdiscrt2,AQ$39:AQ50)/(1+realdiscrt2)^-Half_Year</f>
        <v>0.14192035572745168</v>
      </c>
      <c r="AR130" s="595">
        <f>NPV(realdiscrt2,AR$39:AR50)/(1+realdiscrt2)^-Half_Year</f>
        <v>256.59536129147386</v>
      </c>
      <c r="AS130" s="612">
        <f>NPV(realdiscrt2,AS$39:AS50)/(1+realdiscrt2)^-Half_Year</f>
        <v>394.82207482610227</v>
      </c>
      <c r="AT130" s="594">
        <f>NPV(realdiscrt2,AT$39:AT50)/(1+realdiscrt2)^-Half_Year</f>
        <v>173.03814370185029</v>
      </c>
      <c r="AU130" s="609">
        <f>NPV(realdiscrt2,AU$39:AU50)/(1+realdiscrt2)^-Half_Year</f>
        <v>278.87064942791733</v>
      </c>
      <c r="AV130" s="608">
        <f>NPV(realdiscrt2,AV$39:AV50)/(1+realdiscrt2)^-Half_Year</f>
        <v>9.7217116374376536E-2</v>
      </c>
      <c r="AW130" s="612">
        <f>NPV(realdiscrt2,AW$39:AW50)/(1+realdiscrt2)^-Half_Year</f>
        <v>9.7217116374376536E-2</v>
      </c>
      <c r="AX130" s="600">
        <f>NPV(realdiscrt2,AX$39:AX50)/(1+realdiscrt2)^-Half_Year</f>
        <v>11.243053225400313</v>
      </c>
      <c r="AY130" s="615">
        <f>NPV(realdiscrt2,AY$39:AY50)/(1+realdiscrt2)^-Half_Year</f>
        <v>226.34319560914454</v>
      </c>
      <c r="AZ130" s="607">
        <f>NPV(realdiscrt2,AZ$39:AZ50)/(1+realdiscrt2)^-Half_Year</f>
        <v>0.48902734321205599</v>
      </c>
      <c r="BA130" s="614">
        <f>NPV(realdiscrt2,BA$39:BA50)/(1+realdiscrt2)^-Half_Year</f>
        <v>0.49944954780807127</v>
      </c>
      <c r="BB130" s="614">
        <f>NPV(realdiscrt2,BB$39:BB50)/(1+realdiscrt2)^-Half_Year</f>
        <v>0.47639371101309397</v>
      </c>
      <c r="BC130" s="610">
        <f>NPV(realdiscrt2,BC$39:BC50)/(1+realdiscrt2)^-Half_Year</f>
        <v>0.47942096210154289</v>
      </c>
    </row>
    <row r="131" spans="1:55" s="325" customFormat="1" ht="14.25">
      <c r="A131" s="602">
        <f t="shared" si="95"/>
        <v>13</v>
      </c>
      <c r="B131" s="603">
        <f t="shared" si="94"/>
        <v>2034</v>
      </c>
      <c r="C131" s="604">
        <f>NPV(realdiscrt2,C$39:C51)/(1+realdiscrt2)^-Half_Year</f>
        <v>0.9040088359560271</v>
      </c>
      <c r="D131" s="605">
        <f>NPV(realdiscrt2,D$39:D51)/(1+realdiscrt2)^-Half_Year</f>
        <v>0.83045215213893286</v>
      </c>
      <c r="E131" s="605">
        <f>NPV(realdiscrt2,E$39:E51)/(1+realdiscrt2)^-Half_Year</f>
        <v>0.72871799767860834</v>
      </c>
      <c r="F131" s="606">
        <f>NPV(realdiscrt2,F$39:F51)/(1+realdiscrt2)^-Half_Year</f>
        <v>0.62706773427818718</v>
      </c>
      <c r="G131" s="604">
        <f>NPV(realdiscrt2,G$39:G51)/(1+realdiscrt2)^-Half_Year</f>
        <v>5.134682057434517E-2</v>
      </c>
      <c r="H131" s="605">
        <f>NPV(realdiscrt2,H$39:H51)/(1+realdiscrt2)^-Half_Year</f>
        <v>3.7682490277649534E-2</v>
      </c>
      <c r="I131" s="605">
        <f>NPV(realdiscrt2,I$39:I51)/(1+realdiscrt2)^-Half_Year</f>
        <v>3.8297684195877736E-2</v>
      </c>
      <c r="J131" s="605">
        <f>NPV(realdiscrt2,J$39:J51)/(1+realdiscrt2)^-Half_Year</f>
        <v>2.584220743248233E-2</v>
      </c>
      <c r="K131" s="607">
        <f>NPV(realdiscrt2,K$39:K51)/(1+realdiscrt2)^-Half_Year</f>
        <v>1.5115702095299015E-2</v>
      </c>
      <c r="L131" s="1321">
        <f>NPV(realdiscrt2,L$39:L51)/(1+realdiscrt2)^-Half_Year</f>
        <v>1024.7068286173806</v>
      </c>
      <c r="M131" s="609">
        <f>NPV(realdiscrt2,M$39:M51)/(1+realdiscrt2)^-Half_Year</f>
        <v>1079.4817041692984</v>
      </c>
      <c r="N131" s="609">
        <f>NPV(realdiscrt2,N$39:N51)/(1+realdiscrt2)^-Half_Year</f>
        <v>1079.4817041692984</v>
      </c>
      <c r="O131" s="612">
        <f>NPV(realdiscrt2,O$39:O51)/(1+realdiscrt2)^-Half_Year</f>
        <v>0</v>
      </c>
      <c r="P131" s="782">
        <f t="shared" si="92"/>
        <v>0</v>
      </c>
      <c r="Q131" s="782">
        <f t="shared" si="92"/>
        <v>35.793250259526978</v>
      </c>
      <c r="R131" s="1316">
        <f t="shared" si="93"/>
        <v>35.793250259526978</v>
      </c>
      <c r="S131" s="595">
        <f>NPV(realdiscrt2,S$39:S51)/(1+realdiscrt2)^-Half_Year</f>
        <v>0</v>
      </c>
      <c r="T131" s="595">
        <f>NPV(realdiscrt2,T$39:T51)/(1+realdiscrt2)^-Half_Year</f>
        <v>0</v>
      </c>
      <c r="U131" s="610">
        <f>NPV(realdiscrt2,U$39:U51)/(1+realdiscrt2)^-Half_Year</f>
        <v>0</v>
      </c>
      <c r="V131" s="611">
        <f>NPV(realdiscrt2,V$39:V51)/(1+realdiscrt2)^-Half_Year</f>
        <v>1200.0101505728114</v>
      </c>
      <c r="W131" s="609">
        <f>NPV(realdiscrt2,W$39:W51)/(1+realdiscrt2)^-Half_Year</f>
        <v>0</v>
      </c>
      <c r="X131" s="612">
        <f>NPV(realdiscrt2,X$39:X51)/(1+realdiscrt2)^-Half_Year</f>
        <v>1039.555258732398</v>
      </c>
      <c r="Y131" s="608">
        <f>NPV(realdiscrt2,Y$39:Y51)/(1+realdiscrt2)^-Half_Year</f>
        <v>81.40864498762501</v>
      </c>
      <c r="Z131" s="609">
        <f>NPV(realdiscrt2,Z$39:Z51)/(1+realdiscrt2)^-Half_Year</f>
        <v>102.73884436965477</v>
      </c>
      <c r="AA131" s="609">
        <f>NPV(realdiscrt2,AA$39:AA51)/(1+realdiscrt2)^-Half_Year</f>
        <v>117.6180716543556</v>
      </c>
      <c r="AB131" s="609">
        <f>NPV(realdiscrt2,AB$39:AB51)/(1+realdiscrt2)^-Half_Year</f>
        <v>110.65539561271916</v>
      </c>
      <c r="AC131" s="609">
        <f>NPV(realdiscrt2,AC$39:AC51)/(1+realdiscrt2)^-Half_Year</f>
        <v>90.126499018382475</v>
      </c>
      <c r="AD131" s="609">
        <f>NPV(realdiscrt2,AD$39:AD51)/(1+realdiscrt2)^-Half_Year</f>
        <v>105.56441800310365</v>
      </c>
      <c r="AE131" s="612">
        <f>NPV(realdiscrt2,AE$39:AE51)/(1+realdiscrt2)^-Half_Year</f>
        <v>98.818047406780479</v>
      </c>
      <c r="AF131" s="613">
        <f>NPV(realdiscrt2,AF$39:AF51)/(1+realdiscrt2)^-Half_Year</f>
        <v>9.6098827976999882E-2</v>
      </c>
      <c r="AG131" s="607">
        <f>NPV(realdiscrt2,AG$39:AG51)/(1+realdiscrt2)^-Half_Year</f>
        <v>2.7384452399355848</v>
      </c>
      <c r="AH131" s="614">
        <f>NPV(realdiscrt2,AH$39:AH51)/(1+realdiscrt2)^-Half_Year</f>
        <v>2.7384452399355848</v>
      </c>
      <c r="AI131" s="614">
        <f>NPV(realdiscrt2,AI$39:AI51)/(1+realdiscrt2)^-Half_Year</f>
        <v>5.0254531354679273</v>
      </c>
      <c r="AJ131" s="614">
        <f>NPV(realdiscrt2,AJ$39:AJ51)/(1+realdiscrt2)^-Half_Year</f>
        <v>4.2250003720316096</v>
      </c>
      <c r="AK131" s="614">
        <f>NPV(realdiscrt2,AK$39:AK51)/(1+realdiscrt2)^-Half_Year</f>
        <v>2.7384452399355848</v>
      </c>
      <c r="AL131" s="614">
        <f>NPV(realdiscrt2,AL$39:AL51)/(1+realdiscrt2)^-Half_Year</f>
        <v>5.0254531354679273</v>
      </c>
      <c r="AM131" s="614">
        <f>NPV(realdiscrt2,AM$39:AM51)/(1+realdiscrt2)^-Half_Year</f>
        <v>4.0260306851202943</v>
      </c>
      <c r="AN131" s="594">
        <f>NPV(realdiscrt2,AN$39:AN51)/(1+realdiscrt2)^-Half_Year</f>
        <v>309.71116172452298</v>
      </c>
      <c r="AO131" s="595">
        <f>NPV(realdiscrt2,AO$39:AO51)/(1+realdiscrt2)^-Half_Year</f>
        <v>258.69563810328725</v>
      </c>
      <c r="AP131" s="325">
        <f>NPV(realdiscrt2,AP$39:AP51)/(1+realdiscrt2)^-Half_Year</f>
        <v>266.20185845117305</v>
      </c>
      <c r="AQ131" s="610">
        <f>NPV(realdiscrt2,AQ$39:AQ51)/(1+realdiscrt2)^-Half_Year</f>
        <v>0.15280091442212621</v>
      </c>
      <c r="AR131" s="595">
        <f>NPV(realdiscrt2,AR$39:AR51)/(1+realdiscrt2)^-Half_Year</f>
        <v>277.71696150304052</v>
      </c>
      <c r="AS131" s="612">
        <f>NPV(realdiscrt2,AS$39:AS51)/(1+realdiscrt2)^-Half_Year</f>
        <v>426.67684203538346</v>
      </c>
      <c r="AT131" s="594">
        <f>NPV(realdiscrt2,AT$39:AT51)/(1+realdiscrt2)^-Half_Year</f>
        <v>187.28174683725717</v>
      </c>
      <c r="AU131" s="609">
        <f>NPV(realdiscrt2,AU$39:AU51)/(1+realdiscrt2)^-Half_Year</f>
        <v>301.82583590638831</v>
      </c>
      <c r="AV131" s="608">
        <f>NPV(realdiscrt2,AV$39:AV51)/(1+realdiscrt2)^-Half_Year</f>
        <v>0.10460301971573129</v>
      </c>
      <c r="AW131" s="612">
        <f>NPV(realdiscrt2,AW$39:AW51)/(1+realdiscrt2)^-Half_Year</f>
        <v>0.10460301971573129</v>
      </c>
      <c r="AX131" s="600">
        <f>NPV(realdiscrt2,AX$39:AX51)/(1+realdiscrt2)^-Half_Year</f>
        <v>12.097224872137208</v>
      </c>
      <c r="AY131" s="615">
        <f>NPV(realdiscrt2,AY$39:AY51)/(1+realdiscrt2)^-Half_Year</f>
        <v>252.38481654925377</v>
      </c>
      <c r="AZ131" s="607">
        <f>NPV(realdiscrt2,AZ$39:AZ51)/(1+realdiscrt2)^-Half_Year</f>
        <v>0.52378843250849794</v>
      </c>
      <c r="BA131" s="614">
        <f>NPV(realdiscrt2,BA$39:BA51)/(1+realdiscrt2)^-Half_Year</f>
        <v>0.53495146926790171</v>
      </c>
      <c r="BB131" s="614">
        <f>NPV(realdiscrt2,BB$39:BB51)/(1+realdiscrt2)^-Half_Year</f>
        <v>0.51025677523363322</v>
      </c>
      <c r="BC131" s="610">
        <f>NPV(realdiscrt2,BC$39:BC51)/(1+realdiscrt2)^-Half_Year</f>
        <v>0.51349920967914586</v>
      </c>
    </row>
    <row r="132" spans="1:55" s="325" customFormat="1" ht="14.25">
      <c r="A132" s="602">
        <f t="shared" si="95"/>
        <v>14</v>
      </c>
      <c r="B132" s="603">
        <f t="shared" si="94"/>
        <v>2035</v>
      </c>
      <c r="C132" s="604">
        <f>NPV(realdiscrt2,C$39:C52)/(1+realdiscrt2)^-Half_Year</f>
        <v>0.97106925083343154</v>
      </c>
      <c r="D132" s="605">
        <f>NPV(realdiscrt2,D$39:D52)/(1+realdiscrt2)^-Half_Year</f>
        <v>0.89063739035630396</v>
      </c>
      <c r="E132" s="605">
        <f>NPV(realdiscrt2,E$39:E52)/(1+realdiscrt2)^-Half_Year</f>
        <v>0.78959908175702864</v>
      </c>
      <c r="F132" s="606">
        <f>NPV(realdiscrt2,F$39:F52)/(1+realdiscrt2)^-Half_Year</f>
        <v>0.67913174063514126</v>
      </c>
      <c r="G132" s="604">
        <f>NPV(realdiscrt2,G$39:G52)/(1+realdiscrt2)^-Half_Year</f>
        <v>5.134682057434517E-2</v>
      </c>
      <c r="H132" s="605">
        <f>NPV(realdiscrt2,H$39:H52)/(1+realdiscrt2)^-Half_Year</f>
        <v>3.7682490277649534E-2</v>
      </c>
      <c r="I132" s="605">
        <f>NPV(realdiscrt2,I$39:I52)/(1+realdiscrt2)^-Half_Year</f>
        <v>3.8297684195877736E-2</v>
      </c>
      <c r="J132" s="605">
        <f>NPV(realdiscrt2,J$39:J52)/(1+realdiscrt2)^-Half_Year</f>
        <v>2.584220743248233E-2</v>
      </c>
      <c r="K132" s="607">
        <f>NPV(realdiscrt2,K$39:K52)/(1+realdiscrt2)^-Half_Year</f>
        <v>1.5208721115296531E-2</v>
      </c>
      <c r="L132" s="1321">
        <f>NPV(realdiscrt2,L$39:L52)/(1+realdiscrt2)^-Half_Year</f>
        <v>1108.4440057342949</v>
      </c>
      <c r="M132" s="609">
        <f>NPV(realdiscrt2,M$39:M52)/(1+realdiscrt2)^-Half_Year</f>
        <v>1184.779770813346</v>
      </c>
      <c r="N132" s="609">
        <f>NPV(realdiscrt2,N$39:N52)/(1+realdiscrt2)^-Half_Year</f>
        <v>1184.779770813346</v>
      </c>
      <c r="O132" s="612">
        <f>NPV(realdiscrt2,O$39:O52)/(1+realdiscrt2)^-Half_Year</f>
        <v>0</v>
      </c>
      <c r="P132" s="782">
        <f t="shared" si="92"/>
        <v>0</v>
      </c>
      <c r="Q132" s="782">
        <f t="shared" si="92"/>
        <v>16.827049792148518</v>
      </c>
      <c r="R132" s="1316">
        <f t="shared" si="93"/>
        <v>16.827049792148518</v>
      </c>
      <c r="S132" s="595">
        <f>NPV(realdiscrt2,S$39:S52)/(1+realdiscrt2)^-Half_Year</f>
        <v>0</v>
      </c>
      <c r="T132" s="595">
        <f>NPV(realdiscrt2,T$39:T52)/(1+realdiscrt2)^-Half_Year</f>
        <v>0</v>
      </c>
      <c r="U132" s="610">
        <f>NPV(realdiscrt2,U$39:U52)/(1+realdiscrt2)^-Half_Year</f>
        <v>0</v>
      </c>
      <c r="V132" s="611">
        <f>NPV(realdiscrt2,V$39:V52)/(1+realdiscrt2)^-Half_Year</f>
        <v>1283.5598120293271</v>
      </c>
      <c r="W132" s="609">
        <f>NPV(realdiscrt2,W$39:W52)/(1+realdiscrt2)^-Half_Year</f>
        <v>0</v>
      </c>
      <c r="X132" s="612">
        <f>NPV(realdiscrt2,X$39:X52)/(1+realdiscrt2)^-Half_Year</f>
        <v>1111.9333881098646</v>
      </c>
      <c r="Y132" s="608">
        <f>NPV(realdiscrt2,Y$39:Y52)/(1+realdiscrt2)^-Half_Year</f>
        <v>87.301819267775613</v>
      </c>
      <c r="Z132" s="609">
        <f>NPV(realdiscrt2,Z$39:Z52)/(1+realdiscrt2)^-Half_Year</f>
        <v>110.09370432908624</v>
      </c>
      <c r="AA132" s="609">
        <f>NPV(realdiscrt2,AA$39:AA52)/(1+realdiscrt2)^-Half_Year</f>
        <v>126.00283811477452</v>
      </c>
      <c r="AB132" s="609">
        <f>NPV(realdiscrt2,AB$39:AB52)/(1+realdiscrt2)^-Half_Year</f>
        <v>118.56101980787717</v>
      </c>
      <c r="AC132" s="609">
        <f>NPV(realdiscrt2,AC$39:AC52)/(1+realdiscrt2)^-Half_Year</f>
        <v>96.618039265953314</v>
      </c>
      <c r="AD132" s="609">
        <f>NPV(realdiscrt2,AD$39:AD52)/(1+realdiscrt2)^-Half_Year</f>
        <v>113.11636123186184</v>
      </c>
      <c r="AE132" s="612">
        <f>NPV(realdiscrt2,AE$39:AE52)/(1+realdiscrt2)^-Half_Year</f>
        <v>105.9065945327598</v>
      </c>
      <c r="AF132" s="613">
        <f>NPV(realdiscrt2,AF$39:AF52)/(1+realdiscrt2)^-Half_Year</f>
        <v>0.10498708983407601</v>
      </c>
      <c r="AG132" s="607">
        <f>NPV(realdiscrt2,AG$39:AG52)/(1+realdiscrt2)^-Half_Year</f>
        <v>2.7384452399355848</v>
      </c>
      <c r="AH132" s="614">
        <f>NPV(realdiscrt2,AH$39:AH52)/(1+realdiscrt2)^-Half_Year</f>
        <v>2.7384452399355848</v>
      </c>
      <c r="AI132" s="614">
        <f>NPV(realdiscrt2,AI$39:AI52)/(1+realdiscrt2)^-Half_Year</f>
        <v>5.0254531354679273</v>
      </c>
      <c r="AJ132" s="614">
        <f>NPV(realdiscrt2,AJ$39:AJ52)/(1+realdiscrt2)^-Half_Year</f>
        <v>4.2250003720316096</v>
      </c>
      <c r="AK132" s="614">
        <f>NPV(realdiscrt2,AK$39:AK52)/(1+realdiscrt2)^-Half_Year</f>
        <v>2.7384452399355848</v>
      </c>
      <c r="AL132" s="614">
        <f>NPV(realdiscrt2,AL$39:AL52)/(1+realdiscrt2)^-Half_Year</f>
        <v>5.0254531354679273</v>
      </c>
      <c r="AM132" s="614">
        <f>NPV(realdiscrt2,AM$39:AM52)/(1+realdiscrt2)^-Half_Year</f>
        <v>4.0260306851202943</v>
      </c>
      <c r="AN132" s="594">
        <f>NPV(realdiscrt2,AN$39:AN52)/(1+realdiscrt2)^-Half_Year</f>
        <v>333.1297351506754</v>
      </c>
      <c r="AO132" s="595">
        <f>NPV(realdiscrt2,AO$39:AO52)/(1+realdiscrt2)^-Half_Year</f>
        <v>278.4163000125821</v>
      </c>
      <c r="AP132" s="325">
        <f>NPV(realdiscrt2,AP$39:AP52)/(1+realdiscrt2)^-Half_Year</f>
        <v>286.57481679433505</v>
      </c>
      <c r="AQ132" s="610">
        <f>NPV(realdiscrt2,AQ$39:AQ52)/(1+realdiscrt2)^-Half_Year</f>
        <v>0.16352972488900092</v>
      </c>
      <c r="AR132" s="595">
        <f>NPV(realdiscrt2,AR$39:AR52)/(1+realdiscrt2)^-Half_Year</f>
        <v>298.7163178660241</v>
      </c>
      <c r="AS132" s="612">
        <f>NPV(realdiscrt2,AS$39:AS52)/(1+realdiscrt2)^-Half_Year</f>
        <v>458.23823857271401</v>
      </c>
      <c r="AT132" s="594">
        <f>NPV(realdiscrt2,AT$39:AT52)/(1+realdiscrt2)^-Half_Year</f>
        <v>201.44291337470173</v>
      </c>
      <c r="AU132" s="609">
        <f>NPV(realdiscrt2,AU$39:AU52)/(1+realdiscrt2)^-Half_Year</f>
        <v>324.64816643114551</v>
      </c>
      <c r="AV132" s="608">
        <f>NPV(realdiscrt2,AV$39:AV52)/(1+realdiscrt2)^-Half_Year</f>
        <v>0.11188591384825744</v>
      </c>
      <c r="AW132" s="612">
        <f>NPV(realdiscrt2,AW$39:AW52)/(1+realdiscrt2)^-Half_Year</f>
        <v>0.11188591384825744</v>
      </c>
      <c r="AX132" s="600">
        <f>NPV(realdiscrt2,AX$39:AX52)/(1+realdiscrt2)^-Half_Year</f>
        <v>12.939483616488618</v>
      </c>
      <c r="AY132" s="615">
        <f>NPV(realdiscrt2,AY$39:AY52)/(1+realdiscrt2)^-Half_Year</f>
        <v>279.60615168499839</v>
      </c>
      <c r="AZ132" s="607">
        <f>NPV(realdiscrt2,AZ$39:AZ52)/(1+realdiscrt2)^-Half_Year</f>
        <v>0.55771606054288825</v>
      </c>
      <c r="BA132" s="614">
        <f>NPV(realdiscrt2,BA$39:BA52)/(1+realdiscrt2)^-Half_Year</f>
        <v>0.56960216664747287</v>
      </c>
      <c r="BB132" s="614">
        <f>NPV(realdiscrt2,BB$39:BB52)/(1+realdiscrt2)^-Half_Year</f>
        <v>0.54330791000048084</v>
      </c>
      <c r="BC132" s="610">
        <f>NPV(realdiscrt2,BC$39:BC52)/(1+realdiscrt2)^-Half_Year</f>
        <v>0.5467603683849841</v>
      </c>
    </row>
    <row r="133" spans="1:55" s="325" customFormat="1" ht="14.25">
      <c r="A133" s="602">
        <f t="shared" si="95"/>
        <v>15</v>
      </c>
      <c r="B133" s="603">
        <f t="shared" si="94"/>
        <v>2036</v>
      </c>
      <c r="C133" s="604">
        <f>NPV(realdiscrt2,C$39:C53)/(1+realdiscrt2)^-Half_Year</f>
        <v>1.0386258946890141</v>
      </c>
      <c r="D133" s="605">
        <f>NPV(realdiscrt2,D$39:D53)/(1+realdiscrt2)^-Half_Year</f>
        <v>0.95057204844745236</v>
      </c>
      <c r="E133" s="605">
        <f>NPV(realdiscrt2,E$39:E53)/(1+realdiscrt2)^-Half_Year</f>
        <v>0.85281979595615642</v>
      </c>
      <c r="F133" s="606">
        <f>NPV(realdiscrt2,F$39:F53)/(1+realdiscrt2)^-Half_Year</f>
        <v>0.73284484329150079</v>
      </c>
      <c r="G133" s="604">
        <f>NPV(realdiscrt2,G$39:G53)/(1+realdiscrt2)^-Half_Year</f>
        <v>5.134682057434517E-2</v>
      </c>
      <c r="H133" s="605">
        <f>NPV(realdiscrt2,H$39:H53)/(1+realdiscrt2)^-Half_Year</f>
        <v>3.7682490277649534E-2</v>
      </c>
      <c r="I133" s="605">
        <f>NPV(realdiscrt2,I$39:I53)/(1+realdiscrt2)^-Half_Year</f>
        <v>3.8297684195877736E-2</v>
      </c>
      <c r="J133" s="605">
        <f>NPV(realdiscrt2,J$39:J53)/(1+realdiscrt2)^-Half_Year</f>
        <v>2.584220743248233E-2</v>
      </c>
      <c r="K133" s="607">
        <f>NPV(realdiscrt2,K$39:K53)/(1+realdiscrt2)^-Half_Year</f>
        <v>1.5300442824022412E-2</v>
      </c>
      <c r="L133" s="1321">
        <f>NPV(realdiscrt2,L$39:L53)/(1+realdiscrt2)^-Half_Year</f>
        <v>1192.3898710043898</v>
      </c>
      <c r="M133" s="609">
        <f>NPV(realdiscrt2,M$39:M53)/(1+realdiscrt2)^-Half_Year</f>
        <v>1290.271287956798</v>
      </c>
      <c r="N133" s="609">
        <f>NPV(realdiscrt2,N$39:N53)/(1+realdiscrt2)^-Half_Year</f>
        <v>1290.271287956798</v>
      </c>
      <c r="O133" s="612">
        <f>NPV(realdiscrt2,O$39:O53)/(1+realdiscrt2)^-Half_Year</f>
        <v>0</v>
      </c>
      <c r="P133" s="782">
        <f t="shared" si="92"/>
        <v>0</v>
      </c>
      <c r="Q133" s="782">
        <f t="shared" si="92"/>
        <v>4.0857388231490814</v>
      </c>
      <c r="R133" s="1316">
        <f t="shared" si="93"/>
        <v>4.0857388231490814</v>
      </c>
      <c r="S133" s="595">
        <f>NPV(realdiscrt2,S$39:S53)/(1+realdiscrt2)^-Half_Year</f>
        <v>0</v>
      </c>
      <c r="T133" s="595">
        <f>NPV(realdiscrt2,T$39:T53)/(1+realdiscrt2)^-Half_Year</f>
        <v>0</v>
      </c>
      <c r="U133" s="610">
        <f>NPV(realdiscrt2,U$39:U53)/(1+realdiscrt2)^-Half_Year</f>
        <v>0</v>
      </c>
      <c r="V133" s="611">
        <f>NPV(realdiscrt2,V$39:V53)/(1+realdiscrt2)^-Half_Year</f>
        <v>1365.9442288127445</v>
      </c>
      <c r="W133" s="609">
        <f>NPV(realdiscrt2,W$39:W53)/(1+realdiscrt2)^-Half_Year</f>
        <v>0</v>
      </c>
      <c r="X133" s="612">
        <f>NPV(realdiscrt2,X$39:X53)/(1+realdiscrt2)^-Half_Year</f>
        <v>1183.3020791696215</v>
      </c>
      <c r="Y133" s="608">
        <f>NPV(realdiscrt2,Y$39:Y53)/(1+realdiscrt2)^-Half_Year</f>
        <v>93.148843501513625</v>
      </c>
      <c r="Z133" s="609">
        <f>NPV(realdiscrt2,Z$39:Z53)/(1+realdiscrt2)^-Half_Year</f>
        <v>117.37902582039337</v>
      </c>
      <c r="AA133" s="609">
        <f>NPV(realdiscrt2,AA$39:AA53)/(1+realdiscrt2)^-Half_Year</f>
        <v>134.30289613657965</v>
      </c>
      <c r="AB133" s="609">
        <f>NPV(realdiscrt2,AB$39:AB53)/(1+realdiscrt2)^-Half_Year</f>
        <v>126.3893181989079</v>
      </c>
      <c r="AC133" s="609">
        <f>NPV(realdiscrt2,AC$39:AC53)/(1+realdiscrt2)^-Half_Year</f>
        <v>103.0539723028638</v>
      </c>
      <c r="AD133" s="609">
        <f>NPV(realdiscrt2,AD$39:AD53)/(1+realdiscrt2)^-Half_Year</f>
        <v>120.59604270334556</v>
      </c>
      <c r="AE133" s="612">
        <f>NPV(realdiscrt2,AE$39:AE53)/(1+realdiscrt2)^-Half_Year</f>
        <v>112.93014845326132</v>
      </c>
      <c r="AF133" s="613">
        <f>NPV(realdiscrt2,AF$39:AF53)/(1+realdiscrt2)^-Half_Year</f>
        <v>0.11375138949188639</v>
      </c>
      <c r="AG133" s="607">
        <f>NPV(realdiscrt2,AG$39:AG53)/(1+realdiscrt2)^-Half_Year</f>
        <v>2.7384452399355848</v>
      </c>
      <c r="AH133" s="614">
        <f>NPV(realdiscrt2,AH$39:AH53)/(1+realdiscrt2)^-Half_Year</f>
        <v>2.7384452399355848</v>
      </c>
      <c r="AI133" s="614">
        <f>NPV(realdiscrt2,AI$39:AI53)/(1+realdiscrt2)^-Half_Year</f>
        <v>5.0254531354679273</v>
      </c>
      <c r="AJ133" s="614">
        <f>NPV(realdiscrt2,AJ$39:AJ53)/(1+realdiscrt2)^-Half_Year</f>
        <v>4.2250003720316096</v>
      </c>
      <c r="AK133" s="614">
        <f>NPV(realdiscrt2,AK$39:AK53)/(1+realdiscrt2)^-Half_Year</f>
        <v>2.7384452399355848</v>
      </c>
      <c r="AL133" s="614">
        <f>NPV(realdiscrt2,AL$39:AL53)/(1+realdiscrt2)^-Half_Year</f>
        <v>5.0254531354679273</v>
      </c>
      <c r="AM133" s="614">
        <f>NPV(realdiscrt2,AM$39:AM53)/(1+realdiscrt2)^-Half_Year</f>
        <v>4.0260306851202943</v>
      </c>
      <c r="AN133" s="594">
        <f>NPV(realdiscrt2,AN$39:AN53)/(1+realdiscrt2)^-Half_Year</f>
        <v>356.68614977087935</v>
      </c>
      <c r="AO133" s="595">
        <f>NPV(realdiscrt2,AO$39:AO53)/(1+realdiscrt2)^-Half_Year</f>
        <v>298.26328112124264</v>
      </c>
      <c r="AP133" s="325">
        <f>NPV(realdiscrt2,AP$39:AP53)/(1+realdiscrt2)^-Half_Year</f>
        <v>307.09314049798093</v>
      </c>
      <c r="AQ133" s="610">
        <f>NPV(realdiscrt2,AQ$39:AQ53)/(1+realdiscrt2)^-Half_Year</f>
        <v>0.1741089035198243</v>
      </c>
      <c r="AR133" s="595">
        <f>NPV(realdiscrt2,AR$39:AR53)/(1+realdiscrt2)^-Half_Year</f>
        <v>319.8392759660868</v>
      </c>
      <c r="AS133" s="612">
        <f>NPV(realdiscrt2,AS$39:AS53)/(1+realdiscrt2)^-Half_Year</f>
        <v>489.82292962856286</v>
      </c>
      <c r="AT133" s="594">
        <f>NPV(realdiscrt2,AT$39:AT53)/(1+realdiscrt2)^-Half_Year</f>
        <v>215.68743221841885</v>
      </c>
      <c r="AU133" s="609">
        <f>NPV(realdiscrt2,AU$39:AU53)/(1+realdiscrt2)^-Half_Year</f>
        <v>347.6048286777085</v>
      </c>
      <c r="AV133" s="608">
        <f>NPV(realdiscrt2,AV$39:AV53)/(1+realdiscrt2)^-Half_Year</f>
        <v>0.11906723541370529</v>
      </c>
      <c r="AW133" s="612">
        <f>NPV(realdiscrt2,AW$39:AW53)/(1+realdiscrt2)^-Half_Year</f>
        <v>0.11906723541370529</v>
      </c>
      <c r="AX133" s="600">
        <f>NPV(realdiscrt2,AX$39:AX53)/(1+realdiscrt2)^-Half_Year</f>
        <v>13.769995604502343</v>
      </c>
      <c r="AY133" s="615">
        <f>NPV(realdiscrt2,AY$39:AY53)/(1+realdiscrt2)^-Half_Year</f>
        <v>308.07790010838733</v>
      </c>
      <c r="AZ133" s="607">
        <f>NPV(realdiscrt2,AZ$39:AZ53)/(1+realdiscrt2)^-Half_Year</f>
        <v>0.59080982098681845</v>
      </c>
      <c r="BA133" s="614">
        <f>NPV(realdiscrt2,BA$39:BA53)/(1+realdiscrt2)^-Half_Year</f>
        <v>0.60340122495866078</v>
      </c>
      <c r="BB133" s="614">
        <f>NPV(realdiscrt2,BB$39:BB53)/(1+realdiscrt2)^-Half_Year</f>
        <v>0.57554671948239922</v>
      </c>
      <c r="BC133" s="610">
        <f>NPV(realdiscrt2,BC$39:BC53)/(1+realdiscrt2)^-Half_Year</f>
        <v>0.57920403987250479</v>
      </c>
    </row>
    <row r="134" spans="1:55" s="325" customFormat="1" ht="14.25">
      <c r="A134" s="602">
        <f t="shared" si="95"/>
        <v>16</v>
      </c>
      <c r="B134" s="603">
        <f t="shared" si="94"/>
        <v>2037</v>
      </c>
      <c r="C134" s="604">
        <f>NPV(realdiscrt2,C$39:C54)/(1+realdiscrt2)^-Half_Year</f>
        <v>1.1066917029150936</v>
      </c>
      <c r="D134" s="605">
        <f>NPV(realdiscrt2,D$39:D54)/(1+realdiscrt2)^-Half_Year</f>
        <v>1.0102710451233703</v>
      </c>
      <c r="E134" s="605">
        <f>NPV(realdiscrt2,E$39:E54)/(1+realdiscrt2)^-Half_Year</f>
        <v>0.9184716060247049</v>
      </c>
      <c r="F134" s="606">
        <f>NPV(realdiscrt2,F$39:F54)/(1+realdiscrt2)^-Half_Year</f>
        <v>0.78826199078634196</v>
      </c>
      <c r="G134" s="604">
        <f>NPV(realdiscrt2,G$39:G54)/(1+realdiscrt2)^-Half_Year</f>
        <v>5.134682057434517E-2</v>
      </c>
      <c r="H134" s="605">
        <f>NPV(realdiscrt2,H$39:H54)/(1+realdiscrt2)^-Half_Year</f>
        <v>3.7682490277649534E-2</v>
      </c>
      <c r="I134" s="605">
        <f>NPV(realdiscrt2,I$39:I54)/(1+realdiscrt2)^-Half_Year</f>
        <v>3.8297684195877736E-2</v>
      </c>
      <c r="J134" s="605">
        <f>NPV(realdiscrt2,J$39:J54)/(1+realdiscrt2)^-Half_Year</f>
        <v>2.584220743248233E-2</v>
      </c>
      <c r="K134" s="607">
        <f>NPV(realdiscrt2,K$39:K54)/(1+realdiscrt2)^-Half_Year</f>
        <v>1.5390885314728289E-2</v>
      </c>
      <c r="L134" s="1321">
        <f>NPV(realdiscrt2,L$39:L54)/(1+realdiscrt2)^-Half_Year</f>
        <v>1276.5449445161939</v>
      </c>
      <c r="M134" s="609">
        <f>NPV(realdiscrt2,M$39:M54)/(1+realdiscrt2)^-Half_Year</f>
        <v>1395.9566110012004</v>
      </c>
      <c r="N134" s="609">
        <f>NPV(realdiscrt2,N$39:N54)/(1+realdiscrt2)^-Half_Year</f>
        <v>1395.9566110012004</v>
      </c>
      <c r="O134" s="612">
        <f>NPV(realdiscrt2,O$39:O54)/(1+realdiscrt2)^-Half_Year</f>
        <v>0</v>
      </c>
      <c r="P134" s="782">
        <f t="shared" si="92"/>
        <v>0</v>
      </c>
      <c r="Q134" s="782">
        <f t="shared" si="92"/>
        <v>0</v>
      </c>
      <c r="R134" s="1316">
        <f t="shared" si="93"/>
        <v>0</v>
      </c>
      <c r="S134" s="595">
        <f>NPV(realdiscrt2,S$39:S54)/(1+realdiscrt2)^-Half_Year</f>
        <v>0</v>
      </c>
      <c r="T134" s="595">
        <f>NPV(realdiscrt2,T$39:T54)/(1+realdiscrt2)^-Half_Year</f>
        <v>0</v>
      </c>
      <c r="U134" s="610">
        <f>NPV(realdiscrt2,U$39:U54)/(1+realdiscrt2)^-Half_Year</f>
        <v>0</v>
      </c>
      <c r="V134" s="611">
        <f>NPV(realdiscrt2,V$39:V54)/(1+realdiscrt2)^-Half_Year</f>
        <v>1447.1796522773425</v>
      </c>
      <c r="W134" s="609">
        <f>NPV(realdiscrt2,W$39:W54)/(1+realdiscrt2)^-Half_Year</f>
        <v>0</v>
      </c>
      <c r="X134" s="612">
        <f>NPV(realdiscrt2,X$39:X54)/(1+realdiscrt2)^-Half_Year</f>
        <v>1253.6754102765833</v>
      </c>
      <c r="Y134" s="608">
        <f>NPV(realdiscrt2,Y$39:Y54)/(1+realdiscrt2)^-Half_Year</f>
        <v>98.950079094540371</v>
      </c>
      <c r="Z134" s="609">
        <f>NPV(realdiscrt2,Z$39:Z54)/(1+realdiscrt2)^-Half_Year</f>
        <v>124.59546631340913</v>
      </c>
      <c r="AA134" s="609">
        <f>NPV(realdiscrt2,AA$39:AA54)/(1+realdiscrt2)^-Half_Year</f>
        <v>142.51910150026367</v>
      </c>
      <c r="AB134" s="609">
        <f>NPV(realdiscrt2,AB$39:AB54)/(1+realdiscrt2)^-Half_Year</f>
        <v>134.14104711824461</v>
      </c>
      <c r="AC134" s="609">
        <f>NPV(realdiscrt2,AC$39:AC54)/(1+realdiscrt2)^-Half_Year</f>
        <v>109.43477446627882</v>
      </c>
      <c r="AD134" s="609">
        <f>NPV(realdiscrt2,AD$39:AD54)/(1+realdiscrt2)^-Half_Year</f>
        <v>128.00415386363775</v>
      </c>
      <c r="AE134" s="612">
        <f>NPV(realdiscrt2,AE$39:AE54)/(1+realdiscrt2)^-Half_Year</f>
        <v>119.88930507555393</v>
      </c>
      <c r="AF134" s="613">
        <f>NPV(realdiscrt2,AF$39:AF54)/(1+realdiscrt2)^-Half_Year</f>
        <v>0.12239345581790742</v>
      </c>
      <c r="AG134" s="607">
        <f>NPV(realdiscrt2,AG$39:AG54)/(1+realdiscrt2)^-Half_Year</f>
        <v>2.7384452399355848</v>
      </c>
      <c r="AH134" s="614">
        <f>NPV(realdiscrt2,AH$39:AH54)/(1+realdiscrt2)^-Half_Year</f>
        <v>2.7384452399355848</v>
      </c>
      <c r="AI134" s="614">
        <f>NPV(realdiscrt2,AI$39:AI54)/(1+realdiscrt2)^-Half_Year</f>
        <v>5.0254531354679273</v>
      </c>
      <c r="AJ134" s="614">
        <f>NPV(realdiscrt2,AJ$39:AJ54)/(1+realdiscrt2)^-Half_Year</f>
        <v>4.2250003720316096</v>
      </c>
      <c r="AK134" s="614">
        <f>NPV(realdiscrt2,AK$39:AK54)/(1+realdiscrt2)^-Half_Year</f>
        <v>2.7384452399355848</v>
      </c>
      <c r="AL134" s="614">
        <f>NPV(realdiscrt2,AL$39:AL54)/(1+realdiscrt2)^-Half_Year</f>
        <v>5.0254531354679273</v>
      </c>
      <c r="AM134" s="614">
        <f>NPV(realdiscrt2,AM$39:AM54)/(1+realdiscrt2)^-Half_Year</f>
        <v>4.0260306851202943</v>
      </c>
      <c r="AN134" s="594">
        <f>NPV(realdiscrt2,AN$39:AN54)/(1+realdiscrt2)^-Half_Year</f>
        <v>379.97901578508873</v>
      </c>
      <c r="AO134" s="595">
        <f>NPV(realdiscrt2,AO$39:AO54)/(1+realdiscrt2)^-Half_Year</f>
        <v>317.87548016377923</v>
      </c>
      <c r="AP134" s="325">
        <f>NPV(realdiscrt2,AP$39:AP54)/(1+realdiscrt2)^-Half_Year</f>
        <v>327.36996135028147</v>
      </c>
      <c r="AQ134" s="610">
        <f>NPV(realdiscrt2,AQ$39:AQ54)/(1+realdiscrt2)^-Half_Year</f>
        <v>0.18454053718959795</v>
      </c>
      <c r="AR134" s="595">
        <f>NPV(realdiscrt2,AR$39:AR54)/(1+realdiscrt2)^-Half_Year</f>
        <v>340.72591091377222</v>
      </c>
      <c r="AS134" s="612">
        <f>NPV(realdiscrt2,AS$39:AS54)/(1+realdiscrt2)^-Half_Year</f>
        <v>521.17705875698823</v>
      </c>
      <c r="AT134" s="594">
        <f>NPV(realdiscrt2,AT$39:AT54)/(1+realdiscrt2)^-Half_Year</f>
        <v>229.77258372441284</v>
      </c>
      <c r="AU134" s="609">
        <f>NPV(realdiscrt2,AU$39:AU54)/(1+realdiscrt2)^-Half_Year</f>
        <v>370.30465233355574</v>
      </c>
      <c r="AV134" s="608">
        <f>NPV(realdiscrt2,AV$39:AV54)/(1+realdiscrt2)^-Half_Year</f>
        <v>0.12614840101736868</v>
      </c>
      <c r="AW134" s="612">
        <f>NPV(realdiscrt2,AW$39:AW54)/(1+realdiscrt2)^-Half_Year</f>
        <v>0.12614840101736868</v>
      </c>
      <c r="AX134" s="600">
        <f>NPV(realdiscrt2,AX$39:AX54)/(1+realdiscrt2)^-Half_Year</f>
        <v>14.588924665031906</v>
      </c>
      <c r="AY134" s="615">
        <f>NPV(realdiscrt2,AY$39:AY54)/(1+realdiscrt2)^-Half_Year</f>
        <v>337.75988860569464</v>
      </c>
      <c r="AZ134" s="607">
        <f>NPV(realdiscrt2,AZ$39:AZ54)/(1+realdiscrt2)^-Half_Year</f>
        <v>0.62309020849902841</v>
      </c>
      <c r="BA134" s="614">
        <f>NPV(realdiscrt2,BA$39:BA54)/(1+realdiscrt2)^-Half_Year</f>
        <v>0.63636957564462926</v>
      </c>
      <c r="BB134" s="614">
        <f>NPV(realdiscrt2,BB$39:BB54)/(1+realdiscrt2)^-Half_Year</f>
        <v>0.60699316887493149</v>
      </c>
      <c r="BC134" s="610">
        <f>NPV(realdiscrt2,BC$39:BC54)/(1+realdiscrt2)^-Half_Year</f>
        <v>0.61085031620638974</v>
      </c>
    </row>
    <row r="135" spans="1:55" s="325" customFormat="1" ht="14.25">
      <c r="A135" s="602">
        <f t="shared" si="95"/>
        <v>17</v>
      </c>
      <c r="B135" s="603">
        <f t="shared" si="94"/>
        <v>2038</v>
      </c>
      <c r="C135" s="604">
        <f>NPV(realdiscrt2,C$39:C55)/(1+realdiscrt2)^-Half_Year</f>
        <v>1.1752803054138572</v>
      </c>
      <c r="D135" s="605">
        <f>NPV(realdiscrt2,D$39:D55)/(1+realdiscrt2)^-Half_Year</f>
        <v>1.0697499600215481</v>
      </c>
      <c r="E135" s="605">
        <f>NPV(realdiscrt2,E$39:E55)/(1+realdiscrt2)^-Half_Year</f>
        <v>0.98664964369525487</v>
      </c>
      <c r="F135" s="606">
        <f>NPV(realdiscrt2,F$39:F55)/(1+realdiscrt2)^-Half_Year</f>
        <v>0.84544011559877763</v>
      </c>
      <c r="G135" s="604">
        <f>NPV(realdiscrt2,G$39:G55)/(1+realdiscrt2)^-Half_Year</f>
        <v>5.134682057434517E-2</v>
      </c>
      <c r="H135" s="605">
        <f>NPV(realdiscrt2,H$39:H55)/(1+realdiscrt2)^-Half_Year</f>
        <v>3.7682490277649534E-2</v>
      </c>
      <c r="I135" s="605">
        <f>NPV(realdiscrt2,I$39:I55)/(1+realdiscrt2)^-Half_Year</f>
        <v>3.8297684195877736E-2</v>
      </c>
      <c r="J135" s="605">
        <f>NPV(realdiscrt2,J$39:J55)/(1+realdiscrt2)^-Half_Year</f>
        <v>2.584220743248233E-2</v>
      </c>
      <c r="K135" s="607">
        <f>NPV(realdiscrt2,K$39:K55)/(1+realdiscrt2)^-Half_Year</f>
        <v>1.548006642832408E-2</v>
      </c>
      <c r="L135" s="1321">
        <f>NPV(realdiscrt2,L$39:L55)/(1+realdiscrt2)^-Half_Year</f>
        <v>1360.9097476543914</v>
      </c>
      <c r="M135" s="609">
        <f>NPV(realdiscrt2,M$39:M55)/(1+realdiscrt2)^-Half_Year</f>
        <v>1501.8360960010336</v>
      </c>
      <c r="N135" s="609">
        <f>NPV(realdiscrt2,N$39:N55)/(1+realdiscrt2)^-Half_Year</f>
        <v>1501.8360960010336</v>
      </c>
      <c r="O135" s="612">
        <f>NPV(realdiscrt2,O$39:O55)/(1+realdiscrt2)^-Half_Year</f>
        <v>0</v>
      </c>
      <c r="P135" s="782">
        <f t="shared" si="92"/>
        <v>0</v>
      </c>
      <c r="Q135" s="782">
        <f t="shared" si="92"/>
        <v>0</v>
      </c>
      <c r="R135" s="1316">
        <f t="shared" si="93"/>
        <v>0</v>
      </c>
      <c r="S135" s="595">
        <f>NPV(realdiscrt2,S$39:S55)/(1+realdiscrt2)^-Half_Year</f>
        <v>0</v>
      </c>
      <c r="T135" s="595">
        <f>NPV(realdiscrt2,T$39:T55)/(1+realdiscrt2)^-Half_Year</f>
        <v>0</v>
      </c>
      <c r="U135" s="610">
        <f>NPV(realdiscrt2,U$39:U55)/(1+realdiscrt2)^-Half_Year</f>
        <v>0</v>
      </c>
      <c r="V135" s="611">
        <f>NPV(realdiscrt2,V$39:V55)/(1+realdiscrt2)^-Half_Year</f>
        <v>1527.282107124129</v>
      </c>
      <c r="W135" s="609">
        <f>NPV(realdiscrt2,W$39:W55)/(1+realdiscrt2)^-Half_Year</f>
        <v>0</v>
      </c>
      <c r="X135" s="612">
        <f>NPV(realdiscrt2,X$39:X55)/(1+realdiscrt2)^-Half_Year</f>
        <v>1323.0672634484945</v>
      </c>
      <c r="Y135" s="608">
        <f>NPV(realdiscrt2,Y$39:Y55)/(1+realdiscrt2)^-Half_Year</f>
        <v>104.70588462235249</v>
      </c>
      <c r="Z135" s="609">
        <f>NPV(realdiscrt2,Z$39:Z55)/(1+realdiscrt2)^-Half_Year</f>
        <v>131.74367706174417</v>
      </c>
      <c r="AA135" s="609">
        <f>NPV(realdiscrt2,AA$39:AA55)/(1+realdiscrt2)^-Half_Year</f>
        <v>150.6523013406605</v>
      </c>
      <c r="AB135" s="609">
        <f>NPV(realdiscrt2,AB$39:AB55)/(1+realdiscrt2)^-Half_Year</f>
        <v>141.81695550054755</v>
      </c>
      <c r="AC135" s="609">
        <f>NPV(realdiscrt2,AC$39:AC55)/(1+realdiscrt2)^-Half_Year</f>
        <v>115.76091801300944</v>
      </c>
      <c r="AD135" s="609">
        <f>NPV(realdiscrt2,AD$39:AD55)/(1+realdiscrt2)^-Half_Year</f>
        <v>135.34137954262911</v>
      </c>
      <c r="AE135" s="612">
        <f>NPV(realdiscrt2,AE$39:AE55)/(1+realdiscrt2)^-Half_Year</f>
        <v>126.78465484317427</v>
      </c>
      <c r="AF135" s="613">
        <f>NPV(realdiscrt2,AF$39:AF55)/(1+realdiscrt2)^-Half_Year</f>
        <v>0.13091499356756559</v>
      </c>
      <c r="AG135" s="607">
        <f>NPV(realdiscrt2,AG$39:AG55)/(1+realdiscrt2)^-Half_Year</f>
        <v>2.7384452399355848</v>
      </c>
      <c r="AH135" s="614">
        <f>NPV(realdiscrt2,AH$39:AH55)/(1+realdiscrt2)^-Half_Year</f>
        <v>2.7384452399355848</v>
      </c>
      <c r="AI135" s="614">
        <f>NPV(realdiscrt2,AI$39:AI55)/(1+realdiscrt2)^-Half_Year</f>
        <v>5.0254531354679273</v>
      </c>
      <c r="AJ135" s="614">
        <f>NPV(realdiscrt2,AJ$39:AJ55)/(1+realdiscrt2)^-Half_Year</f>
        <v>4.2250003720316096</v>
      </c>
      <c r="AK135" s="614">
        <f>NPV(realdiscrt2,AK$39:AK55)/(1+realdiscrt2)^-Half_Year</f>
        <v>2.7384452399355848</v>
      </c>
      <c r="AL135" s="614">
        <f>NPV(realdiscrt2,AL$39:AL55)/(1+realdiscrt2)^-Half_Year</f>
        <v>5.0254531354679273</v>
      </c>
      <c r="AM135" s="614">
        <f>NPV(realdiscrt2,AM$39:AM55)/(1+realdiscrt2)^-Half_Year</f>
        <v>4.0260306851202943</v>
      </c>
      <c r="AN135" s="594">
        <f>NPV(realdiscrt2,AN$39:AN55)/(1+realdiscrt2)^-Half_Year</f>
        <v>403.08889671643914</v>
      </c>
      <c r="AO135" s="595">
        <f>NPV(realdiscrt2,AO$39:AO55)/(1+realdiscrt2)^-Half_Year</f>
        <v>337.30078157645181</v>
      </c>
      <c r="AP135" s="325">
        <f>NPV(realdiscrt2,AP$39:AP55)/(1+realdiscrt2)^-Half_Year</f>
        <v>347.45108122647258</v>
      </c>
      <c r="AQ135" s="610">
        <f>NPV(realdiscrt2,AQ$39:AQ55)/(1+realdiscrt2)^-Half_Year</f>
        <v>0.19482668366823866</v>
      </c>
      <c r="AR135" s="595">
        <f>NPV(realdiscrt2,AR$39:AR55)/(1+realdiscrt2)^-Half_Year</f>
        <v>361.44846375047069</v>
      </c>
      <c r="AS135" s="612">
        <f>NPV(realdiscrt2,AS$39:AS55)/(1+realdiscrt2)^-Half_Year</f>
        <v>552.50592685617721</v>
      </c>
      <c r="AT135" s="594">
        <f>NPV(realdiscrt2,AT$39:AT55)/(1+realdiscrt2)^-Half_Year</f>
        <v>243.74708450095889</v>
      </c>
      <c r="AU135" s="609">
        <f>NPV(realdiscrt2,AU$39:AU55)/(1+realdiscrt2)^-Half_Year</f>
        <v>392.82614975380721</v>
      </c>
      <c r="AV135" s="608">
        <f>NPV(realdiscrt2,AV$39:AV55)/(1+realdiscrt2)^-Half_Year</f>
        <v>0.13313080750752818</v>
      </c>
      <c r="AW135" s="612">
        <f>NPV(realdiscrt2,AW$39:AW55)/(1+realdiscrt2)^-Half_Year</f>
        <v>0.13313080750752818</v>
      </c>
      <c r="AX135" s="600">
        <f>NPV(realdiscrt2,AX$39:AX55)/(1+realdiscrt2)^-Half_Year</f>
        <v>15.396432342053842</v>
      </c>
      <c r="AY135" s="615">
        <f>NPV(realdiscrt2,AY$39:AY55)/(1+realdiscrt2)^-Half_Year</f>
        <v>368.82414277059843</v>
      </c>
      <c r="AZ135" s="607">
        <f>NPV(realdiscrt2,AZ$39:AZ55)/(1+realdiscrt2)^-Half_Year</f>
        <v>0.65457721402394931</v>
      </c>
      <c r="BA135" s="614">
        <f>NPV(realdiscrt2,BA$39:BA55)/(1+realdiscrt2)^-Half_Year</f>
        <v>0.66852763569901918</v>
      </c>
      <c r="BB135" s="614">
        <f>NPV(realdiscrt2,BB$39:BB55)/(1+realdiscrt2)^-Half_Year</f>
        <v>0.63766673267237006</v>
      </c>
      <c r="BC135" s="610">
        <f>NPV(realdiscrt2,BC$39:BC55)/(1+realdiscrt2)^-Half_Year</f>
        <v>0.64171879563190193</v>
      </c>
    </row>
    <row r="136" spans="1:55" s="325" customFormat="1" ht="14.25">
      <c r="A136" s="602">
        <f t="shared" si="95"/>
        <v>18</v>
      </c>
      <c r="B136" s="603">
        <f t="shared" si="94"/>
        <v>2039</v>
      </c>
      <c r="C136" s="604">
        <f>NPV(realdiscrt2,C$39:C56)/(1+realdiscrt2)^-Half_Year</f>
        <v>1.2444060677985782</v>
      </c>
      <c r="D136" s="605">
        <f>NPV(realdiscrt2,D$39:D56)/(1+realdiscrt2)^-Half_Year</f>
        <v>1.1290250750812276</v>
      </c>
      <c r="E136" s="605">
        <f>NPV(realdiscrt2,E$39:E56)/(1+realdiscrt2)^-Half_Year</f>
        <v>1.0574528587632646</v>
      </c>
      <c r="F136" s="606">
        <f>NPV(realdiscrt2,F$39:F56)/(1+realdiscrt2)^-Half_Year</f>
        <v>0.90443821398047752</v>
      </c>
      <c r="G136" s="604">
        <f>NPV(realdiscrt2,G$39:G56)/(1+realdiscrt2)^-Half_Year</f>
        <v>5.134682057434517E-2</v>
      </c>
      <c r="H136" s="605">
        <f>NPV(realdiscrt2,H$39:H56)/(1+realdiscrt2)^-Half_Year</f>
        <v>3.7682490277649534E-2</v>
      </c>
      <c r="I136" s="605">
        <f>NPV(realdiscrt2,I$39:I56)/(1+realdiscrt2)^-Half_Year</f>
        <v>3.8297684195877736E-2</v>
      </c>
      <c r="J136" s="605">
        <f>NPV(realdiscrt2,J$39:J56)/(1+realdiscrt2)^-Half_Year</f>
        <v>2.584220743248233E-2</v>
      </c>
      <c r="K136" s="607">
        <f>NPV(realdiscrt2,K$39:K56)/(1+realdiscrt2)^-Half_Year</f>
        <v>1.5568003756897325E-2</v>
      </c>
      <c r="L136" s="1321">
        <f>NPV(realdiscrt2,L$39:L56)/(1+realdiscrt2)^-Half_Year</f>
        <v>1445.4848031030501</v>
      </c>
      <c r="M136" s="609">
        <f>NPV(realdiscrt2,M$39:M56)/(1+realdiscrt2)^-Half_Year</f>
        <v>1607.9100996649092</v>
      </c>
      <c r="N136" s="609">
        <f>NPV(realdiscrt2,N$39:N56)/(1+realdiscrt2)^-Half_Year</f>
        <v>1607.9100996649092</v>
      </c>
      <c r="O136" s="612">
        <f>NPV(realdiscrt2,O$39:O56)/(1+realdiscrt2)^-Half_Year</f>
        <v>0</v>
      </c>
      <c r="P136" s="782">
        <f t="shared" si="92"/>
        <v>0</v>
      </c>
      <c r="Q136" s="782">
        <f t="shared" si="92"/>
        <v>0</v>
      </c>
      <c r="R136" s="1316">
        <f t="shared" si="93"/>
        <v>0</v>
      </c>
      <c r="S136" s="595">
        <f>NPV(realdiscrt2,S$39:S56)/(1+realdiscrt2)^-Half_Year</f>
        <v>0</v>
      </c>
      <c r="T136" s="595">
        <f>NPV(realdiscrt2,T$39:T56)/(1+realdiscrt2)^-Half_Year</f>
        <v>0</v>
      </c>
      <c r="U136" s="610">
        <f>NPV(realdiscrt2,U$39:U56)/(1+realdiscrt2)^-Half_Year</f>
        <v>0</v>
      </c>
      <c r="V136" s="611">
        <f>NPV(realdiscrt2,V$39:V56)/(1+realdiscrt2)^-Half_Year</f>
        <v>1606.2673945619142</v>
      </c>
      <c r="W136" s="609">
        <f>NPV(realdiscrt2,W$39:W56)/(1+realdiscrt2)^-Half_Year</f>
        <v>0</v>
      </c>
      <c r="X136" s="612">
        <f>NPV(realdiscrt2,X$39:X56)/(1+realdiscrt2)^-Half_Year</f>
        <v>1391.4913270943275</v>
      </c>
      <c r="Y136" s="608">
        <f>NPV(realdiscrt2,Y$39:Y56)/(1+realdiscrt2)^-Half_Year</f>
        <v>110.41661585240537</v>
      </c>
      <c r="Z136" s="609">
        <f>NPV(realdiscrt2,Z$39:Z56)/(1+realdiscrt2)^-Half_Year</f>
        <v>138.82430316155958</v>
      </c>
      <c r="AA136" s="609">
        <f>NPV(realdiscrt2,AA$39:AA56)/(1+realdiscrt2)^-Half_Year</f>
        <v>158.70333423428954</v>
      </c>
      <c r="AB136" s="609">
        <f>NPV(realdiscrt2,AB$39:AB56)/(1+realdiscrt2)^-Half_Year</f>
        <v>149.41778495506225</v>
      </c>
      <c r="AC136" s="609">
        <f>NPV(realdiscrt2,AC$39:AC56)/(1+realdiscrt2)^-Half_Year</f>
        <v>122.03287115446574</v>
      </c>
      <c r="AD136" s="609">
        <f>NPV(realdiscrt2,AD$39:AD56)/(1+realdiscrt2)^-Half_Year</f>
        <v>142.60839801732573</v>
      </c>
      <c r="AE136" s="612">
        <f>NPV(realdiscrt2,AE$39:AE56)/(1+realdiscrt2)^-Half_Year</f>
        <v>133.61678278602238</v>
      </c>
      <c r="AF136" s="613">
        <f>NPV(realdiscrt2,AF$39:AF56)/(1+realdiscrt2)^-Half_Year</f>
        <v>0.13931768372052145</v>
      </c>
      <c r="AG136" s="607">
        <f>NPV(realdiscrt2,AG$39:AG56)/(1+realdiscrt2)^-Half_Year</f>
        <v>2.7384452399355848</v>
      </c>
      <c r="AH136" s="614">
        <f>NPV(realdiscrt2,AH$39:AH56)/(1+realdiscrt2)^-Half_Year</f>
        <v>2.7384452399355848</v>
      </c>
      <c r="AI136" s="614">
        <f>NPV(realdiscrt2,AI$39:AI56)/(1+realdiscrt2)^-Half_Year</f>
        <v>5.0254531354679273</v>
      </c>
      <c r="AJ136" s="614">
        <f>NPV(realdiscrt2,AJ$39:AJ56)/(1+realdiscrt2)^-Half_Year</f>
        <v>4.2250003720316096</v>
      </c>
      <c r="AK136" s="614">
        <f>NPV(realdiscrt2,AK$39:AK56)/(1+realdiscrt2)^-Half_Year</f>
        <v>2.7384452399355848</v>
      </c>
      <c r="AL136" s="614">
        <f>NPV(realdiscrt2,AL$39:AL56)/(1+realdiscrt2)^-Half_Year</f>
        <v>5.0254531354679273</v>
      </c>
      <c r="AM136" s="614">
        <f>NPV(realdiscrt2,AM$39:AM56)/(1+realdiscrt2)^-Half_Year</f>
        <v>4.0260306851202943</v>
      </c>
      <c r="AN136" s="594">
        <f>NPV(realdiscrt2,AN$39:AN56)/(1+realdiscrt2)^-Half_Year</f>
        <v>426.18921544989649</v>
      </c>
      <c r="AO136" s="595">
        <f>NPV(realdiscrt2,AO$39:AO56)/(1+realdiscrt2)^-Half_Year</f>
        <v>356.70979456312062</v>
      </c>
      <c r="AP136" s="325">
        <f>NPV(realdiscrt2,AP$39:AP56)/(1+realdiscrt2)^-Half_Year</f>
        <v>367.51808967214527</v>
      </c>
      <c r="AQ136" s="610">
        <f>NPV(realdiscrt2,AQ$39:AQ56)/(1+realdiscrt2)^-Half_Year</f>
        <v>0.20496937202649934</v>
      </c>
      <c r="AR136" s="595">
        <f>NPV(realdiscrt2,AR$39:AR56)/(1+realdiscrt2)^-Half_Year</f>
        <v>382.162442196342</v>
      </c>
      <c r="AS136" s="612">
        <f>NPV(realdiscrt2,AS$39:AS56)/(1+realdiscrt2)^-Half_Year</f>
        <v>583.97316639573353</v>
      </c>
      <c r="AT136" s="594">
        <f>NPV(realdiscrt2,AT$39:AT56)/(1+realdiscrt2)^-Half_Year</f>
        <v>257.71580303473701</v>
      </c>
      <c r="AU136" s="609">
        <f>NPV(realdiscrt2,AU$39:AU56)/(1+realdiscrt2)^-Half_Year</f>
        <v>415.33832843218289</v>
      </c>
      <c r="AV136" s="608">
        <f>NPV(realdiscrt2,AV$39:AV56)/(1+realdiscrt2)^-Half_Year</f>
        <v>0.14001583225099681</v>
      </c>
      <c r="AW136" s="612">
        <f>NPV(realdiscrt2,AW$39:AW56)/(1+realdiscrt2)^-Half_Year</f>
        <v>0.14001583225099681</v>
      </c>
      <c r="AX136" s="600">
        <f>NPV(realdiscrt2,AX$39:AX56)/(1+realdiscrt2)^-Half_Year</f>
        <v>16.192677926534259</v>
      </c>
      <c r="AY136" s="615">
        <f>NPV(realdiscrt2,AY$39:AY56)/(1+realdiscrt2)^-Half_Year</f>
        <v>401.33052005171731</v>
      </c>
      <c r="AZ136" s="607">
        <f>NPV(realdiscrt2,AZ$39:AZ56)/(1+realdiscrt2)^-Half_Year</f>
        <v>0.68529033717191024</v>
      </c>
      <c r="BA136" s="614">
        <f>NPV(realdiscrt2,BA$39:BA56)/(1+realdiscrt2)^-Half_Year</f>
        <v>0.69989532031000201</v>
      </c>
      <c r="BB136" s="614">
        <f>NPV(realdiscrt2,BB$39:BB56)/(1+realdiscrt2)^-Half_Year</f>
        <v>0.66758640672813074</v>
      </c>
      <c r="BC136" s="610">
        <f>NPV(realdiscrt2,BC$39:BC56)/(1+realdiscrt2)^-Half_Year</f>
        <v>0.67182859471189649</v>
      </c>
    </row>
    <row r="137" spans="1:55" s="325" customFormat="1" ht="14.25">
      <c r="A137" s="602">
        <f t="shared" si="95"/>
        <v>19</v>
      </c>
      <c r="B137" s="603">
        <f t="shared" si="94"/>
        <v>2040</v>
      </c>
      <c r="C137" s="604">
        <f>NPV(realdiscrt2,C$39:C57)/(1+realdiscrt2)^-Half_Year</f>
        <v>1.31408413505986</v>
      </c>
      <c r="D137" s="605">
        <f>NPV(realdiscrt2,D$39:D57)/(1+realdiscrt2)^-Half_Year</f>
        <v>1.1881134183819195</v>
      </c>
      <c r="E137" s="605">
        <f>NPV(realdiscrt2,E$39:E57)/(1+realdiscrt2)^-Half_Year</f>
        <v>1.1309841777610947</v>
      </c>
      <c r="F137" s="606">
        <f>NPV(realdiscrt2,F$39:F57)/(1+realdiscrt2)^-Half_Year</f>
        <v>0.96531742940624088</v>
      </c>
      <c r="G137" s="604">
        <f>NPV(realdiscrt2,G$39:G57)/(1+realdiscrt2)^-Half_Year</f>
        <v>5.134682057434517E-2</v>
      </c>
      <c r="H137" s="605">
        <f>NPV(realdiscrt2,H$39:H57)/(1+realdiscrt2)^-Half_Year</f>
        <v>3.7682490277649534E-2</v>
      </c>
      <c r="I137" s="605">
        <f>NPV(realdiscrt2,I$39:I57)/(1+realdiscrt2)^-Half_Year</f>
        <v>3.8297684195877736E-2</v>
      </c>
      <c r="J137" s="605">
        <f>NPV(realdiscrt2,J$39:J57)/(1+realdiscrt2)^-Half_Year</f>
        <v>2.584220743248233E-2</v>
      </c>
      <c r="K137" s="607">
        <f>NPV(realdiscrt2,K$39:K57)/(1+realdiscrt2)^-Half_Year</f>
        <v>1.5654714647183446E-2</v>
      </c>
      <c r="L137" s="1321">
        <f>NPV(realdiscrt2,L$39:L57)/(1+realdiscrt2)^-Half_Year</f>
        <v>1530.2706348488614</v>
      </c>
      <c r="M137" s="609">
        <f>NPV(realdiscrt2,M$39:M57)/(1+realdiscrt2)^-Half_Year</f>
        <v>1714.1789793567748</v>
      </c>
      <c r="N137" s="609">
        <f>NPV(realdiscrt2,N$39:N57)/(1+realdiscrt2)^-Half_Year</f>
        <v>1714.1789793567748</v>
      </c>
      <c r="O137" s="612">
        <f>NPV(realdiscrt2,O$39:O57)/(1+realdiscrt2)^-Half_Year</f>
        <v>0</v>
      </c>
      <c r="P137" s="782">
        <f t="shared" si="92"/>
        <v>0</v>
      </c>
      <c r="Q137" s="782">
        <f t="shared" si="92"/>
        <v>0</v>
      </c>
      <c r="R137" s="1316">
        <f t="shared" si="93"/>
        <v>0</v>
      </c>
      <c r="S137" s="595">
        <f>NPV(realdiscrt2,S$39:S57)/(1+realdiscrt2)^-Half_Year</f>
        <v>0</v>
      </c>
      <c r="T137" s="595">
        <f>NPV(realdiscrt2,T$39:T57)/(1+realdiscrt2)^-Half_Year</f>
        <v>0</v>
      </c>
      <c r="U137" s="610">
        <f>NPV(realdiscrt2,U$39:U57)/(1+realdiscrt2)^-Half_Year</f>
        <v>0</v>
      </c>
      <c r="V137" s="611">
        <f>NPV(realdiscrt2,V$39:V57)/(1+realdiscrt2)^-Half_Year</f>
        <v>1684.151095424296</v>
      </c>
      <c r="W137" s="609">
        <f>NPV(realdiscrt2,W$39:W57)/(1+realdiscrt2)^-Half_Year</f>
        <v>0</v>
      </c>
      <c r="X137" s="612">
        <f>NPV(realdiscrt2,X$39:X57)/(1+realdiscrt2)^-Half_Year</f>
        <v>1458.9610987144947</v>
      </c>
      <c r="Y137" s="608">
        <f>NPV(realdiscrt2,Y$39:Y57)/(1+realdiscrt2)^-Half_Year</f>
        <v>116.08262576610342</v>
      </c>
      <c r="Z137" s="609">
        <f>NPV(realdiscrt2,Z$39:Z57)/(1+realdiscrt2)^-Half_Year</f>
        <v>145.83798360978426</v>
      </c>
      <c r="AA137" s="609">
        <f>NPV(realdiscrt2,AA$39:AA57)/(1+realdiscrt2)^-Half_Year</f>
        <v>166.67303028581728</v>
      </c>
      <c r="AB137" s="609">
        <f>NPV(realdiscrt2,AB$39:AB57)/(1+realdiscrt2)^-Half_Year</f>
        <v>156.94426983727047</v>
      </c>
      <c r="AC137" s="609">
        <f>NPV(realdiscrt2,AC$39:AC57)/(1+realdiscrt2)^-Half_Year</f>
        <v>128.25109809130984</v>
      </c>
      <c r="AD137" s="609">
        <f>NPV(realdiscrt2,AD$39:AD57)/(1+realdiscrt2)^-Half_Year</f>
        <v>149.80588107455156</v>
      </c>
      <c r="AE137" s="612">
        <f>NPV(realdiscrt2,AE$39:AE57)/(1+realdiscrt2)^-Half_Year</f>
        <v>140.38626856999809</v>
      </c>
      <c r="AF137" s="613">
        <f>NPV(realdiscrt2,AF$39:AF57)/(1+realdiscrt2)^-Half_Year</f>
        <v>0.1476031838122642</v>
      </c>
      <c r="AG137" s="607">
        <f>NPV(realdiscrt2,AG$39:AG57)/(1+realdiscrt2)^-Half_Year</f>
        <v>2.7384452399355848</v>
      </c>
      <c r="AH137" s="614">
        <f>NPV(realdiscrt2,AH$39:AH57)/(1+realdiscrt2)^-Half_Year</f>
        <v>2.7384452399355848</v>
      </c>
      <c r="AI137" s="614">
        <f>NPV(realdiscrt2,AI$39:AI57)/(1+realdiscrt2)^-Half_Year</f>
        <v>5.0254531354679273</v>
      </c>
      <c r="AJ137" s="614">
        <f>NPV(realdiscrt2,AJ$39:AJ57)/(1+realdiscrt2)^-Half_Year</f>
        <v>4.2250003720316096</v>
      </c>
      <c r="AK137" s="614">
        <f>NPV(realdiscrt2,AK$39:AK57)/(1+realdiscrt2)^-Half_Year</f>
        <v>2.7384452399355848</v>
      </c>
      <c r="AL137" s="614">
        <f>NPV(realdiscrt2,AL$39:AL57)/(1+realdiscrt2)^-Half_Year</f>
        <v>5.0254531354679273</v>
      </c>
      <c r="AM137" s="614">
        <f>NPV(realdiscrt2,AM$39:AM57)/(1+realdiscrt2)^-Half_Year</f>
        <v>4.0260306851202943</v>
      </c>
      <c r="AN137" s="594">
        <f>NPV(realdiscrt2,AN$39:AN57)/(1+realdiscrt2)^-Half_Year</f>
        <v>449.13183743470415</v>
      </c>
      <c r="AO137" s="595">
        <f>NPV(realdiscrt2,AO$39:AO57)/(1+realdiscrt2)^-Half_Year</f>
        <v>375.96019348606563</v>
      </c>
      <c r="AP137" s="325">
        <f>NPV(realdiscrt2,AP$39:AP57)/(1+realdiscrt2)^-Half_Year</f>
        <v>387.42262660079228</v>
      </c>
      <c r="AQ137" s="610">
        <f>NPV(realdiscrt2,AQ$39:AQ57)/(1+realdiscrt2)^-Half_Year</f>
        <v>0.21497060303622828</v>
      </c>
      <c r="AR137" s="595">
        <f>NPV(realdiscrt2,AR$39:AR57)/(1+realdiscrt2)^-Half_Year</f>
        <v>402.73501449582182</v>
      </c>
      <c r="AS137" s="612">
        <f>NPV(realdiscrt2,AS$39:AS57)/(1+realdiscrt2)^-Half_Year</f>
        <v>615.21307580062808</v>
      </c>
      <c r="AT137" s="594">
        <f>NPV(realdiscrt2,AT$39:AT57)/(1+realdiscrt2)^-Half_Year</f>
        <v>271.5891626463723</v>
      </c>
      <c r="AU137" s="609">
        <f>NPV(realdiscrt2,AU$39:AU57)/(1+realdiscrt2)^-Half_Year</f>
        <v>437.6968253616804</v>
      </c>
      <c r="AV137" s="608">
        <f>NPV(realdiscrt2,AV$39:AV57)/(1+realdiscrt2)^-Half_Year</f>
        <v>0.14680483340482289</v>
      </c>
      <c r="AW137" s="612">
        <f>NPV(realdiscrt2,AW$39:AW57)/(1+realdiscrt2)^-Half_Year</f>
        <v>0.14680483340482289</v>
      </c>
      <c r="AX137" s="600">
        <f>NPV(realdiscrt2,AX$39:AX57)/(1+realdiscrt2)^-Half_Year</f>
        <v>16.977818487850978</v>
      </c>
      <c r="AY137" s="615">
        <f>NPV(realdiscrt2,AY$39:AY57)/(1+realdiscrt2)^-Half_Year</f>
        <v>435.23275229319404</v>
      </c>
      <c r="AZ137" s="607">
        <f>NPV(realdiscrt2,AZ$39:AZ57)/(1+realdiscrt2)^-Half_Year</f>
        <v>0.71524859829506537</v>
      </c>
      <c r="BA137" s="614">
        <f>NPV(realdiscrt2,BA$39:BA57)/(1+realdiscrt2)^-Half_Year</f>
        <v>0.7304920551935723</v>
      </c>
      <c r="BB137" s="614">
        <f>NPV(realdiscrt2,BB$39:BB57)/(1+realdiscrt2)^-Half_Year</f>
        <v>0.69677072001870777</v>
      </c>
      <c r="BC137" s="610">
        <f>NPV(realdiscrt2,BC$39:BC57)/(1+realdiscrt2)^-Half_Year</f>
        <v>0.70119836016553139</v>
      </c>
    </row>
    <row r="138" spans="1:55" s="325" customFormat="1" ht="14.25">
      <c r="A138" s="602">
        <f t="shared" si="95"/>
        <v>20</v>
      </c>
      <c r="B138" s="603">
        <f t="shared" si="94"/>
        <v>2041</v>
      </c>
      <c r="C138" s="604">
        <f>NPV(realdiscrt2,C$39:C58)/(1+realdiscrt2)^-Half_Year</f>
        <v>1.3843304778444878</v>
      </c>
      <c r="D138" s="605">
        <f>NPV(realdiscrt2,D$39:D58)/(1+realdiscrt2)^-Half_Year</f>
        <v>1.2470328105927728</v>
      </c>
      <c r="E138" s="605">
        <f>NPV(realdiscrt2,E$39:E58)/(1+realdiscrt2)^-Half_Year</f>
        <v>1.2073506695284324</v>
      </c>
      <c r="F138" s="606">
        <f>NPV(realdiscrt2,F$39:F58)/(1+realdiscrt2)^-Half_Year</f>
        <v>1.0281411398245965</v>
      </c>
      <c r="G138" s="604">
        <f>NPV(realdiscrt2,G$39:G58)/(1+realdiscrt2)^-Half_Year</f>
        <v>5.134682057434517E-2</v>
      </c>
      <c r="H138" s="605">
        <f>NPV(realdiscrt2,H$39:H58)/(1+realdiscrt2)^-Half_Year</f>
        <v>3.7682490277649534E-2</v>
      </c>
      <c r="I138" s="605">
        <f>NPV(realdiscrt2,I$39:I58)/(1+realdiscrt2)^-Half_Year</f>
        <v>3.8297684195877736E-2</v>
      </c>
      <c r="J138" s="605">
        <f>NPV(realdiscrt2,J$39:J58)/(1+realdiscrt2)^-Half_Year</f>
        <v>2.584220743248233E-2</v>
      </c>
      <c r="K138" s="607">
        <f>NPV(realdiscrt2,K$39:K58)/(1+realdiscrt2)^-Half_Year</f>
        <v>1.5740216203987609E-2</v>
      </c>
      <c r="L138" s="1321">
        <f>NPV(realdiscrt2,L$39:L58)/(1+realdiscrt2)^-Half_Year</f>
        <v>1615.2677681843863</v>
      </c>
      <c r="M138" s="609">
        <f>NPV(realdiscrt2,M$39:M58)/(1+realdiscrt2)^-Half_Year</f>
        <v>1820.6430930971151</v>
      </c>
      <c r="N138" s="609">
        <f>NPV(realdiscrt2,N$39:N58)/(1+realdiscrt2)^-Half_Year</f>
        <v>1820.6430930971151</v>
      </c>
      <c r="O138" s="612">
        <f>NPV(realdiscrt2,O$39:O58)/(1+realdiscrt2)^-Half_Year</f>
        <v>0</v>
      </c>
      <c r="P138" s="782">
        <f t="shared" si="92"/>
        <v>0</v>
      </c>
      <c r="Q138" s="782">
        <f t="shared" si="92"/>
        <v>0</v>
      </c>
      <c r="R138" s="1316">
        <f t="shared" si="93"/>
        <v>0</v>
      </c>
      <c r="S138" s="595">
        <f>NPV(realdiscrt2,S$39:S58)/(1+realdiscrt2)^-Half_Year</f>
        <v>0</v>
      </c>
      <c r="T138" s="595">
        <f>NPV(realdiscrt2,T$39:T58)/(1+realdiscrt2)^-Half_Year</f>
        <v>0</v>
      </c>
      <c r="U138" s="610">
        <f>NPV(realdiscrt2,U$39:U58)/(1+realdiscrt2)^-Half_Year</f>
        <v>0</v>
      </c>
      <c r="V138" s="611">
        <f>NPV(realdiscrt2,V$39:V58)/(1+realdiscrt2)^-Half_Year</f>
        <v>1760.9485732431735</v>
      </c>
      <c r="W138" s="609">
        <f>NPV(realdiscrt2,W$39:W58)/(1+realdiscrt2)^-Half_Year</f>
        <v>0</v>
      </c>
      <c r="X138" s="612">
        <f>NPV(realdiscrt2,X$39:X58)/(1+realdiscrt2)^-Half_Year</f>
        <v>1525.4898875633976</v>
      </c>
      <c r="Y138" s="608">
        <f>NPV(realdiscrt2,Y$39:Y58)/(1+realdiscrt2)^-Half_Year</f>
        <v>121.70426458061777</v>
      </c>
      <c r="Z138" s="609">
        <f>NPV(realdiscrt2,Z$39:Z58)/(1+realdiscrt2)^-Half_Year</f>
        <v>152.78535136178184</v>
      </c>
      <c r="AA138" s="609">
        <f>NPV(realdiscrt2,AA$39:AA58)/(1+realdiscrt2)^-Half_Year</f>
        <v>174.56221121364555</v>
      </c>
      <c r="AB138" s="609">
        <f>NPV(realdiscrt2,AB$39:AB58)/(1+realdiscrt2)^-Half_Year</f>
        <v>164.39713731984</v>
      </c>
      <c r="AC138" s="609">
        <f>NPV(realdiscrt2,AC$39:AC58)/(1+realdiscrt2)^-Half_Year</f>
        <v>134.41605904781284</v>
      </c>
      <c r="AD138" s="609">
        <f>NPV(realdiscrt2,AD$39:AD58)/(1+realdiscrt2)^-Half_Year</f>
        <v>156.93449407305027</v>
      </c>
      <c r="AE138" s="612">
        <f>NPV(realdiscrt2,AE$39:AE58)/(1+realdiscrt2)^-Half_Year</f>
        <v>147.0936865461822</v>
      </c>
      <c r="AF138" s="613">
        <f>NPV(realdiscrt2,AF$39:AF58)/(1+realdiscrt2)^-Half_Year</f>
        <v>0.15577312826108095</v>
      </c>
      <c r="AG138" s="607">
        <f>NPV(realdiscrt2,AG$39:AG58)/(1+realdiscrt2)^-Half_Year</f>
        <v>2.7384452399355848</v>
      </c>
      <c r="AH138" s="614">
        <f>NPV(realdiscrt2,AH$39:AH58)/(1+realdiscrt2)^-Half_Year</f>
        <v>2.7384452399355848</v>
      </c>
      <c r="AI138" s="614">
        <f>NPV(realdiscrt2,AI$39:AI58)/(1+realdiscrt2)^-Half_Year</f>
        <v>5.0254531354679273</v>
      </c>
      <c r="AJ138" s="614">
        <f>NPV(realdiscrt2,AJ$39:AJ58)/(1+realdiscrt2)^-Half_Year</f>
        <v>4.2250003720316096</v>
      </c>
      <c r="AK138" s="614">
        <f>NPV(realdiscrt2,AK$39:AK58)/(1+realdiscrt2)^-Half_Year</f>
        <v>2.7384452399355848</v>
      </c>
      <c r="AL138" s="614">
        <f>NPV(realdiscrt2,AL$39:AL58)/(1+realdiscrt2)^-Half_Year</f>
        <v>5.0254531354679273</v>
      </c>
      <c r="AM138" s="614">
        <f>NPV(realdiscrt2,AM$39:AM58)/(1+realdiscrt2)^-Half_Year</f>
        <v>4.0260306851202943</v>
      </c>
      <c r="AN138" s="594">
        <f>NPV(realdiscrt2,AN$39:AN58)/(1+realdiscrt2)^-Half_Year</f>
        <v>471.79005751019207</v>
      </c>
      <c r="AO138" s="595">
        <f>NPV(realdiscrt2,AO$39:AO58)/(1+realdiscrt2)^-Half_Year</f>
        <v>394.98466121659999</v>
      </c>
      <c r="AP138" s="325">
        <f>NPV(realdiscrt2,AP$39:AP58)/(1+realdiscrt2)^-Half_Year</f>
        <v>407.10364199532432</v>
      </c>
      <c r="AQ138" s="610">
        <f>NPV(realdiscrt2,AQ$39:AQ58)/(1+realdiscrt2)^-Half_Year</f>
        <v>0.22483234956504677</v>
      </c>
      <c r="AR138" s="595">
        <f>NPV(realdiscrt2,AR$39:AR58)/(1+realdiscrt2)^-Half_Year</f>
        <v>423.0525645556699</v>
      </c>
      <c r="AS138" s="612">
        <f>NPV(realdiscrt2,AS$39:AS58)/(1+realdiscrt2)^-Half_Year</f>
        <v>646.35407099096619</v>
      </c>
      <c r="AT138" s="594">
        <f>NPV(realdiscrt2,AT$39:AT58)/(1+realdiscrt2)^-Half_Year</f>
        <v>285.29054496766821</v>
      </c>
      <c r="AU138" s="609">
        <f>NPV(realdiscrt2,AU$39:AU58)/(1+realdiscrt2)^-Half_Year</f>
        <v>459.77816132760199</v>
      </c>
      <c r="AV138" s="608">
        <f>NPV(realdiscrt2,AV$39:AV58)/(1+realdiscrt2)^-Half_Year</f>
        <v>0.1534991501842034</v>
      </c>
      <c r="AW138" s="612">
        <f>NPV(realdiscrt2,AW$39:AW58)/(1+realdiscrt2)^-Half_Year</f>
        <v>0.1534991501842034</v>
      </c>
      <c r="AX138" s="600">
        <f>NPV(realdiscrt2,AX$39:AX58)/(1+realdiscrt2)^-Half_Year</f>
        <v>17.752008904777426</v>
      </c>
      <c r="AY138" s="615">
        <f>NPV(realdiscrt2,AY$39:AY58)/(1+realdiscrt2)^-Half_Year</f>
        <v>470.68818387516387</v>
      </c>
      <c r="AZ138" s="607">
        <f>NPV(realdiscrt2,AZ$39:AZ58)/(1+realdiscrt2)^-Half_Year</f>
        <v>0.7444705502665222</v>
      </c>
      <c r="BA138" s="614">
        <f>NPV(realdiscrt2,BA$39:BA58)/(1+realdiscrt2)^-Half_Year</f>
        <v>0.76033678862371201</v>
      </c>
      <c r="BB138" s="614">
        <f>NPV(realdiscrt2,BB$39:BB58)/(1+realdiscrt2)^-Half_Year</f>
        <v>0.72523774611849812</v>
      </c>
      <c r="BC138" s="610">
        <f>NPV(realdiscrt2,BC$39:BC58)/(1+realdiscrt2)^-Half_Year</f>
        <v>0.72984628041600685</v>
      </c>
    </row>
    <row r="139" spans="1:55" s="325" customFormat="1" ht="14.25">
      <c r="A139" s="602">
        <f t="shared" si="95"/>
        <v>21</v>
      </c>
      <c r="B139" s="603">
        <f t="shared" si="94"/>
        <v>2042</v>
      </c>
      <c r="C139" s="604">
        <f>NPV(realdiscrt2,C$39:C59)/(1+realdiscrt2)^-Half_Year</f>
        <v>1.4551619415033052</v>
      </c>
      <c r="D139" s="605">
        <f>NPV(realdiscrt2,D$39:D59)/(1+realdiscrt2)^-Half_Year</f>
        <v>1.3058019141892305</v>
      </c>
      <c r="E139" s="605">
        <f>NPV(realdiscrt2,E$39:E59)/(1+realdiscrt2)^-Half_Year</f>
        <v>1.2866637179950546</v>
      </c>
      <c r="F139" s="606">
        <f>NPV(realdiscrt2,F$39:F59)/(1+realdiscrt2)^-Half_Year</f>
        <v>1.0929750489002648</v>
      </c>
      <c r="G139" s="604">
        <f>NPV(realdiscrt2,G$39:G59)/(1+realdiscrt2)^-Half_Year</f>
        <v>5.134682057434517E-2</v>
      </c>
      <c r="H139" s="605">
        <f>NPV(realdiscrt2,H$39:H59)/(1+realdiscrt2)^-Half_Year</f>
        <v>3.7682490277649534E-2</v>
      </c>
      <c r="I139" s="605">
        <f>NPV(realdiscrt2,I$39:I59)/(1+realdiscrt2)^-Half_Year</f>
        <v>3.8297684195877736E-2</v>
      </c>
      <c r="J139" s="605">
        <f>NPV(realdiscrt2,J$39:J59)/(1+realdiscrt2)^-Half_Year</f>
        <v>2.584220743248233E-2</v>
      </c>
      <c r="K139" s="607">
        <f>NPV(realdiscrt2,K$39:K59)/(1+realdiscrt2)^-Half_Year</f>
        <v>1.5824525293558864E-2</v>
      </c>
      <c r="L139" s="1321">
        <f>NPV(realdiscrt2,L$39:L59)/(1+realdiscrt2)^-Half_Year</f>
        <v>1700.4767297113087</v>
      </c>
      <c r="M139" s="609">
        <f>NPV(realdiscrt2,M$39:M59)/(1+realdiscrt2)^-Half_Year</f>
        <v>1927.3027995641612</v>
      </c>
      <c r="N139" s="609">
        <f>NPV(realdiscrt2,N$39:N59)/(1+realdiscrt2)^-Half_Year</f>
        <v>1927.3027995641612</v>
      </c>
      <c r="O139" s="612">
        <f>NPV(realdiscrt2,O$39:O59)/(1+realdiscrt2)^-Half_Year</f>
        <v>0</v>
      </c>
      <c r="P139" s="782">
        <f t="shared" si="92"/>
        <v>0</v>
      </c>
      <c r="Q139" s="782">
        <f t="shared" si="92"/>
        <v>0</v>
      </c>
      <c r="R139" s="1316">
        <f t="shared" si="93"/>
        <v>0</v>
      </c>
      <c r="S139" s="595">
        <f>NPV(realdiscrt2,S$39:S59)/(1+realdiscrt2)^-Half_Year</f>
        <v>0</v>
      </c>
      <c r="T139" s="595">
        <f>NPV(realdiscrt2,T$39:T59)/(1+realdiscrt2)^-Half_Year</f>
        <v>0</v>
      </c>
      <c r="U139" s="610">
        <f>NPV(realdiscrt2,U$39:U59)/(1+realdiscrt2)^-Half_Year</f>
        <v>0</v>
      </c>
      <c r="V139" s="611">
        <f>NPV(realdiscrt2,V$39:V59)/(1+realdiscrt2)^-Half_Year</f>
        <v>1836.6749772793953</v>
      </c>
      <c r="W139" s="609">
        <f>NPV(realdiscrt2,W$39:W59)/(1+realdiscrt2)^-Half_Year</f>
        <v>0</v>
      </c>
      <c r="X139" s="612">
        <f>NPV(realdiscrt2,X$39:X59)/(1+realdiscrt2)^-Half_Year</f>
        <v>1591.0908172748436</v>
      </c>
      <c r="Y139" s="608">
        <f>NPV(realdiscrt2,Y$39:Y59)/(1+realdiscrt2)^-Half_Year</f>
        <v>127.28187977053334</v>
      </c>
      <c r="Z139" s="609">
        <f>NPV(realdiscrt2,Z$39:Z59)/(1+realdiscrt2)^-Half_Year</f>
        <v>159.66703338847191</v>
      </c>
      <c r="AA139" s="609">
        <f>NPV(realdiscrt2,AA$39:AA59)/(1+realdiscrt2)^-Half_Year</f>
        <v>182.3716904346353</v>
      </c>
      <c r="AB139" s="609">
        <f>NPV(realdiscrt2,AB$39:AB59)/(1+realdiscrt2)^-Half_Year</f>
        <v>171.77710746288042</v>
      </c>
      <c r="AC139" s="609">
        <f>NPV(realdiscrt2,AC$39:AC59)/(1+realdiscrt2)^-Half_Year</f>
        <v>140.5282103059165</v>
      </c>
      <c r="AD139" s="609">
        <f>NPV(realdiscrt2,AD$39:AD59)/(1+realdiscrt2)^-Half_Year</f>
        <v>163.99489600499334</v>
      </c>
      <c r="AE139" s="612">
        <f>NPV(realdiscrt2,AE$39:AE59)/(1+realdiscrt2)^-Half_Year</f>
        <v>153.73960579956685</v>
      </c>
      <c r="AF139" s="613">
        <f>NPV(realdiscrt2,AF$39:AF59)/(1+realdiscrt2)^-Half_Year</f>
        <v>0.16382912869046623</v>
      </c>
      <c r="AG139" s="607">
        <f>NPV(realdiscrt2,AG$39:AG59)/(1+realdiscrt2)^-Half_Year</f>
        <v>2.7384452399355848</v>
      </c>
      <c r="AH139" s="614">
        <f>NPV(realdiscrt2,AH$39:AH59)/(1+realdiscrt2)^-Half_Year</f>
        <v>2.7384452399355848</v>
      </c>
      <c r="AI139" s="614">
        <f>NPV(realdiscrt2,AI$39:AI59)/(1+realdiscrt2)^-Half_Year</f>
        <v>5.0254531354679273</v>
      </c>
      <c r="AJ139" s="614">
        <f>NPV(realdiscrt2,AJ$39:AJ59)/(1+realdiscrt2)^-Half_Year</f>
        <v>4.2250003720316096</v>
      </c>
      <c r="AK139" s="614">
        <f>NPV(realdiscrt2,AK$39:AK59)/(1+realdiscrt2)^-Half_Year</f>
        <v>2.7384452399355848</v>
      </c>
      <c r="AL139" s="614">
        <f>NPV(realdiscrt2,AL$39:AL59)/(1+realdiscrt2)^-Half_Year</f>
        <v>5.0254531354679273</v>
      </c>
      <c r="AM139" s="614">
        <f>NPV(realdiscrt2,AM$39:AM59)/(1+realdiscrt2)^-Half_Year</f>
        <v>4.0260306851202943</v>
      </c>
      <c r="AN139" s="594">
        <f>NPV(realdiscrt2,AN$39:AN59)/(1+realdiscrt2)^-Half_Year</f>
        <v>494.17450079275937</v>
      </c>
      <c r="AO139" s="595">
        <f>NPV(realdiscrt2,AO$39:AO59)/(1+realdiscrt2)^-Half_Year</f>
        <v>413.72705948259403</v>
      </c>
      <c r="AP139" s="325">
        <f>NPV(realdiscrt2,AP$39:AP59)/(1+realdiscrt2)^-Half_Year</f>
        <v>426.48210650039567</v>
      </c>
      <c r="AQ139" s="610">
        <f>NPV(realdiscrt2,AQ$39:AQ59)/(1+realdiscrt2)^-Half_Year</f>
        <v>0.23455655696552141</v>
      </c>
      <c r="AR139" s="595">
        <f>NPV(realdiscrt2,AR$39:AR59)/(1+realdiscrt2)^-Half_Year</f>
        <v>443.12461988217802</v>
      </c>
      <c r="AS139" s="612">
        <f>NPV(realdiscrt2,AS$39:AS59)/(1+realdiscrt2)^-Half_Year</f>
        <v>677.2355080005899</v>
      </c>
      <c r="AT139" s="594">
        <f>NPV(realdiscrt2,AT$39:AT59)/(1+realdiscrt2)^-Half_Year</f>
        <v>298.82637498617919</v>
      </c>
      <c r="AU139" s="609">
        <f>NPV(realdiscrt2,AU$39:AU59)/(1+realdiscrt2)^-Half_Year</f>
        <v>481.59269092815094</v>
      </c>
      <c r="AV139" s="608">
        <f>NPV(realdiscrt2,AV$39:AV59)/(1+realdiscrt2)^-Half_Year</f>
        <v>0.16010010312666079</v>
      </c>
      <c r="AW139" s="612">
        <f>NPV(realdiscrt2,AW$39:AW59)/(1+realdiscrt2)^-Half_Year</f>
        <v>0.16010010312666079</v>
      </c>
      <c r="AX139" s="600">
        <f>NPV(realdiscrt2,AX$39:AX59)/(1+realdiscrt2)^-Half_Year</f>
        <v>18.515401896034387</v>
      </c>
      <c r="AY139" s="615">
        <f>NPV(realdiscrt2,AY$39:AY59)/(1+realdiscrt2)^-Half_Year</f>
        <v>507.74678473445647</v>
      </c>
      <c r="AZ139" s="607">
        <f>NPV(realdiscrt2,AZ$39:AZ59)/(1+realdiscrt2)^-Half_Year</f>
        <v>0.77297428996996309</v>
      </c>
      <c r="BA139" s="614">
        <f>NPV(realdiscrt2,BA$39:BA59)/(1+realdiscrt2)^-Half_Year</f>
        <v>0.78944800316688191</v>
      </c>
      <c r="BB139" s="614">
        <f>NPV(realdiscrt2,BB$39:BB59)/(1+realdiscrt2)^-Half_Year</f>
        <v>0.75300511439259721</v>
      </c>
      <c r="BC139" s="610">
        <f>NPV(realdiscrt2,BC$39:BC59)/(1+realdiscrt2)^-Half_Year</f>
        <v>0.7577900968544875</v>
      </c>
    </row>
    <row r="140" spans="1:55" s="325" customFormat="1" ht="14.25">
      <c r="A140" s="602">
        <f t="shared" si="95"/>
        <v>22</v>
      </c>
      <c r="B140" s="603">
        <f t="shared" si="94"/>
        <v>2043</v>
      </c>
      <c r="C140" s="604">
        <f>NPV(realdiscrt2,C$39:C60)/(1+realdiscrt2)^-Half_Year</f>
        <v>1.5265962980738956</v>
      </c>
      <c r="D140" s="605">
        <f>NPV(realdiscrt2,D$39:D60)/(1+realdiscrt2)^-Half_Year</f>
        <v>1.3644402856027584</v>
      </c>
      <c r="E140" s="605">
        <f>NPV(realdiscrt2,E$39:E60)/(1+realdiscrt2)^-Half_Year</f>
        <v>1.3690392025071807</v>
      </c>
      <c r="F140" s="606">
        <f>NPV(realdiscrt2,F$39:F60)/(1+realdiscrt2)^-Half_Year</f>
        <v>1.1598872814507386</v>
      </c>
      <c r="G140" s="604">
        <f>NPV(realdiscrt2,G$39:G60)/(1+realdiscrt2)^-Half_Year</f>
        <v>5.134682057434517E-2</v>
      </c>
      <c r="H140" s="605">
        <f>NPV(realdiscrt2,H$39:H60)/(1+realdiscrt2)^-Half_Year</f>
        <v>3.7682490277649534E-2</v>
      </c>
      <c r="I140" s="605">
        <f>NPV(realdiscrt2,I$39:I60)/(1+realdiscrt2)^-Half_Year</f>
        <v>3.8297684195877736E-2</v>
      </c>
      <c r="J140" s="605">
        <f>NPV(realdiscrt2,J$39:J60)/(1+realdiscrt2)^-Half_Year</f>
        <v>2.584220743248233E-2</v>
      </c>
      <c r="K140" s="607">
        <f>NPV(realdiscrt2,K$39:K60)/(1+realdiscrt2)^-Half_Year</f>
        <v>1.5907658546917215E-2</v>
      </c>
      <c r="L140" s="1321">
        <f>NPV(realdiscrt2,L$39:L60)/(1+realdiscrt2)^-Half_Year</f>
        <v>1785.8980473436998</v>
      </c>
      <c r="M140" s="609">
        <f>NPV(realdiscrt2,M$39:M60)/(1+realdiscrt2)^-Half_Year</f>
        <v>2034.1584580950955</v>
      </c>
      <c r="N140" s="609">
        <f>NPV(realdiscrt2,N$39:N60)/(1+realdiscrt2)^-Half_Year</f>
        <v>2034.1584580950955</v>
      </c>
      <c r="O140" s="612">
        <f>NPV(realdiscrt2,O$39:O60)/(1+realdiscrt2)^-Half_Year</f>
        <v>0</v>
      </c>
      <c r="P140" s="782">
        <f t="shared" si="92"/>
        <v>0</v>
      </c>
      <c r="Q140" s="782">
        <f t="shared" si="92"/>
        <v>0</v>
      </c>
      <c r="R140" s="1316">
        <f t="shared" si="93"/>
        <v>0</v>
      </c>
      <c r="S140" s="595">
        <f>NPV(realdiscrt2,S$39:S60)/(1+realdiscrt2)^-Half_Year</f>
        <v>0</v>
      </c>
      <c r="T140" s="595">
        <f>NPV(realdiscrt2,T$39:T60)/(1+realdiscrt2)^-Half_Year</f>
        <v>0</v>
      </c>
      <c r="U140" s="610">
        <f>NPV(realdiscrt2,U$39:U60)/(1+realdiscrt2)^-Half_Year</f>
        <v>0</v>
      </c>
      <c r="V140" s="611">
        <f>NPV(realdiscrt2,V$39:V60)/(1+realdiscrt2)^-Half_Year</f>
        <v>1911.345245511141</v>
      </c>
      <c r="W140" s="609">
        <f>NPV(realdiscrt2,W$39:W60)/(1+realdiscrt2)^-Half_Year</f>
        <v>0</v>
      </c>
      <c r="X140" s="612">
        <f>NPV(realdiscrt2,X$39:X60)/(1+realdiscrt2)^-Half_Year</f>
        <v>1655.7768284508466</v>
      </c>
      <c r="Y140" s="608">
        <f>NPV(realdiscrt2,Y$39:Y60)/(1+realdiscrt2)^-Half_Year</f>
        <v>132.81581608932623</v>
      </c>
      <c r="Z140" s="609">
        <f>NPV(realdiscrt2,Z$39:Z60)/(1+realdiscrt2)^-Half_Year</f>
        <v>166.4836507329118</v>
      </c>
      <c r="AA140" s="609">
        <f>NPV(realdiscrt2,AA$39:AA60)/(1+realdiscrt2)^-Half_Year</f>
        <v>190.10227314797399</v>
      </c>
      <c r="AB140" s="609">
        <f>NPV(realdiscrt2,AB$39:AB60)/(1+realdiscrt2)^-Half_Year</f>
        <v>179.08489328351206</v>
      </c>
      <c r="AC140" s="609">
        <f>NPV(realdiscrt2,AC$39:AC60)/(1+realdiscrt2)^-Half_Year</f>
        <v>146.58800423900399</v>
      </c>
      <c r="AD140" s="609">
        <f>NPV(realdiscrt2,AD$39:AD60)/(1+realdiscrt2)^-Half_Year</f>
        <v>170.98773955689938</v>
      </c>
      <c r="AE140" s="612">
        <f>NPV(realdiscrt2,AE$39:AE60)/(1+realdiscrt2)^-Half_Year</f>
        <v>160.32459019733895</v>
      </c>
      <c r="AF140" s="613">
        <f>NPV(realdiscrt2,AF$39:AF60)/(1+realdiscrt2)^-Half_Year</f>
        <v>0.17177277424703494</v>
      </c>
      <c r="AG140" s="607">
        <f>NPV(realdiscrt2,AG$39:AG60)/(1+realdiscrt2)^-Half_Year</f>
        <v>2.7384452399355848</v>
      </c>
      <c r="AH140" s="614">
        <f>NPV(realdiscrt2,AH$39:AH60)/(1+realdiscrt2)^-Half_Year</f>
        <v>2.7384452399355848</v>
      </c>
      <c r="AI140" s="614">
        <f>NPV(realdiscrt2,AI$39:AI60)/(1+realdiscrt2)^-Half_Year</f>
        <v>5.0254531354679273</v>
      </c>
      <c r="AJ140" s="614">
        <f>NPV(realdiscrt2,AJ$39:AJ60)/(1+realdiscrt2)^-Half_Year</f>
        <v>4.2250003720316096</v>
      </c>
      <c r="AK140" s="614">
        <f>NPV(realdiscrt2,AK$39:AK60)/(1+realdiscrt2)^-Half_Year</f>
        <v>2.7384452399355848</v>
      </c>
      <c r="AL140" s="614">
        <f>NPV(realdiscrt2,AL$39:AL60)/(1+realdiscrt2)^-Half_Year</f>
        <v>5.0254531354679273</v>
      </c>
      <c r="AM140" s="614">
        <f>NPV(realdiscrt2,AM$39:AM60)/(1+realdiscrt2)^-Half_Year</f>
        <v>4.0260306851202943</v>
      </c>
      <c r="AN140" s="594">
        <f>NPV(realdiscrt2,AN$39:AN60)/(1+realdiscrt2)^-Half_Year</f>
        <v>516.29545950974</v>
      </c>
      <c r="AO140" s="595">
        <f>NPV(realdiscrt2,AO$39:AO60)/(1+realdiscrt2)^-Half_Year</f>
        <v>432.22002238647286</v>
      </c>
      <c r="AP140" s="325">
        <f>NPV(realdiscrt2,AP$39:AP60)/(1+realdiscrt2)^-Half_Year</f>
        <v>445.5995481324623</v>
      </c>
      <c r="AQ140" s="610">
        <f>NPV(realdiscrt2,AQ$39:AQ60)/(1+realdiscrt2)^-Half_Year</f>
        <v>0.24414514345890953</v>
      </c>
      <c r="AR140" s="595">
        <f>NPV(realdiscrt2,AR$39:AR60)/(1+realdiscrt2)^-Half_Year</f>
        <v>462.96040948112818</v>
      </c>
      <c r="AS140" s="612">
        <f>NPV(realdiscrt2,AS$39:AS60)/(1+realdiscrt2)^-Half_Year</f>
        <v>707.93384207023678</v>
      </c>
      <c r="AT140" s="594">
        <f>NPV(realdiscrt2,AT$39:AT60)/(1+realdiscrt2)^-Half_Year</f>
        <v>312.20287639207913</v>
      </c>
      <c r="AU140" s="609">
        <f>NPV(realdiscrt2,AU$39:AU60)/(1+realdiscrt2)^-Half_Year</f>
        <v>503.15044434790678</v>
      </c>
      <c r="AV140" s="608">
        <f>NPV(realdiscrt2,AV$39:AV60)/(1+realdiscrt2)^-Half_Year</f>
        <v>0.16660899435253571</v>
      </c>
      <c r="AW140" s="612">
        <f>NPV(realdiscrt2,AW$39:AW60)/(1+realdiscrt2)^-Half_Year</f>
        <v>0.16660899435253571</v>
      </c>
      <c r="AX140" s="600">
        <f>NPV(realdiscrt2,AX$39:AX60)/(1+realdiscrt2)^-Half_Year</f>
        <v>19.268148050415707</v>
      </c>
      <c r="AY140" s="615">
        <f>NPV(realdiscrt2,AY$39:AY60)/(1+realdiscrt2)^-Half_Year</f>
        <v>546.45543574166663</v>
      </c>
      <c r="AZ140" s="607">
        <f>NPV(realdiscrt2,AZ$39:AZ60)/(1+realdiscrt2)^-Half_Year</f>
        <v>0.80077746950687778</v>
      </c>
      <c r="BA140" s="614">
        <f>NPV(realdiscrt2,BA$39:BA60)/(1+realdiscrt2)^-Half_Year</f>
        <v>0.8178437271281026</v>
      </c>
      <c r="BB140" s="614">
        <f>NPV(realdiscrt2,BB$39:BB60)/(1+realdiscrt2)^-Half_Year</f>
        <v>0.78009002091450219</v>
      </c>
      <c r="BC140" s="610">
        <f>NPV(realdiscrt2,BC$39:BC60)/(1+realdiscrt2)^-Half_Year</f>
        <v>0.78504711482718104</v>
      </c>
    </row>
    <row r="141" spans="1:55" s="325" customFormat="1" ht="14.25">
      <c r="A141" s="602">
        <f t="shared" si="95"/>
        <v>23</v>
      </c>
      <c r="B141" s="603">
        <f t="shared" si="94"/>
        <v>2044</v>
      </c>
      <c r="C141" s="604">
        <f>NPV(realdiscrt2,C$39:C61)/(1+realdiscrt2)^-Half_Year</f>
        <v>1.5986523013737737</v>
      </c>
      <c r="D141" s="605">
        <f>NPV(realdiscrt2,D$39:D61)/(1+realdiscrt2)^-Half_Year</f>
        <v>1.4229684304793688</v>
      </c>
      <c r="E141" s="605">
        <f>NPV(realdiscrt2,E$39:E61)/(1+realdiscrt2)^-Half_Year</f>
        <v>1.4545976860447518</v>
      </c>
      <c r="F141" s="606">
        <f>NPV(realdiscrt2,F$39:F61)/(1+realdiscrt2)^-Half_Year</f>
        <v>1.228948483290256</v>
      </c>
      <c r="G141" s="604">
        <f>NPV(realdiscrt2,G$39:G61)/(1+realdiscrt2)^-Half_Year</f>
        <v>5.134682057434517E-2</v>
      </c>
      <c r="H141" s="605">
        <f>NPV(realdiscrt2,H$39:H61)/(1+realdiscrt2)^-Half_Year</f>
        <v>3.7682490277649534E-2</v>
      </c>
      <c r="I141" s="605">
        <f>NPV(realdiscrt2,I$39:I61)/(1+realdiscrt2)^-Half_Year</f>
        <v>3.8297684195877736E-2</v>
      </c>
      <c r="J141" s="605">
        <f>NPV(realdiscrt2,J$39:J61)/(1+realdiscrt2)^-Half_Year</f>
        <v>2.584220743248233E-2</v>
      </c>
      <c r="K141" s="607">
        <f>NPV(realdiscrt2,K$39:K61)/(1+realdiscrt2)^-Half_Year</f>
        <v>1.5989632363134294E-2</v>
      </c>
      <c r="L141" s="1321">
        <f>NPV(realdiscrt2,L$39:L61)/(1+realdiscrt2)^-Half_Year</f>
        <v>1871.5322503112873</v>
      </c>
      <c r="M141" s="609">
        <f>NPV(realdiscrt2,M$39:M61)/(1+realdiscrt2)^-Half_Year</f>
        <v>2141.2104286872645</v>
      </c>
      <c r="N141" s="609">
        <f>NPV(realdiscrt2,N$39:N61)/(1+realdiscrt2)^-Half_Year</f>
        <v>2141.2104286872645</v>
      </c>
      <c r="O141" s="612">
        <f>NPV(realdiscrt2,O$39:O61)/(1+realdiscrt2)^-Half_Year</f>
        <v>0</v>
      </c>
      <c r="P141" s="782">
        <f t="shared" si="92"/>
        <v>0</v>
      </c>
      <c r="Q141" s="782">
        <f t="shared" si="92"/>
        <v>0</v>
      </c>
      <c r="R141" s="1316">
        <f t="shared" si="93"/>
        <v>0</v>
      </c>
      <c r="S141" s="595">
        <f>NPV(realdiscrt2,S$39:S61)/(1+realdiscrt2)^-Half_Year</f>
        <v>0</v>
      </c>
      <c r="T141" s="595">
        <f>NPV(realdiscrt2,T$39:T61)/(1+realdiscrt2)^-Half_Year</f>
        <v>0</v>
      </c>
      <c r="U141" s="610">
        <f>NPV(realdiscrt2,U$39:U61)/(1+realdiscrt2)^-Half_Year</f>
        <v>0</v>
      </c>
      <c r="V141" s="611">
        <f>NPV(realdiscrt2,V$39:V61)/(1+realdiscrt2)^-Half_Year</f>
        <v>1984.9741075806232</v>
      </c>
      <c r="W141" s="609">
        <f>NPV(realdiscrt2,W$39:W61)/(1+realdiscrt2)^-Half_Year</f>
        <v>0</v>
      </c>
      <c r="X141" s="612">
        <f>NPV(realdiscrt2,X$39:X61)/(1+realdiscrt2)^-Half_Year</f>
        <v>1719.5606812143224</v>
      </c>
      <c r="Y141" s="608">
        <f>NPV(realdiscrt2,Y$39:Y61)/(1+realdiscrt2)^-Half_Year</f>
        <v>138.30641559067303</v>
      </c>
      <c r="Z141" s="609">
        <f>NPV(realdiscrt2,Z$39:Z61)/(1+realdiscrt2)^-Half_Year</f>
        <v>173.23581856634306</v>
      </c>
      <c r="AA141" s="609">
        <f>NPV(realdiscrt2,AA$39:AA61)/(1+realdiscrt2)^-Half_Year</f>
        <v>197.75475641819605</v>
      </c>
      <c r="AB141" s="609">
        <f>NPV(realdiscrt2,AB$39:AB61)/(1+realdiscrt2)^-Half_Year</f>
        <v>186.32120082475416</v>
      </c>
      <c r="AC141" s="609">
        <f>NPV(realdiscrt2,AC$39:AC61)/(1+realdiscrt2)^-Half_Year</f>
        <v>152.59588934538098</v>
      </c>
      <c r="AD141" s="609">
        <f>NPV(realdiscrt2,AD$39:AD61)/(1+realdiscrt2)^-Half_Year</f>
        <v>177.91367116997068</v>
      </c>
      <c r="AE141" s="612">
        <f>NPV(realdiscrt2,AE$39:AE61)/(1+realdiscrt2)^-Half_Year</f>
        <v>166.84919843672111</v>
      </c>
      <c r="AF141" s="613">
        <f>NPV(realdiscrt2,AF$39:AF61)/(1+realdiscrt2)^-Half_Year</f>
        <v>0.17960563191400111</v>
      </c>
      <c r="AG141" s="607">
        <f>NPV(realdiscrt2,AG$39:AG61)/(1+realdiscrt2)^-Half_Year</f>
        <v>2.7384452399355848</v>
      </c>
      <c r="AH141" s="614">
        <f>NPV(realdiscrt2,AH$39:AH61)/(1+realdiscrt2)^-Half_Year</f>
        <v>2.7384452399355848</v>
      </c>
      <c r="AI141" s="614">
        <f>NPV(realdiscrt2,AI$39:AI61)/(1+realdiscrt2)^-Half_Year</f>
        <v>5.0254531354679273</v>
      </c>
      <c r="AJ141" s="614">
        <f>NPV(realdiscrt2,AJ$39:AJ61)/(1+realdiscrt2)^-Half_Year</f>
        <v>4.2250003720316096</v>
      </c>
      <c r="AK141" s="614">
        <f>NPV(realdiscrt2,AK$39:AK61)/(1+realdiscrt2)^-Half_Year</f>
        <v>2.7384452399355848</v>
      </c>
      <c r="AL141" s="614">
        <f>NPV(realdiscrt2,AL$39:AL61)/(1+realdiscrt2)^-Half_Year</f>
        <v>5.0254531354679273</v>
      </c>
      <c r="AM141" s="614">
        <f>NPV(realdiscrt2,AM$39:AM61)/(1+realdiscrt2)^-Half_Year</f>
        <v>4.0260306851202943</v>
      </c>
      <c r="AN141" s="594">
        <f>NPV(realdiscrt2,AN$39:AN61)/(1+realdiscrt2)^-Half_Year</f>
        <v>538.18467793669527</v>
      </c>
      <c r="AO141" s="595">
        <f>NPV(realdiscrt2,AO$39:AO61)/(1+realdiscrt2)^-Half_Year</f>
        <v>450.49251089074858</v>
      </c>
      <c r="AP141" s="325">
        <f>NPV(realdiscrt2,AP$39:AP61)/(1+realdiscrt2)^-Half_Year</f>
        <v>464.4873708287343</v>
      </c>
      <c r="AQ141" s="610">
        <f>NPV(realdiscrt2,AQ$39:AQ61)/(1+realdiscrt2)^-Half_Year</f>
        <v>0.25360000051355214</v>
      </c>
      <c r="AR141" s="595">
        <f>NPV(realdiscrt2,AR$39:AR61)/(1+realdiscrt2)^-Half_Year</f>
        <v>482.58839833810538</v>
      </c>
      <c r="AS141" s="612">
        <f>NPV(realdiscrt2,AS$39:AS61)/(1+realdiscrt2)^-Half_Year</f>
        <v>738.41427249574122</v>
      </c>
      <c r="AT141" s="594">
        <f>NPV(realdiscrt2,AT$39:AT61)/(1+realdiscrt2)^-Half_Year</f>
        <v>325.4392448880547</v>
      </c>
      <c r="AU141" s="609">
        <f>NPV(realdiscrt2,AU$39:AU61)/(1+realdiscrt2)^-Half_Year</f>
        <v>524.48235764501214</v>
      </c>
      <c r="AV141" s="608">
        <f>NPV(realdiscrt2,AV$39:AV61)/(1+realdiscrt2)^-Half_Year</f>
        <v>0.17302710782184641</v>
      </c>
      <c r="AW141" s="612">
        <f>NPV(realdiscrt2,AW$39:AW61)/(1+realdiscrt2)^-Half_Year</f>
        <v>0.17302710782184641</v>
      </c>
      <c r="AX141" s="600">
        <f>NPV(realdiscrt2,AX$39:AX61)/(1+realdiscrt2)^-Half_Year</f>
        <v>20.01039585649379</v>
      </c>
      <c r="AY141" s="615">
        <f>NPV(realdiscrt2,AY$39:AY61)/(1+realdiscrt2)^-Half_Year</f>
        <v>586.8580245756151</v>
      </c>
      <c r="AZ141" s="607">
        <f>NPV(realdiscrt2,AZ$39:AZ61)/(1+realdiscrt2)^-Half_Year</f>
        <v>0.82789730712834597</v>
      </c>
      <c r="BA141" s="614">
        <f>NPV(realdiscrt2,BA$39:BA61)/(1+realdiscrt2)^-Half_Year</f>
        <v>0.84554154571571705</v>
      </c>
      <c r="BB141" s="614">
        <f>NPV(realdiscrt2,BB$39:BB61)/(1+realdiscrt2)^-Half_Year</f>
        <v>0.80650923911547989</v>
      </c>
      <c r="BC141" s="610">
        <f>NPV(realdiscrt2,BC$39:BC61)/(1+realdiscrt2)^-Half_Year</f>
        <v>0.8116342143523787</v>
      </c>
    </row>
    <row r="142" spans="1:55" s="325" customFormat="1" ht="14.25">
      <c r="A142" s="602">
        <f t="shared" si="95"/>
        <v>24</v>
      </c>
      <c r="B142" s="603">
        <f t="shared" si="94"/>
        <v>2045</v>
      </c>
      <c r="C142" s="604">
        <f>NPV(realdiscrt2,C$39:C62)/(1+realdiscrt2)^-Half_Year</f>
        <v>1.6713497453903201</v>
      </c>
      <c r="D142" s="605">
        <f>NPV(realdiscrt2,D$39:D62)/(1+realdiscrt2)^-Half_Year</f>
        <v>1.4814078622331772</v>
      </c>
      <c r="E142" s="605">
        <f>NPV(realdiscrt2,E$39:E62)/(1+realdiscrt2)^-Half_Year</f>
        <v>1.5434646116938819</v>
      </c>
      <c r="F142" s="606">
        <f>NPV(realdiscrt2,F$39:F62)/(1+realdiscrt2)^-Half_Year</f>
        <v>1.3002319257060719</v>
      </c>
      <c r="G142" s="604">
        <f>NPV(realdiscrt2,G$39:G62)/(1+realdiscrt2)^-Half_Year</f>
        <v>5.134682057434517E-2</v>
      </c>
      <c r="H142" s="605">
        <f>NPV(realdiscrt2,H$39:H62)/(1+realdiscrt2)^-Half_Year</f>
        <v>3.7682490277649534E-2</v>
      </c>
      <c r="I142" s="605">
        <f>NPV(realdiscrt2,I$39:I62)/(1+realdiscrt2)^-Half_Year</f>
        <v>3.8297684195877736E-2</v>
      </c>
      <c r="J142" s="605">
        <f>NPV(realdiscrt2,J$39:J62)/(1+realdiscrt2)^-Half_Year</f>
        <v>2.584220743248233E-2</v>
      </c>
      <c r="K142" s="607">
        <f>NPV(realdiscrt2,K$39:K62)/(1+realdiscrt2)^-Half_Year</f>
        <v>1.6070462912568296E-2</v>
      </c>
      <c r="L142" s="1321">
        <f>NPV(realdiscrt2,L$39:L62)/(1+realdiscrt2)^-Half_Year</f>
        <v>1957.3798691627355</v>
      </c>
      <c r="M142" s="609">
        <f>NPV(realdiscrt2,M$39:M62)/(1+realdiscrt2)^-Half_Year</f>
        <v>2248.4590719993935</v>
      </c>
      <c r="N142" s="609">
        <f>NPV(realdiscrt2,N$39:N62)/(1+realdiscrt2)^-Half_Year</f>
        <v>2248.4590719993935</v>
      </c>
      <c r="O142" s="612">
        <f>NPV(realdiscrt2,O$39:O62)/(1+realdiscrt2)^-Half_Year</f>
        <v>0</v>
      </c>
      <c r="P142" s="782">
        <f t="shared" si="92"/>
        <v>0</v>
      </c>
      <c r="Q142" s="782">
        <f t="shared" si="92"/>
        <v>0</v>
      </c>
      <c r="R142" s="1316">
        <f t="shared" si="93"/>
        <v>0</v>
      </c>
      <c r="S142" s="595">
        <f>NPV(realdiscrt2,S$39:S62)/(1+realdiscrt2)^-Half_Year</f>
        <v>0</v>
      </c>
      <c r="T142" s="595">
        <f>NPV(realdiscrt2,T$39:T62)/(1+realdiscrt2)^-Half_Year</f>
        <v>0</v>
      </c>
      <c r="U142" s="610">
        <f>NPV(realdiscrt2,U$39:U62)/(1+realdiscrt2)^-Half_Year</f>
        <v>0</v>
      </c>
      <c r="V142" s="611">
        <f>NPV(realdiscrt2,V$39:V62)/(1+realdiscrt2)^-Half_Year</f>
        <v>2057.5760876996933</v>
      </c>
      <c r="W142" s="609">
        <f>NPV(realdiscrt2,W$39:W62)/(1+realdiscrt2)^-Half_Year</f>
        <v>0</v>
      </c>
      <c r="X142" s="612">
        <f>NPV(realdiscrt2,X$39:X62)/(1+realdiscrt2)^-Half_Year</f>
        <v>1782.4549577261816</v>
      </c>
      <c r="Y142" s="608">
        <f>NPV(realdiscrt2,Y$39:Y62)/(1+realdiscrt2)^-Half_Year</f>
        <v>143.75401764959335</v>
      </c>
      <c r="Z142" s="609">
        <f>NPV(realdiscrt2,Z$39:Z62)/(1+realdiscrt2)^-Half_Year</f>
        <v>179.92414624370818</v>
      </c>
      <c r="AA142" s="609">
        <f>NPV(realdiscrt2,AA$39:AA62)/(1+realdiscrt2)^-Half_Year</f>
        <v>205.32992925736454</v>
      </c>
      <c r="AB142" s="609">
        <f>NPV(realdiscrt2,AB$39:AB62)/(1+realdiscrt2)^-Half_Year</f>
        <v>193.48672922373936</v>
      </c>
      <c r="AC142" s="609">
        <f>NPV(realdiscrt2,AC$39:AC62)/(1+realdiscrt2)^-Half_Year</f>
        <v>158.55231028146977</v>
      </c>
      <c r="AD142" s="609">
        <f>NPV(realdiscrt2,AD$39:AD62)/(1+realdiscrt2)^-Half_Year</f>
        <v>184.77333109985221</v>
      </c>
      <c r="AE142" s="612">
        <f>NPV(realdiscrt2,AE$39:AE62)/(1+realdiscrt2)^-Half_Year</f>
        <v>173.3139840923738</v>
      </c>
      <c r="AF142" s="613">
        <f>NPV(realdiscrt2,AF$39:AF62)/(1+realdiscrt2)^-Half_Year</f>
        <v>0.18732924682028518</v>
      </c>
      <c r="AG142" s="607">
        <f>NPV(realdiscrt2,AG$39:AG62)/(1+realdiscrt2)^-Half_Year</f>
        <v>2.7384452399355848</v>
      </c>
      <c r="AH142" s="614">
        <f>NPV(realdiscrt2,AH$39:AH62)/(1+realdiscrt2)^-Half_Year</f>
        <v>2.7384452399355848</v>
      </c>
      <c r="AI142" s="614">
        <f>NPV(realdiscrt2,AI$39:AI62)/(1+realdiscrt2)^-Half_Year</f>
        <v>5.0254531354679273</v>
      </c>
      <c r="AJ142" s="614">
        <f>NPV(realdiscrt2,AJ$39:AJ62)/(1+realdiscrt2)^-Half_Year</f>
        <v>4.2250003720316096</v>
      </c>
      <c r="AK142" s="614">
        <f>NPV(realdiscrt2,AK$39:AK62)/(1+realdiscrt2)^-Half_Year</f>
        <v>2.7384452399355848</v>
      </c>
      <c r="AL142" s="614">
        <f>NPV(realdiscrt2,AL$39:AL62)/(1+realdiscrt2)^-Half_Year</f>
        <v>5.0254531354679273</v>
      </c>
      <c r="AM142" s="614">
        <f>NPV(realdiscrt2,AM$39:AM62)/(1+realdiscrt2)^-Half_Year</f>
        <v>4.0260306851202943</v>
      </c>
      <c r="AN142" s="594">
        <f>NPV(realdiscrt2,AN$39:AN62)/(1+realdiscrt2)^-Half_Year</f>
        <v>559.83958921592648</v>
      </c>
      <c r="AO142" s="595">
        <f>NPV(realdiscrt2,AO$39:AO62)/(1+realdiscrt2)^-Half_Year</f>
        <v>468.58575789203076</v>
      </c>
      <c r="AP142" s="325">
        <f>NPV(realdiscrt2,AP$39:AP62)/(1+realdiscrt2)^-Half_Year</f>
        <v>483.19510730093691</v>
      </c>
      <c r="AQ142" s="610">
        <f>NPV(realdiscrt2,AQ$39:AQ62)/(1+realdiscrt2)^-Half_Year</f>
        <v>0.26292299321798951</v>
      </c>
      <c r="AR142" s="595">
        <f>NPV(realdiscrt2,AR$39:AR62)/(1+realdiscrt2)^-Half_Year</f>
        <v>502.00628476040748</v>
      </c>
      <c r="AS142" s="612">
        <f>NPV(realdiscrt2,AS$39:AS62)/(1+realdiscrt2)^-Half_Year</f>
        <v>768.56778099242717</v>
      </c>
      <c r="AT142" s="594">
        <f>NPV(realdiscrt2,AT$39:AT62)/(1+realdiscrt2)^-Half_Year</f>
        <v>338.5339283001673</v>
      </c>
      <c r="AU142" s="609">
        <f>NPV(realdiscrt2,AU$39:AU62)/(1+realdiscrt2)^-Half_Year</f>
        <v>545.58592931462533</v>
      </c>
      <c r="AV142" s="608">
        <f>NPV(realdiscrt2,AV$39:AV62)/(1+realdiscrt2)^-Half_Year</f>
        <v>0.17935570958756575</v>
      </c>
      <c r="AW142" s="612">
        <f>NPV(realdiscrt2,AW$39:AW62)/(1+realdiscrt2)^-Half_Year</f>
        <v>0.17935570958756575</v>
      </c>
      <c r="AX142" s="600">
        <f>NPV(realdiscrt2,AX$39:AX62)/(1+realdiscrt2)^-Half_Year</f>
        <v>20.742291731910836</v>
      </c>
      <c r="AY142" s="615">
        <f>NPV(realdiscrt2,AY$39:AY62)/(1+realdiscrt2)^-Half_Year</f>
        <v>629.09130633223333</v>
      </c>
      <c r="AZ142" s="607">
        <f>NPV(realdiscrt2,AZ$39:AZ62)/(1+realdiscrt2)^-Half_Year</f>
        <v>0.85435059789814038</v>
      </c>
      <c r="BA142" s="614">
        <f>NPV(realdiscrt2,BA$39:BA62)/(1+realdiscrt2)^-Half_Year</f>
        <v>0.87255861193174677</v>
      </c>
      <c r="BB142" s="614">
        <f>NPV(realdiscrt2,BB$39:BB62)/(1+realdiscrt2)^-Half_Year</f>
        <v>0.83227913017219757</v>
      </c>
      <c r="BC142" s="610">
        <f>NPV(realdiscrt2,BC$39:BC62)/(1+realdiscrt2)^-Half_Year</f>
        <v>0.8375678605740936</v>
      </c>
    </row>
    <row r="143" spans="1:55" s="325" customFormat="1" ht="14.25">
      <c r="A143" s="616">
        <f t="shared" si="95"/>
        <v>25</v>
      </c>
      <c r="B143" s="617">
        <f t="shared" si="94"/>
        <v>2046</v>
      </c>
      <c r="C143" s="618">
        <f>NPV(realdiscrt2,C$39:C63)/(1+realdiscrt2)^-Half_Year</f>
        <v>1.7447095261648293</v>
      </c>
      <c r="D143" s="619">
        <f>NPV(realdiscrt2,D$39:D63)/(1+realdiscrt2)^-Half_Year</f>
        <v>1.5397811640923786</v>
      </c>
      <c r="E143" s="619">
        <f>NPV(realdiscrt2,E$39:E63)/(1+realdiscrt2)^-Half_Year</f>
        <v>1.6357705077565097</v>
      </c>
      <c r="F143" s="620">
        <f>NPV(realdiscrt2,F$39:F63)/(1+realdiscrt2)^-Half_Year</f>
        <v>1.3738136148042495</v>
      </c>
      <c r="G143" s="618">
        <f>NPV(realdiscrt2,G$39:G63)/(1+realdiscrt2)^-Half_Year</f>
        <v>5.134682057434517E-2</v>
      </c>
      <c r="H143" s="619">
        <f>NPV(realdiscrt2,H$39:H63)/(1+realdiscrt2)^-Half_Year</f>
        <v>3.7682490277649534E-2</v>
      </c>
      <c r="I143" s="619">
        <f>NPV(realdiscrt2,I$39:I63)/(1+realdiscrt2)^-Half_Year</f>
        <v>3.8297684195877736E-2</v>
      </c>
      <c r="J143" s="619">
        <f>NPV(realdiscrt2,J$39:J63)/(1+realdiscrt2)^-Half_Year</f>
        <v>2.584220743248233E-2</v>
      </c>
      <c r="K143" s="621">
        <f>NPV(realdiscrt2,K$39:K63)/(1+realdiscrt2)^-Half_Year</f>
        <v>1.6150166140053775E-2</v>
      </c>
      <c r="L143" s="622">
        <f>NPV(realdiscrt2,L$39:L63)/(1+realdiscrt2)^-Half_Year</f>
        <v>2043.4414357689309</v>
      </c>
      <c r="M143" s="623">
        <f>NPV(realdiscrt2,M$39:M63)/(1+realdiscrt2)^-Half_Year</f>
        <v>2355.9047493527951</v>
      </c>
      <c r="N143" s="623">
        <f>NPV(realdiscrt2,N$39:N63)/(1+realdiscrt2)^-Half_Year</f>
        <v>2355.9047493527951</v>
      </c>
      <c r="O143" s="626">
        <f>NPV(realdiscrt2,O$39:O63)/(1+realdiscrt2)^-Half_Year</f>
        <v>0</v>
      </c>
      <c r="P143" s="783">
        <f t="shared" si="92"/>
        <v>0</v>
      </c>
      <c r="Q143" s="783">
        <f t="shared" si="92"/>
        <v>0</v>
      </c>
      <c r="R143" s="1317">
        <f t="shared" si="93"/>
        <v>0</v>
      </c>
      <c r="S143" s="630">
        <f>NPV(realdiscrt2,S$39:S63)/(1+realdiscrt2)^-Half_Year</f>
        <v>0</v>
      </c>
      <c r="T143" s="630">
        <f>NPV(realdiscrt2,T$39:T63)/(1+realdiscrt2)^-Half_Year</f>
        <v>0</v>
      </c>
      <c r="U143" s="624">
        <f>NPV(realdiscrt2,U$39:U63)/(1+realdiscrt2)^-Half_Year</f>
        <v>0</v>
      </c>
      <c r="V143" s="625">
        <f>NPV(realdiscrt2,V$39:V63)/(1+realdiscrt2)^-Half_Year</f>
        <v>2129.1655075149233</v>
      </c>
      <c r="W143" s="623">
        <f>NPV(realdiscrt2,W$39:W63)/(1+realdiscrt2)^-Half_Year</f>
        <v>0</v>
      </c>
      <c r="X143" s="626">
        <f>NPV(realdiscrt2,X$39:X63)/(1+realdiscrt2)^-Half_Year</f>
        <v>1844.4720646673186</v>
      </c>
      <c r="Y143" s="622">
        <f>NPV(realdiscrt2,Y$39:Y63)/(1+realdiscrt2)^-Half_Year</f>
        <v>149.15895898342646</v>
      </c>
      <c r="Z143" s="623">
        <f>NPV(realdiscrt2,Z$39:Z63)/(1+realdiscrt2)^-Half_Year</f>
        <v>186.54923735864205</v>
      </c>
      <c r="AA143" s="623">
        <f>NPV(realdiscrt2,AA$39:AA63)/(1+realdiscrt2)^-Half_Year</f>
        <v>212.82857270642245</v>
      </c>
      <c r="AB143" s="623">
        <f>NPV(realdiscrt2,AB$39:AB63)/(1+realdiscrt2)^-Half_Year</f>
        <v>200.58217077926091</v>
      </c>
      <c r="AC143" s="623">
        <f>NPV(realdiscrt2,AC$39:AC63)/(1+realdiscrt2)^-Half_Year</f>
        <v>164.45770789471948</v>
      </c>
      <c r="AD143" s="623">
        <f>NPV(realdiscrt2,AD$39:AD63)/(1+realdiscrt2)^-Half_Year</f>
        <v>191.56735347581903</v>
      </c>
      <c r="AE143" s="626">
        <f>NPV(realdiscrt2,AE$39:AE63)/(1+realdiscrt2)^-Half_Year</f>
        <v>179.71949566336281</v>
      </c>
      <c r="AF143" s="627">
        <f>NPV(realdiscrt2,AF$39:AF63)/(1+realdiscrt2)^-Half_Year</f>
        <v>0.19494514254530967</v>
      </c>
      <c r="AG143" s="621">
        <f>NPV(realdiscrt2,AG$39:AG63)/(1+realdiscrt2)^-Half_Year</f>
        <v>2.7384452399355848</v>
      </c>
      <c r="AH143" s="628">
        <f>NPV(realdiscrt2,AH$39:AH63)/(1+realdiscrt2)^-Half_Year</f>
        <v>2.7384452399355848</v>
      </c>
      <c r="AI143" s="628">
        <f>NPV(realdiscrt2,AI$39:AI63)/(1+realdiscrt2)^-Half_Year</f>
        <v>5.0254531354679273</v>
      </c>
      <c r="AJ143" s="628">
        <f>NPV(realdiscrt2,AJ$39:AJ63)/(1+realdiscrt2)^-Half_Year</f>
        <v>4.2250003720316096</v>
      </c>
      <c r="AK143" s="628">
        <f>NPV(realdiscrt2,AK$39:AK63)/(1+realdiscrt2)^-Half_Year</f>
        <v>2.7384452399355848</v>
      </c>
      <c r="AL143" s="628">
        <f>NPV(realdiscrt2,AL$39:AL63)/(1+realdiscrt2)^-Half_Year</f>
        <v>5.0254531354679273</v>
      </c>
      <c r="AM143" s="628">
        <f>NPV(realdiscrt2,AM$39:AM63)/(1+realdiscrt2)^-Half_Year</f>
        <v>4.0260306851202943</v>
      </c>
      <c r="AN143" s="629">
        <f>NPV(realdiscrt2,AN$39:AN63)/(1+realdiscrt2)^-Half_Year</f>
        <v>581.32306512297635</v>
      </c>
      <c r="AO143" s="630">
        <f>NPV(realdiscrt2,AO$39:AO63)/(1+realdiscrt2)^-Half_Year</f>
        <v>486.54942715484111</v>
      </c>
      <c r="AP143" s="633">
        <f>NPV(realdiscrt2,AP$39:AP63)/(1+realdiscrt2)^-Half_Year</f>
        <v>501.77483897870849</v>
      </c>
      <c r="AQ143" s="624">
        <f>NPV(realdiscrt2,AQ$39:AQ63)/(1+realdiscrt2)^-Half_Year</f>
        <v>0.2721159606488735</v>
      </c>
      <c r="AR143" s="630">
        <f>NPV(realdiscrt2,AR$39:AR63)/(1+realdiscrt2)^-Half_Year</f>
        <v>521.27044565860751</v>
      </c>
      <c r="AS143" s="626">
        <f>NPV(realdiscrt2,AS$39:AS63)/(1+realdiscrt2)^-Half_Year</f>
        <v>798.52409080067366</v>
      </c>
      <c r="AT143" s="629">
        <f>NPV(realdiscrt2,AT$39:AT63)/(1+realdiscrt2)^-Half_Year</f>
        <v>351.52494507077745</v>
      </c>
      <c r="AU143" s="623">
        <f>NPV(realdiscrt2,AU$39:AU63)/(1+realdiscrt2)^-Half_Year</f>
        <v>566.52243040071664</v>
      </c>
      <c r="AV143" s="622">
        <f>NPV(realdiscrt2,AV$39:AV63)/(1+realdiscrt2)^-Half_Year</f>
        <v>0.18559604804536609</v>
      </c>
      <c r="AW143" s="626">
        <f>NPV(realdiscrt2,AW$39:AW63)/(1+realdiscrt2)^-Half_Year</f>
        <v>0.18559604804536609</v>
      </c>
      <c r="AX143" s="631">
        <f>NPV(realdiscrt2,AX$39:AX63)/(1+realdiscrt2)^-Half_Year</f>
        <v>21.46398005226153</v>
      </c>
      <c r="AY143" s="632">
        <f>NPV(realdiscrt2,AY$39:AY63)/(1+realdiscrt2)^-Half_Year</f>
        <v>673.28522076882916</v>
      </c>
      <c r="AZ143" s="621">
        <f>NPV(realdiscrt2,AZ$39:AZ63)/(1+realdiscrt2)^-Half_Year</f>
        <v>0.88015372409375381</v>
      </c>
      <c r="BA143" s="628">
        <f>NPV(realdiscrt2,BA$39:BA63)/(1+realdiscrt2)^-Half_Year</f>
        <v>0.89891165719458677</v>
      </c>
      <c r="BB143" s="628">
        <f>NPV(realdiscrt2,BB$39:BB63)/(1+realdiscrt2)^-Half_Year</f>
        <v>0.85741565313904744</v>
      </c>
      <c r="BC143" s="624">
        <f>NPV(realdiscrt2,BC$39:BC63)/(1+realdiscrt2)^-Half_Year</f>
        <v>0.86286411395877249</v>
      </c>
    </row>
    <row r="144" spans="1:55" ht="20.25">
      <c r="A144" s="1498" t="str">
        <f>Year3&amp;", "&amp;Year3&amp;"$"</f>
        <v>2023, 2023$</v>
      </c>
      <c r="B144" s="1499"/>
      <c r="C144" s="571"/>
      <c r="D144" s="571"/>
      <c r="E144" s="571"/>
      <c r="F144" s="571"/>
      <c r="G144" s="571"/>
      <c r="H144" s="571"/>
      <c r="I144" s="571"/>
      <c r="J144" s="571"/>
      <c r="K144" s="571"/>
      <c r="L144" s="1322"/>
      <c r="M144" s="1322"/>
      <c r="N144" s="1300"/>
      <c r="O144" s="571"/>
      <c r="P144" s="1300"/>
      <c r="Q144" s="1300"/>
      <c r="R144" s="571"/>
      <c r="S144" s="1300"/>
      <c r="T144" s="1300"/>
      <c r="U144" s="571"/>
      <c r="V144" s="571"/>
      <c r="W144" s="571"/>
      <c r="X144" s="571"/>
      <c r="Y144" s="571"/>
      <c r="Z144" s="571"/>
      <c r="AA144" s="571"/>
      <c r="AB144" s="571"/>
      <c r="AC144" s="571"/>
      <c r="AD144" s="571"/>
      <c r="AE144" s="571"/>
      <c r="AF144" s="571"/>
      <c r="AG144" s="571"/>
      <c r="AH144" s="571"/>
      <c r="AI144" s="571"/>
      <c r="AJ144" s="571"/>
      <c r="AK144" s="571"/>
      <c r="AL144" s="571"/>
      <c r="AM144" s="571"/>
      <c r="AN144" s="571"/>
      <c r="AO144" s="571"/>
      <c r="AP144" s="571"/>
      <c r="AQ144" s="571"/>
      <c r="AR144" s="571"/>
      <c r="AS144" s="571"/>
      <c r="AT144" s="571"/>
      <c r="AU144" s="571"/>
      <c r="AV144" s="571"/>
      <c r="AW144" s="571"/>
      <c r="AX144" s="571"/>
      <c r="AY144" s="571"/>
      <c r="AZ144" s="571"/>
      <c r="BA144" s="571"/>
      <c r="BB144" s="571"/>
      <c r="BC144" s="572"/>
    </row>
    <row r="145" spans="1:55" s="325" customFormat="1" ht="14.25">
      <c r="A145" s="587">
        <v>1</v>
      </c>
      <c r="B145" s="588">
        <v>2023</v>
      </c>
      <c r="C145" s="589">
        <f>NPV(realdiscrt3,C65:C$65)/(1+realdiscrt3)^-Half_Year</f>
        <v>7.5629052777126962E-2</v>
      </c>
      <c r="D145" s="590">
        <f>NPV(realdiscrt3,D65:D$65)/(1+realdiscrt3)^-Half_Year</f>
        <v>6.7653932465801328E-2</v>
      </c>
      <c r="E145" s="590">
        <f>NPV(realdiscrt3,E65:E$65)/(1+realdiscrt3)^-Half_Year</f>
        <v>5.9188398473066853E-2</v>
      </c>
      <c r="F145" s="591">
        <f>NPV(realdiscrt3,F65:F$65)/(1+realdiscrt3)^-Half_Year</f>
        <v>4.7913055702213644E-2</v>
      </c>
      <c r="G145" s="589">
        <f>NPV(realdiscrt3,G65:G$65)/(1+realdiscrt3)^-Half_Year</f>
        <v>4.6100292371802198E-3</v>
      </c>
      <c r="H145" s="590">
        <f>NPV(realdiscrt3,H65:H$65)/(1+realdiscrt3)^-Half_Year</f>
        <v>3.3461605660619559E-3</v>
      </c>
      <c r="I145" s="590">
        <f>NPV(realdiscrt3,I65:I$65)/(1+realdiscrt3)^-Half_Year</f>
        <v>2.9389647949514455E-3</v>
      </c>
      <c r="J145" s="590">
        <f>NPV(realdiscrt3,J65:J$65)/(1+realdiscrt3)^-Half_Year</f>
        <v>2.0944247518625901E-3</v>
      </c>
      <c r="K145" s="592">
        <f>NPV(realdiscrt3,K65:K$65)/(1+realdiscrt3)^-Half_Year</f>
        <v>1.7586313383452725E-3</v>
      </c>
      <c r="L145" s="1320">
        <f>NPV(realdiscrt3,L65:L$65)/(1+realdiscrt3)^-Half_Year</f>
        <v>68.251101172309589</v>
      </c>
      <c r="M145" s="595">
        <f>NPV(realdiscrt3,M65:M$65)/(1+realdiscrt3)^-Half_Year</f>
        <v>26.488794005712251</v>
      </c>
      <c r="N145" s="595">
        <f>NPV(realdiscrt3,N65:N$65)/(1+realdiscrt3)^-Half_Year</f>
        <v>26.488794005712251</v>
      </c>
      <c r="O145" s="1308">
        <f>NPV(realdiscrt3,O65:O$65)/(1+realdiscrt3)^-Half_Year</f>
        <v>0</v>
      </c>
      <c r="P145" s="782">
        <f t="shared" ref="P145:Q169" si="96">NPV(realdiscrt3,P65)/(1+realdiscrt3)^-Half_Year</f>
        <v>36.041657114862666</v>
      </c>
      <c r="Q145" s="782">
        <f t="shared" si="96"/>
        <v>0</v>
      </c>
      <c r="R145" s="1315">
        <f t="shared" ref="R145:R169" si="97">NPV(realdiscrt3,R65)/(1+realdiscrt3)^-Half_Year</f>
        <v>0</v>
      </c>
      <c r="S145" s="595">
        <f>NPV(realdiscrt3,S65:S$65)/(1+realdiscrt3)^-Half_Year</f>
        <v>0</v>
      </c>
      <c r="T145" s="595">
        <f>NPV(realdiscrt3,T65:T$65)/(1+realdiscrt3)^-Half_Year</f>
        <v>0</v>
      </c>
      <c r="U145" s="596">
        <f>NPV(realdiscrt3,U65:U$65)/(1+realdiscrt3)^-Half_Year</f>
        <v>0</v>
      </c>
      <c r="V145" s="597">
        <f>NPV(realdiscrt3,V65:V$65)/(1+realdiscrt3)^-Half_Year</f>
        <v>102.10105494281926</v>
      </c>
      <c r="W145" s="595">
        <f>NPV(realdiscrt3,W65:W$65)/(1+realdiscrt3)^-Half_Year</f>
        <v>0</v>
      </c>
      <c r="X145" s="598">
        <f>NPV(realdiscrt3,X65:X$65)/(1+realdiscrt3)^-Half_Year</f>
        <v>88.448992316663876</v>
      </c>
      <c r="Y145" s="594">
        <f>NPV(realdiscrt3,Y65:Y$65)/(1+realdiscrt3)^-Half_Year</f>
        <v>6.5655690043390251</v>
      </c>
      <c r="Z145" s="595">
        <f>NPV(realdiscrt3,Z65:Z$65)/(1+realdiscrt3)^-Half_Year</f>
        <v>8.3950584889986608</v>
      </c>
      <c r="AA145" s="595">
        <f>NPV(realdiscrt3,AA65:AA$65)/(1+realdiscrt3)^-Half_Year</f>
        <v>9.6647742804344148</v>
      </c>
      <c r="AB145" s="595">
        <f>NPV(realdiscrt3,AB65:AB$65)/(1+realdiscrt3)^-Half_Year</f>
        <v>9.0688605332724777</v>
      </c>
      <c r="AC145" s="595">
        <f>NPV(realdiscrt3,AC65:AC$65)/(1+realdiscrt3)^-Half_Year</f>
        <v>7.3121653501678594</v>
      </c>
      <c r="AD145" s="595">
        <f>NPV(realdiscrt3,AD65:AD$65)/(1+realdiscrt3)^-Half_Year</f>
        <v>8.6351289469987176</v>
      </c>
      <c r="AE145" s="598">
        <f>NPV(realdiscrt3,AE65:AE$65)/(1+realdiscrt3)^-Half_Year</f>
        <v>8.0569938551836309</v>
      </c>
      <c r="AF145" s="599">
        <f>NPV(realdiscrt3,AF65:AF$65)/(1+realdiscrt3)^-Half_Year</f>
        <v>0</v>
      </c>
      <c r="AG145" s="592">
        <f>NPV(realdiscrt3,AG65:AG$65)/(1+realdiscrt3)^-Half_Year</f>
        <v>0.27154535889047676</v>
      </c>
      <c r="AH145" s="593">
        <f>NPV(realdiscrt3,AH65:AH$65)/(1+realdiscrt3)^-Half_Year</f>
        <v>0.27154535889047676</v>
      </c>
      <c r="AI145" s="593">
        <f>NPV(realdiscrt3,AI65:AI$65)/(1+realdiscrt3)^-Half_Year</f>
        <v>0.51050527471409624</v>
      </c>
      <c r="AJ145" s="593">
        <f>NPV(realdiscrt3,AJ65:AJ$65)/(1+realdiscrt3)^-Half_Year</f>
        <v>0.42686930417582941</v>
      </c>
      <c r="AK145" s="593">
        <f>NPV(realdiscrt3,AK65:AK$65)/(1+realdiscrt3)^-Half_Year</f>
        <v>0.27154535889047676</v>
      </c>
      <c r="AL145" s="593">
        <f>NPV(realdiscrt3,AL65:AL$65)/(1+realdiscrt3)^-Half_Year</f>
        <v>0.51050527471409624</v>
      </c>
      <c r="AM145" s="593">
        <f>NPV(realdiscrt3,AM65:AM$65)/(1+realdiscrt3)^-Half_Year</f>
        <v>0.4060797914991745</v>
      </c>
      <c r="AN145" s="594">
        <f>NPV(realdiscrt3,AN65:AN$65)/(1+realdiscrt3)^-Half_Year</f>
        <v>24.883603512391069</v>
      </c>
      <c r="AO145" s="595">
        <f>NPV(realdiscrt3,AO65:AO$65)/(1+realdiscrt3)^-Half_Year</f>
        <v>20.584995474838983</v>
      </c>
      <c r="AP145" s="325">
        <f>NPV(realdiscrt3,AP65:AP$65)/(1+realdiscrt3)^-Half_Year</f>
        <v>21.097431381027018</v>
      </c>
      <c r="AQ145" s="596">
        <f>NPV(realdiscrt3,AQ65:AQ$65)/(1+realdiscrt3)^-Half_Year</f>
        <v>1.2763789270689172E-2</v>
      </c>
      <c r="AR145" s="595">
        <f>NPV(realdiscrt3,AR65:AR$65)/(1+realdiscrt3)^-Half_Year</f>
        <v>22.313043934962742</v>
      </c>
      <c r="AS145" s="598">
        <f>NPV(realdiscrt3,AS65:AS$65)/(1+realdiscrt3)^-Half_Year</f>
        <v>35.692017131582041</v>
      </c>
      <c r="AT145" s="594">
        <f>NPV(realdiscrt3,AT65:AT$65)/(1+realdiscrt3)^-Half_Year</f>
        <v>15.047067427138545</v>
      </c>
      <c r="AU145" s="595">
        <f>NPV(realdiscrt3,AU65:AU$65)/(1+realdiscrt3)^-Half_Year</f>
        <v>24.250060568275252</v>
      </c>
      <c r="AV145" s="594">
        <f>NPV(realdiscrt3,AV65:AV$65)/(1+realdiscrt3)^-Half_Year</f>
        <v>8.8999902693178631E-3</v>
      </c>
      <c r="AW145" s="598">
        <f>NPV(realdiscrt3,AW65:AW$65)/(1+realdiscrt3)^-Half_Year</f>
        <v>8.8999902693178631E-3</v>
      </c>
      <c r="AX145" s="600">
        <f>NPV(realdiscrt3,AX65:AX$65)/(1+realdiscrt3)^-Half_Year</f>
        <v>1.010975488330855</v>
      </c>
      <c r="AY145" s="601">
        <f>NPV(realdiscrt3,AY65:AY$65)/(1+realdiscrt3)^-Half_Year</f>
        <v>14.949304320814838</v>
      </c>
      <c r="AZ145" s="592">
        <f>NPV(realdiscrt3,AZ65:AZ$65)/(1+realdiscrt3)^-Half_Year</f>
        <v>4.6459742117884589E-2</v>
      </c>
      <c r="BA145" s="593">
        <f>NPV(realdiscrt3,BA65:BA$65)/(1+realdiscrt3)^-Half_Year</f>
        <v>4.7449897258597704E-2</v>
      </c>
      <c r="BB145" s="593">
        <f>NPV(realdiscrt3,BB65:BB$65)/(1+realdiscrt3)^-Half_Year</f>
        <v>4.5259491657203367E-2</v>
      </c>
      <c r="BC145" s="596">
        <f>NPV(realdiscrt3,BC65:BC$65)/(1+realdiscrt3)^-Half_Year</f>
        <v>4.554709378589341E-2</v>
      </c>
    </row>
    <row r="146" spans="1:55" s="325" customFormat="1" ht="14.25">
      <c r="A146" s="602">
        <v>2</v>
      </c>
      <c r="B146" s="603">
        <f t="shared" ref="B146:B169" si="98">B145+1</f>
        <v>2024</v>
      </c>
      <c r="C146" s="604">
        <f>NPV(realdiscrt3,C$65:C66)/(1+realdiscrt3)^-Half_Year</f>
        <v>0.15358644609160493</v>
      </c>
      <c r="D146" s="605">
        <f>NPV(realdiscrt3,D$65:D66)/(1+realdiscrt3)^-Half_Year</f>
        <v>0.14120982730906315</v>
      </c>
      <c r="E146" s="605">
        <f>NPV(realdiscrt3,E$65:E66)/(1+realdiscrt3)^-Half_Year</f>
        <v>0.1159093402472378</v>
      </c>
      <c r="F146" s="606">
        <f>NPV(realdiscrt3,F$65:F66)/(1+realdiscrt3)^-Half_Year</f>
        <v>0.10016597889877106</v>
      </c>
      <c r="G146" s="604">
        <f>NPV(realdiscrt3,G$65:G66)/(1+realdiscrt3)^-Half_Year</f>
        <v>1.2123885952571158E-2</v>
      </c>
      <c r="H146" s="605">
        <f>NPV(realdiscrt3,H$65:H66)/(1+realdiscrt3)^-Half_Year</f>
        <v>8.9412249717607077E-3</v>
      </c>
      <c r="I146" s="605">
        <f>NPV(realdiscrt3,I$65:I66)/(1+realdiscrt3)^-Half_Year</f>
        <v>8.2028451580856056E-3</v>
      </c>
      <c r="J146" s="605">
        <f>NPV(realdiscrt3,J$65:J66)/(1+realdiscrt3)^-Half_Year</f>
        <v>5.7229614875386929E-3</v>
      </c>
      <c r="K146" s="607">
        <f>NPV(realdiscrt3,K$65:K66)/(1+realdiscrt3)^-Half_Year</f>
        <v>4.4690235018516669E-3</v>
      </c>
      <c r="L146" s="1321">
        <f>NPV(realdiscrt3,L$65:L66)/(1+realdiscrt3)^-Half_Year</f>
        <v>138.36686025723955</v>
      </c>
      <c r="M146" s="609">
        <f>NPV(realdiscrt3,M$65:M66)/(1+realdiscrt3)^-Half_Year</f>
        <v>71.765994951459234</v>
      </c>
      <c r="N146" s="609">
        <f>NPV(realdiscrt3,N$65:N66)/(1+realdiscrt3)^-Half_Year</f>
        <v>71.765994951459234</v>
      </c>
      <c r="O146" s="612">
        <f>NPV(realdiscrt3,O$65:O66)/(1+realdiscrt3)^-Half_Year</f>
        <v>0</v>
      </c>
      <c r="P146" s="782">
        <f t="shared" si="96"/>
        <v>44.96955555421146</v>
      </c>
      <c r="Q146" s="782">
        <f t="shared" si="96"/>
        <v>0</v>
      </c>
      <c r="R146" s="1316">
        <f t="shared" si="97"/>
        <v>0</v>
      </c>
      <c r="S146" s="595">
        <f>NPV(realdiscrt3,S$65:S66)/(1+realdiscrt3)^-Half_Year</f>
        <v>0</v>
      </c>
      <c r="T146" s="595">
        <f>NPV(realdiscrt3,T$65:T66)/(1+realdiscrt3)^-Half_Year</f>
        <v>0</v>
      </c>
      <c r="U146" s="610">
        <f>NPV(realdiscrt3,U$65:U66)/(1+realdiscrt3)^-Half_Year</f>
        <v>0</v>
      </c>
      <c r="V146" s="611">
        <f>NPV(realdiscrt3,V$65:V66)/(1+realdiscrt3)^-Half_Year</f>
        <v>202.77813391355463</v>
      </c>
      <c r="W146" s="609">
        <f>NPV(realdiscrt3,W$65:W66)/(1+realdiscrt3)^-Half_Year</f>
        <v>0</v>
      </c>
      <c r="X146" s="612">
        <f>NPV(realdiscrt3,X$65:X66)/(1+realdiscrt3)^-Half_Year</f>
        <v>175.66441030949247</v>
      </c>
      <c r="Y146" s="608">
        <f>NPV(realdiscrt3,Y$65:Y66)/(1+realdiscrt3)^-Half_Year</f>
        <v>13.132437942750038</v>
      </c>
      <c r="Z146" s="609">
        <f>NPV(realdiscrt3,Z$65:Z66)/(1+realdiscrt3)^-Half_Year</f>
        <v>16.763535567132141</v>
      </c>
      <c r="AA146" s="609">
        <f>NPV(realdiscrt3,AA$65:AA66)/(1+realdiscrt3)^-Half_Year</f>
        <v>19.284665926302242</v>
      </c>
      <c r="AB146" s="609">
        <f>NPV(realdiscrt3,AB$65:AB66)/(1+realdiscrt3)^-Half_Year</f>
        <v>18.101711866453595</v>
      </c>
      <c r="AC146" s="609">
        <f>NPV(realdiscrt3,AC$65:AC66)/(1+realdiscrt3)^-Half_Year</f>
        <v>14.614524344761948</v>
      </c>
      <c r="AD146" s="609">
        <f>NPV(realdiscrt3,AD$65:AD66)/(1+realdiscrt3)^-Half_Year</f>
        <v>17.240407210101004</v>
      </c>
      <c r="AE146" s="612">
        <f>NPV(realdiscrt3,AE$65:AE66)/(1+realdiscrt3)^-Half_Year</f>
        <v>16.092896397947836</v>
      </c>
      <c r="AF146" s="613">
        <f>NPV(realdiscrt3,AF$65:AF66)/(1+realdiscrt3)^-Half_Year</f>
        <v>0</v>
      </c>
      <c r="AG146" s="607">
        <f>NPV(realdiscrt3,AG$65:AG66)/(1+realdiscrt3)^-Half_Year</f>
        <v>0.68924813334352786</v>
      </c>
      <c r="AH146" s="614">
        <f>NPV(realdiscrt3,AH$65:AH66)/(1+realdiscrt3)^-Half_Year</f>
        <v>0.68924813334352786</v>
      </c>
      <c r="AI146" s="614">
        <f>NPV(realdiscrt3,AI$65:AI66)/(1+realdiscrt3)^-Half_Year</f>
        <v>1.3030695134198855</v>
      </c>
      <c r="AJ146" s="614">
        <f>NPV(realdiscrt3,AJ$65:AJ66)/(1+realdiscrt3)^-Half_Year</f>
        <v>1.0882320303931603</v>
      </c>
      <c r="AK146" s="614">
        <f>NPV(realdiscrt3,AK$65:AK66)/(1+realdiscrt3)^-Half_Year</f>
        <v>0.68924813334352786</v>
      </c>
      <c r="AL146" s="614">
        <f>NPV(realdiscrt3,AL$65:AL66)/(1+realdiscrt3)^-Half_Year</f>
        <v>1.3030695134198855</v>
      </c>
      <c r="AM146" s="614">
        <f>NPV(realdiscrt3,AM$65:AM66)/(1+realdiscrt3)^-Half_Year</f>
        <v>1.0348295703265171</v>
      </c>
      <c r="AN146" s="594">
        <f>NPV(realdiscrt3,AN$65:AN66)/(1+realdiscrt3)^-Half_Year</f>
        <v>49.765575340493122</v>
      </c>
      <c r="AO146" s="595">
        <f>NPV(realdiscrt3,AO$65:AO66)/(1+realdiscrt3)^-Half_Year</f>
        <v>41.17514278830366</v>
      </c>
      <c r="AP146" s="325">
        <f>NPV(realdiscrt3,AP$65:AP66)/(1+realdiscrt3)^-Half_Year</f>
        <v>42.214311892674957</v>
      </c>
      <c r="AQ146" s="610">
        <f>NPV(realdiscrt3,AQ$65:AQ66)/(1+realdiscrt3)^-Half_Year</f>
        <v>2.5404105416882684E-2</v>
      </c>
      <c r="AR146" s="595">
        <f>NPV(realdiscrt3,AR$65:AR66)/(1+realdiscrt3)^-Half_Year</f>
        <v>44.624624744087996</v>
      </c>
      <c r="AS146" s="612">
        <f>NPV(realdiscrt3,AS$65:AS66)/(1+realdiscrt3)^-Half_Year</f>
        <v>71.042566718321069</v>
      </c>
      <c r="AT146" s="594">
        <f>NPV(realdiscrt3,AT$65:AT66)/(1+realdiscrt3)^-Half_Year</f>
        <v>30.093148177909882</v>
      </c>
      <c r="AU146" s="609">
        <f>NPV(realdiscrt3,AU$65:AU66)/(1+realdiscrt3)^-Half_Year</f>
        <v>48.498530995363069</v>
      </c>
      <c r="AV146" s="608">
        <f>NPV(realdiscrt3,AV$65:AV66)/(1+realdiscrt3)^-Half_Year</f>
        <v>1.7675854766356618E-2</v>
      </c>
      <c r="AW146" s="612">
        <f>NPV(realdiscrt3,AW$65:AW66)/(1+realdiscrt3)^-Half_Year</f>
        <v>1.7675854766356618E-2</v>
      </c>
      <c r="AX146" s="600">
        <f>NPV(realdiscrt3,AX$65:AX66)/(1+realdiscrt3)^-Half_Year</f>
        <v>2.0078511732409217</v>
      </c>
      <c r="AY146" s="615">
        <f>NPV(realdiscrt3,AY$65:AY66)/(1+realdiscrt3)^-Half_Year</f>
        <v>30.885315554657215</v>
      </c>
      <c r="AZ146" s="607">
        <f>NPV(realdiscrt3,AZ$65:AZ66)/(1+realdiscrt3)^-Half_Year</f>
        <v>9.1876175784830816E-2</v>
      </c>
      <c r="BA146" s="614">
        <f>NPV(realdiscrt3,BA$65:BA66)/(1+realdiscrt3)^-Half_Year</f>
        <v>9.3834250961649185E-2</v>
      </c>
      <c r="BB146" s="614">
        <f>NPV(realdiscrt3,BB$65:BB66)/(1+realdiscrt3)^-Half_Year</f>
        <v>8.9502627906937582E-2</v>
      </c>
      <c r="BC146" s="610">
        <f>NPV(realdiscrt3,BC$65:BC66)/(1+realdiscrt3)^-Half_Year</f>
        <v>9.007137371840962E-2</v>
      </c>
    </row>
    <row r="147" spans="1:55" s="325" customFormat="1" ht="14.25">
      <c r="A147" s="602">
        <f t="shared" ref="A147:A169" si="99">A146+1</f>
        <v>3</v>
      </c>
      <c r="B147" s="603">
        <f t="shared" si="98"/>
        <v>2025</v>
      </c>
      <c r="C147" s="604">
        <f>NPV(realdiscrt3,C$65:C67)/(1+realdiscrt3)^-Half_Year</f>
        <v>0.22554697721597169</v>
      </c>
      <c r="D147" s="605">
        <f>NPV(realdiscrt3,D$65:D67)/(1+realdiscrt3)^-Half_Year</f>
        <v>0.20957568969199467</v>
      </c>
      <c r="E147" s="605">
        <f>NPV(realdiscrt3,E$65:E67)/(1+realdiscrt3)^-Half_Year</f>
        <v>0.17351323001310492</v>
      </c>
      <c r="F147" s="606">
        <f>NPV(realdiscrt3,F$65:F67)/(1+realdiscrt3)^-Half_Year</f>
        <v>0.15224441686696583</v>
      </c>
      <c r="G147" s="604">
        <f>NPV(realdiscrt3,G$65:G67)/(1+realdiscrt3)^-Half_Year</f>
        <v>2.0402442996748326E-2</v>
      </c>
      <c r="H147" s="605">
        <f>NPV(realdiscrt3,H$65:H67)/(1+realdiscrt3)^-Half_Year</f>
        <v>1.5102721622172011E-2</v>
      </c>
      <c r="I147" s="605">
        <f>NPV(realdiscrt3,I$65:I67)/(1+realdiscrt3)^-Half_Year</f>
        <v>1.4971458866549199E-2</v>
      </c>
      <c r="J147" s="605">
        <f>NPV(realdiscrt3,J$65:J67)/(1+realdiscrt3)^-Half_Year</f>
        <v>1.022346009323123E-2</v>
      </c>
      <c r="K147" s="607">
        <f>NPV(realdiscrt3,K$65:K67)/(1+realdiscrt3)^-Half_Year</f>
        <v>7.2075306189762897E-3</v>
      </c>
      <c r="L147" s="1321">
        <f>NPV(realdiscrt3,L$65:L67)/(1+realdiscrt3)^-Half_Year</f>
        <v>212.4834734378619</v>
      </c>
      <c r="M147" s="609">
        <f>NPV(realdiscrt3,M$65:M67)/(1+realdiscrt3)^-Half_Year</f>
        <v>138.54332969138446</v>
      </c>
      <c r="N147" s="609">
        <f>NPV(realdiscrt3,N$65:N67)/(1+realdiscrt3)^-Half_Year</f>
        <v>138.54332969138446</v>
      </c>
      <c r="O147" s="612">
        <f>NPV(realdiscrt3,O$65:O67)/(1+realdiscrt3)^-Half_Year</f>
        <v>0</v>
      </c>
      <c r="P147" s="782">
        <f t="shared" si="96"/>
        <v>8.0933372392707632</v>
      </c>
      <c r="Q147" s="782">
        <f t="shared" si="96"/>
        <v>0</v>
      </c>
      <c r="R147" s="1316">
        <f t="shared" si="97"/>
        <v>0</v>
      </c>
      <c r="S147" s="595">
        <f>NPV(realdiscrt3,S$65:S67)/(1+realdiscrt3)^-Half_Year</f>
        <v>0</v>
      </c>
      <c r="T147" s="595">
        <f>NPV(realdiscrt3,T$65:T67)/(1+realdiscrt3)^-Half_Year</f>
        <v>0</v>
      </c>
      <c r="U147" s="610">
        <f>NPV(realdiscrt3,U$65:U67)/(1+realdiscrt3)^-Half_Year</f>
        <v>0</v>
      </c>
      <c r="V147" s="611">
        <f>NPV(realdiscrt3,V$65:V67)/(1+realdiscrt3)^-Half_Year</f>
        <v>302.0510967223737</v>
      </c>
      <c r="W147" s="609">
        <f>NPV(realdiscrt3,W$65:W67)/(1+realdiscrt3)^-Half_Year</f>
        <v>0</v>
      </c>
      <c r="X147" s="612">
        <f>NPV(realdiscrt3,X$65:X67)/(1+realdiscrt3)^-Half_Year</f>
        <v>261.6634583080384</v>
      </c>
      <c r="Y147" s="608">
        <f>NPV(realdiscrt3,Y$65:Y67)/(1+realdiscrt3)^-Half_Year</f>
        <v>19.632668365332357</v>
      </c>
      <c r="Z147" s="609">
        <f>NPV(realdiscrt3,Z$65:Z67)/(1+realdiscrt3)^-Half_Year</f>
        <v>25.034904545807454</v>
      </c>
      <c r="AA147" s="609">
        <f>NPV(realdiscrt3,AA$65:AA67)/(1+realdiscrt3)^-Half_Year</f>
        <v>28.788605729177039</v>
      </c>
      <c r="AB147" s="609">
        <f>NPV(realdiscrt3,AB$65:AB67)/(1+realdiscrt3)^-Half_Year</f>
        <v>27.028086816287235</v>
      </c>
      <c r="AC147" s="609">
        <f>NPV(realdiscrt3,AC$65:AC67)/(1+realdiscrt3)^-Half_Year</f>
        <v>21.837951133174027</v>
      </c>
      <c r="AD147" s="609">
        <f>NPV(realdiscrt3,AD$65:AD67)/(1+realdiscrt3)^-Half_Year</f>
        <v>25.745335106894647</v>
      </c>
      <c r="AE147" s="612">
        <f>NPV(realdiscrt3,AE$65:AE67)/(1+realdiscrt3)^-Half_Year</f>
        <v>24.037808310378733</v>
      </c>
      <c r="AF147" s="613">
        <f>NPV(realdiscrt3,AF$65:AF67)/(1+realdiscrt3)^-Half_Year</f>
        <v>0</v>
      </c>
      <c r="AG147" s="607">
        <f>NPV(realdiscrt3,AG$65:AG67)/(1+realdiscrt3)^-Half_Year</f>
        <v>1.1539300869167235</v>
      </c>
      <c r="AH147" s="614">
        <f>NPV(realdiscrt3,AH$65:AH67)/(1+realdiscrt3)^-Half_Year</f>
        <v>1.1539300869167235</v>
      </c>
      <c r="AI147" s="614">
        <f>NPV(realdiscrt3,AI$65:AI67)/(1+realdiscrt3)^-Half_Year</f>
        <v>2.1585067461341771</v>
      </c>
      <c r="AJ147" s="614">
        <f>NPV(realdiscrt3,AJ$65:AJ67)/(1+realdiscrt3)^-Half_Year</f>
        <v>1.8069049154080685</v>
      </c>
      <c r="AK147" s="614">
        <f>NPV(realdiscrt3,AK$65:AK67)/(1+realdiscrt3)^-Half_Year</f>
        <v>1.1539300869167235</v>
      </c>
      <c r="AL147" s="614">
        <f>NPV(realdiscrt3,AL$65:AL67)/(1+realdiscrt3)^-Half_Year</f>
        <v>2.1585067461341771</v>
      </c>
      <c r="AM147" s="614">
        <f>NPV(realdiscrt3,AM$65:AM67)/(1+realdiscrt3)^-Half_Year</f>
        <v>1.7195067460561499</v>
      </c>
      <c r="AN147" s="594">
        <f>NPV(realdiscrt3,AN$65:AN67)/(1+realdiscrt3)^-Half_Year</f>
        <v>74.805416065143973</v>
      </c>
      <c r="AO147" s="595">
        <f>NPV(realdiscrt3,AO$65:AO67)/(1+realdiscrt3)^-Half_Year</f>
        <v>62.006422753041754</v>
      </c>
      <c r="AP147" s="325">
        <f>NPV(realdiscrt3,AP$65:AP67)/(1+realdiscrt3)^-Half_Year</f>
        <v>63.613090419979365</v>
      </c>
      <c r="AQ147" s="610">
        <f>NPV(realdiscrt3,AQ$65:AQ67)/(1+realdiscrt3)^-Half_Year</f>
        <v>3.8056135814383503E-2</v>
      </c>
      <c r="AR147" s="595">
        <f>NPV(realdiscrt3,AR$65:AR67)/(1+realdiscrt3)^-Half_Year</f>
        <v>67.077766064049385</v>
      </c>
      <c r="AS147" s="612">
        <f>NPV(realdiscrt3,AS$65:AS67)/(1+realdiscrt3)^-Half_Year</f>
        <v>105.82807713236855</v>
      </c>
      <c r="AT147" s="594">
        <f>NPV(realdiscrt3,AT$65:AT67)/(1+realdiscrt3)^-Half_Year</f>
        <v>45.234691948329278</v>
      </c>
      <c r="AU147" s="609">
        <f>NPV(realdiscrt3,AU$65:AU67)/(1+realdiscrt3)^-Half_Year</f>
        <v>72.900850936298383</v>
      </c>
      <c r="AV147" s="608">
        <f>NPV(realdiscrt3,AV$65:AV67)/(1+realdiscrt3)^-Half_Year</f>
        <v>2.6329324639901563E-2</v>
      </c>
      <c r="AW147" s="612">
        <f>NPV(realdiscrt3,AW$65:AW67)/(1+realdiscrt3)^-Half_Year</f>
        <v>2.6329324639901563E-2</v>
      </c>
      <c r="AX147" s="600">
        <f>NPV(realdiscrt3,AX$65:AX67)/(1+realdiscrt3)^-Half_Year</f>
        <v>2.9908237008989733</v>
      </c>
      <c r="AY147" s="615">
        <f>NPV(realdiscrt3,AY$65:AY67)/(1+realdiscrt3)^-Half_Year</f>
        <v>47.777603220480984</v>
      </c>
      <c r="AZ147" s="607">
        <f>NPV(realdiscrt3,AZ$65:AZ67)/(1+realdiscrt3)^-Half_Year</f>
        <v>0.1362871348166376</v>
      </c>
      <c r="BA147" s="614">
        <f>NPV(realdiscrt3,BA$65:BA67)/(1+realdiscrt3)^-Half_Year</f>
        <v>0.1391917012434023</v>
      </c>
      <c r="BB147" s="614">
        <f>NPV(realdiscrt3,BB$65:BB67)/(1+realdiscrt3)^-Half_Year</f>
        <v>0.13276626515848203</v>
      </c>
      <c r="BC147" s="610">
        <f>NPV(realdiscrt3,BC$65:BC67)/(1+realdiscrt3)^-Half_Year</f>
        <v>0.13360993041144179</v>
      </c>
    </row>
    <row r="148" spans="1:55" s="325" customFormat="1" ht="14.25">
      <c r="A148" s="602">
        <f t="shared" si="99"/>
        <v>4</v>
      </c>
      <c r="B148" s="603">
        <f t="shared" si="98"/>
        <v>2026</v>
      </c>
      <c r="C148" s="604">
        <f>NPV(realdiscrt3,C$65:C68)/(1+realdiscrt3)^-Half_Year</f>
        <v>0.29596775024804123</v>
      </c>
      <c r="D148" s="605">
        <f>NPV(realdiscrt3,D$65:D68)/(1+realdiscrt3)^-Half_Year</f>
        <v>0.27588808244403412</v>
      </c>
      <c r="E148" s="605">
        <f>NPV(realdiscrt3,E$65:E68)/(1+realdiscrt3)^-Half_Year</f>
        <v>0.23383292752583737</v>
      </c>
      <c r="F148" s="606">
        <f>NPV(realdiscrt3,F$65:F68)/(1+realdiscrt3)^-Half_Year</f>
        <v>0.20556632260626151</v>
      </c>
      <c r="G148" s="604">
        <f>NPV(realdiscrt3,G$65:G68)/(1+realdiscrt3)^-Half_Year</f>
        <v>2.8567111931232E-2</v>
      </c>
      <c r="H148" s="605">
        <f>NPV(realdiscrt3,H$65:H68)/(1+realdiscrt3)^-Half_Year</f>
        <v>2.0978858269658961E-2</v>
      </c>
      <c r="I148" s="605">
        <f>NPV(realdiscrt3,I$65:I68)/(1+realdiscrt3)^-Half_Year</f>
        <v>2.1571121134087757E-2</v>
      </c>
      <c r="J148" s="605">
        <f>NPV(realdiscrt3,J$65:J68)/(1+realdiscrt3)^-Half_Year</f>
        <v>1.4419151884723654E-2</v>
      </c>
      <c r="K148" s="607">
        <f>NPV(realdiscrt3,K$65:K68)/(1+realdiscrt3)^-Half_Year</f>
        <v>9.911546086311996E-3</v>
      </c>
      <c r="L148" s="1321">
        <f>NPV(realdiscrt3,L$65:L68)/(1+realdiscrt3)^-Half_Year</f>
        <v>291.70024733042482</v>
      </c>
      <c r="M148" s="609">
        <f>NPV(realdiscrt3,M$65:M68)/(1+realdiscrt3)^-Half_Year</f>
        <v>229.99499869253683</v>
      </c>
      <c r="N148" s="609">
        <f>NPV(realdiscrt3,N$65:N68)/(1+realdiscrt3)^-Half_Year</f>
        <v>229.99499869253683</v>
      </c>
      <c r="O148" s="612">
        <f>NPV(realdiscrt3,O$65:O68)/(1+realdiscrt3)^-Half_Year</f>
        <v>0</v>
      </c>
      <c r="P148" s="782">
        <f t="shared" si="96"/>
        <v>6.1163094721582922</v>
      </c>
      <c r="Q148" s="782">
        <f t="shared" si="96"/>
        <v>0</v>
      </c>
      <c r="R148" s="1316">
        <f t="shared" si="97"/>
        <v>0</v>
      </c>
      <c r="S148" s="595">
        <f>NPV(realdiscrt3,S$65:S68)/(1+realdiscrt3)^-Half_Year</f>
        <v>0</v>
      </c>
      <c r="T148" s="595">
        <f>NPV(realdiscrt3,T$65:T68)/(1+realdiscrt3)^-Half_Year</f>
        <v>0</v>
      </c>
      <c r="U148" s="610">
        <f>NPV(realdiscrt3,U$65:U68)/(1+realdiscrt3)^-Half_Year</f>
        <v>0</v>
      </c>
      <c r="V148" s="611">
        <f>NPV(realdiscrt3,V$65:V68)/(1+realdiscrt3)^-Half_Year</f>
        <v>399.93952620000925</v>
      </c>
      <c r="W148" s="609">
        <f>NPV(realdiscrt3,W$65:W68)/(1+realdiscrt3)^-Half_Year</f>
        <v>0</v>
      </c>
      <c r="X148" s="612">
        <f>NPV(realdiscrt3,X$65:X68)/(1+realdiscrt3)^-Half_Year</f>
        <v>346.4631006976943</v>
      </c>
      <c r="Y148" s="608">
        <f>NPV(realdiscrt3,Y$65:Y68)/(1+realdiscrt3)^-Half_Year</f>
        <v>26.123250224991562</v>
      </c>
      <c r="Z148" s="609">
        <f>NPV(realdiscrt3,Z$65:Z68)/(1+realdiscrt3)^-Half_Year</f>
        <v>33.269110231653613</v>
      </c>
      <c r="AA148" s="609">
        <f>NPV(realdiscrt3,AA$65:AA68)/(1+realdiscrt3)^-Half_Year</f>
        <v>38.237474831047734</v>
      </c>
      <c r="AB148" s="609">
        <f>NPV(realdiscrt3,AB$65:AB68)/(1+realdiscrt3)^-Half_Year</f>
        <v>35.908119153322183</v>
      </c>
      <c r="AC148" s="609">
        <f>NPV(realdiscrt3,AC$65:AC68)/(1+realdiscrt3)^-Half_Year</f>
        <v>29.040738001629833</v>
      </c>
      <c r="AD148" s="609">
        <f>NPV(realdiscrt3,AD$65:AD68)/(1+realdiscrt3)^-Half_Year</f>
        <v>34.209912585386263</v>
      </c>
      <c r="AE148" s="612">
        <f>NPV(realdiscrt3,AE$65:AE68)/(1+realdiscrt3)^-Half_Year</f>
        <v>31.950983292284704</v>
      </c>
      <c r="AF148" s="613">
        <f>NPV(realdiscrt3,AF$65:AF68)/(1+realdiscrt3)^-Half_Year</f>
        <v>1.0413662710386757E-2</v>
      </c>
      <c r="AG148" s="607">
        <f>NPV(realdiscrt3,AG$65:AG68)/(1+realdiscrt3)^-Half_Year</f>
        <v>1.6121312461737409</v>
      </c>
      <c r="AH148" s="614">
        <f>NPV(realdiscrt3,AH$65:AH68)/(1+realdiscrt3)^-Half_Year</f>
        <v>1.6121312461737409</v>
      </c>
      <c r="AI148" s="614">
        <f>NPV(realdiscrt3,AI$65:AI68)/(1+realdiscrt3)^-Half_Year</f>
        <v>3.0124270883858921</v>
      </c>
      <c r="AJ148" s="614">
        <f>NPV(realdiscrt3,AJ$65:AJ68)/(1+realdiscrt3)^-Half_Year</f>
        <v>2.5223235436116389</v>
      </c>
      <c r="AK148" s="614">
        <f>NPV(realdiscrt3,AK$65:AK68)/(1+realdiscrt3)^-Half_Year</f>
        <v>1.6121312461737409</v>
      </c>
      <c r="AL148" s="614">
        <f>NPV(realdiscrt3,AL$65:AL68)/(1+realdiscrt3)^-Half_Year</f>
        <v>3.0124270883858921</v>
      </c>
      <c r="AM148" s="614">
        <f>NPV(realdiscrt3,AM$65:AM68)/(1+realdiscrt3)^-Half_Year</f>
        <v>2.4004978053391812</v>
      </c>
      <c r="AN148" s="594">
        <f>NPV(realdiscrt3,AN$65:AN68)/(1+realdiscrt3)^-Half_Year</f>
        <v>99.882417973607971</v>
      </c>
      <c r="AO148" s="595">
        <f>NPV(realdiscrt3,AO$65:AO68)/(1+realdiscrt3)^-Half_Year</f>
        <v>82.88544762809218</v>
      </c>
      <c r="AP148" s="325">
        <f>NPV(realdiscrt3,AP$65:AP68)/(1+realdiscrt3)^-Half_Year</f>
        <v>85.077981561260657</v>
      </c>
      <c r="AQ148" s="610">
        <f>NPV(realdiscrt3,AQ$65:AQ68)/(1+realdiscrt3)^-Half_Year</f>
        <v>5.0672509274542366E-2</v>
      </c>
      <c r="AR148" s="595">
        <f>NPV(realdiscrt3,AR$65:AR68)/(1+realdiscrt3)^-Half_Year</f>
        <v>89.564229693084059</v>
      </c>
      <c r="AS148" s="612">
        <f>NPV(realdiscrt3,AS$65:AS68)/(1+realdiscrt3)^-Half_Year</f>
        <v>140.19129433391959</v>
      </c>
      <c r="AT148" s="594">
        <f>NPV(realdiscrt3,AT$65:AT68)/(1+realdiscrt3)^-Half_Year</f>
        <v>60.398707015489514</v>
      </c>
      <c r="AU148" s="609">
        <f>NPV(realdiscrt3,AU$65:AU68)/(1+realdiscrt3)^-Half_Year</f>
        <v>97.339385927751124</v>
      </c>
      <c r="AV148" s="608">
        <f>NPV(realdiscrt3,AV$65:AV68)/(1+realdiscrt3)^-Half_Year</f>
        <v>3.4862106894871167E-2</v>
      </c>
      <c r="AW148" s="612">
        <f>NPV(realdiscrt3,AW$65:AW68)/(1+realdiscrt3)^-Half_Year</f>
        <v>3.4862106894871167E-2</v>
      </c>
      <c r="AX148" s="600">
        <f>NPV(realdiscrt3,AX$65:AX68)/(1+realdiscrt3)^-Half_Year</f>
        <v>3.96008697490252</v>
      </c>
      <c r="AY148" s="615">
        <f>NPV(realdiscrt3,AY$65:AY68)/(1+realdiscrt3)^-Half_Year</f>
        <v>65.596393723064637</v>
      </c>
      <c r="AZ148" s="607">
        <f>NPV(realdiscrt3,AZ$65:AZ68)/(1+realdiscrt3)^-Half_Year</f>
        <v>0.17972881349702449</v>
      </c>
      <c r="BA148" s="614">
        <f>NPV(realdiscrt3,BA$65:BA68)/(1+realdiscrt3)^-Half_Year</f>
        <v>0.18355921376413753</v>
      </c>
      <c r="BB148" s="614">
        <f>NPV(realdiscrt3,BB$65:BB68)/(1+realdiscrt3)^-Half_Year</f>
        <v>0.17508566264504311</v>
      </c>
      <c r="BC148" s="610">
        <f>NPV(realdiscrt3,BC$65:BC68)/(1+realdiscrt3)^-Half_Year</f>
        <v>0.17619824715353052</v>
      </c>
    </row>
    <row r="149" spans="1:55" s="325" customFormat="1" ht="14.25">
      <c r="A149" s="602">
        <f t="shared" si="99"/>
        <v>5</v>
      </c>
      <c r="B149" s="603">
        <f t="shared" si="98"/>
        <v>2027</v>
      </c>
      <c r="C149" s="604">
        <f>NPV(realdiscrt3,C$65:C69)/(1+realdiscrt3)^-Half_Year</f>
        <v>0.36977583457110996</v>
      </c>
      <c r="D149" s="605">
        <f>NPV(realdiscrt3,D$65:D69)/(1+realdiscrt3)^-Half_Year</f>
        <v>0.34523313195980887</v>
      </c>
      <c r="E149" s="605">
        <f>NPV(realdiscrt3,E$65:E69)/(1+realdiscrt3)^-Half_Year</f>
        <v>0.29009284689237069</v>
      </c>
      <c r="F149" s="606">
        <f>NPV(realdiscrt3,F$65:F69)/(1+realdiscrt3)^-Half_Year</f>
        <v>0.25477611920374593</v>
      </c>
      <c r="G149" s="604">
        <f>NPV(realdiscrt3,G$65:G69)/(1+realdiscrt3)^-Half_Year</f>
        <v>3.6101769486136824E-2</v>
      </c>
      <c r="H149" s="605">
        <f>NPV(realdiscrt3,H$65:H69)/(1+realdiscrt3)^-Half_Year</f>
        <v>2.6240758785231601E-2</v>
      </c>
      <c r="I149" s="605">
        <f>NPV(realdiscrt3,I$65:I69)/(1+realdiscrt3)^-Half_Year</f>
        <v>2.7111183703269547E-2</v>
      </c>
      <c r="J149" s="605">
        <f>NPV(realdiscrt3,J$65:J69)/(1+realdiscrt3)^-Half_Year</f>
        <v>1.7888288858062911E-2</v>
      </c>
      <c r="K149" s="607">
        <f>NPV(realdiscrt3,K$65:K69)/(1+realdiscrt3)^-Half_Year</f>
        <v>1.1858320562660474E-2</v>
      </c>
      <c r="L149" s="1321">
        <f>NPV(realdiscrt3,L$65:L69)/(1+realdiscrt3)^-Half_Year</f>
        <v>376.05808932992136</v>
      </c>
      <c r="M149" s="609">
        <f>NPV(realdiscrt3,M$65:M69)/(1+realdiscrt3)^-Half_Year</f>
        <v>337.83226008516357</v>
      </c>
      <c r="N149" s="609">
        <f>NPV(realdiscrt3,N$65:N69)/(1+realdiscrt3)^-Half_Year</f>
        <v>337.83226008516357</v>
      </c>
      <c r="O149" s="612">
        <f>NPV(realdiscrt3,O$65:O69)/(1+realdiscrt3)^-Half_Year</f>
        <v>0</v>
      </c>
      <c r="P149" s="782">
        <f t="shared" si="96"/>
        <v>4.0669212260528402</v>
      </c>
      <c r="Q149" s="782">
        <f t="shared" si="96"/>
        <v>0</v>
      </c>
      <c r="R149" s="1316">
        <f t="shared" si="97"/>
        <v>0</v>
      </c>
      <c r="S149" s="595">
        <f>NPV(realdiscrt3,S$65:S69)/(1+realdiscrt3)^-Half_Year</f>
        <v>0</v>
      </c>
      <c r="T149" s="595">
        <f>NPV(realdiscrt3,T$65:T69)/(1+realdiscrt3)^-Half_Year</f>
        <v>0</v>
      </c>
      <c r="U149" s="610">
        <f>NPV(realdiscrt3,U$65:U69)/(1+realdiscrt3)^-Half_Year</f>
        <v>0</v>
      </c>
      <c r="V149" s="611">
        <f>NPV(realdiscrt3,V$65:V69)/(1+realdiscrt3)^-Half_Year</f>
        <v>496.46273206071703</v>
      </c>
      <c r="W149" s="609">
        <f>NPV(realdiscrt3,W$65:W69)/(1+realdiscrt3)^-Half_Year</f>
        <v>0</v>
      </c>
      <c r="X149" s="612">
        <f>NPV(realdiscrt3,X$65:X69)/(1+realdiscrt3)^-Half_Year</f>
        <v>430.08006526612883</v>
      </c>
      <c r="Y149" s="608">
        <f>NPV(realdiscrt3,Y$65:Y69)/(1+realdiscrt3)^-Half_Year</f>
        <v>32.56184197264642</v>
      </c>
      <c r="Z149" s="609">
        <f>NPV(realdiscrt3,Z$65:Z69)/(1+realdiscrt3)^-Half_Year</f>
        <v>41.422786346021184</v>
      </c>
      <c r="AA149" s="609">
        <f>NPV(realdiscrt3,AA$65:AA69)/(1+realdiscrt3)^-Half_Year</f>
        <v>47.587780970107424</v>
      </c>
      <c r="AB149" s="609">
        <f>NPV(realdiscrt3,AB$65:AB69)/(1+realdiscrt3)^-Half_Year</f>
        <v>44.698537664506063</v>
      </c>
      <c r="AC149" s="609">
        <f>NPV(realdiscrt3,AC$65:AC69)/(1+realdiscrt3)^-Half_Year</f>
        <v>36.1800418814599</v>
      </c>
      <c r="AD149" s="609">
        <f>NPV(realdiscrt3,AD$65:AD69)/(1+realdiscrt3)^-Half_Year</f>
        <v>42.590808035287438</v>
      </c>
      <c r="AE149" s="612">
        <f>NPV(realdiscrt3,AE$65:AE69)/(1+realdiscrt3)^-Half_Year</f>
        <v>39.789303226064803</v>
      </c>
      <c r="AF149" s="613">
        <f>NPV(realdiscrt3,AF$65:AF69)/(1+realdiscrt3)^-Half_Year</f>
        <v>2.0682088865781198E-2</v>
      </c>
      <c r="AG149" s="607">
        <f>NPV(realdiscrt3,AG$65:AG69)/(1+realdiscrt3)^-Half_Year</f>
        <v>2.0228682923895183</v>
      </c>
      <c r="AH149" s="614">
        <f>NPV(realdiscrt3,AH$65:AH69)/(1+realdiscrt3)^-Half_Year</f>
        <v>2.0228682923895183</v>
      </c>
      <c r="AI149" s="614">
        <f>NPV(realdiscrt3,AI$65:AI69)/(1+realdiscrt3)^-Half_Year</f>
        <v>3.7722906238850804</v>
      </c>
      <c r="AJ149" s="614">
        <f>NPV(realdiscrt3,AJ$65:AJ69)/(1+realdiscrt3)^-Half_Year</f>
        <v>3.1599928078616335</v>
      </c>
      <c r="AK149" s="614">
        <f>NPV(realdiscrt3,AK$65:AK69)/(1+realdiscrt3)^-Half_Year</f>
        <v>2.0228682923895183</v>
      </c>
      <c r="AL149" s="614">
        <f>NPV(realdiscrt3,AL$65:AL69)/(1+realdiscrt3)^-Half_Year</f>
        <v>3.7722906238850804</v>
      </c>
      <c r="AM149" s="614">
        <f>NPV(realdiscrt3,AM$65:AM69)/(1+realdiscrt3)^-Half_Year</f>
        <v>3.0077930650215192</v>
      </c>
      <c r="AN149" s="594">
        <f>NPV(realdiscrt3,AN$65:AN69)/(1+realdiscrt3)^-Half_Year</f>
        <v>124.81252890477465</v>
      </c>
      <c r="AO149" s="595">
        <f>NPV(realdiscrt3,AO$65:AO69)/(1+realdiscrt3)^-Half_Year</f>
        <v>103.69550475145024</v>
      </c>
      <c r="AP149" s="325">
        <f>NPV(realdiscrt3,AP$65:AP69)/(1+realdiscrt3)^-Half_Year</f>
        <v>106.48440546609072</v>
      </c>
      <c r="AQ149" s="610">
        <f>NPV(realdiscrt3,AQ$65:AQ69)/(1+realdiscrt3)^-Half_Year</f>
        <v>6.3075830130885038E-2</v>
      </c>
      <c r="AR149" s="595">
        <f>NPV(realdiscrt3,AR$65:AR69)/(1+realdiscrt3)^-Half_Year</f>
        <v>111.91897667471066</v>
      </c>
      <c r="AS149" s="612">
        <f>NPV(realdiscrt3,AS$65:AS69)/(1+realdiscrt3)^-Half_Year</f>
        <v>174.39500381375478</v>
      </c>
      <c r="AT149" s="594">
        <f>NPV(realdiscrt3,AT$65:AT69)/(1+realdiscrt3)^-Half_Year</f>
        <v>75.473897389765938</v>
      </c>
      <c r="AU149" s="609">
        <f>NPV(realdiscrt3,AU$65:AU69)/(1+realdiscrt3)^-Half_Year</f>
        <v>121.63476982396085</v>
      </c>
      <c r="AV149" s="608">
        <f>NPV(realdiscrt3,AV$65:AV69)/(1+realdiscrt3)^-Half_Year</f>
        <v>4.3275884729045061E-2</v>
      </c>
      <c r="AW149" s="612">
        <f>NPV(realdiscrt3,AW$65:AW69)/(1+realdiscrt3)^-Half_Year</f>
        <v>4.3275884729045061E-2</v>
      </c>
      <c r="AX149" s="600">
        <f>NPV(realdiscrt3,AX$65:AX69)/(1+realdiscrt3)^-Half_Year</f>
        <v>4.915832194527713</v>
      </c>
      <c r="AY149" s="615">
        <f>NPV(realdiscrt3,AY$65:AY69)/(1+realdiscrt3)^-Half_Year</f>
        <v>84.312557949264061</v>
      </c>
      <c r="AZ149" s="607">
        <f>NPV(realdiscrt3,AZ$65:AZ69)/(1+realdiscrt3)^-Half_Year</f>
        <v>0.22224890859617016</v>
      </c>
      <c r="BA149" s="614">
        <f>NPV(realdiscrt3,BA$65:BA69)/(1+realdiscrt3)^-Half_Year</f>
        <v>0.2269855018128524</v>
      </c>
      <c r="BB149" s="614">
        <f>NPV(realdiscrt3,BB$65:BB69)/(1+realdiscrt3)^-Half_Year</f>
        <v>0.21650728492870333</v>
      </c>
      <c r="BC149" s="610">
        <f>NPV(realdiscrt3,BC$65:BC69)/(1+realdiscrt3)^-Half_Year</f>
        <v>0.2178830837665254</v>
      </c>
    </row>
    <row r="150" spans="1:55" s="325" customFormat="1" ht="14.25">
      <c r="A150" s="602">
        <f t="shared" si="99"/>
        <v>6</v>
      </c>
      <c r="B150" s="603">
        <f t="shared" si="98"/>
        <v>2028</v>
      </c>
      <c r="C150" s="604">
        <f>NPV(realdiscrt3,C$65:C70)/(1+realdiscrt3)^-Half_Year</f>
        <v>0.44443892989265771</v>
      </c>
      <c r="D150" s="605">
        <f>NPV(realdiscrt3,D$65:D70)/(1+realdiscrt3)^-Half_Year</f>
        <v>0.41131704977785694</v>
      </c>
      <c r="E150" s="605">
        <f>NPV(realdiscrt3,E$65:E70)/(1+realdiscrt3)^-Half_Year</f>
        <v>0.35005425594759459</v>
      </c>
      <c r="F150" s="606">
        <f>NPV(realdiscrt3,F$65:F70)/(1+realdiscrt3)^-Half_Year</f>
        <v>0.30420965564021973</v>
      </c>
      <c r="G150" s="604">
        <f>NPV(realdiscrt3,G$65:G70)/(1+realdiscrt3)^-Half_Year</f>
        <v>4.2223429324472352E-2</v>
      </c>
      <c r="H150" s="605">
        <f>NPV(realdiscrt3,H$65:H70)/(1+realdiscrt3)^-Half_Year</f>
        <v>3.0870244660302786E-2</v>
      </c>
      <c r="I150" s="605">
        <f>NPV(realdiscrt3,I$65:I70)/(1+realdiscrt3)^-Half_Year</f>
        <v>3.1234394659507215E-2</v>
      </c>
      <c r="J150" s="605">
        <f>NPV(realdiscrt3,J$65:J70)/(1+realdiscrt3)^-Half_Year</f>
        <v>2.0892606132375247E-2</v>
      </c>
      <c r="K150" s="607">
        <f>NPV(realdiscrt3,K$65:K70)/(1+realdiscrt3)^-Half_Year</f>
        <v>1.3094285466080741E-2</v>
      </c>
      <c r="L150" s="1321">
        <f>NPV(realdiscrt3,L$65:L70)/(1+realdiscrt3)^-Half_Year</f>
        <v>465.34406941230958</v>
      </c>
      <c r="M150" s="609">
        <f>NPV(realdiscrt3,M$65:M70)/(1+realdiscrt3)^-Half_Year</f>
        <v>450.40176662346221</v>
      </c>
      <c r="N150" s="609">
        <f>NPV(realdiscrt3,N$65:N70)/(1+realdiscrt3)^-Half_Year</f>
        <v>450.40176662346221</v>
      </c>
      <c r="O150" s="612">
        <f>NPV(realdiscrt3,O$65:O70)/(1+realdiscrt3)^-Half_Year</f>
        <v>0</v>
      </c>
      <c r="P150" s="782">
        <f t="shared" si="96"/>
        <v>0</v>
      </c>
      <c r="Q150" s="782">
        <f t="shared" si="96"/>
        <v>4.3151936558191828</v>
      </c>
      <c r="R150" s="1316">
        <f t="shared" si="97"/>
        <v>4.3151936558191828</v>
      </c>
      <c r="S150" s="595">
        <f>NPV(realdiscrt3,S$65:S70)/(1+realdiscrt3)^-Half_Year</f>
        <v>0</v>
      </c>
      <c r="T150" s="595">
        <f>NPV(realdiscrt3,T$65:T70)/(1+realdiscrt3)^-Half_Year</f>
        <v>0</v>
      </c>
      <c r="U150" s="610">
        <f>NPV(realdiscrt3,U$65:U70)/(1+realdiscrt3)^-Half_Year</f>
        <v>0</v>
      </c>
      <c r="V150" s="611">
        <f>NPV(realdiscrt3,V$65:V70)/(1+realdiscrt3)^-Half_Year</f>
        <v>591.63975471135768</v>
      </c>
      <c r="W150" s="609">
        <f>NPV(realdiscrt3,W$65:W70)/(1+realdiscrt3)^-Half_Year</f>
        <v>0</v>
      </c>
      <c r="X150" s="612">
        <f>NPV(realdiscrt3,X$65:X70)/(1+realdiscrt3)^-Half_Year</f>
        <v>512.53084650305209</v>
      </c>
      <c r="Y150" s="608">
        <f>NPV(realdiscrt3,Y$65:Y70)/(1+realdiscrt3)^-Half_Year</f>
        <v>39.034989461975293</v>
      </c>
      <c r="Z150" s="609">
        <f>NPV(realdiscrt3,Z$65:Z70)/(1+realdiscrt3)^-Half_Year</f>
        <v>49.586860192431537</v>
      </c>
      <c r="AA150" s="609">
        <f>NPV(realdiscrt3,AA$65:AA70)/(1+realdiscrt3)^-Half_Year</f>
        <v>56.931765800211878</v>
      </c>
      <c r="AB150" s="609">
        <f>NPV(realdiscrt3,AB$65:AB70)/(1+realdiscrt3)^-Half_Year</f>
        <v>53.490489684620563</v>
      </c>
      <c r="AC150" s="609">
        <f>NPV(realdiscrt3,AC$65:AC70)/(1+realdiscrt3)^-Half_Year</f>
        <v>43.344347605853891</v>
      </c>
      <c r="AD150" s="609">
        <f>NPV(realdiscrt3,AD$65:AD70)/(1+realdiscrt3)^-Half_Year</f>
        <v>50.979010504089437</v>
      </c>
      <c r="AE150" s="612">
        <f>NPV(realdiscrt3,AE$65:AE70)/(1+realdiscrt3)^-Half_Year</f>
        <v>47.642662817560499</v>
      </c>
      <c r="AF150" s="613">
        <f>NPV(realdiscrt3,AF$65:AF70)/(1+realdiscrt3)^-Half_Year</f>
        <v>3.0807304041381271E-2</v>
      </c>
      <c r="AG150" s="607">
        <f>NPV(realdiscrt3,AG$65:AG70)/(1+realdiscrt3)^-Half_Year</f>
        <v>2.3164995324819202</v>
      </c>
      <c r="AH150" s="614">
        <f>NPV(realdiscrt3,AH$65:AH70)/(1+realdiscrt3)^-Half_Year</f>
        <v>2.3164995324819202</v>
      </c>
      <c r="AI150" s="614">
        <f>NPV(realdiscrt3,AI$65:AI70)/(1+realdiscrt3)^-Half_Year</f>
        <v>4.3089270281918841</v>
      </c>
      <c r="AJ150" s="614">
        <f>NPV(realdiscrt3,AJ$65:AJ70)/(1+realdiscrt3)^-Half_Year</f>
        <v>3.6115774046933966</v>
      </c>
      <c r="AK150" s="614">
        <f>NPV(realdiscrt3,AK$65:AK70)/(1+realdiscrt3)^-Half_Year</f>
        <v>2.3164995324819202</v>
      </c>
      <c r="AL150" s="614">
        <f>NPV(realdiscrt3,AL$65:AL70)/(1+realdiscrt3)^-Half_Year</f>
        <v>4.3089270281918841</v>
      </c>
      <c r="AM150" s="614">
        <f>NPV(realdiscrt3,AM$65:AM70)/(1+realdiscrt3)^-Half_Year</f>
        <v>3.4382362125666295</v>
      </c>
      <c r="AN150" s="594">
        <f>NPV(realdiscrt3,AN$65:AN70)/(1+realdiscrt3)^-Half_Year</f>
        <v>149.43681160898078</v>
      </c>
      <c r="AO150" s="595">
        <f>NPV(realdiscrt3,AO$65:AO70)/(1+realdiscrt3)^-Half_Year</f>
        <v>124.27660853658108</v>
      </c>
      <c r="AP150" s="325">
        <f>NPV(realdiscrt3,AP$65:AP70)/(1+realdiscrt3)^-Half_Year</f>
        <v>127.66214233892696</v>
      </c>
      <c r="AQ150" s="610">
        <f>NPV(realdiscrt3,AQ$65:AQ70)/(1+realdiscrt3)^-Half_Year</f>
        <v>7.5192271374556807E-2</v>
      </c>
      <c r="AR150" s="595">
        <f>NPV(realdiscrt3,AR$65:AR70)/(1+realdiscrt3)^-Half_Year</f>
        <v>133.99948850943321</v>
      </c>
      <c r="AS150" s="612">
        <f>NPV(realdiscrt3,AS$65:AS70)/(1+realdiscrt3)^-Half_Year</f>
        <v>208.2139823222507</v>
      </c>
      <c r="AT150" s="594">
        <f>NPV(realdiscrt3,AT$65:AT70)/(1+realdiscrt3)^-Half_Year</f>
        <v>90.36415402042654</v>
      </c>
      <c r="AU150" s="609">
        <f>NPV(realdiscrt3,AU$65:AU70)/(1+realdiscrt3)^-Half_Year</f>
        <v>145.63211195851054</v>
      </c>
      <c r="AV150" s="608">
        <f>NPV(realdiscrt3,AV$65:AV70)/(1+realdiscrt3)^-Half_Year</f>
        <v>5.1572317865095849E-2</v>
      </c>
      <c r="AW150" s="612">
        <f>NPV(realdiscrt3,AW$65:AW70)/(1+realdiscrt3)^-Half_Year</f>
        <v>5.1572317865095849E-2</v>
      </c>
      <c r="AX150" s="600">
        <f>NPV(realdiscrt3,AX$65:AX70)/(1+realdiscrt3)^-Half_Year</f>
        <v>5.8582478924457844</v>
      </c>
      <c r="AY150" s="615">
        <f>NPV(realdiscrt3,AY$65:AY70)/(1+realdiscrt3)^-Half_Year</f>
        <v>103.89759908247686</v>
      </c>
      <c r="AZ150" s="607">
        <f>NPV(realdiscrt3,AZ$65:AZ70)/(1+realdiscrt3)^-Half_Year</f>
        <v>0.26387967559137937</v>
      </c>
      <c r="BA150" s="614">
        <f>NPV(realdiscrt3,BA$65:BA70)/(1+realdiscrt3)^-Half_Year</f>
        <v>0.26950350829913644</v>
      </c>
      <c r="BB150" s="614">
        <f>NPV(realdiscrt3,BB$65:BB70)/(1+realdiscrt3)^-Half_Year</f>
        <v>0.25706255419218327</v>
      </c>
      <c r="BC150" s="610">
        <f>NPV(realdiscrt3,BC$65:BC70)/(1+realdiscrt3)^-Half_Year</f>
        <v>0.2586960621058853</v>
      </c>
    </row>
    <row r="151" spans="1:55" s="325" customFormat="1" ht="14.25">
      <c r="A151" s="602">
        <f t="shared" si="99"/>
        <v>7</v>
      </c>
      <c r="B151" s="603">
        <f t="shared" si="98"/>
        <v>2029</v>
      </c>
      <c r="C151" s="604">
        <f>NPV(realdiscrt3,C$65:C71)/(1+realdiscrt3)^-Half_Year</f>
        <v>0.52007129945543173</v>
      </c>
      <c r="D151" s="605">
        <f>NPV(realdiscrt3,D$65:D71)/(1+realdiscrt3)^-Half_Year</f>
        <v>0.48077248117110827</v>
      </c>
      <c r="E151" s="605">
        <f>NPV(realdiscrt3,E$65:E71)/(1+realdiscrt3)^-Half_Year</f>
        <v>0.40795605711018107</v>
      </c>
      <c r="F151" s="606">
        <f>NPV(realdiscrt3,F$65:F71)/(1+realdiscrt3)^-Half_Year</f>
        <v>0.35359765499043821</v>
      </c>
      <c r="G151" s="604">
        <f>NPV(realdiscrt3,G$65:G71)/(1+realdiscrt3)^-Half_Year</f>
        <v>4.6574081002410797E-2</v>
      </c>
      <c r="H151" s="605">
        <f>NPV(realdiscrt3,H$65:H71)/(1+realdiscrt3)^-Half_Year</f>
        <v>3.4158297079232847E-2</v>
      </c>
      <c r="I151" s="605">
        <f>NPV(realdiscrt3,I$65:I71)/(1+realdiscrt3)^-Half_Year</f>
        <v>3.4521803076376818E-2</v>
      </c>
      <c r="J151" s="605">
        <f>NPV(realdiscrt3,J$65:J71)/(1+realdiscrt3)^-Half_Year</f>
        <v>2.3241390944547788E-2</v>
      </c>
      <c r="K151" s="607">
        <f>NPV(realdiscrt3,K$65:K71)/(1+realdiscrt3)^-Half_Year</f>
        <v>1.4017246833947124E-2</v>
      </c>
      <c r="L151" s="1321">
        <f>NPV(realdiscrt3,L$65:L71)/(1+realdiscrt3)^-Half_Year</f>
        <v>559.4043161883925</v>
      </c>
      <c r="M151" s="609">
        <f>NPV(realdiscrt3,M$65:M71)/(1+realdiscrt3)^-Half_Year</f>
        <v>568.6809166329615</v>
      </c>
      <c r="N151" s="609">
        <f>NPV(realdiscrt3,N$65:N71)/(1+realdiscrt3)^-Half_Year</f>
        <v>568.6809166329615</v>
      </c>
      <c r="O151" s="612">
        <f>NPV(realdiscrt3,O$65:O71)/(1+realdiscrt3)^-Half_Year</f>
        <v>0</v>
      </c>
      <c r="P151" s="782">
        <f t="shared" si="96"/>
        <v>0</v>
      </c>
      <c r="Q151" s="782">
        <f t="shared" si="96"/>
        <v>95.479739788004821</v>
      </c>
      <c r="R151" s="1316">
        <f t="shared" si="97"/>
        <v>95.479739788004821</v>
      </c>
      <c r="S151" s="595">
        <f>NPV(realdiscrt3,S$65:S71)/(1+realdiscrt3)^-Half_Year</f>
        <v>0</v>
      </c>
      <c r="T151" s="595">
        <f>NPV(realdiscrt3,T$65:T71)/(1+realdiscrt3)^-Half_Year</f>
        <v>0</v>
      </c>
      <c r="U151" s="610">
        <f>NPV(realdiscrt3,U$65:U71)/(1+realdiscrt3)^-Half_Year</f>
        <v>0</v>
      </c>
      <c r="V151" s="611">
        <f>NPV(realdiscrt3,V$65:V71)/(1+realdiscrt3)^-Half_Year</f>
        <v>685.48936900735521</v>
      </c>
      <c r="W151" s="609">
        <f>NPV(realdiscrt3,W$65:W71)/(1+realdiscrt3)^-Half_Year</f>
        <v>0</v>
      </c>
      <c r="X151" s="612">
        <f>NPV(realdiscrt3,X$65:X71)/(1+realdiscrt3)^-Half_Year</f>
        <v>593.83170885395896</v>
      </c>
      <c r="Y151" s="608">
        <f>NPV(realdiscrt3,Y$65:Y71)/(1+realdiscrt3)^-Half_Year</f>
        <v>45.524095989827586</v>
      </c>
      <c r="Z151" s="609">
        <f>NPV(realdiscrt3,Z$65:Z71)/(1+realdiscrt3)^-Half_Year</f>
        <v>57.741742065571309</v>
      </c>
      <c r="AA151" s="609">
        <f>NPV(realdiscrt3,AA$65:AA71)/(1+realdiscrt3)^-Half_Year</f>
        <v>66.249711809672377</v>
      </c>
      <c r="AB151" s="609">
        <f>NPV(realdiscrt3,AB$65:AB71)/(1+realdiscrt3)^-Half_Year</f>
        <v>62.264473985878908</v>
      </c>
      <c r="AC151" s="609">
        <f>NPV(realdiscrt3,AC$65:AC71)/(1+realdiscrt3)^-Half_Year</f>
        <v>50.514611758898759</v>
      </c>
      <c r="AD151" s="609">
        <f>NPV(realdiscrt3,AD$65:AD71)/(1+realdiscrt3)^-Half_Year</f>
        <v>59.354963064938197</v>
      </c>
      <c r="AE151" s="612">
        <f>NPV(realdiscrt3,AE$65:AE71)/(1+realdiscrt3)^-Half_Year</f>
        <v>55.491729544198954</v>
      </c>
      <c r="AF151" s="613">
        <f>NPV(realdiscrt3,AF$65:AF71)/(1+realdiscrt3)^-Half_Year</f>
        <v>4.0791305562232059E-2</v>
      </c>
      <c r="AG151" s="607">
        <f>NPV(realdiscrt3,AG$65:AG71)/(1+realdiscrt3)^-Half_Year</f>
        <v>2.4962115598572345</v>
      </c>
      <c r="AH151" s="614">
        <f>NPV(realdiscrt3,AH$65:AH71)/(1+realdiscrt3)^-Half_Year</f>
        <v>2.4962115598572345</v>
      </c>
      <c r="AI151" s="614">
        <f>NPV(realdiscrt3,AI$65:AI71)/(1+realdiscrt3)^-Half_Year</f>
        <v>4.63839907837996</v>
      </c>
      <c r="AJ151" s="614">
        <f>NPV(realdiscrt3,AJ$65:AJ71)/(1+realdiscrt3)^-Half_Year</f>
        <v>3.8886334468970061</v>
      </c>
      <c r="AK151" s="614">
        <f>NPV(realdiscrt3,AK$65:AK71)/(1+realdiscrt3)^-Half_Year</f>
        <v>2.4962115598572345</v>
      </c>
      <c r="AL151" s="614">
        <f>NPV(realdiscrt3,AL$65:AL71)/(1+realdiscrt3)^-Half_Year</f>
        <v>4.63839907837996</v>
      </c>
      <c r="AM151" s="614">
        <f>NPV(realdiscrt3,AM$65:AM71)/(1+realdiscrt3)^-Half_Year</f>
        <v>3.7022631327855282</v>
      </c>
      <c r="AN151" s="594">
        <f>NPV(realdiscrt3,AN$65:AN71)/(1+realdiscrt3)^-Half_Year</f>
        <v>173.93659068695985</v>
      </c>
      <c r="AO151" s="595">
        <f>NPV(realdiscrt3,AO$65:AO71)/(1+realdiscrt3)^-Half_Year</f>
        <v>144.81541758854931</v>
      </c>
      <c r="AP151" s="325">
        <f>NPV(realdiscrt3,AP$65:AP71)/(1+realdiscrt3)^-Half_Year</f>
        <v>148.81696261950265</v>
      </c>
      <c r="AQ151" s="610">
        <f>NPV(realdiscrt3,AQ$65:AQ71)/(1+realdiscrt3)^-Half_Year</f>
        <v>8.7087312786411991E-2</v>
      </c>
      <c r="AR151" s="595">
        <f>NPV(realdiscrt3,AR$65:AR71)/(1+realdiscrt3)^-Half_Year</f>
        <v>155.96835835947761</v>
      </c>
      <c r="AS151" s="612">
        <f>NPV(realdiscrt3,AS$65:AS71)/(1+realdiscrt3)^-Half_Year</f>
        <v>241.59821255212287</v>
      </c>
      <c r="AT151" s="594">
        <f>NPV(realdiscrt3,AT$65:AT71)/(1+realdiscrt3)^-Half_Year</f>
        <v>105.1791235465555</v>
      </c>
      <c r="AU151" s="609">
        <f>NPV(realdiscrt3,AU$65:AU71)/(1+realdiscrt3)^-Half_Year</f>
        <v>169.50812036117239</v>
      </c>
      <c r="AV151" s="608">
        <f>NPV(realdiscrt3,AV$65:AV71)/(1+realdiscrt3)^-Half_Year</f>
        <v>5.9753042877990103E-2</v>
      </c>
      <c r="AW151" s="612">
        <f>NPV(realdiscrt3,AW$65:AW71)/(1+realdiscrt3)^-Half_Year</f>
        <v>5.9753042877990103E-2</v>
      </c>
      <c r="AX151" s="600">
        <f>NPV(realdiscrt3,AX$65:AX71)/(1+realdiscrt3)^-Half_Year</f>
        <v>6.7875199719134729</v>
      </c>
      <c r="AY151" s="615">
        <f>NPV(realdiscrt3,AY$65:AY71)/(1+realdiscrt3)^-Half_Year</f>
        <v>124.32364063164462</v>
      </c>
      <c r="AZ151" s="607">
        <f>NPV(realdiscrt3,AZ$65:AZ71)/(1+realdiscrt3)^-Half_Year</f>
        <v>0.30465197832996488</v>
      </c>
      <c r="BA151" s="614">
        <f>NPV(realdiscrt3,BA$65:BA71)/(1+realdiscrt3)^-Half_Year</f>
        <v>0.31114475484401527</v>
      </c>
      <c r="BB151" s="614">
        <f>NPV(realdiscrt3,BB$65:BB71)/(1+realdiscrt3)^-Half_Year</f>
        <v>0.29678153693986464</v>
      </c>
      <c r="BC151" s="610">
        <f>NPV(realdiscrt3,BC$65:BC71)/(1+realdiscrt3)^-Half_Year</f>
        <v>0.29866743973405174</v>
      </c>
    </row>
    <row r="152" spans="1:55" s="325" customFormat="1" ht="14.25">
      <c r="A152" s="602">
        <f t="shared" si="99"/>
        <v>8</v>
      </c>
      <c r="B152" s="603">
        <f t="shared" si="98"/>
        <v>2030</v>
      </c>
      <c r="C152" s="604">
        <f>NPV(realdiscrt3,C$65:C72)/(1+realdiscrt3)^-Half_Year</f>
        <v>0.58877142955854855</v>
      </c>
      <c r="D152" s="605">
        <f>NPV(realdiscrt3,D$65:D72)/(1+realdiscrt3)^-Half_Year</f>
        <v>0.54580276677165895</v>
      </c>
      <c r="E152" s="605">
        <f>NPV(realdiscrt3,E$65:E72)/(1+realdiscrt3)^-Half_Year</f>
        <v>0.46804201372587934</v>
      </c>
      <c r="F152" s="606">
        <f>NPV(realdiscrt3,F$65:F72)/(1+realdiscrt3)^-Half_Year</f>
        <v>0.40870291318175739</v>
      </c>
      <c r="G152" s="604">
        <f>NPV(realdiscrt3,G$65:G72)/(1+realdiscrt3)^-Half_Year</f>
        <v>4.9632804712004784E-2</v>
      </c>
      <c r="H152" s="605">
        <f>NPV(realdiscrt3,H$65:H72)/(1+realdiscrt3)^-Half_Year</f>
        <v>3.6421328274815229E-2</v>
      </c>
      <c r="I152" s="605">
        <f>NPV(realdiscrt3,I$65:I72)/(1+realdiscrt3)^-Half_Year</f>
        <v>3.702633209963116E-2</v>
      </c>
      <c r="J152" s="605">
        <f>NPV(realdiscrt3,J$65:J72)/(1+realdiscrt3)^-Half_Year</f>
        <v>2.4978104936699223E-2</v>
      </c>
      <c r="K152" s="607">
        <f>NPV(realdiscrt3,K$65:K72)/(1+realdiscrt3)^-Half_Year</f>
        <v>1.4645189466950035E-2</v>
      </c>
      <c r="L152" s="1321">
        <f>NPV(realdiscrt3,L$65:L72)/(1+realdiscrt3)^-Half_Year</f>
        <v>647.70105869776637</v>
      </c>
      <c r="M152" s="609">
        <f>NPV(realdiscrt3,M$65:M72)/(1+realdiscrt3)^-Half_Year</f>
        <v>681.55339744106061</v>
      </c>
      <c r="N152" s="609">
        <f>NPV(realdiscrt3,N$65:N72)/(1+realdiscrt3)^-Half_Year</f>
        <v>681.55339744106061</v>
      </c>
      <c r="O152" s="612">
        <f>NPV(realdiscrt3,O$65:O72)/(1+realdiscrt3)^-Half_Year</f>
        <v>0</v>
      </c>
      <c r="P152" s="782">
        <f t="shared" si="96"/>
        <v>0</v>
      </c>
      <c r="Q152" s="782">
        <f t="shared" si="96"/>
        <v>129.93541329112475</v>
      </c>
      <c r="R152" s="1316">
        <f t="shared" si="97"/>
        <v>129.93541329112475</v>
      </c>
      <c r="S152" s="595">
        <f>NPV(realdiscrt3,S$65:S72)/(1+realdiscrt3)^-Half_Year</f>
        <v>0</v>
      </c>
      <c r="T152" s="595">
        <f>NPV(realdiscrt3,T$65:T72)/(1+realdiscrt3)^-Half_Year</f>
        <v>0</v>
      </c>
      <c r="U152" s="610">
        <f>NPV(realdiscrt3,U$65:U72)/(1+realdiscrt3)^-Half_Year</f>
        <v>0</v>
      </c>
      <c r="V152" s="611">
        <f>NPV(realdiscrt3,V$65:V72)/(1+realdiscrt3)^-Half_Year</f>
        <v>778.03008795627045</v>
      </c>
      <c r="W152" s="609">
        <f>NPV(realdiscrt3,W$65:W72)/(1+realdiscrt3)^-Half_Year</f>
        <v>0</v>
      </c>
      <c r="X152" s="612">
        <f>NPV(realdiscrt3,X$65:X72)/(1+realdiscrt3)^-Half_Year</f>
        <v>673.99868992849508</v>
      </c>
      <c r="Y152" s="608">
        <f>NPV(realdiscrt3,Y$65:Y72)/(1+realdiscrt3)^-Half_Year</f>
        <v>51.983719023923243</v>
      </c>
      <c r="Z152" s="609">
        <f>NPV(realdiscrt3,Z$65:Z72)/(1+realdiscrt3)^-Half_Year</f>
        <v>65.840996467567834</v>
      </c>
      <c r="AA152" s="609">
        <f>NPV(realdiscrt3,AA$65:AA72)/(1+realdiscrt3)^-Half_Year</f>
        <v>75.495061450234203</v>
      </c>
      <c r="AB152" s="609">
        <f>NPV(realdiscrt3,AB$65:AB72)/(1+realdiscrt3)^-Half_Year</f>
        <v>70.974146968630194</v>
      </c>
      <c r="AC152" s="609">
        <f>NPV(realdiscrt3,AC$65:AC72)/(1+realdiscrt3)^-Half_Year</f>
        <v>57.644898565601075</v>
      </c>
      <c r="AD152" s="609">
        <f>NPV(realdiscrt3,AD$65:AD72)/(1+realdiscrt3)^-Half_Year</f>
        <v>67.672263930445951</v>
      </c>
      <c r="AE152" s="612">
        <f>NPV(realdiscrt3,AE$65:AE72)/(1+realdiscrt3)^-Half_Year</f>
        <v>63.290305266008716</v>
      </c>
      <c r="AF152" s="613">
        <f>NPV(realdiscrt3,AF$65:AF72)/(1+realdiscrt3)^-Half_Year</f>
        <v>5.0636062897223034E-2</v>
      </c>
      <c r="AG152" s="607">
        <f>NPV(realdiscrt3,AG$65:AG72)/(1+realdiscrt3)^-Half_Year</f>
        <v>2.6340381625471081</v>
      </c>
      <c r="AH152" s="614">
        <f>NPV(realdiscrt3,AH$65:AH72)/(1+realdiscrt3)^-Half_Year</f>
        <v>2.6340381625471081</v>
      </c>
      <c r="AI152" s="614">
        <f>NPV(realdiscrt3,AI$65:AI72)/(1+realdiscrt3)^-Half_Year</f>
        <v>4.884518011754734</v>
      </c>
      <c r="AJ152" s="614">
        <f>NPV(realdiscrt3,AJ$65:AJ72)/(1+realdiscrt3)^-Half_Year</f>
        <v>4.0968500645320658</v>
      </c>
      <c r="AK152" s="614">
        <f>NPV(realdiscrt3,AK$65:AK72)/(1+realdiscrt3)^-Half_Year</f>
        <v>2.6340381625471081</v>
      </c>
      <c r="AL152" s="614">
        <f>NPV(realdiscrt3,AL$65:AL72)/(1+realdiscrt3)^-Half_Year</f>
        <v>4.884518011754734</v>
      </c>
      <c r="AM152" s="614">
        <f>NPV(realdiscrt3,AM$65:AM72)/(1+realdiscrt3)^-Half_Year</f>
        <v>3.9010583176510014</v>
      </c>
      <c r="AN152" s="594">
        <f>NPV(realdiscrt3,AN$65:AN72)/(1+realdiscrt3)^-Half_Year</f>
        <v>198.54795406646687</v>
      </c>
      <c r="AO152" s="595">
        <f>NPV(realdiscrt3,AO$65:AO72)/(1+realdiscrt3)^-Half_Year</f>
        <v>165.47999414872956</v>
      </c>
      <c r="AP152" s="325">
        <f>NPV(realdiscrt3,AP$65:AP72)/(1+realdiscrt3)^-Half_Year</f>
        <v>170.11764110941638</v>
      </c>
      <c r="AQ152" s="610">
        <f>NPV(realdiscrt3,AQ$65:AQ72)/(1+realdiscrt3)^-Half_Year</f>
        <v>9.8970686300594024E-2</v>
      </c>
      <c r="AR152" s="595">
        <f>NPV(realdiscrt3,AR$65:AR72)/(1+realdiscrt3)^-Half_Year</f>
        <v>178.037285479009</v>
      </c>
      <c r="AS152" s="612">
        <f>NPV(realdiscrt3,AS$65:AS72)/(1+realdiscrt3)^-Half_Year</f>
        <v>274.77204340759073</v>
      </c>
      <c r="AT152" s="594">
        <f>NPV(realdiscrt3,AT$65:AT72)/(1+realdiscrt3)^-Half_Year</f>
        <v>120.06156788629278</v>
      </c>
      <c r="AU152" s="609">
        <f>NPV(realdiscrt3,AU$65:AU72)/(1+realdiscrt3)^-Half_Year</f>
        <v>193.492872100352</v>
      </c>
      <c r="AV152" s="608">
        <f>NPV(realdiscrt3,AV$65:AV72)/(1+realdiscrt3)^-Half_Year</f>
        <v>6.781967351782317E-2</v>
      </c>
      <c r="AW152" s="612">
        <f>NPV(realdiscrt3,AW$65:AW72)/(1+realdiscrt3)^-Half_Year</f>
        <v>6.781967351782317E-2</v>
      </c>
      <c r="AX152" s="600">
        <f>NPV(realdiscrt3,AX$65:AX72)/(1+realdiscrt3)^-Half_Year</f>
        <v>7.7038317434447592</v>
      </c>
      <c r="AY152" s="615">
        <f>NPV(realdiscrt3,AY$65:AY72)/(1+realdiscrt3)^-Half_Year</f>
        <v>146.05168533875431</v>
      </c>
      <c r="AZ152" s="607">
        <f>NPV(realdiscrt3,AZ$65:AZ72)/(1+realdiscrt3)^-Half_Year</f>
        <v>0.34436463317208571</v>
      </c>
      <c r="BA152" s="614">
        <f>NPV(realdiscrt3,BA$65:BA72)/(1+realdiscrt3)^-Half_Year</f>
        <v>0.35170377015975901</v>
      </c>
      <c r="BB152" s="614">
        <f>NPV(realdiscrt3,BB$65:BB72)/(1+realdiscrt3)^-Half_Year</f>
        <v>0.33546824695112121</v>
      </c>
      <c r="BC152" s="610">
        <f>NPV(realdiscrt3,BC$65:BC72)/(1+realdiscrt3)^-Half_Year</f>
        <v>0.33759998503297622</v>
      </c>
    </row>
    <row r="153" spans="1:55" s="325" customFormat="1" ht="14.25">
      <c r="A153" s="602">
        <f t="shared" si="99"/>
        <v>9</v>
      </c>
      <c r="B153" s="603">
        <f t="shared" si="98"/>
        <v>2031</v>
      </c>
      <c r="C153" s="604">
        <f>NPV(realdiscrt3,C$65:C73)/(1+realdiscrt3)^-Half_Year</f>
        <v>0.65608245670589194</v>
      </c>
      <c r="D153" s="605">
        <f>NPV(realdiscrt3,D$65:D73)/(1+realdiscrt3)^-Half_Year</f>
        <v>0.6091206732728851</v>
      </c>
      <c r="E153" s="605">
        <f>NPV(realdiscrt3,E$65:E73)/(1+realdiscrt3)^-Half_Year</f>
        <v>0.52211288081049789</v>
      </c>
      <c r="F153" s="606">
        <f>NPV(realdiscrt3,F$65:F73)/(1+realdiscrt3)^-Half_Year</f>
        <v>0.45617729773400328</v>
      </c>
      <c r="G153" s="604">
        <f>NPV(realdiscrt3,G$65:G73)/(1+realdiscrt3)^-Half_Year</f>
        <v>5.1308939858984215E-2</v>
      </c>
      <c r="H153" s="605">
        <f>NPV(realdiscrt3,H$65:H73)/(1+realdiscrt3)^-Half_Year</f>
        <v>3.7678734475029972E-2</v>
      </c>
      <c r="I153" s="605">
        <f>NPV(realdiscrt3,I$65:I73)/(1+realdiscrt3)^-Half_Year</f>
        <v>3.8245915135507097E-2</v>
      </c>
      <c r="J153" s="605">
        <f>NPV(realdiscrt3,J$65:J73)/(1+realdiscrt3)^-Half_Year</f>
        <v>2.5820457039227626E-2</v>
      </c>
      <c r="K153" s="607">
        <f>NPV(realdiscrt3,K$65:K73)/(1+realdiscrt3)^-Half_Year</f>
        <v>1.4998770693505992E-2</v>
      </c>
      <c r="L153" s="1321">
        <f>NPV(realdiscrt3,L$65:L73)/(1+realdiscrt3)^-Half_Year</f>
        <v>733.303155263088</v>
      </c>
      <c r="M153" s="609">
        <f>NPV(realdiscrt3,M$65:M73)/(1+realdiscrt3)^-Half_Year</f>
        <v>789.47835676961711</v>
      </c>
      <c r="N153" s="609">
        <f>NPV(realdiscrt3,N$65:N73)/(1+realdiscrt3)^-Half_Year</f>
        <v>789.47835676961711</v>
      </c>
      <c r="O153" s="612">
        <f>NPV(realdiscrt3,O$65:O73)/(1+realdiscrt3)^-Half_Year</f>
        <v>0</v>
      </c>
      <c r="P153" s="782">
        <f t="shared" si="96"/>
        <v>0</v>
      </c>
      <c r="Q153" s="782">
        <f t="shared" si="96"/>
        <v>151.28372418429018</v>
      </c>
      <c r="R153" s="1316">
        <f t="shared" si="97"/>
        <v>151.28372418429018</v>
      </c>
      <c r="S153" s="595">
        <f>NPV(realdiscrt3,S$65:S73)/(1+realdiscrt3)^-Half_Year</f>
        <v>0</v>
      </c>
      <c r="T153" s="595">
        <f>NPV(realdiscrt3,T$65:T73)/(1+realdiscrt3)^-Half_Year</f>
        <v>0</v>
      </c>
      <c r="U153" s="610">
        <f>NPV(realdiscrt3,U$65:U73)/(1+realdiscrt3)^-Half_Year</f>
        <v>0</v>
      </c>
      <c r="V153" s="611">
        <f>NPV(realdiscrt3,V$65:V73)/(1+realdiscrt3)^-Half_Year</f>
        <v>869.2801663697237</v>
      </c>
      <c r="W153" s="609">
        <f>NPV(realdiscrt3,W$65:W73)/(1+realdiscrt3)^-Half_Year</f>
        <v>0</v>
      </c>
      <c r="X153" s="612">
        <f>NPV(realdiscrt3,X$65:X73)/(1+realdiscrt3)^-Half_Year</f>
        <v>753.04760366407379</v>
      </c>
      <c r="Y153" s="608">
        <f>NPV(realdiscrt3,Y$65:Y73)/(1+realdiscrt3)^-Half_Year</f>
        <v>58.509297870297409</v>
      </c>
      <c r="Z153" s="609">
        <f>NPV(realdiscrt3,Z$65:Z73)/(1+realdiscrt3)^-Half_Year</f>
        <v>73.984450053206743</v>
      </c>
      <c r="AA153" s="609">
        <f>NPV(realdiscrt3,AA$65:AA73)/(1+realdiscrt3)^-Half_Year</f>
        <v>84.768949259881737</v>
      </c>
      <c r="AB153" s="609">
        <f>NPV(realdiscrt3,AB$65:AB73)/(1+realdiscrt3)^-Half_Year</f>
        <v>79.71954928473923</v>
      </c>
      <c r="AC153" s="609">
        <f>NPV(realdiscrt3,AC$65:AC73)/(1+realdiscrt3)^-Half_Year</f>
        <v>64.832604857501877</v>
      </c>
      <c r="AD153" s="609">
        <f>NPV(realdiscrt3,AD$65:AD73)/(1+realdiscrt3)^-Half_Year</f>
        <v>76.030799775859137</v>
      </c>
      <c r="AE153" s="612">
        <f>NPV(realdiscrt3,AE$65:AE73)/(1+realdiscrt3)^-Half_Year</f>
        <v>71.137188596537001</v>
      </c>
      <c r="AF153" s="613">
        <f>NPV(realdiscrt3,AF$65:AF73)/(1+realdiscrt3)^-Half_Year</f>
        <v>6.0343518047590416E-2</v>
      </c>
      <c r="AG153" s="607">
        <f>NPV(realdiscrt3,AG$65:AG73)/(1+realdiscrt3)^-Half_Year</f>
        <v>2.7214052589004152</v>
      </c>
      <c r="AH153" s="614">
        <f>NPV(realdiscrt3,AH$65:AH73)/(1+realdiscrt3)^-Half_Year</f>
        <v>2.7214052589004152</v>
      </c>
      <c r="AI153" s="614">
        <f>NPV(realdiscrt3,AI$65:AI73)/(1+realdiscrt3)^-Half_Year</f>
        <v>5.0398372941606127</v>
      </c>
      <c r="AJ153" s="614">
        <f>NPV(realdiscrt3,AJ$65:AJ73)/(1+realdiscrt3)^-Half_Year</f>
        <v>4.2283860818195436</v>
      </c>
      <c r="AK153" s="614">
        <f>NPV(realdiscrt3,AK$65:AK73)/(1+realdiscrt3)^-Half_Year</f>
        <v>2.7214052589004152</v>
      </c>
      <c r="AL153" s="614">
        <f>NPV(realdiscrt3,AL$65:AL73)/(1+realdiscrt3)^-Half_Year</f>
        <v>5.0398372941606127</v>
      </c>
      <c r="AM153" s="614">
        <f>NPV(realdiscrt3,AM$65:AM73)/(1+realdiscrt3)^-Half_Year</f>
        <v>4.0266824947519062</v>
      </c>
      <c r="AN153" s="594">
        <f>NPV(realdiscrt3,AN$65:AN73)/(1+realdiscrt3)^-Half_Year</f>
        <v>223.21411474881594</v>
      </c>
      <c r="AO153" s="595">
        <f>NPV(realdiscrt3,AO$65:AO73)/(1+realdiscrt3)^-Half_Year</f>
        <v>186.20000050689143</v>
      </c>
      <c r="AP153" s="325">
        <f>NPV(realdiscrt3,AP$65:AP73)/(1+realdiscrt3)^-Half_Year</f>
        <v>191.48900843100839</v>
      </c>
      <c r="AQ153" s="610">
        <f>NPV(realdiscrt3,AQ$65:AQ73)/(1+realdiscrt3)^-Half_Year</f>
        <v>0.11068832559821024</v>
      </c>
      <c r="AR153" s="595">
        <f>NPV(realdiscrt3,AR$65:AR73)/(1+realdiscrt3)^-Half_Year</f>
        <v>200.15534915648396</v>
      </c>
      <c r="AS153" s="612">
        <f>NPV(realdiscrt3,AS$65:AS73)/(1+realdiscrt3)^-Half_Year</f>
        <v>308.13410545822171</v>
      </c>
      <c r="AT153" s="594">
        <f>NPV(realdiscrt3,AT$65:AT73)/(1+realdiscrt3)^-Half_Year</f>
        <v>134.9771480501995</v>
      </c>
      <c r="AU153" s="609">
        <f>NPV(realdiscrt3,AU$65:AU73)/(1+realdiscrt3)^-Half_Year</f>
        <v>217.53102598895242</v>
      </c>
      <c r="AV153" s="608">
        <f>NPV(realdiscrt3,AV$65:AV73)/(1+realdiscrt3)^-Half_Year</f>
        <v>7.5773801028151538E-2</v>
      </c>
      <c r="AW153" s="612">
        <f>NPV(realdiscrt3,AW$65:AW73)/(1+realdiscrt3)^-Half_Year</f>
        <v>7.5773801028151538E-2</v>
      </c>
      <c r="AX153" s="600">
        <f>NPV(realdiscrt3,AX$65:AX73)/(1+realdiscrt3)^-Half_Year</f>
        <v>8.6073639609711563</v>
      </c>
      <c r="AY153" s="615">
        <f>NPV(realdiscrt3,AY$65:AY73)/(1+realdiscrt3)^-Half_Year</f>
        <v>169.16180795339207</v>
      </c>
      <c r="AZ153" s="607">
        <f>NPV(realdiscrt3,AZ$65:AZ73)/(1+realdiscrt3)^-Half_Year</f>
        <v>0.38306125697343785</v>
      </c>
      <c r="BA153" s="614">
        <f>NPV(realdiscrt3,BA$65:BA73)/(1+realdiscrt3)^-Half_Year</f>
        <v>0.39122510066929578</v>
      </c>
      <c r="BB153" s="614">
        <f>NPV(realdiscrt3,BB$65:BB73)/(1+realdiscrt3)^-Half_Year</f>
        <v>0.37316517427489643</v>
      </c>
      <c r="BC153" s="610">
        <f>NPV(realdiscrt3,BC$65:BC73)/(1+realdiscrt3)^-Half_Year</f>
        <v>0.37553645805526498</v>
      </c>
    </row>
    <row r="154" spans="1:55" s="325" customFormat="1" ht="14.25">
      <c r="A154" s="602">
        <f t="shared" si="99"/>
        <v>10</v>
      </c>
      <c r="B154" s="603">
        <f t="shared" si="98"/>
        <v>2032</v>
      </c>
      <c r="C154" s="604">
        <f>NPV(realdiscrt3,C$65:C74)/(1+realdiscrt3)^-Half_Year</f>
        <v>0.72149476772544396</v>
      </c>
      <c r="D154" s="605">
        <f>NPV(realdiscrt3,D$65:D74)/(1+realdiscrt3)^-Half_Year</f>
        <v>0.67029910701474993</v>
      </c>
      <c r="E154" s="605">
        <f>NPV(realdiscrt3,E$65:E74)/(1+realdiscrt3)^-Half_Year</f>
        <v>0.57689589387567852</v>
      </c>
      <c r="F154" s="606">
        <f>NPV(realdiscrt3,F$65:F74)/(1+realdiscrt3)^-Half_Year</f>
        <v>0.50403409959877765</v>
      </c>
      <c r="G154" s="604">
        <f>NPV(realdiscrt3,G$65:G74)/(1+realdiscrt3)^-Half_Year</f>
        <v>5.2276198026740835E-2</v>
      </c>
      <c r="H154" s="605">
        <f>NPV(realdiscrt3,H$65:H74)/(1+realdiscrt3)^-Half_Year</f>
        <v>3.8364543351674989E-2</v>
      </c>
      <c r="I154" s="605">
        <f>NPV(realdiscrt3,I$65:I74)/(1+realdiscrt3)^-Half_Year</f>
        <v>3.8990872279823119E-2</v>
      </c>
      <c r="J154" s="605">
        <f>NPV(realdiscrt3,J$65:J74)/(1+realdiscrt3)^-Half_Year</f>
        <v>2.6309951387010262E-2</v>
      </c>
      <c r="K154" s="607">
        <f>NPV(realdiscrt3,K$65:K74)/(1+realdiscrt3)^-Half_Year</f>
        <v>1.5097636363897993E-2</v>
      </c>
      <c r="L154" s="1321">
        <f>NPV(realdiscrt3,L$65:L74)/(1+realdiscrt3)^-Half_Year</f>
        <v>823.48253527386362</v>
      </c>
      <c r="M154" s="609">
        <f>NPV(realdiscrt3,M$65:M74)/(1+realdiscrt3)^-Half_Year</f>
        <v>902.87738326218164</v>
      </c>
      <c r="N154" s="609">
        <f>NPV(realdiscrt3,N$65:N74)/(1+realdiscrt3)^-Half_Year</f>
        <v>902.87738326218164</v>
      </c>
      <c r="O154" s="612">
        <f>NPV(realdiscrt3,O$65:O74)/(1+realdiscrt3)^-Half_Year</f>
        <v>0</v>
      </c>
      <c r="P154" s="782">
        <f t="shared" si="96"/>
        <v>0</v>
      </c>
      <c r="Q154" s="782">
        <f t="shared" si="96"/>
        <v>148.60735568300689</v>
      </c>
      <c r="R154" s="1316">
        <f t="shared" si="97"/>
        <v>148.60735568300689</v>
      </c>
      <c r="S154" s="595">
        <f>NPV(realdiscrt3,S$65:S74)/(1+realdiscrt3)^-Half_Year</f>
        <v>0</v>
      </c>
      <c r="T154" s="595">
        <f>NPV(realdiscrt3,T$65:T74)/(1+realdiscrt3)^-Half_Year</f>
        <v>0</v>
      </c>
      <c r="U154" s="610">
        <f>NPV(realdiscrt3,U$65:U74)/(1+realdiscrt3)^-Half_Year</f>
        <v>0</v>
      </c>
      <c r="V154" s="611">
        <f>NPV(realdiscrt3,V$65:V74)/(1+realdiscrt3)^-Half_Year</f>
        <v>959.25760446438403</v>
      </c>
      <c r="W154" s="609">
        <f>NPV(realdiscrt3,W$65:W74)/(1+realdiscrt3)^-Half_Year</f>
        <v>0</v>
      </c>
      <c r="X154" s="612">
        <f>NPV(realdiscrt3,X$65:X74)/(1+realdiscrt3)^-Half_Year</f>
        <v>830.99404344537436</v>
      </c>
      <c r="Y154" s="608">
        <f>NPV(realdiscrt3,Y$65:Y74)/(1+realdiscrt3)^-Half_Year</f>
        <v>64.959847754575321</v>
      </c>
      <c r="Z154" s="609">
        <f>NPV(realdiscrt3,Z$65:Z74)/(1+realdiscrt3)^-Half_Year</f>
        <v>82.025957022173344</v>
      </c>
      <c r="AA154" s="609">
        <f>NPV(realdiscrt3,AA$65:AA74)/(1+realdiscrt3)^-Half_Year</f>
        <v>93.923990730091191</v>
      </c>
      <c r="AB154" s="609">
        <f>NPV(realdiscrt3,AB$65:AB74)/(1+realdiscrt3)^-Half_Year</f>
        <v>88.354525796275155</v>
      </c>
      <c r="AC154" s="609">
        <f>NPV(realdiscrt3,AC$65:AC74)/(1+realdiscrt3)^-Half_Year</f>
        <v>71.934378286522147</v>
      </c>
      <c r="AD154" s="609">
        <f>NPV(realdiscrt3,AD$65:AD74)/(1+realdiscrt3)^-Half_Year</f>
        <v>84.284436238192427</v>
      </c>
      <c r="AE154" s="612">
        <f>NPV(realdiscrt3,AE$65:AE74)/(1+realdiscrt3)^-Half_Year</f>
        <v>78.887460913312495</v>
      </c>
      <c r="AF154" s="613">
        <f>NPV(realdiscrt3,AF$65:AF74)/(1+realdiscrt3)^-Half_Year</f>
        <v>6.9915585930001092E-2</v>
      </c>
      <c r="AG154" s="607">
        <f>NPV(realdiscrt3,AG$65:AG74)/(1+realdiscrt3)^-Half_Year</f>
        <v>2.7692655983124683</v>
      </c>
      <c r="AH154" s="614">
        <f>NPV(realdiscrt3,AH$65:AH74)/(1+realdiscrt3)^-Half_Year</f>
        <v>2.7692655983124683</v>
      </c>
      <c r="AI154" s="614">
        <f>NPV(realdiscrt3,AI$65:AI74)/(1+realdiscrt3)^-Half_Year</f>
        <v>5.1164138372198975</v>
      </c>
      <c r="AJ154" s="614">
        <f>NPV(realdiscrt3,AJ$65:AJ74)/(1+realdiscrt3)^-Half_Year</f>
        <v>4.2949119536022975</v>
      </c>
      <c r="AK154" s="614">
        <f>NPV(realdiscrt3,AK$65:AK74)/(1+realdiscrt3)^-Half_Year</f>
        <v>2.7692655983124683</v>
      </c>
      <c r="AL154" s="614">
        <f>NPV(realdiscrt3,AL$65:AL74)/(1+realdiscrt3)^-Half_Year</f>
        <v>5.1164138372198975</v>
      </c>
      <c r="AM154" s="614">
        <f>NPV(realdiscrt3,AM$65:AM74)/(1+realdiscrt3)^-Half_Year</f>
        <v>4.0907100568173513</v>
      </c>
      <c r="AN154" s="594">
        <f>NPV(realdiscrt3,AN$65:AN74)/(1+realdiscrt3)^-Half_Year</f>
        <v>248.01028491118592</v>
      </c>
      <c r="AO154" s="595">
        <f>NPV(realdiscrt3,AO$65:AO74)/(1+realdiscrt3)^-Half_Year</f>
        <v>207.02775129258353</v>
      </c>
      <c r="AP154" s="325">
        <f>NPV(realdiscrt3,AP$65:AP74)/(1+realdiscrt3)^-Half_Year</f>
        <v>212.98398247831491</v>
      </c>
      <c r="AQ154" s="610">
        <f>NPV(realdiscrt3,AQ$65:AQ74)/(1+realdiscrt3)^-Half_Year</f>
        <v>0.12224254212983547</v>
      </c>
      <c r="AR154" s="595">
        <f>NPV(realdiscrt3,AR$65:AR74)/(1+realdiscrt3)^-Half_Year</f>
        <v>222.38999189929501</v>
      </c>
      <c r="AS154" s="612">
        <f>NPV(realdiscrt3,AS$65:AS74)/(1+realdiscrt3)^-Half_Year</f>
        <v>341.51234872572604</v>
      </c>
      <c r="AT154" s="594">
        <f>NPV(realdiscrt3,AT$65:AT74)/(1+realdiscrt3)^-Half_Year</f>
        <v>149.97134469789114</v>
      </c>
      <c r="AU154" s="609">
        <f>NPV(realdiscrt3,AU$65:AU74)/(1+realdiscrt3)^-Half_Year</f>
        <v>241.69587928278111</v>
      </c>
      <c r="AV154" s="608">
        <f>NPV(realdiscrt3,AV$65:AV74)/(1+realdiscrt3)^-Half_Year</f>
        <v>8.3616994459885491E-2</v>
      </c>
      <c r="AW154" s="612">
        <f>NPV(realdiscrt3,AW$65:AW74)/(1+realdiscrt3)^-Half_Year</f>
        <v>8.3616994459885491E-2</v>
      </c>
      <c r="AX154" s="600">
        <f>NPV(realdiscrt3,AX$65:AX74)/(1+realdiscrt3)^-Half_Year</f>
        <v>9.4982948574976671</v>
      </c>
      <c r="AY154" s="615">
        <f>NPV(realdiscrt3,AY$65:AY74)/(1+realdiscrt3)^-Half_Year</f>
        <v>193.61123118682789</v>
      </c>
      <c r="AZ154" s="607">
        <f>NPV(realdiscrt3,AZ$65:AZ74)/(1+realdiscrt3)^-Half_Year</f>
        <v>0.42078348259629406</v>
      </c>
      <c r="BA154" s="614">
        <f>NPV(realdiscrt3,BA$65:BA74)/(1+realdiscrt3)^-Half_Year</f>
        <v>0.42975126651904433</v>
      </c>
      <c r="BB154" s="614">
        <f>NPV(realdiscrt3,BB$65:BB74)/(1+realdiscrt3)^-Half_Year</f>
        <v>0.40991287622160144</v>
      </c>
      <c r="BC154" s="610">
        <f>NPV(realdiscrt3,BC$65:BC74)/(1+realdiscrt3)^-Half_Year</f>
        <v>0.41251767383337556</v>
      </c>
    </row>
    <row r="155" spans="1:55" s="325" customFormat="1" ht="14.25">
      <c r="A155" s="602">
        <f t="shared" si="99"/>
        <v>11</v>
      </c>
      <c r="B155" s="603">
        <f t="shared" si="98"/>
        <v>2033</v>
      </c>
      <c r="C155" s="604">
        <f>NPV(realdiscrt3,C$65:C75)/(1+realdiscrt3)^-Half_Year</f>
        <v>0.79113324304805577</v>
      </c>
      <c r="D155" s="605">
        <f>NPV(realdiscrt3,D$65:D75)/(1+realdiscrt3)^-Half_Year</f>
        <v>0.7318911680871536</v>
      </c>
      <c r="E155" s="605">
        <f>NPV(realdiscrt3,E$65:E75)/(1+realdiscrt3)^-Half_Year</f>
        <v>0.63181559690359612</v>
      </c>
      <c r="F155" s="606">
        <f>NPV(realdiscrt3,F$65:F75)/(1+realdiscrt3)^-Half_Year</f>
        <v>0.54950072030665664</v>
      </c>
      <c r="G155" s="604">
        <f>NPV(realdiscrt3,G$65:G75)/(1+realdiscrt3)^-Half_Year</f>
        <v>5.2276198026740835E-2</v>
      </c>
      <c r="H155" s="605">
        <f>NPV(realdiscrt3,H$65:H75)/(1+realdiscrt3)^-Half_Year</f>
        <v>3.8364543351674989E-2</v>
      </c>
      <c r="I155" s="605">
        <f>NPV(realdiscrt3,I$65:I75)/(1+realdiscrt3)^-Half_Year</f>
        <v>3.8990872279823119E-2</v>
      </c>
      <c r="J155" s="605">
        <f>NPV(realdiscrt3,J$65:J75)/(1+realdiscrt3)^-Half_Year</f>
        <v>2.6309951387010262E-2</v>
      </c>
      <c r="K155" s="607">
        <f>NPV(realdiscrt3,K$65:K75)/(1+realdiscrt3)^-Half_Year</f>
        <v>1.5195853607530839E-2</v>
      </c>
      <c r="L155" s="1321">
        <f>NPV(realdiscrt3,L$65:L75)/(1+realdiscrt3)^-Half_Year</f>
        <v>908.13620958775152</v>
      </c>
      <c r="M155" s="609">
        <f>NPV(realdiscrt3,M$65:M75)/(1+realdiscrt3)^-Half_Year</f>
        <v>1011.0928163322632</v>
      </c>
      <c r="N155" s="609">
        <f>NPV(realdiscrt3,N$65:N75)/(1+realdiscrt3)^-Half_Year</f>
        <v>1011.0928163322632</v>
      </c>
      <c r="O155" s="612">
        <f>NPV(realdiscrt3,O$65:O75)/(1+realdiscrt3)^-Half_Year</f>
        <v>0</v>
      </c>
      <c r="P155" s="782">
        <f t="shared" si="96"/>
        <v>0</v>
      </c>
      <c r="Q155" s="782">
        <f t="shared" si="96"/>
        <v>114.55209643945037</v>
      </c>
      <c r="R155" s="1316">
        <f t="shared" si="97"/>
        <v>114.55209643945037</v>
      </c>
      <c r="S155" s="595">
        <f>NPV(realdiscrt3,S$65:S75)/(1+realdiscrt3)^-Half_Year</f>
        <v>0</v>
      </c>
      <c r="T155" s="595">
        <f>NPV(realdiscrt3,T$65:T75)/(1+realdiscrt3)^-Half_Year</f>
        <v>0</v>
      </c>
      <c r="U155" s="610">
        <f>NPV(realdiscrt3,U$65:U75)/(1+realdiscrt3)^-Half_Year</f>
        <v>0</v>
      </c>
      <c r="V155" s="611">
        <f>NPV(realdiscrt3,V$65:V75)/(1+realdiscrt3)^-Half_Year</f>
        <v>1047.9801514127366</v>
      </c>
      <c r="W155" s="609">
        <f>NPV(realdiscrt3,W$65:W75)/(1+realdiscrt3)^-Half_Year</f>
        <v>0</v>
      </c>
      <c r="X155" s="612">
        <f>NPV(realdiscrt3,X$65:X75)/(1+realdiscrt3)^-Half_Year</f>
        <v>907.85338518033041</v>
      </c>
      <c r="Y155" s="608">
        <f>NPV(realdiscrt3,Y$65:Y75)/(1+realdiscrt3)^-Half_Year</f>
        <v>71.271721291793128</v>
      </c>
      <c r="Z155" s="609">
        <f>NPV(realdiscrt3,Z$65:Z75)/(1+realdiscrt3)^-Half_Year</f>
        <v>89.900097106707562</v>
      </c>
      <c r="AA155" s="609">
        <f>NPV(realdiscrt3,AA$65:AA75)/(1+realdiscrt3)^-Half_Year</f>
        <v>102.89442994601269</v>
      </c>
      <c r="AB155" s="609">
        <f>NPV(realdiscrt3,AB$65:AB75)/(1+realdiscrt3)^-Half_Year</f>
        <v>96.813725363908404</v>
      </c>
      <c r="AC155" s="609">
        <f>NPV(realdiscrt3,AC$65:AC75)/(1+realdiscrt3)^-Half_Year</f>
        <v>78.885727458117728</v>
      </c>
      <c r="AD155" s="609">
        <f>NPV(realdiscrt3,AD$65:AD75)/(1+realdiscrt3)^-Half_Year</f>
        <v>92.367781480634832</v>
      </c>
      <c r="AE155" s="612">
        <f>NPV(realdiscrt3,AE$65:AE75)/(1+realdiscrt3)^-Half_Year</f>
        <v>86.476123872794844</v>
      </c>
      <c r="AF155" s="613">
        <f>NPV(realdiscrt3,AF$65:AF75)/(1+realdiscrt3)^-Half_Year</f>
        <v>7.9354154754293887E-2</v>
      </c>
      <c r="AG155" s="607">
        <f>NPV(realdiscrt3,AG$65:AG75)/(1+realdiscrt3)^-Half_Year</f>
        <v>2.7787041671367612</v>
      </c>
      <c r="AH155" s="614">
        <f>NPV(realdiscrt3,AH$65:AH75)/(1+realdiscrt3)^-Half_Year</f>
        <v>2.7787041671367612</v>
      </c>
      <c r="AI155" s="614">
        <f>NPV(realdiscrt3,AI$65:AI75)/(1+realdiscrt3)^-Half_Year</f>
        <v>5.1164138372198975</v>
      </c>
      <c r="AJ155" s="614">
        <f>NPV(realdiscrt3,AJ$65:AJ75)/(1+realdiscrt3)^-Half_Year</f>
        <v>4.2982154526908003</v>
      </c>
      <c r="AK155" s="614">
        <f>NPV(realdiscrt3,AK$65:AK75)/(1+realdiscrt3)^-Half_Year</f>
        <v>2.7787041671367612</v>
      </c>
      <c r="AL155" s="614">
        <f>NPV(realdiscrt3,AL$65:AL75)/(1+realdiscrt3)^-Half_Year</f>
        <v>5.1164138372198975</v>
      </c>
      <c r="AM155" s="614">
        <f>NPV(realdiscrt3,AM$65:AM75)/(1+realdiscrt3)^-Half_Year</f>
        <v>4.0948347113935659</v>
      </c>
      <c r="AN155" s="594">
        <f>NPV(realdiscrt3,AN$65:AN75)/(1+realdiscrt3)^-Half_Year</f>
        <v>272.38265834802604</v>
      </c>
      <c r="AO155" s="595">
        <f>NPV(realdiscrt3,AO$65:AO75)/(1+realdiscrt3)^-Half_Year</f>
        <v>227.55144491144029</v>
      </c>
      <c r="AP155" s="325">
        <f>NPV(realdiscrt3,AP$65:AP75)/(1+realdiscrt3)^-Half_Year</f>
        <v>234.17345438231425</v>
      </c>
      <c r="AQ155" s="610">
        <f>NPV(realdiscrt3,AQ$65:AQ75)/(1+realdiscrt3)^-Half_Year</f>
        <v>0.13363561510886468</v>
      </c>
      <c r="AR155" s="595">
        <f>NPV(realdiscrt3,AR$65:AR75)/(1+realdiscrt3)^-Half_Year</f>
        <v>244.2446175376086</v>
      </c>
      <c r="AS155" s="612">
        <f>NPV(realdiscrt3,AS$65:AS75)/(1+realdiscrt3)^-Half_Year</f>
        <v>374.51659419358828</v>
      </c>
      <c r="AT155" s="594">
        <f>NPV(realdiscrt3,AT$65:AT75)/(1+realdiscrt3)^-Half_Year</f>
        <v>164.70927227662446</v>
      </c>
      <c r="AU155" s="609">
        <f>NPV(realdiscrt3,AU$65:AU75)/(1+realdiscrt3)^-Half_Year</f>
        <v>265.44772582468909</v>
      </c>
      <c r="AV155" s="608">
        <f>NPV(realdiscrt3,AV$65:AV75)/(1+realdiscrt3)^-Half_Year</f>
        <v>9.1350800980803976E-2</v>
      </c>
      <c r="AW155" s="612">
        <f>NPV(realdiscrt3,AW$65:AW75)/(1+realdiscrt3)^-Half_Year</f>
        <v>9.1350800980803976E-2</v>
      </c>
      <c r="AX155" s="600">
        <f>NPV(realdiscrt3,AX$65:AX75)/(1+realdiscrt3)^-Half_Year</f>
        <v>10.376800180261483</v>
      </c>
      <c r="AY155" s="615">
        <f>NPV(realdiscrt3,AY$65:AY75)/(1+realdiscrt3)^-Half_Year</f>
        <v>219.3581021272422</v>
      </c>
      <c r="AZ155" s="607">
        <f>NPV(realdiscrt3,AZ$65:AZ75)/(1+realdiscrt3)^-Half_Year</f>
        <v>0.45757104620594202</v>
      </c>
      <c r="BA155" s="614">
        <f>NPV(realdiscrt3,BA$65:BA75)/(1+realdiscrt3)^-Half_Year</f>
        <v>0.46732285073582314</v>
      </c>
      <c r="BB155" s="614">
        <f>NPV(realdiscrt3,BB$65:BB75)/(1+realdiscrt3)^-Half_Year</f>
        <v>0.44575006240431969</v>
      </c>
      <c r="BC155" s="610">
        <f>NPV(realdiscrt3,BC$65:BC75)/(1+realdiscrt3)^-Half_Year</f>
        <v>0.44858258796121686</v>
      </c>
    </row>
    <row r="156" spans="1:55" s="325" customFormat="1" ht="14.25">
      <c r="A156" s="602">
        <f t="shared" si="99"/>
        <v>12</v>
      </c>
      <c r="B156" s="603">
        <f t="shared" si="98"/>
        <v>2034</v>
      </c>
      <c r="C156" s="604">
        <f>NPV(realdiscrt3,C$65:C76)/(1+realdiscrt3)^-Half_Year</f>
        <v>0.85905559565088274</v>
      </c>
      <c r="D156" s="605">
        <f>NPV(realdiscrt3,D$65:D76)/(1+realdiscrt3)^-Half_Year</f>
        <v>0.78937088176733616</v>
      </c>
      <c r="E156" s="605">
        <f>NPV(realdiscrt3,E$65:E76)/(1+realdiscrt3)^-Half_Year</f>
        <v>0.68924667714433263</v>
      </c>
      <c r="F156" s="606">
        <f>NPV(realdiscrt3,F$65:F76)/(1+realdiscrt3)^-Half_Year</f>
        <v>0.59533730254716088</v>
      </c>
      <c r="G156" s="604">
        <f>NPV(realdiscrt3,G$65:G76)/(1+realdiscrt3)^-Half_Year</f>
        <v>5.2276198026740835E-2</v>
      </c>
      <c r="H156" s="605">
        <f>NPV(realdiscrt3,H$65:H76)/(1+realdiscrt3)^-Half_Year</f>
        <v>3.8364543351674989E-2</v>
      </c>
      <c r="I156" s="605">
        <f>NPV(realdiscrt3,I$65:I76)/(1+realdiscrt3)^-Half_Year</f>
        <v>3.8990872279823119E-2</v>
      </c>
      <c r="J156" s="605">
        <f>NPV(realdiscrt3,J$65:J76)/(1+realdiscrt3)^-Half_Year</f>
        <v>2.6309951387010262E-2</v>
      </c>
      <c r="K156" s="607">
        <f>NPV(realdiscrt3,K$65:K76)/(1+realdiscrt3)^-Half_Year</f>
        <v>1.5293254165076492E-2</v>
      </c>
      <c r="L156" s="1321">
        <f>NPV(realdiscrt3,L$65:L76)/(1+realdiscrt3)^-Half_Year</f>
        <v>990.20641735852405</v>
      </c>
      <c r="M156" s="609">
        <f>NPV(realdiscrt3,M$65:M76)/(1+realdiscrt3)^-Half_Year</f>
        <v>1114.5648595548007</v>
      </c>
      <c r="N156" s="609">
        <f>NPV(realdiscrt3,N$65:N76)/(1+realdiscrt3)^-Half_Year</f>
        <v>1114.5648595548007</v>
      </c>
      <c r="O156" s="612">
        <f>NPV(realdiscrt3,O$65:O76)/(1+realdiscrt3)^-Half_Year</f>
        <v>0</v>
      </c>
      <c r="P156" s="782">
        <f t="shared" si="96"/>
        <v>0</v>
      </c>
      <c r="Q156" s="782">
        <f t="shared" si="96"/>
        <v>63.12942350169353</v>
      </c>
      <c r="R156" s="1316">
        <f t="shared" si="97"/>
        <v>63.12942350169353</v>
      </c>
      <c r="S156" s="595">
        <f>NPV(realdiscrt3,S$65:S76)/(1+realdiscrt3)^-Half_Year</f>
        <v>0</v>
      </c>
      <c r="T156" s="595">
        <f>NPV(realdiscrt3,T$65:T76)/(1+realdiscrt3)^-Half_Year</f>
        <v>0</v>
      </c>
      <c r="U156" s="610">
        <f>NPV(realdiscrt3,U$65:U76)/(1+realdiscrt3)^-Half_Year</f>
        <v>0</v>
      </c>
      <c r="V156" s="611">
        <f>NPV(realdiscrt3,V$65:V76)/(1+realdiscrt3)^-Half_Year</f>
        <v>1135.4653088443272</v>
      </c>
      <c r="W156" s="609">
        <f>NPV(realdiscrt3,W$65:W76)/(1+realdiscrt3)^-Half_Year</f>
        <v>0</v>
      </c>
      <c r="X156" s="612">
        <f>NPV(realdiscrt3,X$65:X76)/(1+realdiscrt3)^-Half_Year</f>
        <v>983.64079033322014</v>
      </c>
      <c r="Y156" s="608">
        <f>NPV(realdiscrt3,Y$65:Y76)/(1+realdiscrt3)^-Half_Year</f>
        <v>77.415827124736779</v>
      </c>
      <c r="Z156" s="609">
        <f>NPV(realdiscrt3,Z$65:Z76)/(1+realdiscrt3)^-Half_Year</f>
        <v>97.578124199103726</v>
      </c>
      <c r="AA156" s="609">
        <f>NPV(realdiscrt3,AA$65:AA76)/(1+realdiscrt3)^-Half_Year</f>
        <v>111.65175296880668</v>
      </c>
      <c r="AB156" s="609">
        <f>NPV(realdiscrt3,AB$65:AB76)/(1+realdiscrt3)^-Half_Year</f>
        <v>105.06852207089496</v>
      </c>
      <c r="AC156" s="609">
        <f>NPV(realdiscrt3,AC$65:AC76)/(1+realdiscrt3)^-Half_Year</f>
        <v>85.657645521579596</v>
      </c>
      <c r="AD156" s="609">
        <f>NPV(realdiscrt3,AD$65:AD76)/(1+realdiscrt3)^-Half_Year</f>
        <v>100.25212899586106</v>
      </c>
      <c r="AE156" s="612">
        <f>NPV(realdiscrt3,AE$65:AE76)/(1+realdiscrt3)^-Half_Year</f>
        <v>93.874339717600037</v>
      </c>
      <c r="AF156" s="613">
        <f>NPV(realdiscrt3,AF$65:AF76)/(1+realdiscrt3)^-Half_Year</f>
        <v>8.8661086395952479E-2</v>
      </c>
      <c r="AG156" s="607">
        <f>NPV(realdiscrt3,AG$65:AG76)/(1+realdiscrt3)^-Half_Year</f>
        <v>2.7880110987784201</v>
      </c>
      <c r="AH156" s="614">
        <f>NPV(realdiscrt3,AH$65:AH76)/(1+realdiscrt3)^-Half_Year</f>
        <v>2.7880110987784201</v>
      </c>
      <c r="AI156" s="614">
        <f>NPV(realdiscrt3,AI$65:AI76)/(1+realdiscrt3)^-Half_Year</f>
        <v>5.1164138372198975</v>
      </c>
      <c r="AJ156" s="614">
        <f>NPV(realdiscrt3,AJ$65:AJ76)/(1+realdiscrt3)^-Half_Year</f>
        <v>4.3014728787653809</v>
      </c>
      <c r="AK156" s="614">
        <f>NPV(realdiscrt3,AK$65:AK76)/(1+realdiscrt3)^-Half_Year</f>
        <v>2.7880110987784201</v>
      </c>
      <c r="AL156" s="614">
        <f>NPV(realdiscrt3,AL$65:AL76)/(1+realdiscrt3)^-Half_Year</f>
        <v>5.1164138372198975</v>
      </c>
      <c r="AM156" s="614">
        <f>NPV(realdiscrt3,AM$65:AM76)/(1+realdiscrt3)^-Half_Year</f>
        <v>4.0989018405209716</v>
      </c>
      <c r="AN156" s="594">
        <f>NPV(realdiscrt3,AN$65:AN76)/(1+realdiscrt3)^-Half_Year</f>
        <v>296.70309290473546</v>
      </c>
      <c r="AO156" s="595">
        <f>NPV(realdiscrt3,AO$65:AO76)/(1+realdiscrt3)^-Half_Year</f>
        <v>248.04595107999776</v>
      </c>
      <c r="AP156" s="325">
        <f>NPV(realdiscrt3,AP$65:AP76)/(1+realdiscrt3)^-Half_Year</f>
        <v>255.344344277451</v>
      </c>
      <c r="AQ156" s="610">
        <f>NPV(realdiscrt3,AQ$65:AQ76)/(1+realdiscrt3)^-Half_Year</f>
        <v>0.14486979196111613</v>
      </c>
      <c r="AR156" s="595">
        <f>NPV(realdiscrt3,AR$65:AR76)/(1+realdiscrt3)^-Half_Year</f>
        <v>266.05266975605116</v>
      </c>
      <c r="AS156" s="612">
        <f>NPV(realdiscrt3,AS$65:AS76)/(1+realdiscrt3)^-Half_Year</f>
        <v>407.40664133717115</v>
      </c>
      <c r="AT156" s="594">
        <f>NPV(realdiscrt3,AT$65:AT76)/(1+realdiscrt3)^-Half_Year</f>
        <v>179.41579251393205</v>
      </c>
      <c r="AU156" s="609">
        <f>NPV(realdiscrt3,AU$65:AU76)/(1+realdiscrt3)^-Half_Year</f>
        <v>289.1489558637104</v>
      </c>
      <c r="AV156" s="608">
        <f>NPV(realdiscrt3,AV$65:AV76)/(1+realdiscrt3)^-Half_Year</f>
        <v>9.897674618075275E-2</v>
      </c>
      <c r="AW156" s="612">
        <f>NPV(realdiscrt3,AW$65:AW76)/(1+realdiscrt3)^-Half_Year</f>
        <v>9.897674618075275E-2</v>
      </c>
      <c r="AX156" s="600">
        <f>NPV(realdiscrt3,AX$65:AX76)/(1+realdiscrt3)^-Half_Year</f>
        <v>11.243053225400313</v>
      </c>
      <c r="AY156" s="615">
        <f>NPV(realdiscrt3,AY$65:AY76)/(1+realdiscrt3)^-Half_Year</f>
        <v>246.24607574790497</v>
      </c>
      <c r="AZ156" s="607">
        <f>NPV(realdiscrt3,AZ$65:AZ76)/(1+realdiscrt3)^-Half_Year</f>
        <v>0.49346187090451843</v>
      </c>
      <c r="BA156" s="614">
        <f>NPV(realdiscrt3,BA$65:BA76)/(1+realdiscrt3)^-Half_Year</f>
        <v>0.50397858464309808</v>
      </c>
      <c r="BB156" s="614">
        <f>NPV(realdiscrt3,BB$65:BB76)/(1+realdiscrt3)^-Half_Year</f>
        <v>0.48071367621202638</v>
      </c>
      <c r="BC156" s="610">
        <f>NPV(realdiscrt3,BC$65:BC76)/(1+realdiscrt3)^-Half_Year</f>
        <v>0.48376837858509192</v>
      </c>
    </row>
    <row r="157" spans="1:55" s="325" customFormat="1" ht="14.25">
      <c r="A157" s="602">
        <f t="shared" si="99"/>
        <v>13</v>
      </c>
      <c r="B157" s="603">
        <f t="shared" si="98"/>
        <v>2035</v>
      </c>
      <c r="C157" s="604">
        <f>NPV(realdiscrt3,C$65:C77)/(1+realdiscrt3)^-Half_Year</f>
        <v>0.92829547401180268</v>
      </c>
      <c r="D157" s="605">
        <f>NPV(realdiscrt3,D$65:D77)/(1+realdiscrt3)^-Half_Year</f>
        <v>0.8515121402267718</v>
      </c>
      <c r="E157" s="605">
        <f>NPV(realdiscrt3,E$65:E77)/(1+realdiscrt3)^-Half_Year</f>
        <v>0.75210639645530153</v>
      </c>
      <c r="F157" s="606">
        <f>NPV(realdiscrt3,F$65:F77)/(1+realdiscrt3)^-Half_Year</f>
        <v>0.6490933891107159</v>
      </c>
      <c r="G157" s="604">
        <f>NPV(realdiscrt3,G$65:G77)/(1+realdiscrt3)^-Half_Year</f>
        <v>5.2276198026740835E-2</v>
      </c>
      <c r="H157" s="605">
        <f>NPV(realdiscrt3,H$65:H77)/(1+realdiscrt3)^-Half_Year</f>
        <v>3.8364543351674989E-2</v>
      </c>
      <c r="I157" s="605">
        <f>NPV(realdiscrt3,I$65:I77)/(1+realdiscrt3)^-Half_Year</f>
        <v>3.8990872279823119E-2</v>
      </c>
      <c r="J157" s="605">
        <f>NPV(realdiscrt3,J$65:J77)/(1+realdiscrt3)^-Half_Year</f>
        <v>2.6309951387010262E-2</v>
      </c>
      <c r="K157" s="607">
        <f>NPV(realdiscrt3,K$65:K77)/(1+realdiscrt3)^-Half_Year</f>
        <v>1.5389296303223927E-2</v>
      </c>
      <c r="L157" s="1321">
        <f>NPV(realdiscrt3,L$65:L77)/(1+realdiscrt3)^-Half_Year</f>
        <v>1076.6650527317381</v>
      </c>
      <c r="M157" s="609">
        <f>NPV(realdiscrt3,M$65:M77)/(1+realdiscrt3)^-Half_Year</f>
        <v>1223.28511336478</v>
      </c>
      <c r="N157" s="609">
        <f>NPV(realdiscrt3,N$65:N77)/(1+realdiscrt3)^-Half_Year</f>
        <v>1223.28511336478</v>
      </c>
      <c r="O157" s="612">
        <f>NPV(realdiscrt3,O$65:O77)/(1+realdiscrt3)^-Half_Year</f>
        <v>0</v>
      </c>
      <c r="P157" s="782">
        <f t="shared" si="96"/>
        <v>0</v>
      </c>
      <c r="Q157" s="782">
        <f t="shared" si="96"/>
        <v>36.441108089224429</v>
      </c>
      <c r="R157" s="1316">
        <f t="shared" si="97"/>
        <v>36.441108089224429</v>
      </c>
      <c r="S157" s="595">
        <f>NPV(realdiscrt3,S$65:S77)/(1+realdiscrt3)^-Half_Year</f>
        <v>0</v>
      </c>
      <c r="T157" s="595">
        <f>NPV(realdiscrt3,T$65:T77)/(1+realdiscrt3)^-Half_Year</f>
        <v>0</v>
      </c>
      <c r="U157" s="610">
        <f>NPV(realdiscrt3,U$65:U77)/(1+realdiscrt3)^-Half_Year</f>
        <v>0</v>
      </c>
      <c r="V157" s="611">
        <f>NPV(realdiscrt3,V$65:V77)/(1+realdiscrt3)^-Half_Year</f>
        <v>1221.7303342981795</v>
      </c>
      <c r="W157" s="609">
        <f>NPV(realdiscrt3,W$65:W77)/(1+realdiscrt3)^-Half_Year</f>
        <v>0</v>
      </c>
      <c r="X157" s="612">
        <f>NPV(realdiscrt3,X$65:X77)/(1+realdiscrt3)^-Half_Year</f>
        <v>1058.3712089154546</v>
      </c>
      <c r="Y157" s="608">
        <f>NPV(realdiscrt3,Y$65:Y77)/(1+realdiscrt3)^-Half_Year</f>
        <v>83.500529568992292</v>
      </c>
      <c r="Z157" s="609">
        <f>NPV(realdiscrt3,Z$65:Z77)/(1+realdiscrt3)^-Half_Year</f>
        <v>105.17201710721672</v>
      </c>
      <c r="AA157" s="609">
        <f>NPV(realdiscrt3,AA$65:AA77)/(1+realdiscrt3)^-Half_Year</f>
        <v>120.30902433918919</v>
      </c>
      <c r="AB157" s="609">
        <f>NPV(realdiscrt3,AB$65:AB77)/(1+realdiscrt3)^-Half_Year</f>
        <v>113.23107905239563</v>
      </c>
      <c r="AC157" s="609">
        <f>NPV(realdiscrt3,AC$65:AC77)/(1+realdiscrt3)^-Half_Year</f>
        <v>92.360160827196495</v>
      </c>
      <c r="AD157" s="609">
        <f>NPV(realdiscrt3,AD$65:AD77)/(1+realdiscrt3)^-Half_Year</f>
        <v>108.04951037955387</v>
      </c>
      <c r="AE157" s="612">
        <f>NPV(realdiscrt3,AE$65:AE77)/(1+realdiscrt3)^-Half_Year</f>
        <v>101.19326462517368</v>
      </c>
      <c r="AF157" s="613">
        <f>NPV(realdiscrt3,AF$65:AF77)/(1+realdiscrt3)^-Half_Year</f>
        <v>9.783821676338357E-2</v>
      </c>
      <c r="AG157" s="607">
        <f>NPV(realdiscrt3,AG$65:AG77)/(1+realdiscrt3)^-Half_Year</f>
        <v>2.7880110987784201</v>
      </c>
      <c r="AH157" s="614">
        <f>NPV(realdiscrt3,AH$65:AH77)/(1+realdiscrt3)^-Half_Year</f>
        <v>2.7880110987784201</v>
      </c>
      <c r="AI157" s="614">
        <f>NPV(realdiscrt3,AI$65:AI77)/(1+realdiscrt3)^-Half_Year</f>
        <v>5.1164138372198975</v>
      </c>
      <c r="AJ157" s="614">
        <f>NPV(realdiscrt3,AJ$65:AJ77)/(1+realdiscrt3)^-Half_Year</f>
        <v>4.3014728787653809</v>
      </c>
      <c r="AK157" s="614">
        <f>NPV(realdiscrt3,AK$65:AK77)/(1+realdiscrt3)^-Half_Year</f>
        <v>2.7880110987784201</v>
      </c>
      <c r="AL157" s="614">
        <f>NPV(realdiscrt3,AL$65:AL77)/(1+realdiscrt3)^-Half_Year</f>
        <v>5.1164138372198975</v>
      </c>
      <c r="AM157" s="614">
        <f>NPV(realdiscrt3,AM$65:AM77)/(1+realdiscrt3)^-Half_Year</f>
        <v>4.0989018405209716</v>
      </c>
      <c r="AN157" s="594">
        <f>NPV(realdiscrt3,AN$65:AN77)/(1+realdiscrt3)^-Half_Year</f>
        <v>320.88276996723783</v>
      </c>
      <c r="AO157" s="595">
        <f>NPV(realdiscrt3,AO$65:AO77)/(1+realdiscrt3)^-Half_Year</f>
        <v>268.40753450134468</v>
      </c>
      <c r="AP157" s="325">
        <f>NPV(realdiscrt3,AP$65:AP77)/(1+realdiscrt3)^-Half_Year</f>
        <v>276.3794237667658</v>
      </c>
      <c r="AQ157" s="610">
        <f>NPV(realdiscrt3,AQ$65:AQ77)/(1+realdiscrt3)^-Half_Year</f>
        <v>0.15594728876816427</v>
      </c>
      <c r="AR157" s="595">
        <f>NPV(realdiscrt3,AR$65:AR77)/(1+realdiscrt3)^-Half_Year</f>
        <v>287.73450520083168</v>
      </c>
      <c r="AS157" s="612">
        <f>NPV(realdiscrt3,AS$65:AS77)/(1+realdiscrt3)^-Half_Year</f>
        <v>439.99378326196484</v>
      </c>
      <c r="AT157" s="594">
        <f>NPV(realdiscrt3,AT$65:AT77)/(1+realdiscrt3)^-Half_Year</f>
        <v>194.03719696384354</v>
      </c>
      <c r="AU157" s="609">
        <f>NPV(realdiscrt3,AU$65:AU77)/(1+realdiscrt3)^-Half_Year</f>
        <v>312.7130121305222</v>
      </c>
      <c r="AV157" s="608">
        <f>NPV(realdiscrt3,AV$65:AV77)/(1+realdiscrt3)^-Half_Year</f>
        <v>0.10649633437258603</v>
      </c>
      <c r="AW157" s="612">
        <f>NPV(realdiscrt3,AW$65:AW77)/(1+realdiscrt3)^-Half_Year</f>
        <v>0.10649633437258603</v>
      </c>
      <c r="AX157" s="600">
        <f>NPV(realdiscrt3,AX$65:AX77)/(1+realdiscrt3)^-Half_Year</f>
        <v>12.097224872137208</v>
      </c>
      <c r="AY157" s="615">
        <f>NPV(realdiscrt3,AY$65:AY77)/(1+realdiscrt3)^-Half_Year</f>
        <v>274.35210427556126</v>
      </c>
      <c r="AZ157" s="607">
        <f>NPV(realdiscrt3,AZ$65:AZ77)/(1+realdiscrt3)^-Half_Year</f>
        <v>0.52849214685002643</v>
      </c>
      <c r="BA157" s="614">
        <f>NPV(realdiscrt3,BA$65:BA77)/(1+realdiscrt3)^-Half_Year</f>
        <v>0.53975542968750534</v>
      </c>
      <c r="BB157" s="614">
        <f>NPV(realdiscrt3,BB$65:BB77)/(1+realdiscrt3)^-Half_Year</f>
        <v>0.51483897285879654</v>
      </c>
      <c r="BC157" s="610">
        <f>NPV(realdiscrt3,BC$65:BC77)/(1+realdiscrt3)^-Half_Year</f>
        <v>0.51811052494887</v>
      </c>
    </row>
    <row r="158" spans="1:55" s="325" customFormat="1" ht="14.25">
      <c r="A158" s="602">
        <f t="shared" si="99"/>
        <v>14</v>
      </c>
      <c r="B158" s="603">
        <f t="shared" si="98"/>
        <v>2036</v>
      </c>
      <c r="C158" s="604">
        <f>NPV(realdiscrt3,C$65:C78)/(1+realdiscrt3)^-Half_Year</f>
        <v>0.99804770879269156</v>
      </c>
      <c r="D158" s="605">
        <f>NPV(realdiscrt3,D$65:D78)/(1+realdiscrt3)^-Half_Year</f>
        <v>0.91339467470588254</v>
      </c>
      <c r="E158" s="605">
        <f>NPV(realdiscrt3,E$65:E78)/(1+realdiscrt3)^-Half_Year</f>
        <v>0.8173817838659011</v>
      </c>
      <c r="F158" s="606">
        <f>NPV(realdiscrt3,F$65:F78)/(1+realdiscrt3)^-Half_Year</f>
        <v>0.70455216760340711</v>
      </c>
      <c r="G158" s="604">
        <f>NPV(realdiscrt3,G$65:G78)/(1+realdiscrt3)^-Half_Year</f>
        <v>5.2276198026740835E-2</v>
      </c>
      <c r="H158" s="605">
        <f>NPV(realdiscrt3,H$65:H78)/(1+realdiscrt3)^-Half_Year</f>
        <v>3.8364543351674989E-2</v>
      </c>
      <c r="I158" s="605">
        <f>NPV(realdiscrt3,I$65:I78)/(1+realdiscrt3)^-Half_Year</f>
        <v>3.8990872279823119E-2</v>
      </c>
      <c r="J158" s="605">
        <f>NPV(realdiscrt3,J$65:J78)/(1+realdiscrt3)^-Half_Year</f>
        <v>2.6309951387010262E-2</v>
      </c>
      <c r="K158" s="607">
        <f>NPV(realdiscrt3,K$65:K78)/(1+realdiscrt3)^-Half_Year</f>
        <v>1.5483998967483398E-2</v>
      </c>
      <c r="L158" s="1321">
        <f>NPV(realdiscrt3,L$65:L78)/(1+realdiscrt3)^-Half_Year</f>
        <v>1163.339158623111</v>
      </c>
      <c r="M158" s="609">
        <f>NPV(realdiscrt3,M$65:M78)/(1+realdiscrt3)^-Half_Year</f>
        <v>1332.2051048153942</v>
      </c>
      <c r="N158" s="609">
        <f>NPV(realdiscrt3,N$65:N78)/(1+realdiscrt3)^-Half_Year</f>
        <v>1332.2051048153942</v>
      </c>
      <c r="O158" s="612">
        <f>NPV(realdiscrt3,O$65:O78)/(1+realdiscrt3)^-Half_Year</f>
        <v>0</v>
      </c>
      <c r="P158" s="782">
        <f t="shared" si="96"/>
        <v>0</v>
      </c>
      <c r="Q158" s="782">
        <f t="shared" si="96"/>
        <v>17.131619393386408</v>
      </c>
      <c r="R158" s="1316">
        <f t="shared" si="97"/>
        <v>17.131619393386408</v>
      </c>
      <c r="S158" s="595">
        <f>NPV(realdiscrt3,S$65:S78)/(1+realdiscrt3)^-Half_Year</f>
        <v>0</v>
      </c>
      <c r="T158" s="595">
        <f>NPV(realdiscrt3,T$65:T78)/(1+realdiscrt3)^-Half_Year</f>
        <v>0</v>
      </c>
      <c r="U158" s="610">
        <f>NPV(realdiscrt3,U$65:U78)/(1+realdiscrt3)^-Half_Year</f>
        <v>0</v>
      </c>
      <c r="V158" s="611">
        <f>NPV(realdiscrt3,V$65:V78)/(1+realdiscrt3)^-Half_Year</f>
        <v>1306.7922446270579</v>
      </c>
      <c r="W158" s="609">
        <f>NPV(realdiscrt3,W$65:W78)/(1+realdiscrt3)^-Half_Year</f>
        <v>0</v>
      </c>
      <c r="X158" s="612">
        <f>NPV(realdiscrt3,X$65:X78)/(1+realdiscrt3)^-Half_Year</f>
        <v>1132.0593824346536</v>
      </c>
      <c r="Y158" s="608">
        <f>NPV(realdiscrt3,Y$65:Y78)/(1+realdiscrt3)^-Half_Year</f>
        <v>89.537582090326779</v>
      </c>
      <c r="Z158" s="609">
        <f>NPV(realdiscrt3,Z$65:Z78)/(1+realdiscrt3)^-Half_Year</f>
        <v>112.69411154699132</v>
      </c>
      <c r="AA158" s="609">
        <f>NPV(realdiscrt3,AA$65:AA78)/(1+realdiscrt3)^-Half_Year</f>
        <v>128.87883424670301</v>
      </c>
      <c r="AB158" s="609">
        <f>NPV(realdiscrt3,AB$65:AB78)/(1+realdiscrt3)^-Half_Year</f>
        <v>121.31379714113487</v>
      </c>
      <c r="AC158" s="609">
        <f>NPV(realdiscrt3,AC$65:AC78)/(1+realdiscrt3)^-Half_Year</f>
        <v>99.005261687806566</v>
      </c>
      <c r="AD158" s="609">
        <f>NPV(realdiscrt3,AD$65:AD78)/(1+realdiscrt3)^-Half_Year</f>
        <v>115.77228149886079</v>
      </c>
      <c r="AE158" s="612">
        <f>NPV(realdiscrt3,AE$65:AE78)/(1+realdiscrt3)^-Half_Year</f>
        <v>108.4450840480915</v>
      </c>
      <c r="AF158" s="613">
        <f>NPV(realdiscrt3,AF$65:AF78)/(1+realdiscrt3)^-Half_Year</f>
        <v>0.10688735616007278</v>
      </c>
      <c r="AG158" s="607">
        <f>NPV(realdiscrt3,AG$65:AG78)/(1+realdiscrt3)^-Half_Year</f>
        <v>2.7880110987784201</v>
      </c>
      <c r="AH158" s="614">
        <f>NPV(realdiscrt3,AH$65:AH78)/(1+realdiscrt3)^-Half_Year</f>
        <v>2.7880110987784201</v>
      </c>
      <c r="AI158" s="614">
        <f>NPV(realdiscrt3,AI$65:AI78)/(1+realdiscrt3)^-Half_Year</f>
        <v>5.1164138372198975</v>
      </c>
      <c r="AJ158" s="614">
        <f>NPV(realdiscrt3,AJ$65:AJ78)/(1+realdiscrt3)^-Half_Year</f>
        <v>4.3014728787653809</v>
      </c>
      <c r="AK158" s="614">
        <f>NPV(realdiscrt3,AK$65:AK78)/(1+realdiscrt3)^-Half_Year</f>
        <v>2.7880110987784201</v>
      </c>
      <c r="AL158" s="614">
        <f>NPV(realdiscrt3,AL$65:AL78)/(1+realdiscrt3)^-Half_Year</f>
        <v>5.1164138372198975</v>
      </c>
      <c r="AM158" s="614">
        <f>NPV(realdiscrt3,AM$65:AM78)/(1+realdiscrt3)^-Half_Year</f>
        <v>4.0989018405209716</v>
      </c>
      <c r="AN158" s="594">
        <f>NPV(realdiscrt3,AN$65:AN78)/(1+realdiscrt3)^-Half_Year</f>
        <v>345.20476806259836</v>
      </c>
      <c r="AO158" s="595">
        <f>NPV(realdiscrt3,AO$65:AO78)/(1+realdiscrt3)^-Half_Year</f>
        <v>288.8995424960367</v>
      </c>
      <c r="AP158" s="325">
        <f>NPV(realdiscrt3,AP$65:AP78)/(1+realdiscrt3)^-Half_Year</f>
        <v>297.56459299078011</v>
      </c>
      <c r="AQ158" s="610">
        <f>NPV(realdiscrt3,AQ$65:AQ78)/(1+realdiscrt3)^-Half_Year</f>
        <v>0.16687029070448942</v>
      </c>
      <c r="AR158" s="595">
        <f>NPV(realdiscrt3,AR$65:AR78)/(1+realdiscrt3)^-Half_Year</f>
        <v>309.54395943914642</v>
      </c>
      <c r="AS158" s="612">
        <f>NPV(realdiscrt3,AS$65:AS78)/(1+realdiscrt3)^-Half_Year</f>
        <v>472.60497677712868</v>
      </c>
      <c r="AT158" s="594">
        <f>NPV(realdiscrt3,AT$65:AT78)/(1+realdiscrt3)^-Half_Year</f>
        <v>208.74466266998149</v>
      </c>
      <c r="AU158" s="609">
        <f>NPV(realdiscrt3,AU$65:AU78)/(1+realdiscrt3)^-Half_Year</f>
        <v>336.41576590009851</v>
      </c>
      <c r="AV158" s="608">
        <f>NPV(realdiscrt3,AV$65:AV78)/(1+realdiscrt3)^-Half_Year</f>
        <v>0.11391104888891092</v>
      </c>
      <c r="AW158" s="612">
        <f>NPV(realdiscrt3,AW$65:AW78)/(1+realdiscrt3)^-Half_Year</f>
        <v>0.11391104888891092</v>
      </c>
      <c r="AX158" s="600">
        <f>NPV(realdiscrt3,AX$65:AX78)/(1+realdiscrt3)^-Half_Year</f>
        <v>12.939483616488618</v>
      </c>
      <c r="AY158" s="615">
        <f>NPV(realdiscrt3,AY$65:AY78)/(1+realdiscrt3)^-Half_Year</f>
        <v>303.74918452271038</v>
      </c>
      <c r="AZ158" s="607">
        <f>NPV(realdiscrt3,AZ$65:AZ78)/(1+realdiscrt3)^-Half_Year</f>
        <v>0.56266145450838434</v>
      </c>
      <c r="BA158" s="614">
        <f>NPV(realdiscrt3,BA$65:BA78)/(1+realdiscrt3)^-Half_Year</f>
        <v>0.57465295739380684</v>
      </c>
      <c r="BB158" s="614">
        <f>NPV(realdiscrt3,BB$65:BB78)/(1+realdiscrt3)^-Half_Year</f>
        <v>0.54812554364887733</v>
      </c>
      <c r="BC158" s="610">
        <f>NPV(realdiscrt3,BC$65:BC78)/(1+realdiscrt3)^-Half_Year</f>
        <v>0.55160861575973519</v>
      </c>
    </row>
    <row r="159" spans="1:55" s="325" customFormat="1" ht="14.25">
      <c r="A159" s="602">
        <f t="shared" si="99"/>
        <v>15</v>
      </c>
      <c r="B159" s="603">
        <f t="shared" si="98"/>
        <v>2037</v>
      </c>
      <c r="C159" s="604">
        <f>NPV(realdiscrt3,C$65:C79)/(1+realdiscrt3)^-Half_Year</f>
        <v>1.0683256557861187</v>
      </c>
      <c r="D159" s="605">
        <f>NPV(realdiscrt3,D$65:D79)/(1+realdiscrt3)^-Half_Year</f>
        <v>0.97503388877376784</v>
      </c>
      <c r="E159" s="605">
        <f>NPV(realdiscrt3,E$65:E79)/(1+realdiscrt3)^-Half_Year</f>
        <v>0.88516727776167725</v>
      </c>
      <c r="F159" s="606">
        <f>NPV(realdiscrt3,F$65:F79)/(1+realdiscrt3)^-Half_Year</f>
        <v>0.76177037239183065</v>
      </c>
      <c r="G159" s="604">
        <f>NPV(realdiscrt3,G$65:G79)/(1+realdiscrt3)^-Half_Year</f>
        <v>5.2276198026740835E-2</v>
      </c>
      <c r="H159" s="605">
        <f>NPV(realdiscrt3,H$65:H79)/(1+realdiscrt3)^-Half_Year</f>
        <v>3.8364543351674989E-2</v>
      </c>
      <c r="I159" s="605">
        <f>NPV(realdiscrt3,I$65:I79)/(1+realdiscrt3)^-Half_Year</f>
        <v>3.8990872279823119E-2</v>
      </c>
      <c r="J159" s="605">
        <f>NPV(realdiscrt3,J$65:J79)/(1+realdiscrt3)^-Half_Year</f>
        <v>2.6309951387010262E-2</v>
      </c>
      <c r="K159" s="607">
        <f>NPV(realdiscrt3,K$65:K79)/(1+realdiscrt3)^-Half_Year</f>
        <v>1.5577380839137216E-2</v>
      </c>
      <c r="L159" s="1321">
        <f>NPV(realdiscrt3,L$65:L79)/(1+realdiscrt3)^-Half_Year</f>
        <v>1250.2292720240489</v>
      </c>
      <c r="M159" s="609">
        <f>NPV(realdiscrt3,M$65:M79)/(1+realdiscrt3)^-Half_Year</f>
        <v>1441.3252008587397</v>
      </c>
      <c r="N159" s="609">
        <f>NPV(realdiscrt3,N$65:N79)/(1+realdiscrt3)^-Half_Year</f>
        <v>1441.3252008587397</v>
      </c>
      <c r="O159" s="612">
        <f>NPV(realdiscrt3,O$65:O79)/(1+realdiscrt3)^-Half_Year</f>
        <v>0</v>
      </c>
      <c r="P159" s="782">
        <f t="shared" si="96"/>
        <v>0</v>
      </c>
      <c r="Q159" s="782">
        <f t="shared" si="96"/>
        <v>4.1596906958480799</v>
      </c>
      <c r="R159" s="1316">
        <f t="shared" si="97"/>
        <v>4.1596906958480799</v>
      </c>
      <c r="S159" s="595">
        <f>NPV(realdiscrt3,S$65:S79)/(1+realdiscrt3)^-Half_Year</f>
        <v>0</v>
      </c>
      <c r="T159" s="595">
        <f>NPV(realdiscrt3,T$65:T79)/(1+realdiscrt3)^-Half_Year</f>
        <v>0</v>
      </c>
      <c r="U159" s="610">
        <f>NPV(realdiscrt3,U$65:U79)/(1+realdiscrt3)^-Half_Year</f>
        <v>0</v>
      </c>
      <c r="V159" s="611">
        <f>NPV(realdiscrt3,V$65:V79)/(1+realdiscrt3)^-Half_Year</f>
        <v>1390.6678193542555</v>
      </c>
      <c r="W159" s="609">
        <f>NPV(realdiscrt3,W$65:W79)/(1+realdiscrt3)^-Half_Year</f>
        <v>0</v>
      </c>
      <c r="X159" s="612">
        <f>NPV(realdiscrt3,X$65:X79)/(1+realdiscrt3)^-Half_Year</f>
        <v>1204.7198468025917</v>
      </c>
      <c r="Y159" s="608">
        <f>NPV(realdiscrt3,Y$65:Y79)/(1+realdiscrt3)^-Half_Year</f>
        <v>95.527357840126896</v>
      </c>
      <c r="Z159" s="609">
        <f>NPV(realdiscrt3,Z$65:Z79)/(1+realdiscrt3)^-Half_Year</f>
        <v>120.14508635603012</v>
      </c>
      <c r="AA159" s="609">
        <f>NPV(realdiscrt3,AA$65:AA79)/(1+realdiscrt3)^-Half_Year</f>
        <v>137.36206628470674</v>
      </c>
      <c r="AB159" s="609">
        <f>NPV(realdiscrt3,AB$65:AB79)/(1+realdiscrt3)^-Half_Year</f>
        <v>129.31745725035</v>
      </c>
      <c r="AC159" s="609">
        <f>NPV(realdiscrt3,AC$65:AC79)/(1+realdiscrt3)^-Half_Year</f>
        <v>105.59343992153258</v>
      </c>
      <c r="AD159" s="609">
        <f>NPV(realdiscrt3,AD$65:AD79)/(1+realdiscrt3)^-Half_Year</f>
        <v>123.4211562718625</v>
      </c>
      <c r="AE159" s="612">
        <f>NPV(realdiscrt3,AE$65:AE79)/(1+realdiscrt3)^-Half_Year</f>
        <v>115.63041326060862</v>
      </c>
      <c r="AF159" s="613">
        <f>NPV(realdiscrt3,AF$65:AF79)/(1+realdiscrt3)^-Half_Year</f>
        <v>0.1158102896416895</v>
      </c>
      <c r="AG159" s="607">
        <f>NPV(realdiscrt3,AG$65:AG79)/(1+realdiscrt3)^-Half_Year</f>
        <v>2.7880110987784201</v>
      </c>
      <c r="AH159" s="614">
        <f>NPV(realdiscrt3,AH$65:AH79)/(1+realdiscrt3)^-Half_Year</f>
        <v>2.7880110987784201</v>
      </c>
      <c r="AI159" s="614">
        <f>NPV(realdiscrt3,AI$65:AI79)/(1+realdiscrt3)^-Half_Year</f>
        <v>5.1164138372198975</v>
      </c>
      <c r="AJ159" s="614">
        <f>NPV(realdiscrt3,AJ$65:AJ79)/(1+realdiscrt3)^-Half_Year</f>
        <v>4.3014728787653809</v>
      </c>
      <c r="AK159" s="614">
        <f>NPV(realdiscrt3,AK$65:AK79)/(1+realdiscrt3)^-Half_Year</f>
        <v>2.7880110987784201</v>
      </c>
      <c r="AL159" s="614">
        <f>NPV(realdiscrt3,AL$65:AL79)/(1+realdiscrt3)^-Half_Year</f>
        <v>5.1164138372198975</v>
      </c>
      <c r="AM159" s="614">
        <f>NPV(realdiscrt3,AM$65:AM79)/(1+realdiscrt3)^-Half_Year</f>
        <v>4.0989018405209716</v>
      </c>
      <c r="AN159" s="594">
        <f>NPV(realdiscrt3,AN$65:AN79)/(1+realdiscrt3)^-Half_Year</f>
        <v>369.25465222226961</v>
      </c>
      <c r="AO159" s="595">
        <f>NPV(realdiscrt3,AO$65:AO79)/(1+realdiscrt3)^-Half_Year</f>
        <v>309.14913800745563</v>
      </c>
      <c r="AP159" s="325">
        <f>NPV(realdiscrt3,AP$65:AP79)/(1+realdiscrt3)^-Half_Year</f>
        <v>318.50041052078046</v>
      </c>
      <c r="AQ159" s="610">
        <f>NPV(realdiscrt3,AQ$65:AQ79)/(1+realdiscrt3)^-Half_Year</f>
        <v>0.17764095246853068</v>
      </c>
      <c r="AR159" s="595">
        <f>NPV(realdiscrt3,AR$65:AR79)/(1+realdiscrt3)^-Half_Year</f>
        <v>331.10941002263161</v>
      </c>
      <c r="AS159" s="612">
        <f>NPV(realdiscrt3,AS$65:AS79)/(1+realdiscrt3)^-Half_Year</f>
        <v>504.97811510222795</v>
      </c>
      <c r="AT159" s="594">
        <f>NPV(realdiscrt3,AT$65:AT79)/(1+realdiscrt3)^-Half_Year</f>
        <v>223.28758159992026</v>
      </c>
      <c r="AU159" s="609">
        <f>NPV(realdiscrt3,AU$65:AU79)/(1+realdiscrt3)^-Half_Year</f>
        <v>359.85333382476074</v>
      </c>
      <c r="AV159" s="608">
        <f>NPV(realdiscrt3,AV$65:AV79)/(1+realdiscrt3)^-Half_Year</f>
        <v>0.12122235237469335</v>
      </c>
      <c r="AW159" s="612">
        <f>NPV(realdiscrt3,AW$65:AW79)/(1+realdiscrt3)^-Half_Year</f>
        <v>0.12122235237469335</v>
      </c>
      <c r="AX159" s="600">
        <f>NPV(realdiscrt3,AX$65:AX79)/(1+realdiscrt3)^-Half_Year</f>
        <v>13.769995604502343</v>
      </c>
      <c r="AY159" s="615">
        <f>NPV(realdiscrt3,AY$65:AY79)/(1+realdiscrt3)^-Half_Year</f>
        <v>334.39583764618004</v>
      </c>
      <c r="AZ159" s="607">
        <f>NPV(realdiscrt3,AZ$65:AZ79)/(1+realdiscrt3)^-Half_Year</f>
        <v>0.59599095461474105</v>
      </c>
      <c r="BA159" s="614">
        <f>NPV(realdiscrt3,BA$65:BA79)/(1+realdiscrt3)^-Half_Year</f>
        <v>0.60869277947706935</v>
      </c>
      <c r="BB159" s="614">
        <f>NPV(realdiscrt3,BB$65:BB79)/(1+realdiscrt3)^-Half_Year</f>
        <v>0.58059400264666694</v>
      </c>
      <c r="BC159" s="610">
        <f>NPV(realdiscrt3,BC$65:BC79)/(1+realdiscrt3)^-Half_Year</f>
        <v>0.58428339607447144</v>
      </c>
    </row>
    <row r="160" spans="1:55" s="325" customFormat="1" ht="14.25">
      <c r="A160" s="602">
        <f t="shared" si="99"/>
        <v>16</v>
      </c>
      <c r="B160" s="603">
        <f t="shared" si="98"/>
        <v>2038</v>
      </c>
      <c r="C160" s="604">
        <f>NPV(realdiscrt3,C$65:C80)/(1+realdiscrt3)^-Half_Year</f>
        <v>1.1391433878660921</v>
      </c>
      <c r="D160" s="605">
        <f>NPV(realdiscrt3,D$65:D80)/(1+realdiscrt3)^-Half_Year</f>
        <v>1.0364458684061364</v>
      </c>
      <c r="E160" s="605">
        <f>NPV(realdiscrt3,E$65:E80)/(1+realdiscrt3)^-Half_Year</f>
        <v>0.9555611016565202</v>
      </c>
      <c r="F160" s="606">
        <f>NPV(realdiscrt3,F$65:F80)/(1+realdiscrt3)^-Half_Year</f>
        <v>0.82080678626067061</v>
      </c>
      <c r="G160" s="604">
        <f>NPV(realdiscrt3,G$65:G80)/(1+realdiscrt3)^-Half_Year</f>
        <v>5.2276198026740835E-2</v>
      </c>
      <c r="H160" s="605">
        <f>NPV(realdiscrt3,H$65:H80)/(1+realdiscrt3)^-Half_Year</f>
        <v>3.8364543351674989E-2</v>
      </c>
      <c r="I160" s="605">
        <f>NPV(realdiscrt3,I$65:I80)/(1+realdiscrt3)^-Half_Year</f>
        <v>3.8990872279823119E-2</v>
      </c>
      <c r="J160" s="605">
        <f>NPV(realdiscrt3,J$65:J80)/(1+realdiscrt3)^-Half_Year</f>
        <v>2.6309951387010262E-2</v>
      </c>
      <c r="K160" s="607">
        <f>NPV(realdiscrt3,K$65:K80)/(1+realdiscrt3)^-Half_Year</f>
        <v>1.566946033892487E-2</v>
      </c>
      <c r="L160" s="1321">
        <f>NPV(realdiscrt3,L$65:L80)/(1+realdiscrt3)^-Half_Year</f>
        <v>1337.3359312642376</v>
      </c>
      <c r="M160" s="609">
        <f>NPV(realdiscrt3,M$65:M80)/(1+realdiscrt3)^-Half_Year</f>
        <v>1550.6457691210671</v>
      </c>
      <c r="N160" s="609">
        <f>NPV(realdiscrt3,N$65:N80)/(1+realdiscrt3)^-Half_Year</f>
        <v>1550.6457691210671</v>
      </c>
      <c r="O160" s="612">
        <f>NPV(realdiscrt3,O$65:O80)/(1+realdiscrt3)^-Half_Year</f>
        <v>0</v>
      </c>
      <c r="P160" s="782">
        <f t="shared" si="96"/>
        <v>0</v>
      </c>
      <c r="Q160" s="782">
        <f t="shared" si="96"/>
        <v>0</v>
      </c>
      <c r="R160" s="1316">
        <f t="shared" si="97"/>
        <v>0</v>
      </c>
      <c r="S160" s="595">
        <f>NPV(realdiscrt3,S$65:S80)/(1+realdiscrt3)^-Half_Year</f>
        <v>0</v>
      </c>
      <c r="T160" s="595">
        <f>NPV(realdiscrt3,T$65:T80)/(1+realdiscrt3)^-Half_Year</f>
        <v>0</v>
      </c>
      <c r="U160" s="610">
        <f>NPV(realdiscrt3,U$65:U80)/(1+realdiscrt3)^-Half_Year</f>
        <v>0</v>
      </c>
      <c r="V160" s="611">
        <f>NPV(realdiscrt3,V$65:V80)/(1+realdiscrt3)^-Half_Year</f>
        <v>1473.3736039835626</v>
      </c>
      <c r="W160" s="609">
        <f>NPV(realdiscrt3,W$65:W80)/(1+realdiscrt3)^-Half_Year</f>
        <v>0</v>
      </c>
      <c r="X160" s="612">
        <f>NPV(realdiscrt3,X$65:X80)/(1+realdiscrt3)^-Half_Year</f>
        <v>1276.36693520259</v>
      </c>
      <c r="Y160" s="608">
        <f>NPV(realdiscrt3,Y$65:Y80)/(1+realdiscrt3)^-Half_Year</f>
        <v>101.4702270475929</v>
      </c>
      <c r="Z160" s="609">
        <f>NPV(realdiscrt3,Z$65:Z80)/(1+realdiscrt3)^-Half_Year</f>
        <v>127.525613953686</v>
      </c>
      <c r="AA160" s="609">
        <f>NPV(realdiscrt3,AA$65:AA80)/(1+realdiscrt3)^-Half_Year</f>
        <v>145.75959511991647</v>
      </c>
      <c r="AB160" s="609">
        <f>NPV(realdiscrt3,AB$65:AB80)/(1+realdiscrt3)^-Half_Year</f>
        <v>137.24283265507776</v>
      </c>
      <c r="AC160" s="609">
        <f>NPV(realdiscrt3,AC$65:AC80)/(1+realdiscrt3)^-Half_Year</f>
        <v>112.12518313353196</v>
      </c>
      <c r="AD160" s="609">
        <f>NPV(realdiscrt3,AD$65:AD80)/(1+realdiscrt3)^-Half_Year</f>
        <v>130.99684178542105</v>
      </c>
      <c r="AE160" s="612">
        <f>NPV(realdiscrt3,AE$65:AE80)/(1+realdiscrt3)^-Half_Year</f>
        <v>122.74986189567662</v>
      </c>
      <c r="AF160" s="613">
        <f>NPV(realdiscrt3,AF$65:AF80)/(1+realdiscrt3)^-Half_Year</f>
        <v>0.12460877736821155</v>
      </c>
      <c r="AG160" s="607">
        <f>NPV(realdiscrt3,AG$65:AG80)/(1+realdiscrt3)^-Half_Year</f>
        <v>2.7880110987784201</v>
      </c>
      <c r="AH160" s="614">
        <f>NPV(realdiscrt3,AH$65:AH80)/(1+realdiscrt3)^-Half_Year</f>
        <v>2.7880110987784201</v>
      </c>
      <c r="AI160" s="614">
        <f>NPV(realdiscrt3,AI$65:AI80)/(1+realdiscrt3)^-Half_Year</f>
        <v>5.1164138372198975</v>
      </c>
      <c r="AJ160" s="614">
        <f>NPV(realdiscrt3,AJ$65:AJ80)/(1+realdiscrt3)^-Half_Year</f>
        <v>4.3014728787653809</v>
      </c>
      <c r="AK160" s="614">
        <f>NPV(realdiscrt3,AK$65:AK80)/(1+realdiscrt3)^-Half_Year</f>
        <v>2.7880110987784201</v>
      </c>
      <c r="AL160" s="614">
        <f>NPV(realdiscrt3,AL$65:AL80)/(1+realdiscrt3)^-Half_Year</f>
        <v>5.1164138372198975</v>
      </c>
      <c r="AM160" s="614">
        <f>NPV(realdiscrt3,AM$65:AM80)/(1+realdiscrt3)^-Half_Year</f>
        <v>4.0989018405209716</v>
      </c>
      <c r="AN160" s="594">
        <f>NPV(realdiscrt3,AN$65:AN80)/(1+realdiscrt3)^-Half_Year</f>
        <v>393.1156042838889</v>
      </c>
      <c r="AO160" s="595">
        <f>NPV(realdiscrt3,AO$65:AO80)/(1+realdiscrt3)^-Half_Year</f>
        <v>329.20576171604017</v>
      </c>
      <c r="AP160" s="325">
        <f>NPV(realdiscrt3,AP$65:AP80)/(1+realdiscrt3)^-Half_Year</f>
        <v>339.23416679294769</v>
      </c>
      <c r="AQ160" s="610">
        <f>NPV(realdiscrt3,AQ$65:AQ80)/(1+realdiscrt3)^-Half_Year</f>
        <v>0.18826139870772723</v>
      </c>
      <c r="AR160" s="595">
        <f>NPV(realdiscrt3,AR$65:AR80)/(1+realdiscrt3)^-Half_Year</f>
        <v>352.50544582652276</v>
      </c>
      <c r="AS160" s="612">
        <f>NPV(realdiscrt3,AS$65:AS80)/(1+realdiscrt3)^-Half_Year</f>
        <v>537.32517141464075</v>
      </c>
      <c r="AT160" s="594">
        <f>NPV(realdiscrt3,AT$65:AT80)/(1+realdiscrt3)^-Half_Year</f>
        <v>237.71625365170405</v>
      </c>
      <c r="AU160" s="609">
        <f>NPV(realdiscrt3,AU$65:AU80)/(1+realdiscrt3)^-Half_Year</f>
        <v>383.10677991117041</v>
      </c>
      <c r="AV160" s="608">
        <f>NPV(realdiscrt3,AV$65:AV80)/(1+realdiscrt3)^-Half_Year</f>
        <v>0.12843168707578304</v>
      </c>
      <c r="AW160" s="612">
        <f>NPV(realdiscrt3,AW$65:AW80)/(1+realdiscrt3)^-Half_Year</f>
        <v>0.12843168707578304</v>
      </c>
      <c r="AX160" s="600">
        <f>NPV(realdiscrt3,AX$65:AX80)/(1+realdiscrt3)^-Half_Year</f>
        <v>14.588924665031906</v>
      </c>
      <c r="AY160" s="615">
        <f>NPV(realdiscrt3,AY$65:AY80)/(1+realdiscrt3)^-Half_Year</f>
        <v>366.46968007144335</v>
      </c>
      <c r="AZ160" s="607">
        <f>NPV(realdiscrt3,AZ$65:AZ80)/(1+realdiscrt3)^-Half_Year</f>
        <v>0.62850128781922199</v>
      </c>
      <c r="BA160" s="614">
        <f>NPV(realdiscrt3,BA$65:BA80)/(1+realdiscrt3)^-Half_Year</f>
        <v>0.64189597648322694</v>
      </c>
      <c r="BB160" s="614">
        <f>NPV(realdiscrt3,BB$65:BB80)/(1+realdiscrt3)^-Half_Year</f>
        <v>0.61226445726752232</v>
      </c>
      <c r="BC160" s="610">
        <f>NPV(realdiscrt3,BC$65:BC80)/(1+realdiscrt3)^-Half_Year</f>
        <v>0.61615510108131266</v>
      </c>
    </row>
    <row r="161" spans="1:96" s="325" customFormat="1" ht="14.25">
      <c r="A161" s="602">
        <f t="shared" si="99"/>
        <v>17</v>
      </c>
      <c r="B161" s="603">
        <f t="shared" si="98"/>
        <v>2039</v>
      </c>
      <c r="C161" s="604">
        <f>NPV(realdiscrt3,C$65:C81)/(1+realdiscrt3)^-Half_Year</f>
        <v>1.2105157375283166</v>
      </c>
      <c r="D161" s="605">
        <f>NPV(realdiscrt3,D$65:D81)/(1+realdiscrt3)^-Half_Year</f>
        <v>1.0976474247052554</v>
      </c>
      <c r="E161" s="605">
        <f>NPV(realdiscrt3,E$65:E81)/(1+realdiscrt3)^-Half_Year</f>
        <v>1.0286654212142401</v>
      </c>
      <c r="F161" s="606">
        <f>NPV(realdiscrt3,F$65:F81)/(1+realdiscrt3)^-Half_Year</f>
        <v>0.8817223228397757</v>
      </c>
      <c r="G161" s="604">
        <f>NPV(realdiscrt3,G$65:G81)/(1+realdiscrt3)^-Half_Year</f>
        <v>5.2276198026740835E-2</v>
      </c>
      <c r="H161" s="605">
        <f>NPV(realdiscrt3,H$65:H81)/(1+realdiscrt3)^-Half_Year</f>
        <v>3.8364543351674989E-2</v>
      </c>
      <c r="I161" s="605">
        <f>NPV(realdiscrt3,I$65:I81)/(1+realdiscrt3)^-Half_Year</f>
        <v>3.8990872279823119E-2</v>
      </c>
      <c r="J161" s="605">
        <f>NPV(realdiscrt3,J$65:J81)/(1+realdiscrt3)^-Half_Year</f>
        <v>2.6309951387010262E-2</v>
      </c>
      <c r="K161" s="607">
        <f>NPV(realdiscrt3,K$65:K81)/(1+realdiscrt3)^-Half_Year</f>
        <v>1.5760255630676748E-2</v>
      </c>
      <c r="L161" s="1321">
        <f>NPV(realdiscrt3,L$65:L81)/(1+realdiscrt3)^-Half_Year</f>
        <v>1424.659676014978</v>
      </c>
      <c r="M161" s="609">
        <f>NPV(realdiscrt3,M$65:M81)/(1+realdiscrt3)^-Half_Year</f>
        <v>1660.1671779040187</v>
      </c>
      <c r="N161" s="609">
        <f>NPV(realdiscrt3,N$65:N81)/(1+realdiscrt3)^-Half_Year</f>
        <v>1660.1671779040187</v>
      </c>
      <c r="O161" s="612">
        <f>NPV(realdiscrt3,O$65:O81)/(1+realdiscrt3)^-Half_Year</f>
        <v>0</v>
      </c>
      <c r="P161" s="782">
        <f t="shared" si="96"/>
        <v>0</v>
      </c>
      <c r="Q161" s="782">
        <f t="shared" si="96"/>
        <v>0</v>
      </c>
      <c r="R161" s="1316">
        <f t="shared" si="97"/>
        <v>0</v>
      </c>
      <c r="S161" s="595">
        <f>NPV(realdiscrt3,S$65:S81)/(1+realdiscrt3)^-Half_Year</f>
        <v>0</v>
      </c>
      <c r="T161" s="595">
        <f>NPV(realdiscrt3,T$65:T81)/(1+realdiscrt3)^-Half_Year</f>
        <v>0</v>
      </c>
      <c r="U161" s="610">
        <f>NPV(realdiscrt3,U$65:U81)/(1+realdiscrt3)^-Half_Year</f>
        <v>0</v>
      </c>
      <c r="V161" s="611">
        <f>NPV(realdiscrt3,V$65:V81)/(1+realdiscrt3)^-Half_Year</f>
        <v>1554.9259132630757</v>
      </c>
      <c r="W161" s="609">
        <f>NPV(realdiscrt3,W$65:W81)/(1+realdiscrt3)^-Half_Year</f>
        <v>0</v>
      </c>
      <c r="X161" s="612">
        <f>NPV(realdiscrt3,X$65:X81)/(1+realdiscrt3)^-Half_Year</f>
        <v>1347.014780916913</v>
      </c>
      <c r="Y161" s="608">
        <f>NPV(realdiscrt3,Y$65:Y81)/(1+realdiscrt3)^-Half_Year</f>
        <v>107.36655704262249</v>
      </c>
      <c r="Z161" s="609">
        <f>NPV(realdiscrt3,Z$65:Z81)/(1+realdiscrt3)^-Half_Year</f>
        <v>134.83636040174542</v>
      </c>
      <c r="AA161" s="609">
        <f>NPV(realdiscrt3,AA$65:AA81)/(1+realdiscrt3)^-Half_Year</f>
        <v>154.07228658258842</v>
      </c>
      <c r="AB161" s="609">
        <f>NPV(realdiscrt3,AB$65:AB81)/(1+realdiscrt3)^-Half_Year</f>
        <v>145.09068906686423</v>
      </c>
      <c r="AC161" s="609">
        <f>NPV(realdiscrt3,AC$65:AC81)/(1+realdiscrt3)^-Half_Year</f>
        <v>118.60097475208558</v>
      </c>
      <c r="AD161" s="609">
        <f>NPV(realdiscrt3,AD$65:AD81)/(1+realdiscrt3)^-Half_Year</f>
        <v>138.50003836054535</v>
      </c>
      <c r="AE161" s="612">
        <f>NPV(realdiscrt3,AE$65:AE81)/(1+realdiscrt3)^-Half_Year</f>
        <v>129.80403399666727</v>
      </c>
      <c r="AF161" s="613">
        <f>NPV(realdiscrt3,AF$65:AF81)/(1+realdiscrt3)^-Half_Year</f>
        <v>0.1332845549511385</v>
      </c>
      <c r="AG161" s="607">
        <f>NPV(realdiscrt3,AG$65:AG81)/(1+realdiscrt3)^-Half_Year</f>
        <v>2.7880110987784201</v>
      </c>
      <c r="AH161" s="614">
        <f>NPV(realdiscrt3,AH$65:AH81)/(1+realdiscrt3)^-Half_Year</f>
        <v>2.7880110987784201</v>
      </c>
      <c r="AI161" s="614">
        <f>NPV(realdiscrt3,AI$65:AI81)/(1+realdiscrt3)^-Half_Year</f>
        <v>5.1164138372198975</v>
      </c>
      <c r="AJ161" s="614">
        <f>NPV(realdiscrt3,AJ$65:AJ81)/(1+realdiscrt3)^-Half_Year</f>
        <v>4.3014728787653809</v>
      </c>
      <c r="AK161" s="614">
        <f>NPV(realdiscrt3,AK$65:AK81)/(1+realdiscrt3)^-Half_Year</f>
        <v>2.7880110987784201</v>
      </c>
      <c r="AL161" s="614">
        <f>NPV(realdiscrt3,AL$65:AL81)/(1+realdiscrt3)^-Half_Year</f>
        <v>5.1164138372198975</v>
      </c>
      <c r="AM161" s="614">
        <f>NPV(realdiscrt3,AM$65:AM81)/(1+realdiscrt3)^-Half_Year</f>
        <v>4.0989018405209716</v>
      </c>
      <c r="AN161" s="594">
        <f>NPV(realdiscrt3,AN$65:AN81)/(1+realdiscrt3)^-Half_Year</f>
        <v>416.9666833761836</v>
      </c>
      <c r="AO161" s="595">
        <f>NPV(realdiscrt3,AO$65:AO81)/(1+realdiscrt3)^-Half_Year</f>
        <v>349.24556762477567</v>
      </c>
      <c r="AP161" s="325">
        <f>NPV(realdiscrt3,AP$65:AP81)/(1+realdiscrt3)^-Half_Year</f>
        <v>359.95335301310479</v>
      </c>
      <c r="AQ161" s="610">
        <f>NPV(realdiscrt3,AQ$65:AQ81)/(1+realdiscrt3)^-Half_Year</f>
        <v>0.19873372443763135</v>
      </c>
      <c r="AR161" s="595">
        <f>NPV(realdiscrt3,AR$65:AR81)/(1+realdiscrt3)^-Half_Year</f>
        <v>373.89262857188493</v>
      </c>
      <c r="AS161" s="612">
        <f>NPV(realdiscrt3,AS$65:AS81)/(1+realdiscrt3)^-Half_Year</f>
        <v>569.81509623923262</v>
      </c>
      <c r="AT161" s="594">
        <f>NPV(realdiscrt3,AT$65:AT81)/(1+realdiscrt3)^-Half_Year</f>
        <v>252.13895553783004</v>
      </c>
      <c r="AU161" s="609">
        <f>NPV(realdiscrt3,AU$65:AU81)/(1+realdiscrt3)^-Half_Year</f>
        <v>406.35060439659333</v>
      </c>
      <c r="AV161" s="608">
        <f>NPV(realdiscrt3,AV$65:AV81)/(1+realdiscrt3)^-Half_Year</f>
        <v>0.13554047512341444</v>
      </c>
      <c r="AW161" s="612">
        <f>NPV(realdiscrt3,AW$65:AW81)/(1+realdiscrt3)^-Half_Year</f>
        <v>0.13554047512341444</v>
      </c>
      <c r="AX161" s="600">
        <f>NPV(realdiscrt3,AX$65:AX81)/(1+realdiscrt3)^-Half_Year</f>
        <v>15.396432342053842</v>
      </c>
      <c r="AY161" s="615">
        <f>NPV(realdiscrt3,AY$65:AY81)/(1+realdiscrt3)^-Half_Year</f>
        <v>400.03251461419859</v>
      </c>
      <c r="AZ161" s="607">
        <f>NPV(realdiscrt3,AZ$65:AZ81)/(1+realdiscrt3)^-Half_Year</f>
        <v>0.66021258746949163</v>
      </c>
      <c r="BA161" s="614">
        <f>NPV(realdiscrt3,BA$65:BA81)/(1+realdiscrt3)^-Half_Year</f>
        <v>0.67428311084406678</v>
      </c>
      <c r="BB161" s="614">
        <f>NPV(realdiscrt3,BB$65:BB81)/(1+realdiscrt3)^-Half_Year</f>
        <v>0.64315652073009499</v>
      </c>
      <c r="BC161" s="610">
        <f>NPV(realdiscrt3,BC$65:BC81)/(1+realdiscrt3)^-Half_Year</f>
        <v>0.64724346863140725</v>
      </c>
    </row>
    <row r="162" spans="1:96" s="325" customFormat="1" ht="14.25">
      <c r="A162" s="602">
        <f t="shared" si="99"/>
        <v>18</v>
      </c>
      <c r="B162" s="603">
        <f t="shared" si="98"/>
        <v>2040</v>
      </c>
      <c r="C162" s="604">
        <f>NPV(realdiscrt3,C$65:C82)/(1+realdiscrt3)^-Half_Year</f>
        <v>1.2824583419755899</v>
      </c>
      <c r="D162" s="605">
        <f>NPV(realdiscrt3,D$65:D82)/(1+realdiscrt3)^-Half_Year</f>
        <v>1.1586561391632197</v>
      </c>
      <c r="E162" s="605">
        <f>NPV(realdiscrt3,E$65:E82)/(1+realdiscrt3)^-Half_Year</f>
        <v>1.1045865080794999</v>
      </c>
      <c r="F162" s="606">
        <f>NPV(realdiscrt3,F$65:F82)/(1+realdiscrt3)^-Half_Year</f>
        <v>0.94458011276687637</v>
      </c>
      <c r="G162" s="604">
        <f>NPV(realdiscrt3,G$65:G82)/(1+realdiscrt3)^-Half_Year</f>
        <v>5.2276198026740835E-2</v>
      </c>
      <c r="H162" s="605">
        <f>NPV(realdiscrt3,H$65:H82)/(1+realdiscrt3)^-Half_Year</f>
        <v>3.8364543351674989E-2</v>
      </c>
      <c r="I162" s="605">
        <f>NPV(realdiscrt3,I$65:I82)/(1+realdiscrt3)^-Half_Year</f>
        <v>3.8990872279823119E-2</v>
      </c>
      <c r="J162" s="605">
        <f>NPV(realdiscrt3,J$65:J82)/(1+realdiscrt3)^-Half_Year</f>
        <v>2.6309951387010262E-2</v>
      </c>
      <c r="K162" s="607">
        <f>NPV(realdiscrt3,K$65:K82)/(1+realdiscrt3)^-Half_Year</f>
        <v>1.5849784624897164E-2</v>
      </c>
      <c r="L162" s="1321">
        <f>NPV(realdiscrt3,L$65:L82)/(1+realdiscrt3)^-Half_Year</f>
        <v>1512.2010472925283</v>
      </c>
      <c r="M162" s="609">
        <f>NPV(realdiscrt3,M$65:M82)/(1+realdiscrt3)^-Half_Year</f>
        <v>1769.8897961858697</v>
      </c>
      <c r="N162" s="609">
        <f>NPV(realdiscrt3,N$65:N82)/(1+realdiscrt3)^-Half_Year</f>
        <v>1769.8897961858697</v>
      </c>
      <c r="O162" s="612">
        <f>NPV(realdiscrt3,O$65:O82)/(1+realdiscrt3)^-Half_Year</f>
        <v>0</v>
      </c>
      <c r="P162" s="782">
        <f t="shared" si="96"/>
        <v>0</v>
      </c>
      <c r="Q162" s="782">
        <f t="shared" si="96"/>
        <v>0</v>
      </c>
      <c r="R162" s="1316">
        <f t="shared" si="97"/>
        <v>0</v>
      </c>
      <c r="S162" s="595">
        <f>NPV(realdiscrt3,S$65:S82)/(1+realdiscrt3)^-Half_Year</f>
        <v>0</v>
      </c>
      <c r="T162" s="595">
        <f>NPV(realdiscrt3,T$65:T82)/(1+realdiscrt3)^-Half_Year</f>
        <v>0</v>
      </c>
      <c r="U162" s="610">
        <f>NPV(realdiscrt3,U$65:U82)/(1+realdiscrt3)^-Half_Year</f>
        <v>0</v>
      </c>
      <c r="V162" s="611">
        <f>NPV(realdiscrt3,V$65:V82)/(1+realdiscrt3)^-Half_Year</f>
        <v>1635.3408344034851</v>
      </c>
      <c r="W162" s="609">
        <f>NPV(realdiscrt3,W$65:W82)/(1+realdiscrt3)^-Half_Year</f>
        <v>0</v>
      </c>
      <c r="X162" s="612">
        <f>NPV(realdiscrt3,X$65:X82)/(1+realdiscrt3)^-Half_Year</f>
        <v>1416.6773201147355</v>
      </c>
      <c r="Y162" s="608">
        <f>NPV(realdiscrt3,Y$65:Y82)/(1+realdiscrt3)^-Half_Year</f>
        <v>113.21671227851574</v>
      </c>
      <c r="Z162" s="609">
        <f>NPV(realdiscrt3,Z$65:Z82)/(1+realdiscrt3)^-Half_Year</f>
        <v>142.07798546453745</v>
      </c>
      <c r="AA162" s="609">
        <f>NPV(realdiscrt3,AA$65:AA82)/(1+realdiscrt3)^-Half_Year</f>
        <v>162.30099775579077</v>
      </c>
      <c r="AB162" s="609">
        <f>NPV(realdiscrt3,AB$65:AB82)/(1+realdiscrt3)^-Half_Year</f>
        <v>152.86178470774422</v>
      </c>
      <c r="AC162" s="609">
        <f>NPV(realdiscrt3,AC$65:AC82)/(1+realdiscrt3)^-Half_Year</f>
        <v>125.02129406437714</v>
      </c>
      <c r="AD162" s="609">
        <f>NPV(realdiscrt3,AD$65:AD82)/(1+realdiscrt3)^-Half_Year</f>
        <v>145.93143961713099</v>
      </c>
      <c r="AE162" s="612">
        <f>NPV(realdiscrt3,AE$65:AE82)/(1+realdiscrt3)^-Half_Year</f>
        <v>136.79352806862224</v>
      </c>
      <c r="AF162" s="613">
        <f>NPV(realdiscrt3,AF$65:AF82)/(1+realdiscrt3)^-Half_Year</f>
        <v>0.14183933379586289</v>
      </c>
      <c r="AG162" s="607">
        <f>NPV(realdiscrt3,AG$65:AG82)/(1+realdiscrt3)^-Half_Year</f>
        <v>2.7880110987784201</v>
      </c>
      <c r="AH162" s="614">
        <f>NPV(realdiscrt3,AH$65:AH82)/(1+realdiscrt3)^-Half_Year</f>
        <v>2.7880110987784201</v>
      </c>
      <c r="AI162" s="614">
        <f>NPV(realdiscrt3,AI$65:AI82)/(1+realdiscrt3)^-Half_Year</f>
        <v>5.1164138372198975</v>
      </c>
      <c r="AJ162" s="614">
        <f>NPV(realdiscrt3,AJ$65:AJ82)/(1+realdiscrt3)^-Half_Year</f>
        <v>4.3014728787653809</v>
      </c>
      <c r="AK162" s="614">
        <f>NPV(realdiscrt3,AK$65:AK82)/(1+realdiscrt3)^-Half_Year</f>
        <v>2.7880110987784201</v>
      </c>
      <c r="AL162" s="614">
        <f>NPV(realdiscrt3,AL$65:AL82)/(1+realdiscrt3)^-Half_Year</f>
        <v>5.1164138372198975</v>
      </c>
      <c r="AM162" s="614">
        <f>NPV(realdiscrt3,AM$65:AM82)/(1+realdiscrt3)^-Half_Year</f>
        <v>4.0989018405209716</v>
      </c>
      <c r="AN162" s="594">
        <f>NPV(realdiscrt3,AN$65:AN82)/(1+realdiscrt3)^-Half_Year</f>
        <v>440.65494057549751</v>
      </c>
      <c r="AO162" s="595">
        <f>NPV(realdiscrt3,AO$65:AO82)/(1+realdiscrt3)^-Half_Year</f>
        <v>369.12160451271637</v>
      </c>
      <c r="AP162" s="325">
        <f>NPV(realdiscrt3,AP$65:AP82)/(1+realdiscrt3)^-Half_Year</f>
        <v>380.50478739193284</v>
      </c>
      <c r="AQ162" s="610">
        <f>NPV(realdiscrt3,AQ$65:AQ82)/(1+realdiscrt3)^-Half_Year</f>
        <v>0.20905999545517653</v>
      </c>
      <c r="AR162" s="595">
        <f>NPV(realdiscrt3,AR$65:AR82)/(1+realdiscrt3)^-Half_Year</f>
        <v>395.13380947109789</v>
      </c>
      <c r="AS162" s="612">
        <f>NPV(realdiscrt3,AS$65:AS82)/(1+realdiscrt3)^-Half_Year</f>
        <v>602.07030269978623</v>
      </c>
      <c r="AT162" s="594">
        <f>NPV(realdiscrt3,AT$65:AT82)/(1+realdiscrt3)^-Half_Year</f>
        <v>266.46319933684345</v>
      </c>
      <c r="AU162" s="609">
        <f>NPV(realdiscrt3,AU$65:AU82)/(1+realdiscrt3)^-Half_Year</f>
        <v>429.43575247629951</v>
      </c>
      <c r="AV162" s="608">
        <f>NPV(realdiscrt3,AV$65:AV82)/(1+realdiscrt3)^-Half_Year</f>
        <v>0.14255011881473989</v>
      </c>
      <c r="AW162" s="612">
        <f>NPV(realdiscrt3,AW$65:AW82)/(1+realdiscrt3)^-Half_Year</f>
        <v>0.14255011881473989</v>
      </c>
      <c r="AX162" s="600">
        <f>NPV(realdiscrt3,AX$65:AX82)/(1+realdiscrt3)^-Half_Year</f>
        <v>16.192677926534259</v>
      </c>
      <c r="AY162" s="615">
        <f>NPV(realdiscrt3,AY$65:AY82)/(1+realdiscrt3)^-Half_Year</f>
        <v>435.0365694035234</v>
      </c>
      <c r="AZ162" s="607">
        <f>NPV(realdiscrt3,AZ$65:AZ82)/(1+realdiscrt3)^-Half_Year</f>
        <v>0.69114449207914941</v>
      </c>
      <c r="BA162" s="614">
        <f>NPV(realdiscrt3,BA$65:BA82)/(1+realdiscrt3)^-Half_Year</f>
        <v>0.70587423961135298</v>
      </c>
      <c r="BB162" s="614">
        <f>NPV(realdiscrt3,BB$65:BB82)/(1+realdiscrt3)^-Half_Year</f>
        <v>0.67328932420261589</v>
      </c>
      <c r="BC162" s="610">
        <f>NPV(realdiscrt3,BC$65:BC82)/(1+realdiscrt3)^-Half_Year</f>
        <v>0.67756775146228521</v>
      </c>
    </row>
    <row r="163" spans="1:96" s="325" customFormat="1" ht="14.25">
      <c r="A163" s="602">
        <f t="shared" si="99"/>
        <v>19</v>
      </c>
      <c r="B163" s="603">
        <f t="shared" si="98"/>
        <v>2041</v>
      </c>
      <c r="C163" s="604">
        <f>NPV(realdiscrt3,C$65:C83)/(1+realdiscrt3)^-Half_Year</f>
        <v>1.3549876909007184</v>
      </c>
      <c r="D163" s="605">
        <f>NPV(realdiscrt3,D$65:D83)/(1+realdiscrt3)^-Half_Year</f>
        <v>1.2194904116209258</v>
      </c>
      <c r="E163" s="605">
        <f>NPV(realdiscrt3,E$65:E83)/(1+realdiscrt3)^-Half_Year</f>
        <v>1.1834349108292761</v>
      </c>
      <c r="F163" s="606">
        <f>NPV(realdiscrt3,F$65:F83)/(1+realdiscrt3)^-Half_Year</f>
        <v>1.0094455937738283</v>
      </c>
      <c r="G163" s="604">
        <f>NPV(realdiscrt3,G$65:G83)/(1+realdiscrt3)^-Half_Year</f>
        <v>5.2276198026740835E-2</v>
      </c>
      <c r="H163" s="605">
        <f>NPV(realdiscrt3,H$65:H83)/(1+realdiscrt3)^-Half_Year</f>
        <v>3.8364543351674989E-2</v>
      </c>
      <c r="I163" s="605">
        <f>NPV(realdiscrt3,I$65:I83)/(1+realdiscrt3)^-Half_Year</f>
        <v>3.8990872279823119E-2</v>
      </c>
      <c r="J163" s="605">
        <f>NPV(realdiscrt3,J$65:J83)/(1+realdiscrt3)^-Half_Year</f>
        <v>2.6309951387010262E-2</v>
      </c>
      <c r="K163" s="607">
        <f>NPV(realdiscrt3,K$65:K83)/(1+realdiscrt3)^-Half_Year</f>
        <v>1.5938064982297464E-2</v>
      </c>
      <c r="L163" s="1321">
        <f>NPV(realdiscrt3,L$65:L83)/(1+realdiscrt3)^-Half_Year</f>
        <v>1599.9605874614576</v>
      </c>
      <c r="M163" s="609">
        <f>NPV(realdiscrt3,M$65:M83)/(1+realdiscrt3)^-Half_Year</f>
        <v>1879.8139936227715</v>
      </c>
      <c r="N163" s="609">
        <f>NPV(realdiscrt3,N$65:N83)/(1+realdiscrt3)^-Half_Year</f>
        <v>1879.8139936227715</v>
      </c>
      <c r="O163" s="612">
        <f>NPV(realdiscrt3,O$65:O83)/(1+realdiscrt3)^-Half_Year</f>
        <v>0</v>
      </c>
      <c r="P163" s="782">
        <f t="shared" si="96"/>
        <v>0</v>
      </c>
      <c r="Q163" s="782">
        <f t="shared" si="96"/>
        <v>0</v>
      </c>
      <c r="R163" s="1316">
        <f t="shared" si="97"/>
        <v>0</v>
      </c>
      <c r="S163" s="595">
        <f>NPV(realdiscrt3,S$65:S83)/(1+realdiscrt3)^-Half_Year</f>
        <v>0</v>
      </c>
      <c r="T163" s="595">
        <f>NPV(realdiscrt3,T$65:T83)/(1+realdiscrt3)^-Half_Year</f>
        <v>0</v>
      </c>
      <c r="U163" s="610">
        <f>NPV(realdiscrt3,U$65:U83)/(1+realdiscrt3)^-Half_Year</f>
        <v>0</v>
      </c>
      <c r="V163" s="611">
        <f>NPV(realdiscrt3,V$65:V83)/(1+realdiscrt3)^-Half_Year</f>
        <v>1714.6342302514761</v>
      </c>
      <c r="W163" s="609">
        <f>NPV(realdiscrt3,W$65:W83)/(1+realdiscrt3)^-Half_Year</f>
        <v>0</v>
      </c>
      <c r="X163" s="612">
        <f>NPV(realdiscrt3,X$65:X83)/(1+realdiscrt3)^-Half_Year</f>
        <v>1485.3682946012275</v>
      </c>
      <c r="Y163" s="608">
        <f>NPV(realdiscrt3,Y$65:Y83)/(1+realdiscrt3)^-Half_Year</f>
        <v>119.02105435450181</v>
      </c>
      <c r="Z163" s="609">
        <f>NPV(realdiscrt3,Z$65:Z83)/(1+realdiscrt3)^-Half_Year</f>
        <v>149.25114266847493</v>
      </c>
      <c r="AA163" s="609">
        <f>NPV(realdiscrt3,AA$65:AA83)/(1+realdiscrt3)^-Half_Year</f>
        <v>170.44657706377347</v>
      </c>
      <c r="AB163" s="609">
        <f>NPV(realdiscrt3,AB$65:AB83)/(1+realdiscrt3)^-Half_Year</f>
        <v>160.55687038349726</v>
      </c>
      <c r="AC163" s="609">
        <f>NPV(realdiscrt3,AC$65:AC83)/(1+realdiscrt3)^-Half_Year</f>
        <v>131.38661625196644</v>
      </c>
      <c r="AD163" s="609">
        <f>NPV(realdiscrt3,AD$65:AD83)/(1+realdiscrt3)^-Half_Year</f>
        <v>153.29173253808094</v>
      </c>
      <c r="AE163" s="612">
        <f>NPV(realdiscrt3,AE$65:AE83)/(1+realdiscrt3)^-Half_Year</f>
        <v>143.71893712903233</v>
      </c>
      <c r="AF163" s="613">
        <f>NPV(realdiscrt3,AF$65:AF83)/(1+realdiscrt3)^-Half_Year</f>
        <v>0.15027480143926619</v>
      </c>
      <c r="AG163" s="607">
        <f>NPV(realdiscrt3,AG$65:AG83)/(1+realdiscrt3)^-Half_Year</f>
        <v>2.7880110987784201</v>
      </c>
      <c r="AH163" s="614">
        <f>NPV(realdiscrt3,AH$65:AH83)/(1+realdiscrt3)^-Half_Year</f>
        <v>2.7880110987784201</v>
      </c>
      <c r="AI163" s="614">
        <f>NPV(realdiscrt3,AI$65:AI83)/(1+realdiscrt3)^-Half_Year</f>
        <v>5.1164138372198975</v>
      </c>
      <c r="AJ163" s="614">
        <f>NPV(realdiscrt3,AJ$65:AJ83)/(1+realdiscrt3)^-Half_Year</f>
        <v>4.3014728787653809</v>
      </c>
      <c r="AK163" s="614">
        <f>NPV(realdiscrt3,AK$65:AK83)/(1+realdiscrt3)^-Half_Year</f>
        <v>2.7880110987784201</v>
      </c>
      <c r="AL163" s="614">
        <f>NPV(realdiscrt3,AL$65:AL83)/(1+realdiscrt3)^-Half_Year</f>
        <v>5.1164138372198975</v>
      </c>
      <c r="AM163" s="614">
        <f>NPV(realdiscrt3,AM$65:AM83)/(1+realdiscrt3)^-Half_Year</f>
        <v>4.0989018405209716</v>
      </c>
      <c r="AN163" s="594">
        <f>NPV(realdiscrt3,AN$65:AN83)/(1+realdiscrt3)^-Half_Year</f>
        <v>464.04955280343881</v>
      </c>
      <c r="AO163" s="595">
        <f>NPV(realdiscrt3,AO$65:AO83)/(1+realdiscrt3)^-Half_Year</f>
        <v>388.76436744449308</v>
      </c>
      <c r="AP163" s="325">
        <f>NPV(realdiscrt3,AP$65:AP83)/(1+realdiscrt3)^-Half_Year</f>
        <v>400.82543578678724</v>
      </c>
      <c r="AQ163" s="610">
        <f>NPV(realdiscrt3,AQ$65:AQ83)/(1+realdiscrt3)^-Half_Year</f>
        <v>0.21924224874618159</v>
      </c>
      <c r="AR163" s="595">
        <f>NPV(realdiscrt3,AR$65:AR83)/(1+realdiscrt3)^-Half_Year</f>
        <v>416.11167990789107</v>
      </c>
      <c r="AS163" s="612">
        <f>NPV(realdiscrt3,AS$65:AS83)/(1+realdiscrt3)^-Half_Year</f>
        <v>634.22338023381019</v>
      </c>
      <c r="AT163" s="594">
        <f>NPV(realdiscrt3,AT$65:AT83)/(1+realdiscrt3)^-Half_Year</f>
        <v>280.60987658358141</v>
      </c>
      <c r="AU163" s="609">
        <f>NPV(realdiscrt3,AU$65:AU83)/(1+realdiscrt3)^-Half_Year</f>
        <v>452.23473186111357</v>
      </c>
      <c r="AV163" s="608">
        <f>NPV(realdiscrt3,AV$65:AV83)/(1+realdiscrt3)^-Half_Year</f>
        <v>0.14946200088945025</v>
      </c>
      <c r="AW163" s="612">
        <f>NPV(realdiscrt3,AW$65:AW83)/(1+realdiscrt3)^-Half_Year</f>
        <v>0.14946200088945025</v>
      </c>
      <c r="AX163" s="600">
        <f>NPV(realdiscrt3,AX$65:AX83)/(1+realdiscrt3)^-Half_Year</f>
        <v>16.977818487850978</v>
      </c>
      <c r="AY163" s="615">
        <f>NPV(realdiscrt3,AY$65:AY83)/(1+realdiscrt3)^-Half_Year</f>
        <v>471.64430251190714</v>
      </c>
      <c r="AZ163" s="607">
        <f>NPV(realdiscrt3,AZ$65:AZ83)/(1+realdiscrt3)^-Half_Year</f>
        <v>0.72131615748967859</v>
      </c>
      <c r="BA163" s="614">
        <f>NPV(realdiscrt3,BA$65:BA83)/(1+realdiscrt3)^-Half_Year</f>
        <v>0.73668892687797238</v>
      </c>
      <c r="BB163" s="614">
        <f>NPV(realdiscrt3,BB$65:BB83)/(1+realdiscrt3)^-Half_Year</f>
        <v>0.70268152865064948</v>
      </c>
      <c r="BC163" s="610">
        <f>NPV(realdiscrt3,BC$65:BC83)/(1+realdiscrt3)^-Half_Year</f>
        <v>0.70714672912090115</v>
      </c>
    </row>
    <row r="164" spans="1:96" s="325" customFormat="1" ht="14.25">
      <c r="A164" s="602">
        <f t="shared" si="99"/>
        <v>20</v>
      </c>
      <c r="B164" s="603">
        <f t="shared" si="98"/>
        <v>2042</v>
      </c>
      <c r="C164" s="604">
        <f>NPV(realdiscrt3,C$65:C84)/(1+realdiscrt3)^-Half_Year</f>
        <v>1.4281211771284477</v>
      </c>
      <c r="D164" s="605">
        <f>NPV(realdiscrt3,D$65:D84)/(1+realdiscrt3)^-Half_Year</f>
        <v>1.2801695110842681</v>
      </c>
      <c r="E164" s="605">
        <f>NPV(realdiscrt3,E$65:E84)/(1+realdiscrt3)^-Half_Year</f>
        <v>1.2653256333710634</v>
      </c>
      <c r="F164" s="606">
        <f>NPV(realdiscrt3,F$65:F84)/(1+realdiscrt3)^-Half_Year</f>
        <v>1.0763866048944557</v>
      </c>
      <c r="G164" s="604">
        <f>NPV(realdiscrt3,G$65:G84)/(1+realdiscrt3)^-Half_Year</f>
        <v>5.2276198026740835E-2</v>
      </c>
      <c r="H164" s="605">
        <f>NPV(realdiscrt3,H$65:H84)/(1+realdiscrt3)^-Half_Year</f>
        <v>3.8364543351674989E-2</v>
      </c>
      <c r="I164" s="605">
        <f>NPV(realdiscrt3,I$65:I84)/(1+realdiscrt3)^-Half_Year</f>
        <v>3.8990872279823119E-2</v>
      </c>
      <c r="J164" s="605">
        <f>NPV(realdiscrt3,J$65:J84)/(1+realdiscrt3)^-Half_Year</f>
        <v>2.6309951387010262E-2</v>
      </c>
      <c r="K164" s="607">
        <f>NPV(realdiscrt3,K$65:K84)/(1+realdiscrt3)^-Half_Year</f>
        <v>1.6025114117279787E-2</v>
      </c>
      <c r="L164" s="1321">
        <f>NPV(realdiscrt3,L$65:L84)/(1+realdiscrt3)^-Half_Year</f>
        <v>1687.938840238005</v>
      </c>
      <c r="M164" s="609">
        <f>NPV(realdiscrt3,M$65:M84)/(1+realdiscrt3)^-Half_Year</f>
        <v>1989.9401405499964</v>
      </c>
      <c r="N164" s="609">
        <f>NPV(realdiscrt3,N$65:N84)/(1+realdiscrt3)^-Half_Year</f>
        <v>1989.9401405499964</v>
      </c>
      <c r="O164" s="612">
        <f>NPV(realdiscrt3,O$65:O84)/(1+realdiscrt3)^-Half_Year</f>
        <v>0</v>
      </c>
      <c r="P164" s="782">
        <f t="shared" si="96"/>
        <v>0</v>
      </c>
      <c r="Q164" s="782">
        <f t="shared" si="96"/>
        <v>0</v>
      </c>
      <c r="R164" s="1316">
        <f t="shared" si="97"/>
        <v>0</v>
      </c>
      <c r="S164" s="595">
        <f>NPV(realdiscrt3,S$65:S84)/(1+realdiscrt3)^-Half_Year</f>
        <v>0</v>
      </c>
      <c r="T164" s="595">
        <f>NPV(realdiscrt3,T$65:T84)/(1+realdiscrt3)^-Half_Year</f>
        <v>0</v>
      </c>
      <c r="U164" s="610">
        <f>NPV(realdiscrt3,U$65:U84)/(1+realdiscrt3)^-Half_Year</f>
        <v>0</v>
      </c>
      <c r="V164" s="611">
        <f>NPV(realdiscrt3,V$65:V84)/(1+realdiscrt3)^-Half_Year</f>
        <v>1792.8217424188754</v>
      </c>
      <c r="W164" s="609">
        <f>NPV(realdiscrt3,W$65:W84)/(1+realdiscrt3)^-Half_Year</f>
        <v>0</v>
      </c>
      <c r="X164" s="612">
        <f>NPV(realdiscrt3,X$65:X84)/(1+realdiscrt3)^-Half_Year</f>
        <v>1553.1012545282958</v>
      </c>
      <c r="Y164" s="608">
        <f>NPV(realdiscrt3,Y$65:Y84)/(1+realdiscrt3)^-Half_Year</f>
        <v>124.77994203808964</v>
      </c>
      <c r="Z164" s="609">
        <f>NPV(realdiscrt3,Z$65:Z84)/(1+realdiscrt3)^-Half_Year</f>
        <v>156.3564793610324</v>
      </c>
      <c r="AA164" s="609">
        <f>NPV(realdiscrt3,AA$65:AA84)/(1+realdiscrt3)^-Half_Year</f>
        <v>178.5098643594454</v>
      </c>
      <c r="AB164" s="609">
        <f>NPV(realdiscrt3,AB$65:AB84)/(1+realdiscrt3)^-Half_Year</f>
        <v>168.17668955618646</v>
      </c>
      <c r="AC164" s="609">
        <f>NPV(realdiscrt3,AC$65:AC84)/(1+realdiscrt3)^-Half_Year</f>
        <v>137.69741242595848</v>
      </c>
      <c r="AD164" s="609">
        <f>NPV(realdiscrt3,AD$65:AD84)/(1+realdiscrt3)^-Half_Year</f>
        <v>160.58159753281211</v>
      </c>
      <c r="AE164" s="612">
        <f>NPV(realdiscrt3,AE$65:AE84)/(1+realdiscrt3)^-Half_Year</f>
        <v>150.58084875815194</v>
      </c>
      <c r="AF164" s="613">
        <f>NPV(realdiscrt3,AF$65:AF84)/(1+realdiscrt3)^-Half_Year</f>
        <v>0.15859262188260653</v>
      </c>
      <c r="AG164" s="607">
        <f>NPV(realdiscrt3,AG$65:AG84)/(1+realdiscrt3)^-Half_Year</f>
        <v>2.7880110987784201</v>
      </c>
      <c r="AH164" s="614">
        <f>NPV(realdiscrt3,AH$65:AH84)/(1+realdiscrt3)^-Half_Year</f>
        <v>2.7880110987784201</v>
      </c>
      <c r="AI164" s="614">
        <f>NPV(realdiscrt3,AI$65:AI84)/(1+realdiscrt3)^-Half_Year</f>
        <v>5.1164138372198975</v>
      </c>
      <c r="AJ164" s="614">
        <f>NPV(realdiscrt3,AJ$65:AJ84)/(1+realdiscrt3)^-Half_Year</f>
        <v>4.3014728787653809</v>
      </c>
      <c r="AK164" s="614">
        <f>NPV(realdiscrt3,AK$65:AK84)/(1+realdiscrt3)^-Half_Year</f>
        <v>2.7880110987784201</v>
      </c>
      <c r="AL164" s="614">
        <f>NPV(realdiscrt3,AL$65:AL84)/(1+realdiscrt3)^-Half_Year</f>
        <v>5.1164138372198975</v>
      </c>
      <c r="AM164" s="614">
        <f>NPV(realdiscrt3,AM$65:AM84)/(1+realdiscrt3)^-Half_Year</f>
        <v>4.0989018405209716</v>
      </c>
      <c r="AN164" s="594">
        <f>NPV(realdiscrt3,AN$65:AN84)/(1+realdiscrt3)^-Half_Year</f>
        <v>487.1614904926895</v>
      </c>
      <c r="AO164" s="595">
        <f>NPV(realdiscrt3,AO$65:AO84)/(1+realdiscrt3)^-Half_Year</f>
        <v>408.11589365413198</v>
      </c>
      <c r="AP164" s="325">
        <f>NPV(realdiscrt3,AP$65:AP84)/(1+realdiscrt3)^-Half_Year</f>
        <v>420.83370038827343</v>
      </c>
      <c r="AQ164" s="610">
        <f>NPV(realdiscrt3,AQ$65:AQ84)/(1+realdiscrt3)^-Half_Year</f>
        <v>0.22928249288717167</v>
      </c>
      <c r="AR164" s="595">
        <f>NPV(realdiscrt3,AR$65:AR84)/(1+realdiscrt3)^-Half_Year</f>
        <v>436.83607703251073</v>
      </c>
      <c r="AS164" s="612">
        <f>NPV(realdiscrt3,AS$65:AS84)/(1+realdiscrt3)^-Half_Year</f>
        <v>666.10846394624696</v>
      </c>
      <c r="AT164" s="594">
        <f>NPV(realdiscrt3,AT$65:AT84)/(1+realdiscrt3)^-Half_Year</f>
        <v>294.58562107769404</v>
      </c>
      <c r="AU164" s="609">
        <f>NPV(realdiscrt3,AU$65:AU84)/(1+realdiscrt3)^-Half_Year</f>
        <v>474.75823367368031</v>
      </c>
      <c r="AV164" s="608">
        <f>NPV(realdiscrt3,AV$65:AV84)/(1+realdiscrt3)^-Half_Year</f>
        <v>0.15627748480253753</v>
      </c>
      <c r="AW164" s="612">
        <f>NPV(realdiscrt3,AW$65:AW84)/(1+realdiscrt3)^-Half_Year</f>
        <v>0.15627748480253753</v>
      </c>
      <c r="AX164" s="600">
        <f>NPV(realdiscrt3,AX$65:AX84)/(1+realdiscrt3)^-Half_Year</f>
        <v>17.752008904777426</v>
      </c>
      <c r="AY164" s="615">
        <f>NPV(realdiscrt3,AY$65:AY84)/(1+realdiscrt3)^-Half_Year</f>
        <v>509.90730789912681</v>
      </c>
      <c r="AZ164" s="607">
        <f>NPV(realdiscrt3,AZ$65:AZ84)/(1+realdiscrt3)^-Half_Year</f>
        <v>0.75074626873348127</v>
      </c>
      <c r="BA164" s="614">
        <f>NPV(realdiscrt3,BA$65:BA84)/(1+realdiscrt3)^-Half_Year</f>
        <v>0.7667462558937953</v>
      </c>
      <c r="BB164" s="614">
        <f>NPV(realdiscrt3,BB$65:BB84)/(1+realdiscrt3)^-Half_Year</f>
        <v>0.73135133639365679</v>
      </c>
      <c r="BC164" s="610">
        <f>NPV(realdiscrt3,BC$65:BC84)/(1+realdiscrt3)^-Half_Year</f>
        <v>0.73599871959363239</v>
      </c>
    </row>
    <row r="165" spans="1:96" s="325" customFormat="1" ht="14.25">
      <c r="A165" s="602">
        <f t="shared" si="99"/>
        <v>21</v>
      </c>
      <c r="B165" s="603">
        <f t="shared" si="98"/>
        <v>2043</v>
      </c>
      <c r="C165" s="604">
        <f>NPV(realdiscrt3,C$65:C85)/(1+realdiscrt3)^-Half_Year</f>
        <v>1.5018771502875821</v>
      </c>
      <c r="D165" s="605">
        <f>NPV(realdiscrt3,D$65:D85)/(1+realdiscrt3)^-Half_Year</f>
        <v>1.3407136295687359</v>
      </c>
      <c r="E165" s="605">
        <f>NPV(realdiscrt3,E$65:E85)/(1+realdiscrt3)^-Half_Year</f>
        <v>1.3503783211298337</v>
      </c>
      <c r="F165" s="606">
        <f>NPV(realdiscrt3,F$65:F85)/(1+realdiscrt3)^-Half_Year</f>
        <v>1.1454734850028201</v>
      </c>
      <c r="G165" s="604">
        <f>NPV(realdiscrt3,G$65:G85)/(1+realdiscrt3)^-Half_Year</f>
        <v>5.2276198026740835E-2</v>
      </c>
      <c r="H165" s="605">
        <f>NPV(realdiscrt3,H$65:H85)/(1+realdiscrt3)^-Half_Year</f>
        <v>3.8364543351674989E-2</v>
      </c>
      <c r="I165" s="605">
        <f>NPV(realdiscrt3,I$65:I85)/(1+realdiscrt3)^-Half_Year</f>
        <v>3.8990872279823119E-2</v>
      </c>
      <c r="J165" s="605">
        <f>NPV(realdiscrt3,J$65:J85)/(1+realdiscrt3)^-Half_Year</f>
        <v>2.6309951387010262E-2</v>
      </c>
      <c r="K165" s="607">
        <f>NPV(realdiscrt3,K$65:K85)/(1+realdiscrt3)^-Half_Year</f>
        <v>1.6110949201372283E-2</v>
      </c>
      <c r="L165" s="1321">
        <f>NPV(realdiscrt3,L$65:L85)/(1+realdiscrt3)^-Half_Year</f>
        <v>1776.1363506934485</v>
      </c>
      <c r="M165" s="609">
        <f>NPV(realdiscrt3,M$65:M85)/(1+realdiscrt3)^-Half_Year</f>
        <v>2100.268607983186</v>
      </c>
      <c r="N165" s="609">
        <f>NPV(realdiscrt3,N$65:N85)/(1+realdiscrt3)^-Half_Year</f>
        <v>2100.268607983186</v>
      </c>
      <c r="O165" s="612">
        <f>NPV(realdiscrt3,O$65:O85)/(1+realdiscrt3)^-Half_Year</f>
        <v>0</v>
      </c>
      <c r="P165" s="782">
        <f t="shared" si="96"/>
        <v>0</v>
      </c>
      <c r="Q165" s="782">
        <f t="shared" si="96"/>
        <v>0</v>
      </c>
      <c r="R165" s="1316">
        <f t="shared" si="97"/>
        <v>0</v>
      </c>
      <c r="S165" s="595">
        <f>NPV(realdiscrt3,S$65:S85)/(1+realdiscrt3)^-Half_Year</f>
        <v>0</v>
      </c>
      <c r="T165" s="595">
        <f>NPV(realdiscrt3,T$65:T85)/(1+realdiscrt3)^-Half_Year</f>
        <v>0</v>
      </c>
      <c r="U165" s="610">
        <f>NPV(realdiscrt3,U$65:U85)/(1+realdiscrt3)^-Half_Year</f>
        <v>0</v>
      </c>
      <c r="V165" s="611">
        <f>NPV(realdiscrt3,V$65:V85)/(1+realdiscrt3)^-Half_Year</f>
        <v>1869.9187943681527</v>
      </c>
      <c r="W165" s="609">
        <f>NPV(realdiscrt3,W$65:W85)/(1+realdiscrt3)^-Half_Year</f>
        <v>0</v>
      </c>
      <c r="X165" s="612">
        <f>NPV(realdiscrt3,X$65:X85)/(1+realdiscrt3)^-Half_Year</f>
        <v>1619.8895610675188</v>
      </c>
      <c r="Y165" s="608">
        <f>NPV(realdiscrt3,Y$65:Y85)/(1+realdiscrt3)^-Half_Year</f>
        <v>130.49373128724326</v>
      </c>
      <c r="Z165" s="609">
        <f>NPV(realdiscrt3,Z$65:Z85)/(1+realdiscrt3)^-Half_Year</f>
        <v>163.39463676916662</v>
      </c>
      <c r="AA165" s="609">
        <f>NPV(realdiscrt3,AA$65:AA85)/(1+realdiscrt3)^-Half_Year</f>
        <v>186.4916910109676</v>
      </c>
      <c r="AB165" s="609">
        <f>NPV(realdiscrt3,AB$65:AB85)/(1+realdiscrt3)^-Half_Year</f>
        <v>175.72197841598867</v>
      </c>
      <c r="AC165" s="609">
        <f>NPV(realdiscrt3,AC$65:AC85)/(1+realdiscrt3)^-Half_Year</f>
        <v>143.95414966187136</v>
      </c>
      <c r="AD165" s="609">
        <f>NPV(realdiscrt3,AD$65:AD85)/(1+realdiscrt3)^-Half_Year</f>
        <v>167.80170850015514</v>
      </c>
      <c r="AE165" s="612">
        <f>NPV(realdiscrt3,AE$65:AE85)/(1+realdiscrt3)^-Half_Year</f>
        <v>157.37984514885167</v>
      </c>
      <c r="AF165" s="613">
        <f>NPV(realdiscrt3,AF$65:AF85)/(1+realdiscrt3)^-Half_Year</f>
        <v>0.16679443591976373</v>
      </c>
      <c r="AG165" s="607">
        <f>NPV(realdiscrt3,AG$65:AG85)/(1+realdiscrt3)^-Half_Year</f>
        <v>2.7880110987784201</v>
      </c>
      <c r="AH165" s="614">
        <f>NPV(realdiscrt3,AH$65:AH85)/(1+realdiscrt3)^-Half_Year</f>
        <v>2.7880110987784201</v>
      </c>
      <c r="AI165" s="614">
        <f>NPV(realdiscrt3,AI$65:AI85)/(1+realdiscrt3)^-Half_Year</f>
        <v>5.1164138372198975</v>
      </c>
      <c r="AJ165" s="614">
        <f>NPV(realdiscrt3,AJ$65:AJ85)/(1+realdiscrt3)^-Half_Year</f>
        <v>4.3014728787653809</v>
      </c>
      <c r="AK165" s="614">
        <f>NPV(realdiscrt3,AK$65:AK85)/(1+realdiscrt3)^-Half_Year</f>
        <v>2.7880110987784201</v>
      </c>
      <c r="AL165" s="614">
        <f>NPV(realdiscrt3,AL$65:AL85)/(1+realdiscrt3)^-Half_Year</f>
        <v>5.1164138372198975</v>
      </c>
      <c r="AM165" s="614">
        <f>NPV(realdiscrt3,AM$65:AM85)/(1+realdiscrt3)^-Half_Year</f>
        <v>4.0989018405209716</v>
      </c>
      <c r="AN165" s="594">
        <f>NPV(realdiscrt3,AN$65:AN85)/(1+realdiscrt3)^-Half_Year</f>
        <v>510.0013803679721</v>
      </c>
      <c r="AO165" s="595">
        <f>NPV(realdiscrt3,AO$65:AO85)/(1+realdiscrt3)^-Half_Year</f>
        <v>427.20987785238685</v>
      </c>
      <c r="AP165" s="325">
        <f>NPV(realdiscrt3,AP$65:AP85)/(1+realdiscrt3)^-Half_Year</f>
        <v>440.57245887338229</v>
      </c>
      <c r="AQ165" s="610">
        <f>NPV(realdiscrt3,AQ$65:AQ85)/(1+realdiscrt3)^-Half_Year</f>
        <v>0.23918270844159492</v>
      </c>
      <c r="AR165" s="595">
        <f>NPV(realdiscrt3,AR$65:AR85)/(1+realdiscrt3)^-Half_Year</f>
        <v>457.31652979342675</v>
      </c>
      <c r="AS165" s="612">
        <f>NPV(realdiscrt3,AS$65:AS85)/(1+realdiscrt3)^-Half_Year</f>
        <v>697.80449387315718</v>
      </c>
      <c r="AT165" s="594">
        <f>NPV(realdiscrt3,AT$65:AT85)/(1+realdiscrt3)^-Half_Year</f>
        <v>308.39685877928576</v>
      </c>
      <c r="AU165" s="609">
        <f>NPV(realdiscrt3,AU$65:AU85)/(1+realdiscrt3)^-Half_Year</f>
        <v>497.01661407957823</v>
      </c>
      <c r="AV165" s="608">
        <f>NPV(realdiscrt3,AV$65:AV85)/(1+realdiscrt3)^-Half_Year</f>
        <v>0.16299791499325339</v>
      </c>
      <c r="AW165" s="612">
        <f>NPV(realdiscrt3,AW$65:AW85)/(1+realdiscrt3)^-Half_Year</f>
        <v>0.16299791499325339</v>
      </c>
      <c r="AX165" s="600">
        <f>NPV(realdiscrt3,AX$65:AX85)/(1+realdiscrt3)^-Half_Year</f>
        <v>18.515401896034387</v>
      </c>
      <c r="AY165" s="615">
        <f>NPV(realdiscrt3,AY$65:AY85)/(1+realdiscrt3)^-Half_Year</f>
        <v>549.87399006407134</v>
      </c>
      <c r="AZ165" s="607">
        <f>NPV(realdiscrt3,AZ$65:AZ85)/(1+realdiscrt3)^-Half_Year</f>
        <v>0.77945305160534573</v>
      </c>
      <c r="BA165" s="614">
        <f>NPV(realdiscrt3,BA$65:BA85)/(1+realdiscrt3)^-Half_Year</f>
        <v>0.79606484088375562</v>
      </c>
      <c r="BB165" s="614">
        <f>NPV(realdiscrt3,BB$65:BB85)/(1+realdiscrt3)^-Half_Year</f>
        <v>0.75931650237752379</v>
      </c>
      <c r="BC165" s="610">
        <f>NPV(realdiscrt3,BC$65:BC85)/(1+realdiscrt3)^-Half_Year</f>
        <v>0.76414159065043841</v>
      </c>
    </row>
    <row r="166" spans="1:96" s="325" customFormat="1" ht="14.25">
      <c r="A166" s="602">
        <f t="shared" si="99"/>
        <v>22</v>
      </c>
      <c r="B166" s="603">
        <f t="shared" si="98"/>
        <v>2044</v>
      </c>
      <c r="C166" s="604">
        <f>NPV(realdiscrt3,C$65:C86)/(1+realdiscrt3)^-Half_Year</f>
        <v>1.5762749736947064</v>
      </c>
      <c r="D166" s="605">
        <f>NPV(realdiscrt3,D$65:D86)/(1+realdiscrt3)^-Half_Year</f>
        <v>1.4011439391538363</v>
      </c>
      <c r="E166" s="605">
        <f>NPV(realdiscrt3,E$65:E86)/(1+realdiscrt3)^-Half_Year</f>
        <v>1.4387174553823758</v>
      </c>
      <c r="F166" s="606">
        <f>NPV(realdiscrt3,F$65:F86)/(1+realdiscrt3)^-Half_Year</f>
        <v>1.2167791759021218</v>
      </c>
      <c r="G166" s="604">
        <f>NPV(realdiscrt3,G$65:G86)/(1+realdiscrt3)^-Half_Year</f>
        <v>5.2276198026740835E-2</v>
      </c>
      <c r="H166" s="605">
        <f>NPV(realdiscrt3,H$65:H86)/(1+realdiscrt3)^-Half_Year</f>
        <v>3.8364543351674989E-2</v>
      </c>
      <c r="I166" s="605">
        <f>NPV(realdiscrt3,I$65:I86)/(1+realdiscrt3)^-Half_Year</f>
        <v>3.8990872279823119E-2</v>
      </c>
      <c r="J166" s="605">
        <f>NPV(realdiscrt3,J$65:J86)/(1+realdiscrt3)^-Half_Year</f>
        <v>2.6309951387010262E-2</v>
      </c>
      <c r="K166" s="607">
        <f>NPV(realdiscrt3,K$65:K86)/(1+realdiscrt3)^-Half_Year</f>
        <v>1.6195587166616413E-2</v>
      </c>
      <c r="L166" s="1321">
        <f>NPV(realdiscrt3,L$65:L86)/(1+realdiscrt3)^-Half_Year</f>
        <v>1864.5536652574829</v>
      </c>
      <c r="M166" s="609">
        <f>NPV(realdiscrt3,M$65:M86)/(1+realdiscrt3)^-Half_Year</f>
        <v>2210.7997676196014</v>
      </c>
      <c r="N166" s="609">
        <f>NPV(realdiscrt3,N$65:N86)/(1+realdiscrt3)^-Half_Year</f>
        <v>2210.7997676196014</v>
      </c>
      <c r="O166" s="612">
        <f>NPV(realdiscrt3,O$65:O86)/(1+realdiscrt3)^-Half_Year</f>
        <v>0</v>
      </c>
      <c r="P166" s="782">
        <f t="shared" si="96"/>
        <v>0</v>
      </c>
      <c r="Q166" s="782">
        <f t="shared" si="96"/>
        <v>0</v>
      </c>
      <c r="R166" s="1316">
        <f t="shared" si="97"/>
        <v>0</v>
      </c>
      <c r="S166" s="595">
        <f>NPV(realdiscrt3,S$65:S86)/(1+realdiscrt3)^-Half_Year</f>
        <v>0</v>
      </c>
      <c r="T166" s="595">
        <f>NPV(realdiscrt3,T$65:T86)/(1+realdiscrt3)^-Half_Year</f>
        <v>0</v>
      </c>
      <c r="U166" s="610">
        <f>NPV(realdiscrt3,U$65:U86)/(1+realdiscrt3)^-Half_Year</f>
        <v>0</v>
      </c>
      <c r="V166" s="611">
        <f>NPV(realdiscrt3,V$65:V86)/(1+realdiscrt3)^-Half_Year</f>
        <v>1945.940594454893</v>
      </c>
      <c r="W166" s="609">
        <f>NPV(realdiscrt3,W$65:W86)/(1+realdiscrt3)^-Half_Year</f>
        <v>0</v>
      </c>
      <c r="X166" s="612">
        <f>NPV(realdiscrt3,X$65:X86)/(1+realdiscrt3)^-Half_Year</f>
        <v>1685.7463890458075</v>
      </c>
      <c r="Y166" s="608">
        <f>NPV(realdiscrt3,Y$65:Y86)/(1+realdiscrt3)^-Half_Year</f>
        <v>136.1627752723839</v>
      </c>
      <c r="Z166" s="609">
        <f>NPV(realdiscrt3,Z$65:Z86)/(1+realdiscrt3)^-Half_Year</f>
        <v>170.3662500571844</v>
      </c>
      <c r="AA166" s="609">
        <f>NPV(realdiscrt3,AA$65:AA86)/(1+realdiscrt3)^-Half_Year</f>
        <v>194.39287998747187</v>
      </c>
      <c r="AB166" s="609">
        <f>NPV(realdiscrt3,AB$65:AB86)/(1+realdiscrt3)^-Half_Year</f>
        <v>183.19346595232116</v>
      </c>
      <c r="AC166" s="609">
        <f>NPV(realdiscrt3,AC$65:AC86)/(1+realdiscrt3)^-Half_Year</f>
        <v>150.1572910342056</v>
      </c>
      <c r="AD166" s="609">
        <f>NPV(realdiscrt3,AD$65:AD86)/(1+realdiscrt3)^-Half_Year</f>
        <v>174.95273289065122</v>
      </c>
      <c r="AE166" s="612">
        <f>NPV(realdiscrt3,AE$65:AE86)/(1+realdiscrt3)^-Half_Year</f>
        <v>164.11650315601375</v>
      </c>
      <c r="AF166" s="613">
        <f>NPV(realdiscrt3,AF$65:AF86)/(1+realdiscrt3)^-Half_Year</f>
        <v>0.17488186146090631</v>
      </c>
      <c r="AG166" s="607">
        <f>NPV(realdiscrt3,AG$65:AG86)/(1+realdiscrt3)^-Half_Year</f>
        <v>2.7880110987784201</v>
      </c>
      <c r="AH166" s="614">
        <f>NPV(realdiscrt3,AH$65:AH86)/(1+realdiscrt3)^-Half_Year</f>
        <v>2.7880110987784201</v>
      </c>
      <c r="AI166" s="614">
        <f>NPV(realdiscrt3,AI$65:AI86)/(1+realdiscrt3)^-Half_Year</f>
        <v>5.1164138372198975</v>
      </c>
      <c r="AJ166" s="614">
        <f>NPV(realdiscrt3,AJ$65:AJ86)/(1+realdiscrt3)^-Half_Year</f>
        <v>4.3014728787653809</v>
      </c>
      <c r="AK166" s="614">
        <f>NPV(realdiscrt3,AK$65:AK86)/(1+realdiscrt3)^-Half_Year</f>
        <v>2.7880110987784201</v>
      </c>
      <c r="AL166" s="614">
        <f>NPV(realdiscrt3,AL$65:AL86)/(1+realdiscrt3)^-Half_Year</f>
        <v>5.1164138372198975</v>
      </c>
      <c r="AM166" s="614">
        <f>NPV(realdiscrt3,AM$65:AM86)/(1+realdiscrt3)^-Half_Year</f>
        <v>4.0989018405209716</v>
      </c>
      <c r="AN166" s="594">
        <f>NPV(realdiscrt3,AN$65:AN86)/(1+realdiscrt3)^-Half_Year</f>
        <v>532.60199839380357</v>
      </c>
      <c r="AO166" s="595">
        <f>NPV(realdiscrt3,AO$65:AO86)/(1+realdiscrt3)^-Half_Year</f>
        <v>446.07622223305157</v>
      </c>
      <c r="AP166" s="325">
        <f>NPV(realdiscrt3,AP$65:AP86)/(1+realdiscrt3)^-Half_Year</f>
        <v>460.07413580728303</v>
      </c>
      <c r="AQ166" s="610">
        <f>NPV(realdiscrt3,AQ$65:AQ86)/(1+realdiscrt3)^-Half_Year</f>
        <v>0.24894484835051336</v>
      </c>
      <c r="AR166" s="595">
        <f>NPV(realdiscrt3,AR$65:AR86)/(1+realdiscrt3)^-Half_Year</f>
        <v>477.5824282882557</v>
      </c>
      <c r="AS166" s="612">
        <f>NPV(realdiscrt3,AS$65:AS86)/(1+realdiscrt3)^-Half_Year</f>
        <v>729.27553828749046</v>
      </c>
      <c r="AT166" s="594">
        <f>NPV(realdiscrt3,AT$65:AT86)/(1+realdiscrt3)^-Half_Year</f>
        <v>322.06340925138051</v>
      </c>
      <c r="AU166" s="609">
        <f>NPV(realdiscrt3,AU$65:AU86)/(1+realdiscrt3)^-Half_Year</f>
        <v>519.04181455883952</v>
      </c>
      <c r="AV166" s="608">
        <f>NPV(realdiscrt3,AV$65:AV86)/(1+realdiscrt3)^-Half_Year</f>
        <v>0.16962461715031668</v>
      </c>
      <c r="AW166" s="612">
        <f>NPV(realdiscrt3,AW$65:AW86)/(1+realdiscrt3)^-Half_Year</f>
        <v>0.16962461715031668</v>
      </c>
      <c r="AX166" s="600">
        <f>NPV(realdiscrt3,AX$65:AX86)/(1+realdiscrt3)^-Half_Year</f>
        <v>19.268148050415707</v>
      </c>
      <c r="AY166" s="615">
        <f>NPV(realdiscrt3,AY$65:AY86)/(1+realdiscrt3)^-Half_Year</f>
        <v>591.58966303512307</v>
      </c>
      <c r="AZ166" s="607">
        <f>NPV(realdiscrt3,AZ$65:AZ86)/(1+realdiscrt3)^-Half_Year</f>
        <v>0.80745428394951169</v>
      </c>
      <c r="BA166" s="614">
        <f>NPV(realdiscrt3,BA$65:BA86)/(1+realdiscrt3)^-Half_Year</f>
        <v>0.82466283857546763</v>
      </c>
      <c r="BB166" s="614">
        <f>NPV(realdiscrt3,BB$65:BB86)/(1+realdiscrt3)^-Half_Year</f>
        <v>0.78659434517003335</v>
      </c>
      <c r="BC166" s="610">
        <f>NPV(realdiscrt3,BC$65:BC86)/(1+realdiscrt3)^-Half_Year</f>
        <v>0.79159277091020486</v>
      </c>
    </row>
    <row r="167" spans="1:96" s="325" customFormat="1" ht="14.25">
      <c r="A167" s="602">
        <f t="shared" si="99"/>
        <v>23</v>
      </c>
      <c r="B167" s="603">
        <f t="shared" si="98"/>
        <v>2045</v>
      </c>
      <c r="C167" s="604">
        <f>NPV(realdiscrt3,C$65:C87)/(1+realdiscrt3)^-Half_Year</f>
        <v>1.6513350846417902</v>
      </c>
      <c r="D167" s="605">
        <f>NPV(realdiscrt3,D$65:D87)/(1+realdiscrt3)^-Half_Year</f>
        <v>1.4614826524396434</v>
      </c>
      <c r="E167" s="605">
        <f>NPV(realdiscrt3,E$65:E87)/(1+realdiscrt3)^-Half_Year</f>
        <v>1.5304725561151027</v>
      </c>
      <c r="F167" s="606">
        <f>NPV(realdiscrt3,F$65:F87)/(1+realdiscrt3)^-Half_Year</f>
        <v>1.2903793301964519</v>
      </c>
      <c r="G167" s="604">
        <f>NPV(realdiscrt3,G$65:G87)/(1+realdiscrt3)^-Half_Year</f>
        <v>5.2276198026740835E-2</v>
      </c>
      <c r="H167" s="605">
        <f>NPV(realdiscrt3,H$65:H87)/(1+realdiscrt3)^-Half_Year</f>
        <v>3.8364543351674989E-2</v>
      </c>
      <c r="I167" s="605">
        <f>NPV(realdiscrt3,I$65:I87)/(1+realdiscrt3)^-Half_Year</f>
        <v>3.8990872279823119E-2</v>
      </c>
      <c r="J167" s="605">
        <f>NPV(realdiscrt3,J$65:J87)/(1+realdiscrt3)^-Half_Year</f>
        <v>2.6309951387010262E-2</v>
      </c>
      <c r="K167" s="607">
        <f>NPV(realdiscrt3,K$65:K87)/(1+realdiscrt3)^-Half_Year</f>
        <v>1.6279044708907023E-2</v>
      </c>
      <c r="L167" s="1321">
        <f>NPV(realdiscrt3,L$65:L87)/(1+realdiscrt3)^-Half_Year</f>
        <v>1953.1913317216031</v>
      </c>
      <c r="M167" s="609">
        <f>NPV(realdiscrt3,M$65:M87)/(1+realdiscrt3)^-Half_Year</f>
        <v>2321.5339918393743</v>
      </c>
      <c r="N167" s="609">
        <f>NPV(realdiscrt3,N$65:N87)/(1+realdiscrt3)^-Half_Year</f>
        <v>2321.5339918393743</v>
      </c>
      <c r="O167" s="612">
        <f>NPV(realdiscrt3,O$65:O87)/(1+realdiscrt3)^-Half_Year</f>
        <v>0</v>
      </c>
      <c r="P167" s="782">
        <f t="shared" si="96"/>
        <v>0</v>
      </c>
      <c r="Q167" s="782">
        <f t="shared" si="96"/>
        <v>0</v>
      </c>
      <c r="R167" s="1316">
        <f t="shared" si="97"/>
        <v>0</v>
      </c>
      <c r="S167" s="595">
        <f>NPV(realdiscrt3,S$65:S87)/(1+realdiscrt3)^-Half_Year</f>
        <v>0</v>
      </c>
      <c r="T167" s="595">
        <f>NPV(realdiscrt3,T$65:T87)/(1+realdiscrt3)^-Half_Year</f>
        <v>0</v>
      </c>
      <c r="U167" s="610">
        <f>NPV(realdiscrt3,U$65:U87)/(1+realdiscrt3)^-Half_Year</f>
        <v>0</v>
      </c>
      <c r="V167" s="611">
        <f>NPV(realdiscrt3,V$65:V87)/(1+realdiscrt3)^-Half_Year</f>
        <v>2020.902138927833</v>
      </c>
      <c r="W167" s="609">
        <f>NPV(realdiscrt3,W$65:W87)/(1+realdiscrt3)^-Half_Year</f>
        <v>0</v>
      </c>
      <c r="X167" s="612">
        <f>NPV(realdiscrt3,X$65:X87)/(1+realdiscrt3)^-Half_Year</f>
        <v>1750.6847295443022</v>
      </c>
      <c r="Y167" s="608">
        <f>NPV(realdiscrt3,Y$65:Y87)/(1+realdiscrt3)^-Half_Year</f>
        <v>141.78742439821912</v>
      </c>
      <c r="Z167" s="609">
        <f>NPV(realdiscrt3,Z$65:Z87)/(1+realdiscrt3)^-Half_Year</f>
        <v>177.27194838406385</v>
      </c>
      <c r="AA167" s="609">
        <f>NPV(realdiscrt3,AA$65:AA87)/(1+realdiscrt3)^-Half_Year</f>
        <v>202.21424594391334</v>
      </c>
      <c r="AB167" s="609">
        <f>NPV(realdiscrt3,AB$65:AB87)/(1+realdiscrt3)^-Half_Year</f>
        <v>190.59187402427332</v>
      </c>
      <c r="AC167" s="609">
        <f>NPV(realdiscrt3,AC$65:AC87)/(1+realdiscrt3)^-Half_Year</f>
        <v>156.30729565071729</v>
      </c>
      <c r="AD167" s="609">
        <f>NPV(realdiscrt3,AD$65:AD87)/(1+realdiscrt3)^-Half_Year</f>
        <v>182.03533176825391</v>
      </c>
      <c r="AE167" s="612">
        <f>NPV(realdiscrt3,AE$65:AE87)/(1+realdiscrt3)^-Half_Year</f>
        <v>170.79139434547517</v>
      </c>
      <c r="AF167" s="613">
        <f>NPV(realdiscrt3,AF$65:AF87)/(1+realdiscrt3)^-Half_Year</f>
        <v>0.1828564938516446</v>
      </c>
      <c r="AG167" s="607">
        <f>NPV(realdiscrt3,AG$65:AG87)/(1+realdiscrt3)^-Half_Year</f>
        <v>2.7880110987784201</v>
      </c>
      <c r="AH167" s="614">
        <f>NPV(realdiscrt3,AH$65:AH87)/(1+realdiscrt3)^-Half_Year</f>
        <v>2.7880110987784201</v>
      </c>
      <c r="AI167" s="614">
        <f>NPV(realdiscrt3,AI$65:AI87)/(1+realdiscrt3)^-Half_Year</f>
        <v>5.1164138372198975</v>
      </c>
      <c r="AJ167" s="614">
        <f>NPV(realdiscrt3,AJ$65:AJ87)/(1+realdiscrt3)^-Half_Year</f>
        <v>4.3014728787653809</v>
      </c>
      <c r="AK167" s="614">
        <f>NPV(realdiscrt3,AK$65:AK87)/(1+realdiscrt3)^-Half_Year</f>
        <v>2.7880110987784201</v>
      </c>
      <c r="AL167" s="614">
        <f>NPV(realdiscrt3,AL$65:AL87)/(1+realdiscrt3)^-Half_Year</f>
        <v>5.1164138372198975</v>
      </c>
      <c r="AM167" s="614">
        <f>NPV(realdiscrt3,AM$65:AM87)/(1+realdiscrt3)^-Half_Year</f>
        <v>4.0989018405209716</v>
      </c>
      <c r="AN167" s="594">
        <f>NPV(realdiscrt3,AN$65:AN87)/(1+realdiscrt3)^-Half_Year</f>
        <v>554.96069428960971</v>
      </c>
      <c r="AO167" s="595">
        <f>NPV(realdiscrt3,AO$65:AO87)/(1+realdiscrt3)^-Half_Year</f>
        <v>464.75749976187541</v>
      </c>
      <c r="AP167" s="325">
        <f>NPV(realdiscrt3,AP$65:AP87)/(1+realdiscrt3)^-Half_Year</f>
        <v>479.38987371483233</v>
      </c>
      <c r="AQ167" s="610">
        <f>NPV(realdiscrt3,AQ$65:AQ87)/(1+realdiscrt3)^-Half_Year</f>
        <v>0.25857083831784494</v>
      </c>
      <c r="AR167" s="595">
        <f>NPV(realdiscrt3,AR$65:AR87)/(1+realdiscrt3)^-Half_Year</f>
        <v>497.63139601928259</v>
      </c>
      <c r="AS167" s="612">
        <f>NPV(realdiscrt3,AS$65:AS87)/(1+realdiscrt3)^-Half_Year</f>
        <v>760.40903581031864</v>
      </c>
      <c r="AT167" s="594">
        <f>NPV(realdiscrt3,AT$65:AT87)/(1+realdiscrt3)^-Half_Year</f>
        <v>335.58366987438677</v>
      </c>
      <c r="AU167" s="609">
        <f>NPV(realdiscrt3,AU$65:AU87)/(1+realdiscrt3)^-Half_Year</f>
        <v>540.83125230771509</v>
      </c>
      <c r="AV167" s="608">
        <f>NPV(realdiscrt3,AV$65:AV87)/(1+realdiscrt3)^-Half_Year</f>
        <v>0.17615889847342192</v>
      </c>
      <c r="AW167" s="612">
        <f>NPV(realdiscrt3,AW$65:AW87)/(1+realdiscrt3)^-Half_Year</f>
        <v>0.17615889847342192</v>
      </c>
      <c r="AX167" s="600">
        <f>NPV(realdiscrt3,AX$65:AX87)/(1+realdiscrt3)^-Half_Year</f>
        <v>20.01039585649379</v>
      </c>
      <c r="AY167" s="615">
        <f>NPV(realdiscrt3,AY$65:AY87)/(1+realdiscrt3)^-Half_Year</f>
        <v>635.1955264488314</v>
      </c>
      <c r="AZ167" s="607">
        <f>NPV(realdiscrt3,AZ$65:AZ87)/(1+realdiscrt3)^-Half_Year</f>
        <v>0.83476730666932442</v>
      </c>
      <c r="BA167" s="614">
        <f>NPV(realdiscrt3,BA$65:BA87)/(1+realdiscrt3)^-Half_Year</f>
        <v>0.85255795944351831</v>
      </c>
      <c r="BB167" s="614">
        <f>NPV(realdiscrt3,BB$65:BB87)/(1+realdiscrt3)^-Half_Year</f>
        <v>0.81320175768609437</v>
      </c>
      <c r="BC167" s="610">
        <f>NPV(realdiscrt3,BC$65:BC87)/(1+realdiscrt3)^-Half_Year</f>
        <v>0.81836926063412563</v>
      </c>
    </row>
    <row r="168" spans="1:96" s="325" customFormat="1" ht="14.25">
      <c r="A168" s="602">
        <f t="shared" si="99"/>
        <v>24</v>
      </c>
      <c r="B168" s="603">
        <f t="shared" si="98"/>
        <v>2046</v>
      </c>
      <c r="C168" s="604">
        <f>NPV(realdiscrt3,C$65:C88)/(1+realdiscrt3)^-Half_Year</f>
        <v>1.7270790582914712</v>
      </c>
      <c r="D168" s="605">
        <f>NPV(realdiscrt3,D$65:D88)/(1+realdiscrt3)^-Half_Year</f>
        <v>1.5217530866092692</v>
      </c>
      <c r="E168" s="605">
        <f>NPV(realdiscrt3,E$65:E88)/(1+realdiscrt3)^-Half_Year</f>
        <v>1.6257783937997656</v>
      </c>
      <c r="F168" s="606">
        <f>NPV(realdiscrt3,F$65:F88)/(1+realdiscrt3)^-Half_Year</f>
        <v>1.3663524241903202</v>
      </c>
      <c r="G168" s="604">
        <f>NPV(realdiscrt3,G$65:G88)/(1+realdiscrt3)^-Half_Year</f>
        <v>5.2276198026740835E-2</v>
      </c>
      <c r="H168" s="605">
        <f>NPV(realdiscrt3,H$65:H88)/(1+realdiscrt3)^-Half_Year</f>
        <v>3.8364543351674989E-2</v>
      </c>
      <c r="I168" s="605">
        <f>NPV(realdiscrt3,I$65:I88)/(1+realdiscrt3)^-Half_Year</f>
        <v>3.8990872279823119E-2</v>
      </c>
      <c r="J168" s="605">
        <f>NPV(realdiscrt3,J$65:J88)/(1+realdiscrt3)^-Half_Year</f>
        <v>2.6309951387010262E-2</v>
      </c>
      <c r="K168" s="607">
        <f>NPV(realdiscrt3,K$65:K88)/(1+realdiscrt3)^-Half_Year</f>
        <v>1.636133829128578E-2</v>
      </c>
      <c r="L168" s="1321">
        <f>NPV(realdiscrt3,L$65:L88)/(1+realdiscrt3)^-Half_Year</f>
        <v>2042.0498992424996</v>
      </c>
      <c r="M168" s="609">
        <f>NPV(realdiscrt3,M$65:M88)/(1+realdiscrt3)^-Half_Year</f>
        <v>2432.4716537067611</v>
      </c>
      <c r="N168" s="609">
        <f>NPV(realdiscrt3,N$65:N88)/(1+realdiscrt3)^-Half_Year</f>
        <v>2432.4716537067611</v>
      </c>
      <c r="O168" s="612">
        <f>NPV(realdiscrt3,O$65:O88)/(1+realdiscrt3)^-Half_Year</f>
        <v>0</v>
      </c>
      <c r="P168" s="782">
        <f t="shared" si="96"/>
        <v>0</v>
      </c>
      <c r="Q168" s="782">
        <f t="shared" si="96"/>
        <v>0</v>
      </c>
      <c r="R168" s="1316">
        <f t="shared" si="97"/>
        <v>0</v>
      </c>
      <c r="S168" s="595">
        <f>NPV(realdiscrt3,S$65:S88)/(1+realdiscrt3)^-Half_Year</f>
        <v>0</v>
      </c>
      <c r="T168" s="595">
        <f>NPV(realdiscrt3,T$65:T88)/(1+realdiscrt3)^-Half_Year</f>
        <v>0</v>
      </c>
      <c r="U168" s="610">
        <f>NPV(realdiscrt3,U$65:U88)/(1+realdiscrt3)^-Half_Year</f>
        <v>0</v>
      </c>
      <c r="V168" s="611">
        <f>NPV(realdiscrt3,V$65:V88)/(1+realdiscrt3)^-Half_Year</f>
        <v>2094.8182148870583</v>
      </c>
      <c r="W168" s="609">
        <f>NPV(realdiscrt3,W$65:W88)/(1+realdiscrt3)^-Half_Year</f>
        <v>0</v>
      </c>
      <c r="X168" s="612">
        <f>NPV(realdiscrt3,X$65:X88)/(1+realdiscrt3)^-Half_Year</f>
        <v>1814.7173924610258</v>
      </c>
      <c r="Y168" s="608">
        <f>NPV(realdiscrt3,Y$65:Y88)/(1+realdiscrt3)^-Half_Year</f>
        <v>147.36802632540179</v>
      </c>
      <c r="Z168" s="609">
        <f>NPV(realdiscrt3,Z$65:Z88)/(1+realdiscrt3)^-Half_Year</f>
        <v>184.11235496023306</v>
      </c>
      <c r="AA168" s="609">
        <f>NPV(realdiscrt3,AA$65:AA88)/(1+realdiscrt3)^-Half_Year</f>
        <v>209.95659530506563</v>
      </c>
      <c r="AB168" s="609">
        <f>NPV(realdiscrt3,AB$65:AB88)/(1+realdiscrt3)^-Half_Year</f>
        <v>197.91791743034932</v>
      </c>
      <c r="AC168" s="609">
        <f>NPV(realdiscrt3,AC$65:AC88)/(1+realdiscrt3)^-Half_Year</f>
        <v>162.40461868639758</v>
      </c>
      <c r="AD168" s="609">
        <f>NPV(realdiscrt3,AD$65:AD88)/(1+realdiscrt3)^-Half_Year</f>
        <v>189.05015987143969</v>
      </c>
      <c r="AE168" s="612">
        <f>NPV(realdiscrt3,AE$65:AE88)/(1+realdiscrt3)^-Half_Year</f>
        <v>177.40508504252134</v>
      </c>
      <c r="AF168" s="613">
        <f>NPV(realdiscrt3,AF$65:AF88)/(1+realdiscrt3)^-Half_Year</f>
        <v>0.19071990618773238</v>
      </c>
      <c r="AG168" s="607">
        <f>NPV(realdiscrt3,AG$65:AG88)/(1+realdiscrt3)^-Half_Year</f>
        <v>2.7880110987784201</v>
      </c>
      <c r="AH168" s="614">
        <f>NPV(realdiscrt3,AH$65:AH88)/(1+realdiscrt3)^-Half_Year</f>
        <v>2.7880110987784201</v>
      </c>
      <c r="AI168" s="614">
        <f>NPV(realdiscrt3,AI$65:AI88)/(1+realdiscrt3)^-Half_Year</f>
        <v>5.1164138372198975</v>
      </c>
      <c r="AJ168" s="614">
        <f>NPV(realdiscrt3,AJ$65:AJ88)/(1+realdiscrt3)^-Half_Year</f>
        <v>4.3014728787653809</v>
      </c>
      <c r="AK168" s="614">
        <f>NPV(realdiscrt3,AK$65:AK88)/(1+realdiscrt3)^-Half_Year</f>
        <v>2.7880110987784201</v>
      </c>
      <c r="AL168" s="614">
        <f>NPV(realdiscrt3,AL$65:AL88)/(1+realdiscrt3)^-Half_Year</f>
        <v>5.1164138372198975</v>
      </c>
      <c r="AM168" s="614">
        <f>NPV(realdiscrt3,AM$65:AM88)/(1+realdiscrt3)^-Half_Year</f>
        <v>4.0989018405209716</v>
      </c>
      <c r="AN168" s="594">
        <f>NPV(realdiscrt3,AN$65:AN88)/(1+realdiscrt3)^-Half_Year</f>
        <v>577.14238316363867</v>
      </c>
      <c r="AO168" s="595">
        <f>NPV(realdiscrt3,AO$65:AO88)/(1+realdiscrt3)^-Half_Year</f>
        <v>483.30498827572706</v>
      </c>
      <c r="AP168" s="325">
        <f>NPV(realdiscrt3,AP$65:AP88)/(1+realdiscrt3)^-Half_Year</f>
        <v>498.57344667213141</v>
      </c>
      <c r="AQ168" s="610">
        <f>NPV(realdiscrt3,AQ$65:AQ88)/(1+realdiscrt3)^-Half_Year</f>
        <v>0.26806257719023263</v>
      </c>
      <c r="AR168" s="595">
        <f>NPV(realdiscrt3,AR$65:AR88)/(1+realdiscrt3)^-Half_Year</f>
        <v>517.52164214667403</v>
      </c>
      <c r="AS168" s="612">
        <f>NPV(realdiscrt3,AS$65:AS88)/(1+realdiscrt3)^-Half_Year</f>
        <v>791.33892568733324</v>
      </c>
      <c r="AT168" s="594">
        <f>NPV(realdiscrt3,AT$65:AT88)/(1+realdiscrt3)^-Half_Year</f>
        <v>348.9968946900417</v>
      </c>
      <c r="AU168" s="609">
        <f>NPV(realdiscrt3,AU$65:AU88)/(1+realdiscrt3)^-Half_Year</f>
        <v>562.44818967910442</v>
      </c>
      <c r="AV168" s="608">
        <f>NPV(realdiscrt3,AV$65:AV88)/(1+realdiscrt3)^-Half_Year</f>
        <v>0.18260204793110077</v>
      </c>
      <c r="AW168" s="612">
        <f>NPV(realdiscrt3,AW$65:AW88)/(1+realdiscrt3)^-Half_Year</f>
        <v>0.18260204793110077</v>
      </c>
      <c r="AX168" s="600">
        <f>NPV(realdiscrt3,AX$65:AX88)/(1+realdiscrt3)^-Half_Year</f>
        <v>20.742291731910836</v>
      </c>
      <c r="AY168" s="615">
        <f>NPV(realdiscrt3,AY$65:AY88)/(1+realdiscrt3)^-Half_Year</f>
        <v>680.82574310461666</v>
      </c>
      <c r="AZ168" s="607">
        <f>NPV(realdiscrt3,AZ$65:AZ88)/(1+realdiscrt3)^-Half_Year</f>
        <v>0.86140903446629513</v>
      </c>
      <c r="BA168" s="614">
        <f>NPV(realdiscrt3,BA$65:BA88)/(1+realdiscrt3)^-Half_Year</f>
        <v>0.87976747867740057</v>
      </c>
      <c r="BB168" s="614">
        <f>NPV(realdiscrt3,BB$65:BB88)/(1+realdiscrt3)^-Half_Year</f>
        <v>0.83915521764936685</v>
      </c>
      <c r="BC168" s="610">
        <f>NPV(realdiscrt3,BC$65:BC88)/(1+realdiscrt3)^-Half_Year</f>
        <v>0.84448764225380657</v>
      </c>
    </row>
    <row r="169" spans="1:96" s="325" customFormat="1" ht="14.25">
      <c r="A169" s="616">
        <f t="shared" si="99"/>
        <v>25</v>
      </c>
      <c r="B169" s="617">
        <f t="shared" si="98"/>
        <v>2047</v>
      </c>
      <c r="C169" s="618">
        <f>NPV(realdiscrt3,C$65:C89)/(1+realdiscrt3)^-Half_Year</f>
        <v>1.8035296753960028</v>
      </c>
      <c r="D169" s="619">
        <f>NPV(realdiscrt3,D$65:D89)/(1+realdiscrt3)^-Half_Year</f>
        <v>1.5819797313132644</v>
      </c>
      <c r="E169" s="619">
        <f>NPV(realdiscrt3,E$65:E89)/(1+realdiscrt3)^-Half_Year</f>
        <v>1.7247752105008247</v>
      </c>
      <c r="F169" s="620">
        <f>NPV(realdiscrt3,F$65:F89)/(1+realdiscrt3)^-Half_Year</f>
        <v>1.4447798760743114</v>
      </c>
      <c r="G169" s="618">
        <f>NPV(realdiscrt3,G$65:G89)/(1+realdiscrt3)^-Half_Year</f>
        <v>5.2276198026740835E-2</v>
      </c>
      <c r="H169" s="619">
        <f>NPV(realdiscrt3,H$65:H89)/(1+realdiscrt3)^-Half_Year</f>
        <v>3.8364543351674989E-2</v>
      </c>
      <c r="I169" s="619">
        <f>NPV(realdiscrt3,I$65:I89)/(1+realdiscrt3)^-Half_Year</f>
        <v>3.8990872279823119E-2</v>
      </c>
      <c r="J169" s="619">
        <f>NPV(realdiscrt3,J$65:J89)/(1+realdiscrt3)^-Half_Year</f>
        <v>2.6309951387010262E-2</v>
      </c>
      <c r="K169" s="621">
        <f>NPV(realdiscrt3,K$65:K89)/(1+realdiscrt3)^-Half_Year</f>
        <v>1.6442484147188751E-2</v>
      </c>
      <c r="L169" s="622">
        <f>NPV(realdiscrt3,L$65:L89)/(1+realdiscrt3)^-Half_Year</f>
        <v>2131.1299183454616</v>
      </c>
      <c r="M169" s="623">
        <f>NPV(realdiscrt3,M$65:M89)/(1+realdiscrt3)^-Half_Year</f>
        <v>2543.6131269714033</v>
      </c>
      <c r="N169" s="623">
        <f>NPV(realdiscrt3,N$65:N89)/(1+realdiscrt3)^-Half_Year</f>
        <v>2543.6131269714033</v>
      </c>
      <c r="O169" s="626">
        <f>NPV(realdiscrt3,O$65:O89)/(1+realdiscrt3)^-Half_Year</f>
        <v>0</v>
      </c>
      <c r="P169" s="783">
        <f t="shared" si="96"/>
        <v>0</v>
      </c>
      <c r="Q169" s="783">
        <f t="shared" si="96"/>
        <v>0</v>
      </c>
      <c r="R169" s="1317">
        <f t="shared" si="97"/>
        <v>0</v>
      </c>
      <c r="S169" s="630">
        <f>NPV(realdiscrt3,S$65:S89)/(1+realdiscrt3)^-Half_Year</f>
        <v>0</v>
      </c>
      <c r="T169" s="630">
        <f>NPV(realdiscrt3,T$65:T89)/(1+realdiscrt3)^-Half_Year</f>
        <v>0</v>
      </c>
      <c r="U169" s="624">
        <f>NPV(realdiscrt3,U$65:U89)/(1+realdiscrt3)^-Half_Year</f>
        <v>0</v>
      </c>
      <c r="V169" s="625">
        <f>NPV(realdiscrt3,V$65:V89)/(1+realdiscrt3)^-Half_Year</f>
        <v>2167.7034032009442</v>
      </c>
      <c r="W169" s="623">
        <f>NPV(realdiscrt3,W$65:W89)/(1+realdiscrt3)^-Half_Year</f>
        <v>0</v>
      </c>
      <c r="X169" s="626">
        <f>NPV(realdiscrt3,X$65:X89)/(1+realdiscrt3)^-Half_Year</f>
        <v>1877.8570090377973</v>
      </c>
      <c r="Y169" s="622">
        <f>NPV(realdiscrt3,Y$65:Y89)/(1+realdiscrt3)^-Half_Year</f>
        <v>152.90492599201883</v>
      </c>
      <c r="Z169" s="623">
        <f>NPV(realdiscrt3,Z$65:Z89)/(1+realdiscrt3)^-Half_Year</f>
        <v>190.88808710381235</v>
      </c>
      <c r="AA169" s="623">
        <f>NPV(realdiscrt3,AA$65:AA89)/(1+realdiscrt3)^-Half_Year</f>
        <v>217.62072634866769</v>
      </c>
      <c r="AB169" s="623">
        <f>NPV(realdiscrt3,AB$65:AB89)/(1+realdiscrt3)^-Half_Year</f>
        <v>205.17230397752817</v>
      </c>
      <c r="AC169" s="623">
        <f>NPV(realdiscrt3,AC$65:AC89)/(1+realdiscrt3)^-Half_Year</f>
        <v>168.44971141716127</v>
      </c>
      <c r="AD169" s="623">
        <f>NPV(realdiscrt3,AD$65:AD89)/(1+realdiscrt3)^-Half_Year</f>
        <v>195.99786567373414</v>
      </c>
      <c r="AE169" s="626">
        <f>NPV(realdiscrt3,AE$65:AE89)/(1+realdiscrt3)^-Half_Year</f>
        <v>183.95813637993561</v>
      </c>
      <c r="AF169" s="627">
        <f>NPV(realdiscrt3,AF$65:AF89)/(1+realdiscrt3)^-Half_Year</f>
        <v>0.19847364962537981</v>
      </c>
      <c r="AG169" s="621">
        <f>NPV(realdiscrt3,AG$65:AG89)/(1+realdiscrt3)^-Half_Year</f>
        <v>2.7880110987784201</v>
      </c>
      <c r="AH169" s="628">
        <f>NPV(realdiscrt3,AH$65:AH89)/(1+realdiscrt3)^-Half_Year</f>
        <v>2.7880110987784201</v>
      </c>
      <c r="AI169" s="628">
        <f>NPV(realdiscrt3,AI$65:AI89)/(1+realdiscrt3)^-Half_Year</f>
        <v>5.1164138372198975</v>
      </c>
      <c r="AJ169" s="628">
        <f>NPV(realdiscrt3,AJ$65:AJ89)/(1+realdiscrt3)^-Half_Year</f>
        <v>4.3014728787653809</v>
      </c>
      <c r="AK169" s="628">
        <f>NPV(realdiscrt3,AK$65:AK89)/(1+realdiscrt3)^-Half_Year</f>
        <v>2.7880110987784201</v>
      </c>
      <c r="AL169" s="628">
        <f>NPV(realdiscrt3,AL$65:AL89)/(1+realdiscrt3)^-Half_Year</f>
        <v>5.1164138372198975</v>
      </c>
      <c r="AM169" s="628">
        <f>NPV(realdiscrt3,AM$65:AM89)/(1+realdiscrt3)^-Half_Year</f>
        <v>4.0989018405209716</v>
      </c>
      <c r="AN169" s="629">
        <f>NPV(realdiscrt3,AN$65:AN89)/(1+realdiscrt3)^-Half_Year</f>
        <v>599.28260765256243</v>
      </c>
      <c r="AO169" s="630">
        <f>NPV(realdiscrt3,AO$65:AO89)/(1+realdiscrt3)^-Half_Year</f>
        <v>501.82430223640597</v>
      </c>
      <c r="AP169" s="633">
        <f>NPV(realdiscrt3,AP$65:AP89)/(1+realdiscrt3)^-Half_Year</f>
        <v>517.73291022370495</v>
      </c>
      <c r="AQ169" s="624">
        <f>NPV(realdiscrt3,AQ$65:AQ89)/(1+realdiscrt3)^-Half_Year</f>
        <v>0.27742193733161563</v>
      </c>
      <c r="AR169" s="630">
        <f>NPV(realdiscrt3,AR$65:AR89)/(1+realdiscrt3)^-Half_Year</f>
        <v>537.37470729880488</v>
      </c>
      <c r="AS169" s="626">
        <f>NPV(realdiscrt3,AS$65:AS89)/(1+realdiscrt3)^-Half_Year</f>
        <v>822.07935939458059</v>
      </c>
      <c r="AT169" s="629">
        <f>NPV(realdiscrt3,AT$65:AT89)/(1+realdiscrt3)^-Half_Year</f>
        <v>362.38504607136895</v>
      </c>
      <c r="AU169" s="623">
        <f>NPV(realdiscrt3,AU$65:AU89)/(1+realdiscrt3)^-Half_Year</f>
        <v>584.02471835929543</v>
      </c>
      <c r="AV169" s="622">
        <f>NPV(realdiscrt3,AV$65:AV89)/(1+realdiscrt3)^-Half_Year</f>
        <v>0.1889553365149873</v>
      </c>
      <c r="AW169" s="626">
        <f>NPV(realdiscrt3,AW$65:AW89)/(1+realdiscrt3)^-Half_Year</f>
        <v>0.1889553365149873</v>
      </c>
      <c r="AX169" s="631">
        <f>NPV(realdiscrt3,AX$65:AX89)/(1+realdiscrt3)^-Half_Year</f>
        <v>21.46398005226153</v>
      </c>
      <c r="AY169" s="632">
        <f>NPV(realdiscrt3,AY$65:AY89)/(1+realdiscrt3)^-Half_Year</f>
        <v>728.415364947586</v>
      </c>
      <c r="AZ169" s="621">
        <f>NPV(realdiscrt3,AZ$65:AZ89)/(1+realdiscrt3)^-Half_Year</f>
        <v>0.88739596631521933</v>
      </c>
      <c r="BA169" s="628">
        <f>NPV(realdiscrt3,BA$65:BA89)/(1+realdiscrt3)^-Half_Year</f>
        <v>0.90630824687987754</v>
      </c>
      <c r="BB169" s="628">
        <f>NPV(realdiscrt3,BB$65:BB89)/(1+realdiscrt3)^-Half_Year</f>
        <v>0.86447079779676361</v>
      </c>
      <c r="BC169" s="624">
        <f>NPV(realdiscrt3,BC$65:BC89)/(1+realdiscrt3)^-Half_Year</f>
        <v>0.86996409064061164</v>
      </c>
    </row>
    <row r="171" spans="1:96" ht="13.5" thickBot="1"/>
    <row r="172" spans="1:96" ht="35.25" thickTop="1" thickBot="1">
      <c r="B172" s="634" t="s">
        <v>635</v>
      </c>
      <c r="C172" s="635"/>
      <c r="D172" s="635"/>
      <c r="E172" s="635"/>
      <c r="F172" s="635"/>
      <c r="G172" s="635"/>
      <c r="H172" s="635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5"/>
      <c r="T172" s="635"/>
      <c r="U172" s="635"/>
      <c r="V172" s="635"/>
      <c r="W172" s="635"/>
      <c r="X172" s="635"/>
      <c r="Y172" s="635"/>
      <c r="Z172" s="635"/>
      <c r="AA172" s="635"/>
      <c r="AB172" s="635"/>
      <c r="AC172" s="635"/>
      <c r="AD172" s="635"/>
      <c r="AE172" s="635"/>
      <c r="AF172" s="635"/>
      <c r="AG172" s="635"/>
      <c r="AH172" s="635"/>
      <c r="AI172" s="635"/>
      <c r="AJ172" s="635"/>
      <c r="AK172" s="635"/>
      <c r="AL172" s="635"/>
      <c r="AM172" s="635"/>
      <c r="AN172" s="635"/>
      <c r="AO172" s="635"/>
      <c r="AP172" s="635"/>
      <c r="AQ172" s="635"/>
      <c r="AR172" s="635"/>
      <c r="AS172" s="635"/>
      <c r="AT172" s="635"/>
      <c r="AU172" s="635"/>
      <c r="AV172" s="635"/>
      <c r="AW172" s="635"/>
      <c r="AX172" s="635"/>
      <c r="AY172" s="635"/>
      <c r="AZ172" s="635"/>
      <c r="BA172" s="635"/>
      <c r="BB172" s="635"/>
      <c r="BC172" s="635"/>
      <c r="BD172" s="635"/>
      <c r="BE172" s="635"/>
      <c r="BF172" s="635"/>
      <c r="BG172" s="635"/>
      <c r="BH172" s="635"/>
      <c r="BI172" s="635"/>
      <c r="BJ172" s="635"/>
      <c r="BK172" s="635"/>
      <c r="BL172" s="635"/>
      <c r="BM172" s="635"/>
      <c r="BN172" s="635"/>
      <c r="BO172" s="635"/>
      <c r="BP172" s="635"/>
      <c r="BQ172" s="635"/>
      <c r="BR172" s="635"/>
      <c r="BS172" s="635"/>
      <c r="BT172" s="635"/>
      <c r="BU172" s="635"/>
      <c r="BV172" s="635"/>
      <c r="BW172" s="635"/>
      <c r="BX172" s="635"/>
      <c r="BY172" s="635"/>
      <c r="BZ172" s="635"/>
      <c r="CA172" s="635"/>
      <c r="CB172" s="635"/>
      <c r="CC172" s="635"/>
      <c r="CD172" s="635"/>
      <c r="CE172" s="635"/>
      <c r="CF172" s="635"/>
      <c r="CG172" s="635"/>
      <c r="CH172" s="635"/>
      <c r="CI172" s="635"/>
      <c r="CJ172" s="635"/>
      <c r="CK172" s="635"/>
      <c r="CL172" s="635"/>
      <c r="CM172" s="635"/>
      <c r="CN172" s="635"/>
      <c r="CO172" s="635"/>
      <c r="CP172" s="635"/>
      <c r="CQ172" s="635"/>
      <c r="CR172" s="636"/>
    </row>
    <row r="173" spans="1:96" ht="24" thickTop="1">
      <c r="B173" s="637" t="s">
        <v>726</v>
      </c>
      <c r="C173" s="450"/>
      <c r="D173" s="450"/>
      <c r="E173" s="450"/>
      <c r="F173" s="450"/>
      <c r="G173" s="450"/>
      <c r="H173" s="450"/>
      <c r="I173" s="450"/>
      <c r="J173" s="450"/>
      <c r="K173" s="450"/>
      <c r="L173" s="450"/>
      <c r="M173" s="450"/>
      <c r="N173" s="450"/>
      <c r="O173" s="450"/>
      <c r="P173" s="450"/>
      <c r="Q173" s="450"/>
      <c r="R173" s="450"/>
      <c r="S173" s="450"/>
      <c r="T173" s="450"/>
      <c r="U173" s="450"/>
      <c r="V173" s="450"/>
      <c r="W173" s="450"/>
      <c r="X173" s="450"/>
      <c r="Y173" s="450"/>
      <c r="Z173" s="450"/>
      <c r="AA173" s="450"/>
      <c r="AB173" s="450"/>
      <c r="AC173" s="450"/>
      <c r="AD173" s="450"/>
      <c r="AE173" s="450"/>
      <c r="AF173" s="450"/>
      <c r="AG173" s="450"/>
      <c r="AH173" s="450"/>
      <c r="AI173" s="450"/>
      <c r="AJ173" s="450"/>
      <c r="AK173" s="450"/>
      <c r="AL173" s="450"/>
      <c r="AM173" s="450"/>
      <c r="AN173" s="450"/>
      <c r="AO173" s="450"/>
      <c r="AP173" s="450"/>
      <c r="AQ173" s="450"/>
      <c r="AR173" s="450"/>
      <c r="AS173" s="450"/>
      <c r="AT173" s="450"/>
      <c r="AU173" s="450"/>
      <c r="AV173" s="418" t="s">
        <v>653</v>
      </c>
      <c r="AW173" s="450"/>
      <c r="AX173" s="450"/>
      <c r="AY173" s="450"/>
      <c r="AZ173" s="450"/>
      <c r="BA173" s="450"/>
      <c r="BB173" s="450"/>
      <c r="BC173" s="450"/>
      <c r="BD173" s="450"/>
      <c r="BE173" s="450"/>
      <c r="BF173" s="450"/>
      <c r="BG173" s="450"/>
      <c r="BH173" s="450"/>
      <c r="BI173" s="450"/>
      <c r="BJ173" s="450"/>
      <c r="BK173" s="450"/>
      <c r="BL173" s="450"/>
      <c r="BM173" s="450"/>
      <c r="BN173" s="450"/>
      <c r="BO173" s="450"/>
      <c r="BP173" s="450"/>
      <c r="BQ173" s="450"/>
      <c r="BR173" s="450"/>
      <c r="BS173" s="450"/>
      <c r="BT173" s="450"/>
      <c r="BU173" s="450"/>
      <c r="BV173" s="450"/>
      <c r="BW173" s="450"/>
      <c r="BX173" s="450"/>
      <c r="BY173" s="450"/>
      <c r="BZ173" s="450"/>
      <c r="CA173" s="812"/>
      <c r="CB173" s="812"/>
      <c r="CC173" s="812"/>
      <c r="CD173" s="812"/>
      <c r="CE173" s="812"/>
      <c r="CF173" s="812"/>
      <c r="CG173" s="812"/>
      <c r="CH173" s="812"/>
      <c r="CI173" s="812"/>
      <c r="CJ173" s="812"/>
      <c r="CK173" s="450"/>
      <c r="CL173" s="812"/>
      <c r="CM173" s="812"/>
      <c r="CN173" s="812"/>
      <c r="CO173" s="812"/>
      <c r="CP173" s="812"/>
      <c r="CQ173" s="812"/>
      <c r="CR173" s="638"/>
    </row>
    <row r="174" spans="1:96" ht="14.25">
      <c r="A174" s="639"/>
      <c r="B174" s="640">
        <v>1</v>
      </c>
      <c r="C174" s="641">
        <f>B174+1</f>
        <v>2</v>
      </c>
      <c r="D174" s="641">
        <f t="shared" ref="D174:L174" si="100">C174+1</f>
        <v>3</v>
      </c>
      <c r="E174" s="641">
        <f t="shared" si="100"/>
        <v>4</v>
      </c>
      <c r="F174" s="641">
        <f t="shared" si="100"/>
        <v>5</v>
      </c>
      <c r="G174" s="641">
        <f t="shared" si="100"/>
        <v>6</v>
      </c>
      <c r="H174" s="641">
        <f t="shared" si="100"/>
        <v>7</v>
      </c>
      <c r="I174" s="642">
        <f t="shared" si="100"/>
        <v>8</v>
      </c>
      <c r="J174" s="642">
        <f t="shared" si="100"/>
        <v>9</v>
      </c>
      <c r="K174" s="642">
        <f t="shared" si="100"/>
        <v>10</v>
      </c>
      <c r="L174" s="642">
        <f t="shared" si="100"/>
        <v>11</v>
      </c>
      <c r="M174" s="641">
        <f>L174+1</f>
        <v>12</v>
      </c>
      <c r="N174" s="641">
        <f t="shared" ref="N174:BW174" si="101">M174+1</f>
        <v>13</v>
      </c>
      <c r="O174" s="642">
        <f>N174+1</f>
        <v>14</v>
      </c>
      <c r="P174" s="642">
        <f>O174+1</f>
        <v>15</v>
      </c>
      <c r="Q174" s="642">
        <f t="shared" si="101"/>
        <v>16</v>
      </c>
      <c r="R174" s="642">
        <f t="shared" si="101"/>
        <v>17</v>
      </c>
      <c r="S174" s="642">
        <f t="shared" si="101"/>
        <v>18</v>
      </c>
      <c r="T174" s="642">
        <f t="shared" si="101"/>
        <v>19</v>
      </c>
      <c r="U174" s="642">
        <f t="shared" si="101"/>
        <v>20</v>
      </c>
      <c r="V174" s="641">
        <f t="shared" si="101"/>
        <v>21</v>
      </c>
      <c r="W174" s="641">
        <f t="shared" si="101"/>
        <v>22</v>
      </c>
      <c r="X174" s="641">
        <f t="shared" si="101"/>
        <v>23</v>
      </c>
      <c r="Y174" s="641">
        <f>X174+1</f>
        <v>24</v>
      </c>
      <c r="Z174" s="641">
        <f>Y174+1</f>
        <v>25</v>
      </c>
      <c r="AA174" s="641">
        <f>Z174+1</f>
        <v>26</v>
      </c>
      <c r="AB174" s="641">
        <f>AA174+1</f>
        <v>27</v>
      </c>
      <c r="AC174" s="641">
        <f t="shared" si="101"/>
        <v>28</v>
      </c>
      <c r="AD174" s="641">
        <f t="shared" si="101"/>
        <v>29</v>
      </c>
      <c r="AE174" s="642">
        <f>AD174+1</f>
        <v>30</v>
      </c>
      <c r="AF174" s="642">
        <f>AE174+1</f>
        <v>31</v>
      </c>
      <c r="AG174" s="642">
        <f t="shared" si="101"/>
        <v>32</v>
      </c>
      <c r="AH174" s="641">
        <f>AG174+1</f>
        <v>33</v>
      </c>
      <c r="AI174" s="641">
        <f>AH174+1</f>
        <v>34</v>
      </c>
      <c r="AJ174" s="641">
        <f>AI174+1</f>
        <v>35</v>
      </c>
      <c r="AK174" s="641">
        <f>AJ174+1</f>
        <v>36</v>
      </c>
      <c r="AL174" s="641">
        <f t="shared" si="101"/>
        <v>37</v>
      </c>
      <c r="AM174" s="641">
        <f t="shared" si="101"/>
        <v>38</v>
      </c>
      <c r="AN174" s="641">
        <f t="shared" si="101"/>
        <v>39</v>
      </c>
      <c r="AO174" s="641">
        <f t="shared" si="101"/>
        <v>40</v>
      </c>
      <c r="AP174" s="642">
        <f t="shared" si="101"/>
        <v>41</v>
      </c>
      <c r="AQ174" s="641">
        <f t="shared" si="101"/>
        <v>42</v>
      </c>
      <c r="AR174" s="641">
        <f t="shared" si="101"/>
        <v>43</v>
      </c>
      <c r="AS174" s="641">
        <f t="shared" si="101"/>
        <v>44</v>
      </c>
      <c r="AT174" s="641">
        <f t="shared" si="101"/>
        <v>45</v>
      </c>
      <c r="AU174" s="641">
        <f t="shared" si="101"/>
        <v>46</v>
      </c>
      <c r="AV174" s="641">
        <f t="shared" si="101"/>
        <v>47</v>
      </c>
      <c r="AW174" s="641">
        <f t="shared" si="101"/>
        <v>48</v>
      </c>
      <c r="AX174" s="641">
        <f t="shared" si="101"/>
        <v>49</v>
      </c>
      <c r="AY174" s="641">
        <f t="shared" si="101"/>
        <v>50</v>
      </c>
      <c r="AZ174" s="641">
        <f t="shared" si="101"/>
        <v>51</v>
      </c>
      <c r="BA174" s="641">
        <f t="shared" si="101"/>
        <v>52</v>
      </c>
      <c r="BB174" s="641">
        <f t="shared" si="101"/>
        <v>53</v>
      </c>
      <c r="BC174" s="641">
        <f t="shared" si="101"/>
        <v>54</v>
      </c>
      <c r="BD174" s="641">
        <f t="shared" si="101"/>
        <v>55</v>
      </c>
      <c r="BE174" s="641">
        <f t="shared" si="101"/>
        <v>56</v>
      </c>
      <c r="BF174" s="641">
        <f t="shared" si="101"/>
        <v>57</v>
      </c>
      <c r="BG174" s="641">
        <f t="shared" si="101"/>
        <v>58</v>
      </c>
      <c r="BH174" s="641">
        <f t="shared" si="101"/>
        <v>59</v>
      </c>
      <c r="BI174" s="641">
        <f t="shared" si="101"/>
        <v>60</v>
      </c>
      <c r="BJ174" s="641">
        <f t="shared" si="101"/>
        <v>61</v>
      </c>
      <c r="BK174" s="641">
        <f t="shared" si="101"/>
        <v>62</v>
      </c>
      <c r="BL174" s="641">
        <f t="shared" si="101"/>
        <v>63</v>
      </c>
      <c r="BM174" s="641">
        <f t="shared" si="101"/>
        <v>64</v>
      </c>
      <c r="BN174" s="641">
        <f t="shared" si="101"/>
        <v>65</v>
      </c>
      <c r="BO174" s="641">
        <f t="shared" si="101"/>
        <v>66</v>
      </c>
      <c r="BP174" s="641">
        <f t="shared" si="101"/>
        <v>67</v>
      </c>
      <c r="BQ174" s="641">
        <f t="shared" si="101"/>
        <v>68</v>
      </c>
      <c r="BR174" s="641">
        <f t="shared" si="101"/>
        <v>69</v>
      </c>
      <c r="BS174" s="641">
        <f t="shared" si="101"/>
        <v>70</v>
      </c>
      <c r="BT174" s="641">
        <f t="shared" si="101"/>
        <v>71</v>
      </c>
      <c r="BU174" s="641">
        <f t="shared" si="101"/>
        <v>72</v>
      </c>
      <c r="BV174" s="641">
        <f t="shared" si="101"/>
        <v>73</v>
      </c>
      <c r="BW174" s="641">
        <f t="shared" si="101"/>
        <v>74</v>
      </c>
      <c r="BX174" s="641">
        <f>BW174+1</f>
        <v>75</v>
      </c>
      <c r="BY174" s="641">
        <f>BX174+1</f>
        <v>76</v>
      </c>
      <c r="BZ174" s="641">
        <f t="shared" ref="BZ174:CK174" si="102">BY174+1</f>
        <v>77</v>
      </c>
      <c r="CA174" s="642">
        <f t="shared" si="102"/>
        <v>78</v>
      </c>
      <c r="CB174" s="642">
        <f t="shared" si="102"/>
        <v>79</v>
      </c>
      <c r="CC174" s="642">
        <f t="shared" si="102"/>
        <v>80</v>
      </c>
      <c r="CD174" s="642">
        <f t="shared" si="102"/>
        <v>81</v>
      </c>
      <c r="CE174" s="642">
        <f t="shared" si="102"/>
        <v>82</v>
      </c>
      <c r="CF174" s="642">
        <f t="shared" si="102"/>
        <v>83</v>
      </c>
      <c r="CG174" s="642">
        <f t="shared" si="102"/>
        <v>84</v>
      </c>
      <c r="CH174" s="642">
        <f t="shared" si="102"/>
        <v>85</v>
      </c>
      <c r="CI174" s="642">
        <f t="shared" si="102"/>
        <v>86</v>
      </c>
      <c r="CJ174" s="642">
        <f t="shared" si="102"/>
        <v>87</v>
      </c>
      <c r="CK174" s="641">
        <f t="shared" si="102"/>
        <v>88</v>
      </c>
      <c r="CL174" s="642">
        <f t="shared" ref="CL174:CQ174" si="103">CK174+1</f>
        <v>89</v>
      </c>
      <c r="CM174" s="642">
        <f t="shared" si="103"/>
        <v>90</v>
      </c>
      <c r="CN174" s="642">
        <f t="shared" si="103"/>
        <v>91</v>
      </c>
      <c r="CO174" s="642">
        <f t="shared" si="103"/>
        <v>92</v>
      </c>
      <c r="CP174" s="642">
        <f t="shared" si="103"/>
        <v>93</v>
      </c>
      <c r="CQ174" s="642">
        <f t="shared" si="103"/>
        <v>94</v>
      </c>
      <c r="CR174" s="806"/>
    </row>
    <row r="175" spans="1:96" ht="33.75" customHeight="1">
      <c r="B175" s="419" t="s">
        <v>555</v>
      </c>
      <c r="C175" s="333"/>
      <c r="D175" s="643"/>
      <c r="E175" s="643"/>
      <c r="F175" s="333"/>
      <c r="G175" s="334"/>
      <c r="H175" s="333"/>
      <c r="I175" s="643"/>
      <c r="J175" s="643"/>
      <c r="K175" s="333"/>
      <c r="L175" s="333"/>
      <c r="M175" s="333"/>
      <c r="N175" s="333"/>
      <c r="O175" s="333"/>
      <c r="P175" s="333"/>
      <c r="Q175" s="643"/>
      <c r="R175" s="643"/>
      <c r="S175" s="643"/>
      <c r="T175" s="643"/>
      <c r="U175" s="335" t="s">
        <v>441</v>
      </c>
      <c r="V175" s="440"/>
      <c r="W175" s="333" t="str">
        <f>B175</f>
        <v>AESC 2018 Results: Avoided Cost of Electricity (2018 $)</v>
      </c>
      <c r="X175" s="333"/>
      <c r="Y175" s="643"/>
      <c r="Z175" s="643"/>
      <c r="AA175" s="643"/>
      <c r="AB175" s="333"/>
      <c r="AC175" s="643"/>
      <c r="AD175" s="643"/>
      <c r="AE175" s="643"/>
      <c r="AF175" s="643"/>
      <c r="AG175" s="643"/>
      <c r="AH175" s="643"/>
      <c r="AI175" s="333"/>
      <c r="AJ175" s="643"/>
      <c r="AK175" s="333"/>
      <c r="AL175" s="643"/>
      <c r="AM175" s="643"/>
      <c r="AN175" s="643"/>
      <c r="AO175" s="643"/>
      <c r="AP175" s="643"/>
      <c r="AQ175" s="333"/>
      <c r="AR175" s="335" t="s">
        <v>442</v>
      </c>
      <c r="AS175" s="440"/>
      <c r="AT175" s="333" t="str">
        <f>B175</f>
        <v>AESC 2018 Results: Avoided Cost of Electricity (2018 $)</v>
      </c>
      <c r="AU175" s="336"/>
      <c r="AV175" s="337"/>
      <c r="AW175" s="337"/>
      <c r="AX175" s="338"/>
      <c r="AY175" s="338"/>
      <c r="AZ175" s="337"/>
      <c r="BA175" s="337"/>
      <c r="BB175" s="337"/>
      <c r="BC175" s="337"/>
      <c r="BD175" s="337"/>
      <c r="BE175" s="338"/>
      <c r="BF175" s="338"/>
      <c r="BG175" s="338"/>
      <c r="BH175" s="338"/>
      <c r="BI175" s="338"/>
      <c r="BJ175" s="338"/>
      <c r="BK175" s="338"/>
      <c r="BL175" s="338"/>
      <c r="BM175" s="339" t="s">
        <v>443</v>
      </c>
      <c r="BN175" s="440"/>
      <c r="BO175" s="333" t="str">
        <f>B175</f>
        <v>AESC 2018 Results: Avoided Cost of Electricity (2018 $)</v>
      </c>
      <c r="BP175" s="643"/>
      <c r="BQ175" s="333"/>
      <c r="BR175" s="333"/>
      <c r="BS175" s="333"/>
      <c r="BT175" s="440"/>
      <c r="BU175" s="333"/>
      <c r="BV175" s="333"/>
      <c r="BW175" s="335"/>
      <c r="BX175" s="450"/>
      <c r="BY175" s="335" t="s">
        <v>650</v>
      </c>
      <c r="BZ175" s="338"/>
      <c r="CA175" s="1599" t="s">
        <v>711</v>
      </c>
      <c r="CB175" s="1599"/>
      <c r="CC175" s="1599"/>
      <c r="CD175" s="1599"/>
      <c r="CE175" s="1599"/>
      <c r="CF175" s="1599"/>
      <c r="CG175" s="1599"/>
      <c r="CH175" s="1599"/>
      <c r="CI175" s="1599"/>
      <c r="CJ175" s="1599"/>
      <c r="CK175" s="440"/>
      <c r="CL175" s="1599" t="s">
        <v>934</v>
      </c>
      <c r="CM175" s="1599"/>
      <c r="CN175" s="1599"/>
      <c r="CO175" s="1599"/>
      <c r="CP175" s="1599"/>
      <c r="CQ175" s="1599"/>
      <c r="CR175" s="807"/>
    </row>
    <row r="176" spans="1:96" ht="21.75" customHeight="1">
      <c r="B176" s="420" t="s">
        <v>89</v>
      </c>
      <c r="C176" s="643"/>
      <c r="D176" s="340" t="s">
        <v>386</v>
      </c>
      <c r="E176" s="643"/>
      <c r="F176" s="333"/>
      <c r="G176" s="333"/>
      <c r="H176" s="333"/>
      <c r="I176" s="643"/>
      <c r="J176" s="64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440"/>
      <c r="W176" s="340" t="s">
        <v>89</v>
      </c>
      <c r="X176" s="643"/>
      <c r="Y176" s="340" t="str">
        <f>D176</f>
        <v>New Hampshire</v>
      </c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333"/>
      <c r="AJ176" s="333"/>
      <c r="AK176" s="333"/>
      <c r="AL176" s="333"/>
      <c r="AM176" s="643"/>
      <c r="AN176" s="643"/>
      <c r="AO176" s="643"/>
      <c r="AP176" s="643"/>
      <c r="AQ176" s="333"/>
      <c r="AR176" s="333"/>
      <c r="AS176" s="440"/>
      <c r="AT176" s="340" t="s">
        <v>89</v>
      </c>
      <c r="AU176" s="336"/>
      <c r="AV176" s="341" t="str">
        <f>Y176</f>
        <v>New Hampshire</v>
      </c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  <c r="BG176" s="338"/>
      <c r="BH176" s="338"/>
      <c r="BI176" s="338"/>
      <c r="BJ176" s="338"/>
      <c r="BK176" s="338"/>
      <c r="BL176" s="338"/>
      <c r="BM176" s="338"/>
      <c r="BN176" s="440"/>
      <c r="BO176" s="340" t="s">
        <v>89</v>
      </c>
      <c r="BP176" s="643"/>
      <c r="BQ176" s="340" t="str">
        <f>AV176</f>
        <v>New Hampshire</v>
      </c>
      <c r="BR176" s="643"/>
      <c r="BS176" s="440"/>
      <c r="BT176" s="440"/>
      <c r="BU176" s="333"/>
      <c r="BV176" s="333"/>
      <c r="BW176" s="440"/>
      <c r="BX176" s="450"/>
      <c r="BY176" s="450"/>
      <c r="BZ176" s="450"/>
      <c r="CA176" s="810"/>
      <c r="CB176" s="810"/>
      <c r="CC176" s="810"/>
      <c r="CD176" s="810"/>
      <c r="CE176" s="812"/>
      <c r="CF176" s="812"/>
      <c r="CG176" s="812"/>
      <c r="CH176" s="812"/>
      <c r="CI176" s="812"/>
      <c r="CJ176" s="812"/>
      <c r="CK176" s="440"/>
      <c r="CL176" s="812"/>
      <c r="CM176" s="812"/>
      <c r="CN176" s="812"/>
      <c r="CO176" s="812"/>
      <c r="CP176" s="812"/>
      <c r="CQ176" s="812"/>
      <c r="CR176" s="638"/>
    </row>
    <row r="177" spans="2:96" ht="13.5" customHeight="1" thickBot="1">
      <c r="B177" s="644"/>
      <c r="C177" s="450"/>
      <c r="D177" s="450"/>
      <c r="E177" s="450"/>
      <c r="F177" s="450"/>
      <c r="G177" s="450"/>
      <c r="H177" s="450"/>
      <c r="I177" s="450"/>
      <c r="J177" s="450"/>
      <c r="K177" s="450"/>
      <c r="L177" s="450"/>
      <c r="M177" s="450"/>
      <c r="N177" s="450"/>
      <c r="O177" s="450"/>
      <c r="P177" s="450"/>
      <c r="Q177" s="450"/>
      <c r="R177" s="450"/>
      <c r="S177" s="450"/>
      <c r="T177" s="450"/>
      <c r="U177" s="450"/>
      <c r="V177" s="450"/>
      <c r="W177" s="450"/>
      <c r="X177" s="450"/>
      <c r="Y177" s="450"/>
      <c r="Z177" s="450"/>
      <c r="AA177" s="450"/>
      <c r="AB177" s="450"/>
      <c r="AC177" s="450"/>
      <c r="AD177" s="450"/>
      <c r="AE177" s="450"/>
      <c r="AF177" s="450"/>
      <c r="AG177" s="450"/>
      <c r="AH177" s="450"/>
      <c r="AI177" s="450"/>
      <c r="AJ177" s="450"/>
      <c r="AK177" s="450"/>
      <c r="AL177" s="450"/>
      <c r="AM177" s="450"/>
      <c r="AN177" s="450"/>
      <c r="AO177" s="450"/>
      <c r="AP177" s="450"/>
      <c r="AQ177" s="450"/>
      <c r="AR177" s="450"/>
      <c r="AS177" s="450"/>
      <c r="AT177" s="450"/>
      <c r="AU177" s="342"/>
      <c r="AV177" s="342"/>
      <c r="AW177" s="342"/>
      <c r="AX177" s="342"/>
      <c r="AY177" s="342"/>
      <c r="AZ177" s="342"/>
      <c r="BA177" s="342"/>
      <c r="BB177" s="342"/>
      <c r="BC177" s="342"/>
      <c r="BD177" s="342"/>
      <c r="BE177" s="342"/>
      <c r="BF177" s="342"/>
      <c r="BG177" s="342"/>
      <c r="BH177" s="342"/>
      <c r="BI177" s="342"/>
      <c r="BJ177" s="342"/>
      <c r="BK177" s="342"/>
      <c r="BL177" s="342"/>
      <c r="BM177" s="342"/>
      <c r="BN177" s="450"/>
      <c r="BO177" s="450"/>
      <c r="BP177" s="450"/>
      <c r="BQ177" s="450"/>
      <c r="BR177" s="450"/>
      <c r="BS177" s="450"/>
      <c r="BT177" s="450"/>
      <c r="BU177" s="450"/>
      <c r="BV177" s="450"/>
      <c r="BW177" s="450"/>
      <c r="BX177" s="450"/>
      <c r="BY177" s="450"/>
      <c r="BZ177" s="450"/>
      <c r="CA177" s="811"/>
      <c r="CB177" s="811"/>
      <c r="CC177" s="811"/>
      <c r="CD177" s="811"/>
      <c r="CE177" s="812"/>
      <c r="CF177" s="812"/>
      <c r="CG177" s="812"/>
      <c r="CH177" s="812"/>
      <c r="CI177" s="812"/>
      <c r="CJ177" s="812"/>
      <c r="CK177" s="450"/>
      <c r="CL177" s="812"/>
      <c r="CM177" s="812"/>
      <c r="CN177" s="812"/>
      <c r="CO177" s="812"/>
      <c r="CP177" s="812"/>
      <c r="CQ177" s="812"/>
      <c r="CR177" s="638"/>
    </row>
    <row r="178" spans="2:96" ht="15" customHeight="1" thickBot="1">
      <c r="B178" s="645"/>
      <c r="C178" s="343"/>
      <c r="D178" s="1503" t="s">
        <v>444</v>
      </c>
      <c r="E178" s="1504"/>
      <c r="F178" s="1504"/>
      <c r="G178" s="1505"/>
      <c r="H178" s="1500" t="s">
        <v>445</v>
      </c>
      <c r="I178" s="1503" t="s">
        <v>446</v>
      </c>
      <c r="J178" s="1504"/>
      <c r="K178" s="1504"/>
      <c r="L178" s="1505"/>
      <c r="M178" s="1503" t="s">
        <v>447</v>
      </c>
      <c r="N178" s="1512"/>
      <c r="O178" s="1503" t="s">
        <v>448</v>
      </c>
      <c r="P178" s="1517"/>
      <c r="Q178" s="1512"/>
      <c r="R178" s="1503" t="s">
        <v>449</v>
      </c>
      <c r="S178" s="1582"/>
      <c r="T178" s="1582"/>
      <c r="U178" s="1583"/>
      <c r="V178" s="440"/>
      <c r="W178" s="643"/>
      <c r="X178" s="343"/>
      <c r="Y178" s="1566" t="s">
        <v>92</v>
      </c>
      <c r="Z178" s="1567"/>
      <c r="AA178" s="1567"/>
      <c r="AB178" s="1567"/>
      <c r="AC178" s="1567"/>
      <c r="AD178" s="1567"/>
      <c r="AE178" s="1567"/>
      <c r="AF178" s="1567"/>
      <c r="AG178" s="1567"/>
      <c r="AH178" s="1567"/>
      <c r="AI178" s="1567"/>
      <c r="AJ178" s="1567"/>
      <c r="AK178" s="1567"/>
      <c r="AL178" s="1567"/>
      <c r="AM178" s="1567"/>
      <c r="AN178" s="1567"/>
      <c r="AO178" s="1567"/>
      <c r="AP178" s="1568"/>
      <c r="AQ178" s="1503" t="s">
        <v>450</v>
      </c>
      <c r="AR178" s="1512"/>
      <c r="AS178" s="440"/>
      <c r="AT178" s="643"/>
      <c r="AU178" s="344"/>
      <c r="AV178" s="1576" t="s">
        <v>652</v>
      </c>
      <c r="AW178" s="1577"/>
      <c r="AX178" s="1577"/>
      <c r="AY178" s="1577"/>
      <c r="AZ178" s="1577"/>
      <c r="BA178" s="1577"/>
      <c r="BB178" s="1577"/>
      <c r="BC178" s="1577"/>
      <c r="BD178" s="1577"/>
      <c r="BE178" s="1577"/>
      <c r="BF178" s="1577"/>
      <c r="BG178" s="1577"/>
      <c r="BH178" s="1577"/>
      <c r="BI178" s="1577"/>
      <c r="BJ178" s="1577"/>
      <c r="BK178" s="1577"/>
      <c r="BL178" s="1577"/>
      <c r="BM178" s="1578"/>
      <c r="BN178" s="440"/>
      <c r="BO178" s="643"/>
      <c r="BP178" s="343"/>
      <c r="BQ178" s="1503" t="s">
        <v>543</v>
      </c>
      <c r="BR178" s="1615" t="s">
        <v>451</v>
      </c>
      <c r="BS178" s="1618"/>
      <c r="BT178" s="1618"/>
      <c r="BU178" s="1618"/>
      <c r="BV178" s="1618"/>
      <c r="BW178" s="1616"/>
      <c r="BX178" s="1615" t="s">
        <v>544</v>
      </c>
      <c r="BY178" s="1616"/>
      <c r="BZ178" s="440"/>
      <c r="CA178" s="1593" t="s">
        <v>452</v>
      </c>
      <c r="CB178" s="1594"/>
      <c r="CC178" s="1594"/>
      <c r="CD178" s="1595"/>
      <c r="CE178" s="1593" t="s">
        <v>453</v>
      </c>
      <c r="CF178" s="1594"/>
      <c r="CG178" s="1594"/>
      <c r="CH178" s="1595"/>
      <c r="CI178" s="1593" t="s">
        <v>729</v>
      </c>
      <c r="CJ178" s="1595"/>
      <c r="CK178" s="440"/>
      <c r="CL178" s="1590" t="s">
        <v>544</v>
      </c>
      <c r="CM178" s="1591"/>
      <c r="CN178" s="1591"/>
      <c r="CO178" s="1591"/>
      <c r="CP178" s="1591"/>
      <c r="CQ178" s="1592"/>
      <c r="CR178" s="808"/>
    </row>
    <row r="179" spans="2:96" ht="15" customHeight="1" thickBot="1">
      <c r="B179" s="645"/>
      <c r="C179" s="343"/>
      <c r="D179" s="1506"/>
      <c r="E179" s="1507"/>
      <c r="F179" s="1507"/>
      <c r="G179" s="1508"/>
      <c r="H179" s="1501"/>
      <c r="I179" s="1506"/>
      <c r="J179" s="1507"/>
      <c r="K179" s="1507"/>
      <c r="L179" s="1508"/>
      <c r="M179" s="1513"/>
      <c r="N179" s="1514"/>
      <c r="O179" s="1513"/>
      <c r="P179" s="1518"/>
      <c r="Q179" s="1514"/>
      <c r="R179" s="1584"/>
      <c r="S179" s="1585"/>
      <c r="T179" s="1585"/>
      <c r="U179" s="1586"/>
      <c r="V179" s="440"/>
      <c r="W179" s="643"/>
      <c r="X179" s="343"/>
      <c r="Y179" s="1544" t="s">
        <v>452</v>
      </c>
      <c r="Z179" s="1545"/>
      <c r="AA179" s="1545"/>
      <c r="AB179" s="1545"/>
      <c r="AC179" s="1545"/>
      <c r="AD179" s="1545"/>
      <c r="AE179" s="1545"/>
      <c r="AF179" s="1545"/>
      <c r="AG179" s="1546"/>
      <c r="AH179" s="1544" t="s">
        <v>453</v>
      </c>
      <c r="AI179" s="1545"/>
      <c r="AJ179" s="1545"/>
      <c r="AK179" s="1545"/>
      <c r="AL179" s="1545"/>
      <c r="AM179" s="1545"/>
      <c r="AN179" s="1545"/>
      <c r="AO179" s="1545"/>
      <c r="AP179" s="1546"/>
      <c r="AQ179" s="1513"/>
      <c r="AR179" s="1514"/>
      <c r="AS179" s="440"/>
      <c r="AT179" s="643"/>
      <c r="AU179" s="344"/>
      <c r="AV179" s="1576" t="s">
        <v>452</v>
      </c>
      <c r="AW179" s="1577"/>
      <c r="AX179" s="1577"/>
      <c r="AY179" s="1577"/>
      <c r="AZ179" s="1577"/>
      <c r="BA179" s="1577"/>
      <c r="BB179" s="1577"/>
      <c r="BC179" s="1577"/>
      <c r="BD179" s="1578"/>
      <c r="BE179" s="1576" t="s">
        <v>453</v>
      </c>
      <c r="BF179" s="1577"/>
      <c r="BG179" s="1577"/>
      <c r="BH179" s="1577"/>
      <c r="BI179" s="1577"/>
      <c r="BJ179" s="1577"/>
      <c r="BK179" s="1577"/>
      <c r="BL179" s="1577"/>
      <c r="BM179" s="1578"/>
      <c r="BN179" s="440"/>
      <c r="BO179" s="643"/>
      <c r="BP179" s="343"/>
      <c r="BQ179" s="1513"/>
      <c r="BR179" s="1503" t="s">
        <v>454</v>
      </c>
      <c r="BS179" s="1517"/>
      <c r="BT179" s="1512"/>
      <c r="BU179" s="1503" t="s">
        <v>455</v>
      </c>
      <c r="BV179" s="1517"/>
      <c r="BW179" s="1512"/>
      <c r="BX179" s="1500" t="s">
        <v>545</v>
      </c>
      <c r="BY179" s="1512" t="s">
        <v>546</v>
      </c>
      <c r="BZ179" s="440"/>
      <c r="CA179" s="1596"/>
      <c r="CB179" s="1611"/>
      <c r="CC179" s="1611"/>
      <c r="CD179" s="1598"/>
      <c r="CE179" s="1596"/>
      <c r="CF179" s="1611"/>
      <c r="CG179" s="1611"/>
      <c r="CH179" s="1598"/>
      <c r="CI179" s="1600"/>
      <c r="CJ179" s="1601"/>
      <c r="CK179" s="440"/>
      <c r="CL179" s="1593" t="s">
        <v>454</v>
      </c>
      <c r="CM179" s="1594"/>
      <c r="CN179" s="1595"/>
      <c r="CO179" s="1593" t="s">
        <v>455</v>
      </c>
      <c r="CP179" s="1594"/>
      <c r="CQ179" s="1595"/>
      <c r="CR179" s="808"/>
    </row>
    <row r="180" spans="2:96" ht="15" customHeight="1" thickBot="1">
      <c r="B180" s="645"/>
      <c r="C180" s="343"/>
      <c r="D180" s="1509"/>
      <c r="E180" s="1510"/>
      <c r="F180" s="1510"/>
      <c r="G180" s="1511"/>
      <c r="H180" s="1501"/>
      <c r="I180" s="1509"/>
      <c r="J180" s="1510"/>
      <c r="K180" s="1510"/>
      <c r="L180" s="1511"/>
      <c r="M180" s="1515"/>
      <c r="N180" s="1516"/>
      <c r="O180" s="1515"/>
      <c r="P180" s="1519"/>
      <c r="Q180" s="1516"/>
      <c r="R180" s="1587"/>
      <c r="S180" s="1588"/>
      <c r="T180" s="1588"/>
      <c r="U180" s="1589"/>
      <c r="V180" s="440"/>
      <c r="W180" s="643"/>
      <c r="X180" s="343"/>
      <c r="Y180" s="1579" t="s">
        <v>456</v>
      </c>
      <c r="Z180" s="1580"/>
      <c r="AA180" s="1580"/>
      <c r="AB180" s="1581"/>
      <c r="AC180" s="1547" t="s">
        <v>457</v>
      </c>
      <c r="AD180" s="1548"/>
      <c r="AE180" s="1547" t="s">
        <v>458</v>
      </c>
      <c r="AF180" s="1548"/>
      <c r="AG180" s="1549"/>
      <c r="AH180" s="1579" t="s">
        <v>456</v>
      </c>
      <c r="AI180" s="1580"/>
      <c r="AJ180" s="1580"/>
      <c r="AK180" s="1581"/>
      <c r="AL180" s="1547" t="s">
        <v>459</v>
      </c>
      <c r="AM180" s="1548"/>
      <c r="AN180" s="1547" t="s">
        <v>458</v>
      </c>
      <c r="AO180" s="1548"/>
      <c r="AP180" s="1549"/>
      <c r="AQ180" s="1515"/>
      <c r="AR180" s="1516"/>
      <c r="AS180" s="440"/>
      <c r="AT180" s="643"/>
      <c r="AU180" s="344"/>
      <c r="AV180" s="1560" t="s">
        <v>456</v>
      </c>
      <c r="AW180" s="1561"/>
      <c r="AX180" s="1561"/>
      <c r="AY180" s="1562"/>
      <c r="AZ180" s="1563" t="s">
        <v>644</v>
      </c>
      <c r="BA180" s="1564"/>
      <c r="BB180" s="1563" t="s">
        <v>645</v>
      </c>
      <c r="BC180" s="1564"/>
      <c r="BD180" s="1565"/>
      <c r="BE180" s="1560" t="s">
        <v>456</v>
      </c>
      <c r="BF180" s="1561"/>
      <c r="BG180" s="1561"/>
      <c r="BH180" s="1562"/>
      <c r="BI180" s="1563" t="s">
        <v>644</v>
      </c>
      <c r="BJ180" s="1564"/>
      <c r="BK180" s="1563" t="s">
        <v>645</v>
      </c>
      <c r="BL180" s="1564"/>
      <c r="BM180" s="1565"/>
      <c r="BN180" s="440"/>
      <c r="BO180" s="643"/>
      <c r="BP180" s="343"/>
      <c r="BQ180" s="1501"/>
      <c r="BR180" s="1619"/>
      <c r="BS180" s="1620"/>
      <c r="BT180" s="1617"/>
      <c r="BU180" s="1619"/>
      <c r="BV180" s="1620"/>
      <c r="BW180" s="1617"/>
      <c r="BX180" s="1502"/>
      <c r="BY180" s="1617"/>
      <c r="BZ180" s="440"/>
      <c r="CA180" s="1612" t="s">
        <v>728</v>
      </c>
      <c r="CB180" s="1613"/>
      <c r="CC180" s="1613"/>
      <c r="CD180" s="1614"/>
      <c r="CE180" s="1612" t="s">
        <v>728</v>
      </c>
      <c r="CF180" s="1613"/>
      <c r="CG180" s="1613"/>
      <c r="CH180" s="1614"/>
      <c r="CI180" s="1602"/>
      <c r="CJ180" s="1603"/>
      <c r="CK180" s="440"/>
      <c r="CL180" s="1596"/>
      <c r="CM180" s="1597"/>
      <c r="CN180" s="1598"/>
      <c r="CO180" s="1596"/>
      <c r="CP180" s="1597"/>
      <c r="CQ180" s="1598"/>
      <c r="CR180" s="808"/>
    </row>
    <row r="181" spans="2:96" ht="36" customHeight="1" thickBot="1">
      <c r="B181" s="421"/>
      <c r="C181" s="345"/>
      <c r="D181" s="346" t="s">
        <v>55</v>
      </c>
      <c r="E181" s="347" t="s">
        <v>56</v>
      </c>
      <c r="F181" s="347" t="s">
        <v>93</v>
      </c>
      <c r="G181" s="347" t="s">
        <v>58</v>
      </c>
      <c r="H181" s="1502"/>
      <c r="I181" s="348" t="s">
        <v>55</v>
      </c>
      <c r="J181" s="349" t="s">
        <v>56</v>
      </c>
      <c r="K181" s="349" t="s">
        <v>93</v>
      </c>
      <c r="L181" s="350" t="s">
        <v>58</v>
      </c>
      <c r="M181" s="346" t="s">
        <v>460</v>
      </c>
      <c r="N181" s="351" t="s">
        <v>461</v>
      </c>
      <c r="O181" s="352" t="s">
        <v>462</v>
      </c>
      <c r="P181" s="353" t="s">
        <v>463</v>
      </c>
      <c r="Q181" s="354" t="s">
        <v>464</v>
      </c>
      <c r="R181" s="346" t="s">
        <v>55</v>
      </c>
      <c r="S181" s="347" t="s">
        <v>56</v>
      </c>
      <c r="T181" s="347" t="s">
        <v>93</v>
      </c>
      <c r="U181" s="355" t="s">
        <v>58</v>
      </c>
      <c r="V181" s="440"/>
      <c r="W181" s="345"/>
      <c r="X181" s="345"/>
      <c r="Y181" s="346" t="s">
        <v>55</v>
      </c>
      <c r="Z181" s="347" t="s">
        <v>56</v>
      </c>
      <c r="AA181" s="347" t="s">
        <v>93</v>
      </c>
      <c r="AB181" s="355" t="s">
        <v>58</v>
      </c>
      <c r="AC181" s="346" t="s">
        <v>465</v>
      </c>
      <c r="AD181" s="351" t="s">
        <v>461</v>
      </c>
      <c r="AE181" s="352" t="s">
        <v>462</v>
      </c>
      <c r="AF181" s="353" t="s">
        <v>463</v>
      </c>
      <c r="AG181" s="354" t="s">
        <v>464</v>
      </c>
      <c r="AH181" s="346" t="s">
        <v>55</v>
      </c>
      <c r="AI181" s="347" t="s">
        <v>56</v>
      </c>
      <c r="AJ181" s="347" t="s">
        <v>93</v>
      </c>
      <c r="AK181" s="355" t="s">
        <v>58</v>
      </c>
      <c r="AL181" s="346" t="s">
        <v>465</v>
      </c>
      <c r="AM181" s="351" t="s">
        <v>461</v>
      </c>
      <c r="AN181" s="352" t="s">
        <v>462</v>
      </c>
      <c r="AO181" s="353" t="s">
        <v>463</v>
      </c>
      <c r="AP181" s="354" t="s">
        <v>464</v>
      </c>
      <c r="AQ181" s="346" t="s">
        <v>466</v>
      </c>
      <c r="AR181" s="355" t="s">
        <v>467</v>
      </c>
      <c r="AS181" s="440"/>
      <c r="AT181" s="345"/>
      <c r="AU181" s="356"/>
      <c r="AV181" s="357" t="s">
        <v>55</v>
      </c>
      <c r="AW181" s="358" t="s">
        <v>56</v>
      </c>
      <c r="AX181" s="358" t="s">
        <v>93</v>
      </c>
      <c r="AY181" s="359" t="s">
        <v>58</v>
      </c>
      <c r="AZ181" s="357" t="s">
        <v>465</v>
      </c>
      <c r="BA181" s="360" t="s">
        <v>646</v>
      </c>
      <c r="BB181" s="361" t="s">
        <v>647</v>
      </c>
      <c r="BC181" s="362" t="s">
        <v>648</v>
      </c>
      <c r="BD181" s="363" t="s">
        <v>649</v>
      </c>
      <c r="BE181" s="357" t="s">
        <v>55</v>
      </c>
      <c r="BF181" s="358" t="s">
        <v>56</v>
      </c>
      <c r="BG181" s="358" t="s">
        <v>93</v>
      </c>
      <c r="BH181" s="359" t="s">
        <v>58</v>
      </c>
      <c r="BI181" s="357" t="s">
        <v>465</v>
      </c>
      <c r="BJ181" s="360" t="s">
        <v>646</v>
      </c>
      <c r="BK181" s="361" t="s">
        <v>647</v>
      </c>
      <c r="BL181" s="362" t="s">
        <v>648</v>
      </c>
      <c r="BM181" s="363" t="s">
        <v>649</v>
      </c>
      <c r="BN181" s="440"/>
      <c r="BO181" s="345"/>
      <c r="BP181" s="345"/>
      <c r="BQ181" s="1502"/>
      <c r="BR181" s="348" t="s">
        <v>465</v>
      </c>
      <c r="BS181" s="349" t="s">
        <v>468</v>
      </c>
      <c r="BT181" s="354" t="s">
        <v>469</v>
      </c>
      <c r="BU181" s="348" t="s">
        <v>465</v>
      </c>
      <c r="BV181" s="349" t="s">
        <v>468</v>
      </c>
      <c r="BW181" s="354" t="s">
        <v>469</v>
      </c>
      <c r="BX181" s="791" t="s">
        <v>469</v>
      </c>
      <c r="BY181" s="354" t="s">
        <v>469</v>
      </c>
      <c r="BZ181" s="440"/>
      <c r="CA181" s="796" t="s">
        <v>55</v>
      </c>
      <c r="CB181" s="797" t="s">
        <v>56</v>
      </c>
      <c r="CC181" s="797" t="s">
        <v>93</v>
      </c>
      <c r="CD181" s="798" t="s">
        <v>58</v>
      </c>
      <c r="CE181" s="796" t="s">
        <v>55</v>
      </c>
      <c r="CF181" s="797" t="s">
        <v>56</v>
      </c>
      <c r="CG181" s="797" t="s">
        <v>93</v>
      </c>
      <c r="CH181" s="798" t="s">
        <v>58</v>
      </c>
      <c r="CI181" s="796" t="s">
        <v>466</v>
      </c>
      <c r="CJ181" s="798" t="s">
        <v>467</v>
      </c>
      <c r="CK181" s="440"/>
      <c r="CL181" s="1323" t="s">
        <v>465</v>
      </c>
      <c r="CM181" s="1324" t="s">
        <v>468</v>
      </c>
      <c r="CN181" s="1325" t="s">
        <v>469</v>
      </c>
      <c r="CO181" s="1323" t="s">
        <v>465</v>
      </c>
      <c r="CP181" s="1324" t="s">
        <v>468</v>
      </c>
      <c r="CQ181" s="1325" t="s">
        <v>469</v>
      </c>
      <c r="CR181" s="808"/>
    </row>
    <row r="182" spans="2:96" ht="15" customHeight="1">
      <c r="B182" s="422" t="s">
        <v>70</v>
      </c>
      <c r="C182" s="345"/>
      <c r="D182" s="364" t="s">
        <v>71</v>
      </c>
      <c r="E182" s="365" t="s">
        <v>71</v>
      </c>
      <c r="F182" s="365" t="s">
        <v>71</v>
      </c>
      <c r="G182" s="365" t="s">
        <v>71</v>
      </c>
      <c r="H182" s="366" t="s">
        <v>71</v>
      </c>
      <c r="I182" s="367" t="s">
        <v>71</v>
      </c>
      <c r="J182" s="368" t="s">
        <v>71</v>
      </c>
      <c r="K182" s="368" t="s">
        <v>71</v>
      </c>
      <c r="L182" s="369" t="s">
        <v>71</v>
      </c>
      <c r="M182" s="364" t="s">
        <v>72</v>
      </c>
      <c r="N182" s="365" t="s">
        <v>72</v>
      </c>
      <c r="O182" s="364" t="s">
        <v>72</v>
      </c>
      <c r="P182" s="370" t="s">
        <v>72</v>
      </c>
      <c r="Q182" s="371" t="s">
        <v>72</v>
      </c>
      <c r="R182" s="364" t="s">
        <v>71</v>
      </c>
      <c r="S182" s="365" t="s">
        <v>71</v>
      </c>
      <c r="T182" s="365" t="s">
        <v>71</v>
      </c>
      <c r="U182" s="371" t="s">
        <v>71</v>
      </c>
      <c r="V182" s="440"/>
      <c r="W182" s="366" t="s">
        <v>70</v>
      </c>
      <c r="X182" s="345"/>
      <c r="Y182" s="364" t="s">
        <v>71</v>
      </c>
      <c r="Z182" s="365" t="s">
        <v>71</v>
      </c>
      <c r="AA182" s="365" t="s">
        <v>71</v>
      </c>
      <c r="AB182" s="371" t="s">
        <v>71</v>
      </c>
      <c r="AC182" s="364" t="s">
        <v>72</v>
      </c>
      <c r="AD182" s="370" t="s">
        <v>72</v>
      </c>
      <c r="AE182" s="364" t="s">
        <v>72</v>
      </c>
      <c r="AF182" s="365" t="s">
        <v>72</v>
      </c>
      <c r="AG182" s="371" t="s">
        <v>72</v>
      </c>
      <c r="AH182" s="364" t="s">
        <v>71</v>
      </c>
      <c r="AI182" s="365" t="s">
        <v>71</v>
      </c>
      <c r="AJ182" s="365" t="s">
        <v>71</v>
      </c>
      <c r="AK182" s="371" t="s">
        <v>71</v>
      </c>
      <c r="AL182" s="364" t="s">
        <v>72</v>
      </c>
      <c r="AM182" s="370" t="s">
        <v>72</v>
      </c>
      <c r="AN182" s="364" t="s">
        <v>72</v>
      </c>
      <c r="AO182" s="365" t="s">
        <v>72</v>
      </c>
      <c r="AP182" s="371" t="s">
        <v>72</v>
      </c>
      <c r="AQ182" s="364" t="s">
        <v>71</v>
      </c>
      <c r="AR182" s="372" t="s">
        <v>71</v>
      </c>
      <c r="AS182" s="440"/>
      <c r="AT182" s="366" t="s">
        <v>70</v>
      </c>
      <c r="AU182" s="356"/>
      <c r="AV182" s="373" t="s">
        <v>71</v>
      </c>
      <c r="AW182" s="374" t="s">
        <v>71</v>
      </c>
      <c r="AX182" s="374" t="s">
        <v>71</v>
      </c>
      <c r="AY182" s="375" t="s">
        <v>71</v>
      </c>
      <c r="AZ182" s="373" t="s">
        <v>72</v>
      </c>
      <c r="BA182" s="376" t="s">
        <v>72</v>
      </c>
      <c r="BB182" s="373" t="s">
        <v>72</v>
      </c>
      <c r="BC182" s="374" t="s">
        <v>72</v>
      </c>
      <c r="BD182" s="375" t="s">
        <v>72</v>
      </c>
      <c r="BE182" s="373" t="s">
        <v>71</v>
      </c>
      <c r="BF182" s="374" t="s">
        <v>71</v>
      </c>
      <c r="BG182" s="374" t="s">
        <v>71</v>
      </c>
      <c r="BH182" s="375" t="s">
        <v>71</v>
      </c>
      <c r="BI182" s="373" t="s">
        <v>72</v>
      </c>
      <c r="BJ182" s="376" t="s">
        <v>72</v>
      </c>
      <c r="BK182" s="373" t="s">
        <v>72</v>
      </c>
      <c r="BL182" s="374" t="s">
        <v>72</v>
      </c>
      <c r="BM182" s="375" t="s">
        <v>72</v>
      </c>
      <c r="BN182" s="440"/>
      <c r="BO182" s="366" t="s">
        <v>70</v>
      </c>
      <c r="BP182" s="345"/>
      <c r="BQ182" s="366" t="s">
        <v>72</v>
      </c>
      <c r="BR182" s="364" t="s">
        <v>72</v>
      </c>
      <c r="BS182" s="365" t="s">
        <v>72</v>
      </c>
      <c r="BT182" s="371" t="s">
        <v>72</v>
      </c>
      <c r="BU182" s="364" t="s">
        <v>72</v>
      </c>
      <c r="BV182" s="365" t="s">
        <v>72</v>
      </c>
      <c r="BW182" s="371" t="s">
        <v>72</v>
      </c>
      <c r="BX182" s="366" t="s">
        <v>72</v>
      </c>
      <c r="BY182" s="792" t="s">
        <v>72</v>
      </c>
      <c r="BZ182" s="440"/>
      <c r="CA182" s="799" t="s">
        <v>71</v>
      </c>
      <c r="CB182" s="800" t="s">
        <v>71</v>
      </c>
      <c r="CC182" s="800" t="s">
        <v>71</v>
      </c>
      <c r="CD182" s="801" t="s">
        <v>71</v>
      </c>
      <c r="CE182" s="799" t="s">
        <v>71</v>
      </c>
      <c r="CF182" s="800" t="s">
        <v>71</v>
      </c>
      <c r="CG182" s="800" t="s">
        <v>71</v>
      </c>
      <c r="CH182" s="801" t="s">
        <v>71</v>
      </c>
      <c r="CI182" s="828" t="s">
        <v>71</v>
      </c>
      <c r="CJ182" s="838" t="s">
        <v>71</v>
      </c>
      <c r="CK182" s="440"/>
      <c r="CL182" s="1235" t="s">
        <v>72</v>
      </c>
      <c r="CM182" s="1236" t="s">
        <v>72</v>
      </c>
      <c r="CN182" s="1237" t="s">
        <v>72</v>
      </c>
      <c r="CO182" s="1235" t="s">
        <v>72</v>
      </c>
      <c r="CP182" s="1236" t="s">
        <v>72</v>
      </c>
      <c r="CQ182" s="1237" t="s">
        <v>72</v>
      </c>
      <c r="CR182" s="808"/>
    </row>
    <row r="183" spans="2:96" ht="15" customHeight="1" thickBot="1">
      <c r="B183" s="423" t="s">
        <v>75</v>
      </c>
      <c r="C183" s="345"/>
      <c r="D183" s="392" t="s">
        <v>0</v>
      </c>
      <c r="E183" s="393" t="s">
        <v>1</v>
      </c>
      <c r="F183" s="393" t="s">
        <v>94</v>
      </c>
      <c r="G183" s="393" t="s">
        <v>95</v>
      </c>
      <c r="H183" s="394" t="s">
        <v>470</v>
      </c>
      <c r="I183" s="395" t="s">
        <v>471</v>
      </c>
      <c r="J183" s="396" t="s">
        <v>472</v>
      </c>
      <c r="K183" s="396" t="s">
        <v>473</v>
      </c>
      <c r="L183" s="397" t="s">
        <v>474</v>
      </c>
      <c r="M183" s="392" t="s">
        <v>96</v>
      </c>
      <c r="N183" s="393" t="s">
        <v>97</v>
      </c>
      <c r="O183" s="392" t="s">
        <v>475</v>
      </c>
      <c r="P183" s="398" t="s">
        <v>476</v>
      </c>
      <c r="Q183" s="399" t="s">
        <v>477</v>
      </c>
      <c r="R183" s="392" t="s">
        <v>98</v>
      </c>
      <c r="S183" s="393" t="s">
        <v>99</v>
      </c>
      <c r="T183" s="393" t="s">
        <v>100</v>
      </c>
      <c r="U183" s="400" t="s">
        <v>101</v>
      </c>
      <c r="V183" s="440"/>
      <c r="W183" s="394" t="s">
        <v>75</v>
      </c>
      <c r="X183" s="345"/>
      <c r="Y183" s="378" t="s">
        <v>102</v>
      </c>
      <c r="Z183" s="379" t="s">
        <v>103</v>
      </c>
      <c r="AA183" s="379" t="s">
        <v>104</v>
      </c>
      <c r="AB183" s="380" t="s">
        <v>105</v>
      </c>
      <c r="AC183" s="392" t="s">
        <v>106</v>
      </c>
      <c r="AD183" s="403" t="s">
        <v>2</v>
      </c>
      <c r="AE183" s="392" t="s">
        <v>478</v>
      </c>
      <c r="AF183" s="398" t="s">
        <v>479</v>
      </c>
      <c r="AG183" s="399" t="s">
        <v>480</v>
      </c>
      <c r="AH183" s="392" t="s">
        <v>481</v>
      </c>
      <c r="AI183" s="393" t="s">
        <v>482</v>
      </c>
      <c r="AJ183" s="393" t="s">
        <v>483</v>
      </c>
      <c r="AK183" s="400" t="s">
        <v>484</v>
      </c>
      <c r="AL183" s="392" t="s">
        <v>485</v>
      </c>
      <c r="AM183" s="403" t="s">
        <v>486</v>
      </c>
      <c r="AN183" s="392" t="s">
        <v>487</v>
      </c>
      <c r="AO183" s="404" t="s">
        <v>488</v>
      </c>
      <c r="AP183" s="399" t="s">
        <v>489</v>
      </c>
      <c r="AQ183" s="392" t="s">
        <v>490</v>
      </c>
      <c r="AR183" s="400" t="s">
        <v>491</v>
      </c>
      <c r="AS183" s="440"/>
      <c r="AT183" s="394" t="s">
        <v>75</v>
      </c>
      <c r="AU183" s="356"/>
      <c r="AV183" s="410" t="s">
        <v>492</v>
      </c>
      <c r="AW183" s="411" t="s">
        <v>493</v>
      </c>
      <c r="AX183" s="411" t="s">
        <v>494</v>
      </c>
      <c r="AY183" s="412" t="s">
        <v>495</v>
      </c>
      <c r="AZ183" s="410" t="s">
        <v>496</v>
      </c>
      <c r="BA183" s="413" t="s">
        <v>497</v>
      </c>
      <c r="BB183" s="410" t="s">
        <v>498</v>
      </c>
      <c r="BC183" s="414" t="s">
        <v>499</v>
      </c>
      <c r="BD183" s="415" t="s">
        <v>500</v>
      </c>
      <c r="BE183" s="410" t="s">
        <v>501</v>
      </c>
      <c r="BF183" s="411" t="s">
        <v>502</v>
      </c>
      <c r="BG183" s="411" t="s">
        <v>503</v>
      </c>
      <c r="BH183" s="412" t="s">
        <v>504</v>
      </c>
      <c r="BI183" s="410" t="s">
        <v>505</v>
      </c>
      <c r="BJ183" s="413" t="s">
        <v>506</v>
      </c>
      <c r="BK183" s="416" t="s">
        <v>507</v>
      </c>
      <c r="BL183" s="414" t="s">
        <v>508</v>
      </c>
      <c r="BM183" s="415" t="s">
        <v>509</v>
      </c>
      <c r="BN183" s="440"/>
      <c r="BO183" s="394" t="s">
        <v>75</v>
      </c>
      <c r="BP183" s="345"/>
      <c r="BQ183" s="394" t="s">
        <v>510</v>
      </c>
      <c r="BR183" s="395" t="s">
        <v>511</v>
      </c>
      <c r="BS183" s="396" t="s">
        <v>512</v>
      </c>
      <c r="BT183" s="397" t="s">
        <v>513</v>
      </c>
      <c r="BU183" s="395" t="s">
        <v>514</v>
      </c>
      <c r="BV183" s="396" t="s">
        <v>515</v>
      </c>
      <c r="BW183" s="397" t="s">
        <v>516</v>
      </c>
      <c r="BX183" s="805" t="s">
        <v>547</v>
      </c>
      <c r="BY183" s="397" t="s">
        <v>548</v>
      </c>
      <c r="BZ183" s="440"/>
      <c r="CA183" s="802"/>
      <c r="CB183" s="803"/>
      <c r="CC183" s="803"/>
      <c r="CD183" s="804"/>
      <c r="CE183" s="802"/>
      <c r="CF183" s="803"/>
      <c r="CG183" s="803"/>
      <c r="CH183" s="804"/>
      <c r="CI183" s="839"/>
      <c r="CJ183" s="840"/>
      <c r="CK183" s="440"/>
      <c r="CL183" s="1326" t="s">
        <v>511</v>
      </c>
      <c r="CM183" s="1327" t="s">
        <v>512</v>
      </c>
      <c r="CN183" s="1328" t="s">
        <v>513</v>
      </c>
      <c r="CO183" s="1326" t="s">
        <v>514</v>
      </c>
      <c r="CP183" s="1327" t="s">
        <v>515</v>
      </c>
      <c r="CQ183" s="1328" t="s">
        <v>516</v>
      </c>
      <c r="CR183" s="808"/>
    </row>
    <row r="184" spans="2:96">
      <c r="B184" s="424">
        <v>2018</v>
      </c>
      <c r="C184" s="381"/>
      <c r="D184" s="646">
        <v>4.7241195005528772E-2</v>
      </c>
      <c r="E184" s="647">
        <v>4.3045359210002333E-2</v>
      </c>
      <c r="F184" s="647">
        <v>3.1788128851608227E-2</v>
      </c>
      <c r="G184" s="647">
        <v>2.5770476935585131E-2</v>
      </c>
      <c r="H184" s="646">
        <v>7.4123642119342734E-3</v>
      </c>
      <c r="I184" s="648">
        <f>IFERROR((D184+$H184)*(1+DistributionLosses)*(1+WholesaleRiskPremium),0)</f>
        <v>6.3098627187745435E-2</v>
      </c>
      <c r="J184" s="649">
        <f t="shared" ref="J184:J216" si="104">IFERROR((E184+$H184)*(1+DistributionLosses)*(1+WholesaleRiskPremium),0)</f>
        <v>5.8254450845094258E-2</v>
      </c>
      <c r="K184" s="649">
        <f t="shared" ref="K184:K216" si="105">IFERROR((F184+$H184)*(1+DistributionLosses)*(1+WholesaleRiskPremium),0)</f>
        <v>4.5257753251721093E-2</v>
      </c>
      <c r="L184" s="650">
        <f t="shared" ref="L184:L216" si="106">IFERROR((G184+$H184)*(1+DistributionLosses)*(1+WholesaleRiskPremium),0)</f>
        <v>3.8310253761634099E-2</v>
      </c>
      <c r="M184" s="651">
        <v>104.4975</v>
      </c>
      <c r="N184" s="652">
        <v>0</v>
      </c>
      <c r="O184" s="653">
        <f t="shared" ref="O184:O216" si="107">M184*(1+DistributionLosses)</f>
        <v>111.70782749999999</v>
      </c>
      <c r="P184" s="654">
        <f t="shared" ref="P184:P216" si="108">N184*(1+PTFlosses)*(1+DistributionLosses)*(1+WholesaleRiskPremium)</f>
        <v>0</v>
      </c>
      <c r="Q184" s="655">
        <f>O184*FCMbid+P184*(1-FCMbid)</f>
        <v>0</v>
      </c>
      <c r="R184" s="656">
        <v>4.5903584515619753E-2</v>
      </c>
      <c r="S184" s="647">
        <v>4.6881886764262748E-2</v>
      </c>
      <c r="T184" s="647">
        <v>4.4717701943951693E-2</v>
      </c>
      <c r="U184" s="657">
        <v>4.5001861261661585E-2</v>
      </c>
      <c r="V184" s="440"/>
      <c r="W184" s="401">
        <v>2018</v>
      </c>
      <c r="X184" s="381"/>
      <c r="Y184" s="390">
        <v>3.9142969450335951E-3</v>
      </c>
      <c r="Z184" s="658">
        <v>2.8504546375837602E-3</v>
      </c>
      <c r="AA184" s="658">
        <v>2.5350765927400691E-3</v>
      </c>
      <c r="AB184" s="659">
        <v>1.6444659913547855E-3</v>
      </c>
      <c r="AC184" s="651">
        <v>48.914914025304526</v>
      </c>
      <c r="AD184" s="660">
        <v>0</v>
      </c>
      <c r="AE184" s="653">
        <f t="shared" ref="AE184:AE216" si="109">IFERROR(AC184*(1+DistributionLosses),0)</f>
        <v>52.290043093050535</v>
      </c>
      <c r="AF184" s="654">
        <f t="shared" ref="AF184:AF216" si="110">IFERROR(AD184*(1+DistributionLosses)*(1+WholesaleRiskPremium)*(1+PTFlosses),0)</f>
        <v>0</v>
      </c>
      <c r="AG184" s="655">
        <f t="shared" ref="AG184:AG216" si="111">IF(AND(AE184=0,AF184=0,),0,IFERROR(AE184*FCMbid,0)+IFERROR(AF184*(1-FCMbid),0))</f>
        <v>0</v>
      </c>
      <c r="AH184" s="656">
        <v>0</v>
      </c>
      <c r="AI184" s="647">
        <v>0</v>
      </c>
      <c r="AJ184" s="647">
        <v>0</v>
      </c>
      <c r="AK184" s="657">
        <v>0</v>
      </c>
      <c r="AL184" s="651">
        <v>0</v>
      </c>
      <c r="AM184" s="660">
        <v>0</v>
      </c>
      <c r="AN184" s="653">
        <f t="shared" ref="AN184:AN216" si="112">IFERROR(AL184*(1+DistributionLosses),0)</f>
        <v>0</v>
      </c>
      <c r="AO184" s="654">
        <f t="shared" ref="AO184:AO216" si="113">IFERROR(AM184*(1+DistributionLosses)*(1+WholesaleRiskPremium)*(1+PTFlosses),0)</f>
        <v>0</v>
      </c>
      <c r="AP184" s="655">
        <f t="shared" ref="AP184:AP216" si="114">IF(AND(AN184=0,AO184=0,),0,IFERROR(AN184*FCMbid,0)+IFERROR(AO184*(1-FCMbid),0))</f>
        <v>0</v>
      </c>
      <c r="AQ184" s="391">
        <v>1.5265180348901309E-3</v>
      </c>
      <c r="AR184" s="402">
        <v>0</v>
      </c>
      <c r="AS184" s="440"/>
      <c r="AT184" s="401">
        <v>2018</v>
      </c>
      <c r="AU184" s="384"/>
      <c r="AV184" s="405">
        <v>3.479323025709094E-2</v>
      </c>
      <c r="AW184" s="406">
        <v>2.4554333821345194E-2</v>
      </c>
      <c r="AX184" s="406">
        <v>2.3783544581744476E-2</v>
      </c>
      <c r="AY184" s="407">
        <v>1.5601778341623792E-2</v>
      </c>
      <c r="AZ184" s="408">
        <v>438.03313897616209</v>
      </c>
      <c r="BA184" s="409" t="s">
        <v>517</v>
      </c>
      <c r="BB184" s="785">
        <f t="shared" ref="BB184:BB216" si="115">IFERROR(AZ184*(1+DistributionLosses),0)</f>
        <v>468.25742556551728</v>
      </c>
      <c r="BC184" s="786">
        <f t="shared" ref="BC184:BC216" si="116">IFERROR(BA184*(1+DistributionLosses)*(1+WholesaleRiskPremium)*(1+PTFlosses),0)</f>
        <v>0</v>
      </c>
      <c r="BD184" s="787">
        <f t="shared" ref="BD184:BD216" si="117">IF(AND(BB184=0,BC184=0,),0,IFERROR(BB184*FCMbid,0)+IFERROR(BC184*(1-FCMbid),0))</f>
        <v>0</v>
      </c>
      <c r="BE184" s="405" t="s">
        <v>517</v>
      </c>
      <c r="BF184" s="406" t="s">
        <v>517</v>
      </c>
      <c r="BG184" s="406" t="s">
        <v>517</v>
      </c>
      <c r="BH184" s="407" t="s">
        <v>517</v>
      </c>
      <c r="BI184" s="408" t="s">
        <v>517</v>
      </c>
      <c r="BJ184" s="409" t="s">
        <v>517</v>
      </c>
      <c r="BK184" s="785">
        <f t="shared" ref="BK184:BK216" si="118">IFERROR(BI184*(1+DistributionLosses),0)</f>
        <v>0</v>
      </c>
      <c r="BL184" s="786">
        <f t="shared" ref="BL184:BL216" si="119">IFERROR(BJ184*(1+DistributionLosses)*(1+WholesaleRiskPremium)*(1+PTFlosses),0)</f>
        <v>0</v>
      </c>
      <c r="BM184" s="787">
        <f t="shared" ref="BM184:BM216" si="120">IF(AND(BK184=0,BL184=0,),0,IFERROR(BK184*FCMbid,0)+IFERROR(BL184*(1-FCMbid),0))</f>
        <v>0</v>
      </c>
      <c r="BN184" s="440"/>
      <c r="BO184" s="401">
        <v>2018</v>
      </c>
      <c r="BP184" s="381"/>
      <c r="BQ184" s="661">
        <v>94</v>
      </c>
      <c r="BR184" s="417">
        <v>5.3250000000000002</v>
      </c>
      <c r="BS184" s="662">
        <v>16.643999999999998</v>
      </c>
      <c r="BT184" s="655">
        <f>IF(AND(BR184=0,BS184=0,),0,IFERROR(BR184*FCMbid,0)+IFERROR(BS184*(1-FCMbid),0))</f>
        <v>16.643999999999998</v>
      </c>
      <c r="BU184" s="417" t="s">
        <v>517</v>
      </c>
      <c r="BV184" s="662" t="s">
        <v>517</v>
      </c>
      <c r="BW184" s="655">
        <f t="shared" ref="BW184:BW216" si="121">IF(AND(BU184=0,BV184=0,),0,IFERROR(BU184*FCMbid,0)+IFERROR(BV184*(1-FCMbid),0))</f>
        <v>0</v>
      </c>
      <c r="BX184" s="655">
        <f>IFERROR(BT184*(1+DistributionLosses)*(1+WholesaleRiskPremium),0)</f>
        <v>19.215830879999999</v>
      </c>
      <c r="BY184" s="655">
        <f t="shared" ref="BY184:BY216" si="122">IFERROR(BW184*(1+DistributionLosses)*(1+WholesaleRiskPremium),0)</f>
        <v>0</v>
      </c>
      <c r="BZ184" s="440"/>
      <c r="CA184" s="648">
        <f t="shared" ref="CA184:CA216" si="123">IFERROR(Y184*(1+WholesaleRiskPremium),"-")</f>
        <v>4.2274407006362832E-3</v>
      </c>
      <c r="CB184" s="649">
        <f t="shared" ref="CB184:CB216" si="124">IFERROR(Z184*(1+WholesaleRiskPremium),"-")</f>
        <v>3.0784910085904613E-3</v>
      </c>
      <c r="CC184" s="649">
        <f t="shared" ref="CC184:CC216" si="125">IFERROR(AA184*(1+WholesaleRiskPremium),"-")</f>
        <v>2.7378827201592747E-3</v>
      </c>
      <c r="CD184" s="650">
        <f t="shared" ref="CD184:CD216" si="126">IFERROR(AB184*(1+WholesaleRiskPremium),"-")</f>
        <v>1.7760232706631684E-3</v>
      </c>
      <c r="CE184" s="648">
        <f t="shared" ref="CE184:CE216" si="127">IFERROR(AH184*(1+WholesaleRiskPremium),"-")</f>
        <v>0</v>
      </c>
      <c r="CF184" s="649">
        <f t="shared" ref="CF184:CF216" si="128">IFERROR(AI184*(1+WholesaleRiskPremium),"-")</f>
        <v>0</v>
      </c>
      <c r="CG184" s="649">
        <f t="shared" ref="CG184:CG216" si="129">IFERROR(AJ184*(1+WholesaleRiskPremium),"-")</f>
        <v>0</v>
      </c>
      <c r="CH184" s="650">
        <f t="shared" ref="CH184:CH216" si="130">IFERROR(AK184*(1+WholesaleRiskPremium),"-")</f>
        <v>0</v>
      </c>
      <c r="CI184" s="648">
        <f t="shared" ref="CI184:CI216" si="131">IFERROR(AQ184*(1+WholesaleRiskPremium),"-")</f>
        <v>1.6486394776813415E-3</v>
      </c>
      <c r="CJ184" s="650">
        <f t="shared" ref="CJ184:CJ216" si="132">IFERROR(AR184*(1+WholesaleRiskPremium),"-")</f>
        <v>0</v>
      </c>
      <c r="CK184" s="440"/>
      <c r="CL184" s="1329">
        <f t="shared" ref="CL184:CL216" si="133">IFERROR(BR184*(1+DistributionLosses)*(1+WholesaleRiskPremium),0)</f>
        <v>6.1478190000000001</v>
      </c>
      <c r="CM184" s="1330">
        <f t="shared" ref="CM184:CM216" si="134">IFERROR(BS184*(1+DistributionLosses)*(1+WholesaleRiskPremium),0)</f>
        <v>19.215830879999999</v>
      </c>
      <c r="CN184" s="655">
        <f t="shared" ref="CN184:CN216" si="135">IFERROR(BT184*(1+DistributionLosses)*(1+WholesaleRiskPremium),0)</f>
        <v>19.215830879999999</v>
      </c>
      <c r="CO184" s="1329">
        <f t="shared" ref="CO184:CO216" si="136">IFERROR(BU184*(1+DistributionLosses)*(1+WholesaleRiskPremium),0)</f>
        <v>0</v>
      </c>
      <c r="CP184" s="1330">
        <f t="shared" ref="CP184:CP216" si="137">IFERROR(BV184*(1+DistributionLosses)*(1+WholesaleRiskPremium),0)</f>
        <v>0</v>
      </c>
      <c r="CQ184" s="655">
        <f t="shared" ref="CQ184:CQ216" si="138">IFERROR(BW184*(1+DistributionLosses)*(1+WholesaleRiskPremium),0)</f>
        <v>0</v>
      </c>
      <c r="CR184" s="808"/>
    </row>
    <row r="185" spans="2:96">
      <c r="B185" s="425">
        <v>2019</v>
      </c>
      <c r="C185" s="381"/>
      <c r="D185" s="663">
        <v>4.8097698365410571E-2</v>
      </c>
      <c r="E185" s="664">
        <v>4.465157683086355E-2</v>
      </c>
      <c r="F185" s="664">
        <v>3.1744133534804389E-2</v>
      </c>
      <c r="G185" s="664">
        <v>2.8378076103781149E-2</v>
      </c>
      <c r="H185" s="663">
        <v>1.1290736051789593E-2</v>
      </c>
      <c r="I185" s="648">
        <f t="shared" ref="I185:I216" si="139">IFERROR((D185+$H185)*(1+DistributionLosses)*(1+WholesaleRiskPremium),0)</f>
        <v>6.8565135303345931E-2</v>
      </c>
      <c r="J185" s="649">
        <f t="shared" si="104"/>
        <v>6.4586519069280701E-2</v>
      </c>
      <c r="K185" s="649">
        <f t="shared" si="105"/>
        <v>4.9684617635114489E-2</v>
      </c>
      <c r="L185" s="650">
        <f t="shared" si="106"/>
        <v>4.5798437009849535E-2</v>
      </c>
      <c r="M185" s="665">
        <v>100.00999999999999</v>
      </c>
      <c r="N185" s="666">
        <v>0</v>
      </c>
      <c r="O185" s="667">
        <f t="shared" si="107"/>
        <v>106.91068999999999</v>
      </c>
      <c r="P185" s="668">
        <f t="shared" si="108"/>
        <v>0</v>
      </c>
      <c r="Q185" s="669">
        <f t="shared" ref="Q185:Q216" si="140">O185*FCMbid+P185*(1-FCMbid)</f>
        <v>0</v>
      </c>
      <c r="R185" s="670">
        <v>4.4646866518084541E-2</v>
      </c>
      <c r="S185" s="664">
        <v>4.5598385454359409E-2</v>
      </c>
      <c r="T185" s="664">
        <v>4.3493450255671084E-2</v>
      </c>
      <c r="U185" s="671">
        <v>4.376983004739185E-2</v>
      </c>
      <c r="V185" s="440"/>
      <c r="W185" s="377">
        <v>2019</v>
      </c>
      <c r="X185" s="381"/>
      <c r="Y185" s="670">
        <v>6.0919033161708751E-3</v>
      </c>
      <c r="Z185" s="664">
        <v>4.4217694943083389E-3</v>
      </c>
      <c r="AA185" s="664">
        <v>3.8836823931783339E-3</v>
      </c>
      <c r="AB185" s="671">
        <v>2.7676685840600629E-3</v>
      </c>
      <c r="AC185" s="665">
        <v>25.763375419927279</v>
      </c>
      <c r="AD185" s="672">
        <v>0</v>
      </c>
      <c r="AE185" s="653">
        <f t="shared" si="109"/>
        <v>27.54104832390226</v>
      </c>
      <c r="AF185" s="654">
        <f t="shared" si="110"/>
        <v>0</v>
      </c>
      <c r="AG185" s="655">
        <f t="shared" si="111"/>
        <v>0</v>
      </c>
      <c r="AH185" s="391">
        <v>3.9298642475632693E-3</v>
      </c>
      <c r="AI185" s="647">
        <v>2.8524671099952239E-3</v>
      </c>
      <c r="AJ185" s="647">
        <v>2.5053491156579589E-3</v>
      </c>
      <c r="AK185" s="657">
        <v>1.7854127442781327E-3</v>
      </c>
      <c r="AL185" s="665">
        <v>31.040211349309981</v>
      </c>
      <c r="AM185" s="672">
        <v>0</v>
      </c>
      <c r="AN185" s="653">
        <f t="shared" si="112"/>
        <v>33.181985932412367</v>
      </c>
      <c r="AO185" s="654">
        <f t="shared" si="113"/>
        <v>0</v>
      </c>
      <c r="AP185" s="655">
        <f t="shared" si="114"/>
        <v>0</v>
      </c>
      <c r="AQ185" s="382">
        <v>2.3986598142912386E-3</v>
      </c>
      <c r="AR185" s="383">
        <v>1.499162383932024E-3</v>
      </c>
      <c r="AS185" s="440"/>
      <c r="AT185" s="377">
        <v>2019</v>
      </c>
      <c r="AU185" s="384"/>
      <c r="AV185" s="385">
        <v>5.4292565215736714E-2</v>
      </c>
      <c r="AW185" s="386">
        <v>3.8095371504749682E-2</v>
      </c>
      <c r="AX185" s="386">
        <v>3.6212127646097193E-2</v>
      </c>
      <c r="AY185" s="387">
        <v>2.6281886082141524E-2</v>
      </c>
      <c r="AZ185" s="388">
        <v>229.24283560332276</v>
      </c>
      <c r="BA185" s="389" t="s">
        <v>517</v>
      </c>
      <c r="BB185" s="785">
        <f t="shared" si="115"/>
        <v>245.06059125995202</v>
      </c>
      <c r="BC185" s="786">
        <f t="shared" si="116"/>
        <v>0</v>
      </c>
      <c r="BD185" s="787">
        <f t="shared" si="117"/>
        <v>0</v>
      </c>
      <c r="BE185" s="385">
        <v>3.5023932566929164E-2</v>
      </c>
      <c r="BF185" s="386">
        <v>2.4575182944344194E-2</v>
      </c>
      <c r="BG185" s="386">
        <v>2.3360309312007329E-2</v>
      </c>
      <c r="BH185" s="387">
        <v>1.6954347288896068E-2</v>
      </c>
      <c r="BI185" s="388">
        <v>276.1961874738829</v>
      </c>
      <c r="BJ185" s="389" t="s">
        <v>517</v>
      </c>
      <c r="BK185" s="785">
        <f t="shared" si="118"/>
        <v>295.2537244095808</v>
      </c>
      <c r="BL185" s="786">
        <f t="shared" si="119"/>
        <v>0</v>
      </c>
      <c r="BM185" s="787">
        <f t="shared" si="120"/>
        <v>0</v>
      </c>
      <c r="BN185" s="440"/>
      <c r="BO185" s="377">
        <v>2019</v>
      </c>
      <c r="BP185" s="381"/>
      <c r="BQ185" s="673">
        <v>94</v>
      </c>
      <c r="BR185" s="674">
        <v>2.15</v>
      </c>
      <c r="BS185" s="675">
        <v>12.668849999999999</v>
      </c>
      <c r="BT185" s="655">
        <f t="shared" ref="BT185:BT216" si="141">IF(AND(BR185=0,BS185=0,),0,IFERROR(BR185*FCMbid,0)+IFERROR(BS185*(1-FCMbid),0))</f>
        <v>12.668849999999999</v>
      </c>
      <c r="BU185" s="674">
        <v>2.6</v>
      </c>
      <c r="BV185" s="675">
        <v>12.668849999999999</v>
      </c>
      <c r="BW185" s="655">
        <f t="shared" si="121"/>
        <v>12.668849999999999</v>
      </c>
      <c r="BX185" s="655">
        <f>IFERROR(BT185*(1+DistributionLosses)*(1+WholesaleRiskPremium),0)</f>
        <v>14.626440701999998</v>
      </c>
      <c r="BY185" s="655">
        <f t="shared" si="122"/>
        <v>14.626440701999998</v>
      </c>
      <c r="BZ185" s="440"/>
      <c r="CA185" s="648">
        <f t="shared" si="123"/>
        <v>6.5792555814645458E-3</v>
      </c>
      <c r="CB185" s="649">
        <f t="shared" si="124"/>
        <v>4.7755110538530068E-3</v>
      </c>
      <c r="CC185" s="649">
        <f t="shared" si="125"/>
        <v>4.1943769846326008E-3</v>
      </c>
      <c r="CD185" s="650">
        <f t="shared" si="126"/>
        <v>2.9890820707848681E-3</v>
      </c>
      <c r="CE185" s="648">
        <f t="shared" si="127"/>
        <v>4.2442533873683309E-3</v>
      </c>
      <c r="CF185" s="649">
        <f t="shared" si="128"/>
        <v>3.0806644787948422E-3</v>
      </c>
      <c r="CG185" s="649">
        <f t="shared" si="129"/>
        <v>2.705777044910596E-3</v>
      </c>
      <c r="CH185" s="650">
        <f t="shared" si="130"/>
        <v>1.9282457638203836E-3</v>
      </c>
      <c r="CI185" s="648">
        <f t="shared" si="131"/>
        <v>2.5905525994345379E-3</v>
      </c>
      <c r="CJ185" s="650">
        <f t="shared" si="132"/>
        <v>1.619095374646586E-3</v>
      </c>
      <c r="CK185" s="440"/>
      <c r="CL185" s="667">
        <f t="shared" si="133"/>
        <v>2.4822179999999996</v>
      </c>
      <c r="CM185" s="1331">
        <f t="shared" si="134"/>
        <v>14.626440701999998</v>
      </c>
      <c r="CN185" s="655">
        <f t="shared" si="135"/>
        <v>14.626440701999998</v>
      </c>
      <c r="CO185" s="667">
        <f t="shared" si="136"/>
        <v>3.0017520000000002</v>
      </c>
      <c r="CP185" s="1331">
        <f t="shared" si="137"/>
        <v>14.626440701999998</v>
      </c>
      <c r="CQ185" s="655">
        <f t="shared" si="138"/>
        <v>14.626440701999998</v>
      </c>
      <c r="CR185" s="808"/>
    </row>
    <row r="186" spans="2:96">
      <c r="B186" s="425">
        <v>2020</v>
      </c>
      <c r="C186" s="381"/>
      <c r="D186" s="663">
        <v>5.1464183747596669E-2</v>
      </c>
      <c r="E186" s="664">
        <v>4.8350242011860597E-2</v>
      </c>
      <c r="F186" s="664">
        <v>3.750718593368154E-2</v>
      </c>
      <c r="G186" s="664">
        <v>3.2648410761642925E-2</v>
      </c>
      <c r="H186" s="663">
        <v>8.6818330382669468E-3</v>
      </c>
      <c r="I186" s="648">
        <f t="shared" si="139"/>
        <v>6.9439779299615256E-2</v>
      </c>
      <c r="J186" s="649">
        <f t="shared" si="104"/>
        <v>6.5844671286873255E-2</v>
      </c>
      <c r="K186" s="649">
        <f t="shared" si="105"/>
        <v>5.3326146183493968E-2</v>
      </c>
      <c r="L186" s="650">
        <f t="shared" si="106"/>
        <v>4.7716593071871947E-2</v>
      </c>
      <c r="M186" s="665">
        <v>73.849999999999994</v>
      </c>
      <c r="N186" s="666">
        <v>0</v>
      </c>
      <c r="O186" s="667">
        <f t="shared" si="107"/>
        <v>78.945649999999986</v>
      </c>
      <c r="P186" s="668">
        <f t="shared" si="108"/>
        <v>0</v>
      </c>
      <c r="Q186" s="669">
        <f>O186*FCMbid+P186*(1-FCMbid)</f>
        <v>0</v>
      </c>
      <c r="R186" s="670">
        <v>4.3440578034704497E-2</v>
      </c>
      <c r="S186" s="664">
        <v>4.4366388417970797E-2</v>
      </c>
      <c r="T186" s="664">
        <v>4.2318325275183873E-2</v>
      </c>
      <c r="U186" s="671">
        <v>4.258723771732801E-2</v>
      </c>
      <c r="V186" s="440"/>
      <c r="W186" s="377">
        <v>2020</v>
      </c>
      <c r="X186" s="381"/>
      <c r="Y186" s="670">
        <v>7.0150078674205592E-3</v>
      </c>
      <c r="Z186" s="664">
        <v>5.2236051752630993E-3</v>
      </c>
      <c r="AA186" s="664">
        <v>4.9144086132104905E-3</v>
      </c>
      <c r="AB186" s="671">
        <v>3.3876362981281596E-3</v>
      </c>
      <c r="AC186" s="665">
        <v>31.263329268368729</v>
      </c>
      <c r="AD186" s="672">
        <v>0</v>
      </c>
      <c r="AE186" s="653">
        <f t="shared" si="109"/>
        <v>33.42049898788617</v>
      </c>
      <c r="AF186" s="654">
        <f t="shared" si="110"/>
        <v>0</v>
      </c>
      <c r="AG186" s="655">
        <f t="shared" si="111"/>
        <v>0</v>
      </c>
      <c r="AH186" s="670">
        <v>6.4958561761468006E-3</v>
      </c>
      <c r="AI186" s="664">
        <v>4.8370277811195126E-3</v>
      </c>
      <c r="AJ186" s="664">
        <v>4.5507135766008336E-3</v>
      </c>
      <c r="AK186" s="671">
        <v>3.1369313599681563E-3</v>
      </c>
      <c r="AL186" s="665">
        <v>38.729198944397069</v>
      </c>
      <c r="AM186" s="672">
        <v>0</v>
      </c>
      <c r="AN186" s="653">
        <f t="shared" si="112"/>
        <v>41.401513671560465</v>
      </c>
      <c r="AO186" s="654">
        <f t="shared" si="113"/>
        <v>0</v>
      </c>
      <c r="AP186" s="655">
        <f t="shared" si="114"/>
        <v>0</v>
      </c>
      <c r="AQ186" s="382">
        <v>2.6391699202678565E-3</v>
      </c>
      <c r="AR186" s="383">
        <v>2.3431798531677035E-3</v>
      </c>
      <c r="AS186" s="440"/>
      <c r="AT186" s="377">
        <v>2020</v>
      </c>
      <c r="AU186" s="384"/>
      <c r="AV186" s="385">
        <v>6.2091837080073514E-2</v>
      </c>
      <c r="AW186" s="386">
        <v>4.4997381701998816E-2</v>
      </c>
      <c r="AX186" s="386">
        <v>4.593784958646599E-2</v>
      </c>
      <c r="AY186" s="387">
        <v>3.1999017062532199E-2</v>
      </c>
      <c r="AZ186" s="388">
        <v>279.08107187886907</v>
      </c>
      <c r="BA186" s="389" t="s">
        <v>517</v>
      </c>
      <c r="BB186" s="785">
        <f t="shared" si="115"/>
        <v>298.33766583851104</v>
      </c>
      <c r="BC186" s="786">
        <f t="shared" si="116"/>
        <v>0</v>
      </c>
      <c r="BD186" s="787">
        <f t="shared" si="117"/>
        <v>0</v>
      </c>
      <c r="BE186" s="385">
        <v>5.7496677267905305E-2</v>
      </c>
      <c r="BF186" s="386">
        <v>4.1667311764091074E-2</v>
      </c>
      <c r="BG186" s="386">
        <v>4.2538179513813223E-2</v>
      </c>
      <c r="BH186" s="387">
        <v>2.9630902280471397E-2</v>
      </c>
      <c r="BI186" s="388">
        <v>345.72729799919603</v>
      </c>
      <c r="BJ186" s="389" t="s">
        <v>517</v>
      </c>
      <c r="BK186" s="785">
        <f t="shared" si="118"/>
        <v>369.58248156114053</v>
      </c>
      <c r="BL186" s="786">
        <f t="shared" si="119"/>
        <v>0</v>
      </c>
      <c r="BM186" s="787">
        <f t="shared" si="120"/>
        <v>0</v>
      </c>
      <c r="BN186" s="440"/>
      <c r="BO186" s="377">
        <v>2020</v>
      </c>
      <c r="BP186" s="381"/>
      <c r="BQ186" s="673">
        <v>94</v>
      </c>
      <c r="BR186" s="674">
        <v>0.92499999999999993</v>
      </c>
      <c r="BS186" s="675">
        <v>4.6398000000000001</v>
      </c>
      <c r="BT186" s="655">
        <f>IF(AND(BR186=0,BS186=0,),0,IFERROR(BR186*FCMbid,0)+IFERROR(BS186*(1-FCMbid),0))</f>
        <v>4.6398000000000001</v>
      </c>
      <c r="BU186" s="674">
        <v>1.1499999999999999</v>
      </c>
      <c r="BV186" s="675">
        <v>4.6398000000000001</v>
      </c>
      <c r="BW186" s="655">
        <f t="shared" si="121"/>
        <v>4.6398000000000001</v>
      </c>
      <c r="BX186" s="655">
        <f>IFERROR(BT186*(1+DistributionLosses)*(1+WholesaleRiskPremium),0)</f>
        <v>5.3567418960000008</v>
      </c>
      <c r="BY186" s="655">
        <f t="shared" si="122"/>
        <v>5.3567418960000008</v>
      </c>
      <c r="BZ186" s="440"/>
      <c r="CA186" s="648">
        <f t="shared" si="123"/>
        <v>7.5762084968142044E-3</v>
      </c>
      <c r="CB186" s="649">
        <f t="shared" si="124"/>
        <v>5.6414935892841475E-3</v>
      </c>
      <c r="CC186" s="649">
        <f t="shared" si="125"/>
        <v>5.3075613022673298E-3</v>
      </c>
      <c r="CD186" s="650">
        <f t="shared" si="126"/>
        <v>3.6586472019784124E-3</v>
      </c>
      <c r="CE186" s="648">
        <f t="shared" si="127"/>
        <v>7.0155246702385448E-3</v>
      </c>
      <c r="CF186" s="649">
        <f t="shared" si="128"/>
        <v>5.2239900036090744E-3</v>
      </c>
      <c r="CG186" s="649">
        <f t="shared" si="129"/>
        <v>4.9147706627289001E-3</v>
      </c>
      <c r="CH186" s="650">
        <f t="shared" si="130"/>
        <v>3.3878858687656091E-3</v>
      </c>
      <c r="CI186" s="648">
        <f t="shared" si="131"/>
        <v>2.8503035138892851E-3</v>
      </c>
      <c r="CJ186" s="650">
        <f t="shared" si="132"/>
        <v>2.53063424142112E-3</v>
      </c>
      <c r="CK186" s="440"/>
      <c r="CL186" s="667">
        <f t="shared" si="133"/>
        <v>1.067931</v>
      </c>
      <c r="CM186" s="1331">
        <f t="shared" si="134"/>
        <v>5.3567418960000008</v>
      </c>
      <c r="CN186" s="655">
        <f t="shared" si="135"/>
        <v>5.3567418960000008</v>
      </c>
      <c r="CO186" s="667">
        <f t="shared" si="136"/>
        <v>1.327698</v>
      </c>
      <c r="CP186" s="1331">
        <f t="shared" si="137"/>
        <v>5.3567418960000008</v>
      </c>
      <c r="CQ186" s="655">
        <f t="shared" si="138"/>
        <v>5.3567418960000008</v>
      </c>
      <c r="CR186" s="808"/>
    </row>
    <row r="187" spans="2:96">
      <c r="B187" s="425">
        <v>2021</v>
      </c>
      <c r="C187" s="381"/>
      <c r="D187" s="663">
        <v>5.3722927813565788E-2</v>
      </c>
      <c r="E187" s="664">
        <v>5.0216145170600031E-2</v>
      </c>
      <c r="F187" s="664">
        <v>4.5499103401325694E-2</v>
      </c>
      <c r="G187" s="664">
        <v>3.7821746334192274E-2</v>
      </c>
      <c r="H187" s="663">
        <v>6.736305910721818E-3</v>
      </c>
      <c r="I187" s="648">
        <f t="shared" si="139"/>
        <v>6.9801394519364526E-2</v>
      </c>
      <c r="J187" s="649">
        <f t="shared" si="104"/>
        <v>6.57527438224077E-2</v>
      </c>
      <c r="K187" s="649">
        <f t="shared" si="105"/>
        <v>6.0306824758945089E-2</v>
      </c>
      <c r="L187" s="650">
        <f t="shared" si="106"/>
        <v>5.1443162477798211E-2</v>
      </c>
      <c r="M187" s="665">
        <v>59.93</v>
      </c>
      <c r="N187" s="666">
        <v>0</v>
      </c>
      <c r="O187" s="667">
        <f t="shared" si="107"/>
        <v>64.065169999999995</v>
      </c>
      <c r="P187" s="668">
        <f t="shared" si="108"/>
        <v>0</v>
      </c>
      <c r="Q187" s="669">
        <f t="shared" si="140"/>
        <v>0</v>
      </c>
      <c r="R187" s="670">
        <v>4.3207073250855259E-2</v>
      </c>
      <c r="S187" s="664">
        <v>4.4127907154451855E-2</v>
      </c>
      <c r="T187" s="664">
        <v>4.2090852901580808E-2</v>
      </c>
      <c r="U187" s="671">
        <v>4.2358319867064224E-2</v>
      </c>
      <c r="V187" s="440"/>
      <c r="W187" s="377">
        <v>2021</v>
      </c>
      <c r="X187" s="381"/>
      <c r="Y187" s="670">
        <v>7.3749948831801767E-3</v>
      </c>
      <c r="Z187" s="664">
        <v>5.4890008037664847E-3</v>
      </c>
      <c r="AA187" s="664">
        <v>6.0298541400101895E-3</v>
      </c>
      <c r="AB187" s="671">
        <v>4.0092922005154786E-3</v>
      </c>
      <c r="AC187" s="665">
        <v>5.2016695368450314</v>
      </c>
      <c r="AD187" s="672">
        <v>0</v>
      </c>
      <c r="AE187" s="653">
        <f t="shared" si="109"/>
        <v>5.5605847348873381</v>
      </c>
      <c r="AF187" s="654">
        <f t="shared" si="110"/>
        <v>0</v>
      </c>
      <c r="AG187" s="655">
        <f t="shared" si="111"/>
        <v>0</v>
      </c>
      <c r="AH187" s="670">
        <v>7.2581804318150311E-3</v>
      </c>
      <c r="AI187" s="664">
        <v>5.4020591004037919E-3</v>
      </c>
      <c r="AJ187" s="664">
        <v>5.9343457207726965E-3</v>
      </c>
      <c r="AK187" s="671">
        <v>3.9457879844198305E-3</v>
      </c>
      <c r="AL187" s="665">
        <v>6.9702371793723419</v>
      </c>
      <c r="AM187" s="672">
        <v>0</v>
      </c>
      <c r="AN187" s="653">
        <f t="shared" si="112"/>
        <v>7.4511835447490329</v>
      </c>
      <c r="AO187" s="654">
        <f t="shared" si="113"/>
        <v>0</v>
      </c>
      <c r="AP187" s="655">
        <f t="shared" si="114"/>
        <v>0</v>
      </c>
      <c r="AQ187" s="382">
        <v>2.6643171441892554E-3</v>
      </c>
      <c r="AR187" s="383">
        <v>2.4009714088858744E-3</v>
      </c>
      <c r="AS187" s="440"/>
      <c r="AT187" s="377">
        <v>2021</v>
      </c>
      <c r="AU187" s="384"/>
      <c r="AV187" s="385">
        <v>6.5070898312649519E-2</v>
      </c>
      <c r="AW187" s="386">
        <v>4.6964737419449266E-2</v>
      </c>
      <c r="AX187" s="386">
        <v>5.5615482526619152E-2</v>
      </c>
      <c r="AY187" s="387">
        <v>3.7558789081637241E-2</v>
      </c>
      <c r="AZ187" s="388">
        <v>46.497472263437018</v>
      </c>
      <c r="BA187" s="389" t="s">
        <v>517</v>
      </c>
      <c r="BB187" s="785">
        <f t="shared" si="115"/>
        <v>49.705797849614171</v>
      </c>
      <c r="BC187" s="786">
        <f t="shared" si="116"/>
        <v>0</v>
      </c>
      <c r="BD187" s="787">
        <f t="shared" si="117"/>
        <v>0</v>
      </c>
      <c r="BE187" s="385">
        <v>6.404022352485203E-2</v>
      </c>
      <c r="BF187" s="386">
        <v>4.6220850796873686E-2</v>
      </c>
      <c r="BG187" s="386">
        <v>5.4734574514930689E-2</v>
      </c>
      <c r="BH187" s="387">
        <v>3.6963885707464492E-2</v>
      </c>
      <c r="BI187" s="388">
        <v>62.306612833005609</v>
      </c>
      <c r="BJ187" s="389" t="s">
        <v>517</v>
      </c>
      <c r="BK187" s="785">
        <f t="shared" si="118"/>
        <v>66.605769118482996</v>
      </c>
      <c r="BL187" s="786">
        <f t="shared" si="119"/>
        <v>0</v>
      </c>
      <c r="BM187" s="787">
        <f t="shared" si="120"/>
        <v>0</v>
      </c>
      <c r="BN187" s="440"/>
      <c r="BO187" s="377">
        <v>2021</v>
      </c>
      <c r="BP187" s="381"/>
      <c r="BQ187" s="673">
        <v>94</v>
      </c>
      <c r="BR187" s="674">
        <v>0.27499999999999997</v>
      </c>
      <c r="BS187" s="675">
        <v>7.7650750000000004</v>
      </c>
      <c r="BT187" s="655">
        <f t="shared" si="141"/>
        <v>7.7650750000000004</v>
      </c>
      <c r="BU187" s="674">
        <v>0.35000000000000003</v>
      </c>
      <c r="BV187" s="675">
        <v>7.7650750000000004</v>
      </c>
      <c r="BW187" s="655">
        <f t="shared" si="121"/>
        <v>7.7650750000000004</v>
      </c>
      <c r="BX187" s="655">
        <f t="shared" ref="BX187:BX216" si="142">IFERROR(BT187*(1+DistributionLosses)*(1+WholesaleRiskPremium),0)</f>
        <v>8.9649343890000015</v>
      </c>
      <c r="BY187" s="655">
        <f t="shared" si="122"/>
        <v>8.9649343890000015</v>
      </c>
      <c r="BZ187" s="440"/>
      <c r="CA187" s="648">
        <f t="shared" si="123"/>
        <v>7.9649944738345909E-3</v>
      </c>
      <c r="CB187" s="649">
        <f t="shared" si="124"/>
        <v>5.9281208680678037E-3</v>
      </c>
      <c r="CC187" s="649">
        <f t="shared" si="125"/>
        <v>6.5122424712110048E-3</v>
      </c>
      <c r="CD187" s="650">
        <f t="shared" si="126"/>
        <v>4.3300355765567167E-3</v>
      </c>
      <c r="CE187" s="648">
        <f t="shared" si="127"/>
        <v>7.8388348663602347E-3</v>
      </c>
      <c r="CF187" s="649">
        <f t="shared" si="128"/>
        <v>5.8342238284360953E-3</v>
      </c>
      <c r="CG187" s="649">
        <f t="shared" si="129"/>
        <v>6.4090933784345123E-3</v>
      </c>
      <c r="CH187" s="650">
        <f t="shared" si="130"/>
        <v>4.2614510231734175E-3</v>
      </c>
      <c r="CI187" s="648">
        <f t="shared" si="131"/>
        <v>2.8774625157243958E-3</v>
      </c>
      <c r="CJ187" s="650">
        <f t="shared" si="132"/>
        <v>2.5930491215967444E-3</v>
      </c>
      <c r="CK187" s="440"/>
      <c r="CL187" s="667">
        <f t="shared" si="133"/>
        <v>0.31749299999999997</v>
      </c>
      <c r="CM187" s="1331">
        <f t="shared" si="134"/>
        <v>8.9649343890000015</v>
      </c>
      <c r="CN187" s="655">
        <f t="shared" si="135"/>
        <v>8.9649343890000015</v>
      </c>
      <c r="CO187" s="667">
        <f t="shared" si="136"/>
        <v>0.40408200000000005</v>
      </c>
      <c r="CP187" s="1331">
        <f t="shared" si="137"/>
        <v>8.9649343890000015</v>
      </c>
      <c r="CQ187" s="655">
        <f t="shared" si="138"/>
        <v>8.9649343890000015</v>
      </c>
      <c r="CR187" s="808"/>
    </row>
    <row r="188" spans="2:96">
      <c r="B188" s="425">
        <v>2022</v>
      </c>
      <c r="C188" s="381"/>
      <c r="D188" s="663">
        <v>5.333513427023804E-2</v>
      </c>
      <c r="E188" s="664">
        <v>4.8410787932407273E-2</v>
      </c>
      <c r="F188" s="664">
        <v>4.4545019923709399E-2</v>
      </c>
      <c r="G188" s="664">
        <v>3.5860546718273094E-2</v>
      </c>
      <c r="H188" s="663">
        <v>5.1144307131305942E-3</v>
      </c>
      <c r="I188" s="648">
        <f t="shared" si="139"/>
        <v>6.7481191764598755E-2</v>
      </c>
      <c r="J188" s="649">
        <f t="shared" si="104"/>
        <v>6.1795935430646376E-2</v>
      </c>
      <c r="K188" s="649">
        <f t="shared" si="105"/>
        <v>5.7332828949244505E-2</v>
      </c>
      <c r="L188" s="650">
        <f t="shared" si="106"/>
        <v>4.730643094410418E-2</v>
      </c>
      <c r="M188" s="665">
        <v>57.58</v>
      </c>
      <c r="N188" s="666">
        <v>0</v>
      </c>
      <c r="O188" s="667">
        <f t="shared" si="107"/>
        <v>61.553019999999997</v>
      </c>
      <c r="P188" s="668">
        <f t="shared" si="108"/>
        <v>0</v>
      </c>
      <c r="Q188" s="669">
        <f t="shared" si="140"/>
        <v>0</v>
      </c>
      <c r="R188" s="670">
        <v>4.2984818918756315E-2</v>
      </c>
      <c r="S188" s="664">
        <v>4.3900916113549938E-2</v>
      </c>
      <c r="T188" s="664">
        <v>4.1874340333261206E-2</v>
      </c>
      <c r="U188" s="671">
        <v>4.2140431466333415E-2</v>
      </c>
      <c r="V188" s="440"/>
      <c r="W188" s="377">
        <v>2022</v>
      </c>
      <c r="X188" s="381"/>
      <c r="Y188" s="670">
        <v>6.5895666840648558E-3</v>
      </c>
      <c r="Z188" s="664">
        <v>4.7425308477301092E-3</v>
      </c>
      <c r="AA188" s="664">
        <v>5.3264761808743434E-3</v>
      </c>
      <c r="AB188" s="671">
        <v>3.3862721278326122E-3</v>
      </c>
      <c r="AC188" s="665">
        <v>3.4765886357120745</v>
      </c>
      <c r="AD188" s="672">
        <v>0</v>
      </c>
      <c r="AE188" s="653">
        <f t="shared" si="109"/>
        <v>3.7164732515762076</v>
      </c>
      <c r="AF188" s="654">
        <f t="shared" si="110"/>
        <v>0</v>
      </c>
      <c r="AG188" s="655">
        <f t="shared" si="111"/>
        <v>0</v>
      </c>
      <c r="AH188" s="670">
        <v>7.2595770127066757E-3</v>
      </c>
      <c r="AI188" s="664">
        <v>5.2247392848289668E-3</v>
      </c>
      <c r="AJ188" s="664">
        <v>5.8680586896424297E-3</v>
      </c>
      <c r="AK188" s="671">
        <v>3.7305796384806723E-3</v>
      </c>
      <c r="AL188" s="665">
        <v>5.2675585389576884</v>
      </c>
      <c r="AM188" s="672">
        <v>0</v>
      </c>
      <c r="AN188" s="653">
        <f t="shared" si="112"/>
        <v>5.6310200781457684</v>
      </c>
      <c r="AO188" s="654">
        <f t="shared" si="113"/>
        <v>0</v>
      </c>
      <c r="AP188" s="655">
        <f t="shared" si="114"/>
        <v>0</v>
      </c>
      <c r="AQ188" s="382">
        <v>2.4042626450860457E-3</v>
      </c>
      <c r="AR188" s="383">
        <v>2.4042626450860457E-3</v>
      </c>
      <c r="AS188" s="440"/>
      <c r="AT188" s="377">
        <v>2022</v>
      </c>
      <c r="AU188" s="384"/>
      <c r="AV188" s="385">
        <v>5.8181250833945576E-2</v>
      </c>
      <c r="AW188" s="386">
        <v>4.0604284294070529E-2</v>
      </c>
      <c r="AX188" s="386">
        <v>4.9355977528308143E-2</v>
      </c>
      <c r="AY188" s="387">
        <v>3.1755219864299473E-2</v>
      </c>
      <c r="AZ188" s="388">
        <v>31.085863631164045</v>
      </c>
      <c r="BA188" s="389" t="s">
        <v>517</v>
      </c>
      <c r="BB188" s="785">
        <f t="shared" si="115"/>
        <v>33.230788221714363</v>
      </c>
      <c r="BC188" s="786">
        <f t="shared" si="116"/>
        <v>0</v>
      </c>
      <c r="BD188" s="787">
        <f t="shared" si="117"/>
        <v>0</v>
      </c>
      <c r="BE188" s="385">
        <v>6.4096971982395584E-2</v>
      </c>
      <c r="BF188" s="386">
        <v>4.4732824328413759E-2</v>
      </c>
      <c r="BG188" s="386">
        <v>5.4374367402736275E-2</v>
      </c>
      <c r="BH188" s="387">
        <v>3.4984009603816611E-2</v>
      </c>
      <c r="BI188" s="388">
        <v>47.099793380551574</v>
      </c>
      <c r="BJ188" s="389" t="s">
        <v>517</v>
      </c>
      <c r="BK188" s="785">
        <f t="shared" si="118"/>
        <v>50.349679123809629</v>
      </c>
      <c r="BL188" s="786">
        <f t="shared" si="119"/>
        <v>0</v>
      </c>
      <c r="BM188" s="787">
        <f t="shared" si="120"/>
        <v>0</v>
      </c>
      <c r="BN188" s="440"/>
      <c r="BO188" s="377">
        <v>2022</v>
      </c>
      <c r="BP188" s="381"/>
      <c r="BQ188" s="673">
        <v>94</v>
      </c>
      <c r="BR188" s="674">
        <v>0.17500000000000002</v>
      </c>
      <c r="BS188" s="675">
        <v>7.9649999999999999</v>
      </c>
      <c r="BT188" s="655">
        <f t="shared" si="141"/>
        <v>7.9649999999999999</v>
      </c>
      <c r="BU188" s="674">
        <v>0.27499999999999997</v>
      </c>
      <c r="BV188" s="675">
        <v>7.9649999999999999</v>
      </c>
      <c r="BW188" s="655">
        <f t="shared" si="121"/>
        <v>7.9649999999999999</v>
      </c>
      <c r="BX188" s="655">
        <f t="shared" si="142"/>
        <v>9.1957518000000018</v>
      </c>
      <c r="BY188" s="655">
        <f t="shared" si="122"/>
        <v>9.1957518000000018</v>
      </c>
      <c r="BZ188" s="440"/>
      <c r="CA188" s="648">
        <f t="shared" si="123"/>
        <v>7.1167320187900448E-3</v>
      </c>
      <c r="CB188" s="649">
        <f t="shared" si="124"/>
        <v>5.1219333155485183E-3</v>
      </c>
      <c r="CC188" s="649">
        <f t="shared" si="125"/>
        <v>5.7525942753442914E-3</v>
      </c>
      <c r="CD188" s="650">
        <f t="shared" si="126"/>
        <v>3.6571738980592213E-3</v>
      </c>
      <c r="CE188" s="648">
        <f t="shared" si="127"/>
        <v>7.8403431737232108E-3</v>
      </c>
      <c r="CF188" s="649">
        <f t="shared" si="128"/>
        <v>5.6427184276152849E-3</v>
      </c>
      <c r="CG188" s="649">
        <f t="shared" si="129"/>
        <v>6.3375033848138244E-3</v>
      </c>
      <c r="CH188" s="650">
        <f t="shared" si="130"/>
        <v>4.0290260095591267E-3</v>
      </c>
      <c r="CI188" s="648">
        <f t="shared" si="131"/>
        <v>2.5966036566929295E-3</v>
      </c>
      <c r="CJ188" s="650">
        <f t="shared" si="132"/>
        <v>2.5966036566929295E-3</v>
      </c>
      <c r="CK188" s="440"/>
      <c r="CL188" s="667">
        <f t="shared" si="133"/>
        <v>0.20204100000000003</v>
      </c>
      <c r="CM188" s="1331">
        <f t="shared" si="134"/>
        <v>9.1957518000000018</v>
      </c>
      <c r="CN188" s="655">
        <f t="shared" si="135"/>
        <v>9.1957518000000018</v>
      </c>
      <c r="CO188" s="667">
        <f t="shared" si="136"/>
        <v>0.31749299999999997</v>
      </c>
      <c r="CP188" s="1331">
        <f t="shared" si="137"/>
        <v>9.1957518000000018</v>
      </c>
      <c r="CQ188" s="655">
        <f t="shared" si="138"/>
        <v>9.1957518000000018</v>
      </c>
      <c r="CR188" s="808"/>
    </row>
    <row r="189" spans="2:96">
      <c r="B189" s="425">
        <v>2023</v>
      </c>
      <c r="C189" s="381"/>
      <c r="D189" s="663">
        <v>5.4837245337217823E-2</v>
      </c>
      <c r="E189" s="664">
        <v>4.8477592527826116E-2</v>
      </c>
      <c r="F189" s="664">
        <v>4.1726865900738305E-2</v>
      </c>
      <c r="G189" s="664">
        <v>3.2735494920707056E-2</v>
      </c>
      <c r="H189" s="663">
        <v>5.4721292163732024E-3</v>
      </c>
      <c r="I189" s="648">
        <f t="shared" si="139"/>
        <v>6.9628379109611921E-2</v>
      </c>
      <c r="J189" s="649">
        <f t="shared" si="104"/>
        <v>6.2286032748113E-2</v>
      </c>
      <c r="K189" s="649">
        <f t="shared" si="105"/>
        <v>5.4492183842607581E-2</v>
      </c>
      <c r="L189" s="650">
        <f t="shared" si="106"/>
        <v>4.4111466218741902E-2</v>
      </c>
      <c r="M189" s="665">
        <v>58.78</v>
      </c>
      <c r="N189" s="666">
        <v>20.790485999999998</v>
      </c>
      <c r="O189" s="667">
        <f t="shared" si="107"/>
        <v>62.835819999999998</v>
      </c>
      <c r="P189" s="668">
        <f t="shared" si="108"/>
        <v>24.387080407067518</v>
      </c>
      <c r="Q189" s="669">
        <f t="shared" si="140"/>
        <v>24.387080407067518</v>
      </c>
      <c r="R189" s="670">
        <v>4.2773463619224794E-2</v>
      </c>
      <c r="S189" s="664">
        <v>4.3685056386597851E-2</v>
      </c>
      <c r="T189" s="664">
        <v>4.1668445229677102E-2</v>
      </c>
      <c r="U189" s="671">
        <v>4.1933227999179382E-2</v>
      </c>
      <c r="V189" s="440"/>
      <c r="W189" s="377">
        <v>2023</v>
      </c>
      <c r="X189" s="381"/>
      <c r="Y189" s="670">
        <v>5.4061500462463047E-3</v>
      </c>
      <c r="Z189" s="664">
        <v>3.7754368408008964E-3</v>
      </c>
      <c r="AA189" s="664">
        <v>3.9750193418004436E-3</v>
      </c>
      <c r="AB189" s="671">
        <v>2.489121087745268E-3</v>
      </c>
      <c r="AC189" s="665">
        <v>0</v>
      </c>
      <c r="AD189" s="672">
        <v>3.3369851726431374</v>
      </c>
      <c r="AE189" s="653">
        <f t="shared" si="109"/>
        <v>0</v>
      </c>
      <c r="AF189" s="654">
        <f t="shared" si="110"/>
        <v>3.9142579794642747</v>
      </c>
      <c r="AG189" s="655">
        <f t="shared" si="111"/>
        <v>3.9142579794642747</v>
      </c>
      <c r="AH189" s="670">
        <v>6.7941617025652542E-3</v>
      </c>
      <c r="AI189" s="664">
        <v>4.744768120528548E-3</v>
      </c>
      <c r="AJ189" s="664">
        <v>4.9955927874714926E-3</v>
      </c>
      <c r="AK189" s="671">
        <v>3.1281949303550603E-3</v>
      </c>
      <c r="AL189" s="665">
        <v>3.5025607728124593</v>
      </c>
      <c r="AM189" s="672">
        <v>0</v>
      </c>
      <c r="AN189" s="653">
        <f t="shared" si="112"/>
        <v>3.7442374661365188</v>
      </c>
      <c r="AO189" s="654">
        <f t="shared" si="113"/>
        <v>0</v>
      </c>
      <c r="AP189" s="655">
        <f t="shared" si="114"/>
        <v>0</v>
      </c>
      <c r="AQ189" s="382">
        <v>1.7554481400588906E-3</v>
      </c>
      <c r="AR189" s="383">
        <v>1.7554481400588906E-3</v>
      </c>
      <c r="AS189" s="440"/>
      <c r="AT189" s="377">
        <v>2023</v>
      </c>
      <c r="AU189" s="384"/>
      <c r="AV189" s="385">
        <v>4.3215557052740834E-2</v>
      </c>
      <c r="AW189" s="386">
        <v>2.9284936664899931E-2</v>
      </c>
      <c r="AX189" s="386">
        <v>3.3423980256392365E-2</v>
      </c>
      <c r="AY189" s="387">
        <v>2.1146398812907689E-2</v>
      </c>
      <c r="AZ189" s="388" t="s">
        <v>517</v>
      </c>
      <c r="BA189" s="389">
        <v>29.811955858882932</v>
      </c>
      <c r="BB189" s="785">
        <f t="shared" si="115"/>
        <v>0</v>
      </c>
      <c r="BC189" s="786">
        <f t="shared" si="116"/>
        <v>34.969195266648683</v>
      </c>
      <c r="BD189" s="787">
        <f t="shared" si="117"/>
        <v>34.969195266648683</v>
      </c>
      <c r="BE189" s="385">
        <v>5.4311012489677853E-2</v>
      </c>
      <c r="BF189" s="386">
        <v>3.6803750071432481E-2</v>
      </c>
      <c r="BG189" s="386">
        <v>4.2005479807752273E-2</v>
      </c>
      <c r="BH189" s="387">
        <v>2.6575668772195055E-2</v>
      </c>
      <c r="BI189" s="388">
        <v>31.291175042720681</v>
      </c>
      <c r="BJ189" s="389" t="s">
        <v>517</v>
      </c>
      <c r="BK189" s="785">
        <f t="shared" si="118"/>
        <v>33.45026612066841</v>
      </c>
      <c r="BL189" s="786">
        <f t="shared" si="119"/>
        <v>0</v>
      </c>
      <c r="BM189" s="787">
        <f t="shared" si="120"/>
        <v>0</v>
      </c>
      <c r="BN189" s="440"/>
      <c r="BO189" s="377">
        <v>2023</v>
      </c>
      <c r="BP189" s="381"/>
      <c r="BQ189" s="673">
        <v>94</v>
      </c>
      <c r="BR189" s="674">
        <v>0.1</v>
      </c>
      <c r="BS189" s="675">
        <v>5.8756932314410486</v>
      </c>
      <c r="BT189" s="655">
        <f t="shared" si="141"/>
        <v>5.8756932314410486</v>
      </c>
      <c r="BU189" s="674">
        <v>0.2</v>
      </c>
      <c r="BV189" s="675">
        <v>8.1056250000000016</v>
      </c>
      <c r="BW189" s="655">
        <f t="shared" si="121"/>
        <v>8.1056250000000016</v>
      </c>
      <c r="BX189" s="655">
        <f t="shared" si="142"/>
        <v>6.7836053495633193</v>
      </c>
      <c r="BY189" s="655">
        <f t="shared" si="122"/>
        <v>9.3581061750000032</v>
      </c>
      <c r="BZ189" s="440"/>
      <c r="CA189" s="648">
        <f t="shared" si="123"/>
        <v>5.8386420499460098E-3</v>
      </c>
      <c r="CB189" s="649">
        <f t="shared" si="124"/>
        <v>4.0774717880649684E-3</v>
      </c>
      <c r="CC189" s="649">
        <f t="shared" si="125"/>
        <v>4.2930208891444792E-3</v>
      </c>
      <c r="CD189" s="650">
        <f t="shared" si="126"/>
        <v>2.6882507747648895E-3</v>
      </c>
      <c r="CE189" s="648">
        <f t="shared" si="127"/>
        <v>7.3376946387704754E-3</v>
      </c>
      <c r="CF189" s="649">
        <f t="shared" si="128"/>
        <v>5.1243495701708318E-3</v>
      </c>
      <c r="CG189" s="649">
        <f t="shared" si="129"/>
        <v>5.3952402104692123E-3</v>
      </c>
      <c r="CH189" s="650">
        <f t="shared" si="130"/>
        <v>3.3784505247834652E-3</v>
      </c>
      <c r="CI189" s="648">
        <f t="shared" si="131"/>
        <v>1.8958839912636019E-3</v>
      </c>
      <c r="CJ189" s="650">
        <f t="shared" si="132"/>
        <v>1.8958839912636019E-3</v>
      </c>
      <c r="CK189" s="440"/>
      <c r="CL189" s="667">
        <f t="shared" si="133"/>
        <v>0.115452</v>
      </c>
      <c r="CM189" s="1331">
        <f t="shared" si="134"/>
        <v>6.7836053495633193</v>
      </c>
      <c r="CN189" s="655">
        <f t="shared" si="135"/>
        <v>6.7836053495633193</v>
      </c>
      <c r="CO189" s="667">
        <f t="shared" si="136"/>
        <v>0.230904</v>
      </c>
      <c r="CP189" s="1331">
        <f t="shared" si="137"/>
        <v>9.3581061750000032</v>
      </c>
      <c r="CQ189" s="655">
        <f t="shared" si="138"/>
        <v>9.3581061750000032</v>
      </c>
      <c r="CR189" s="808"/>
    </row>
    <row r="190" spans="2:96">
      <c r="B190" s="425">
        <v>2024</v>
      </c>
      <c r="C190" s="381"/>
      <c r="D190" s="663">
        <v>5.8031077459170327E-2</v>
      </c>
      <c r="E190" s="664">
        <v>5.4471517262983465E-2</v>
      </c>
      <c r="F190" s="664">
        <v>4.0856829164988374E-2</v>
      </c>
      <c r="G190" s="664">
        <v>3.7243473125288952E-2</v>
      </c>
      <c r="H190" s="663">
        <v>5.0142776750843193E-3</v>
      </c>
      <c r="I190" s="648">
        <f t="shared" si="139"/>
        <v>7.2787123409599683E-2</v>
      </c>
      <c r="J190" s="649">
        <f t="shared" si="104"/>
        <v>6.8677539971898016E-2</v>
      </c>
      <c r="K190" s="649">
        <f t="shared" si="105"/>
        <v>5.2959110269000728E-2</v>
      </c>
      <c r="L190" s="650">
        <f t="shared" si="106"/>
        <v>4.8787418454046945E-2</v>
      </c>
      <c r="M190" s="665">
        <v>61.24</v>
      </c>
      <c r="N190" s="666">
        <v>36.039740000000002</v>
      </c>
      <c r="O190" s="667">
        <f t="shared" si="107"/>
        <v>65.465559999999996</v>
      </c>
      <c r="P190" s="668">
        <f t="shared" si="108"/>
        <v>42.274338234796801</v>
      </c>
      <c r="Q190" s="669">
        <f t="shared" si="140"/>
        <v>42.274338234796801</v>
      </c>
      <c r="R190" s="670">
        <v>4.2404336799778355E-2</v>
      </c>
      <c r="S190" s="664">
        <v>4.3308062695722759E-2</v>
      </c>
      <c r="T190" s="664">
        <v>4.1308854507826002E-2</v>
      </c>
      <c r="U190" s="671">
        <v>4.1571352252612478E-2</v>
      </c>
      <c r="V190" s="440"/>
      <c r="W190" s="377">
        <v>2024</v>
      </c>
      <c r="X190" s="381"/>
      <c r="Y190" s="670">
        <v>4.3376167436330075E-3</v>
      </c>
      <c r="Z190" s="664">
        <v>3.2803089319613757E-3</v>
      </c>
      <c r="AA190" s="664">
        <v>2.9215783551557917E-3</v>
      </c>
      <c r="AB190" s="671">
        <v>2.1287652787624262E-3</v>
      </c>
      <c r="AC190" s="665">
        <v>0</v>
      </c>
      <c r="AD190" s="672">
        <v>5.8351498568853684</v>
      </c>
      <c r="AE190" s="653">
        <f t="shared" si="109"/>
        <v>0</v>
      </c>
      <c r="AF190" s="654">
        <f t="shared" si="110"/>
        <v>6.8445859681756369</v>
      </c>
      <c r="AG190" s="655">
        <f t="shared" si="111"/>
        <v>6.8445859681756369</v>
      </c>
      <c r="AH190" s="670">
        <v>5.5981067618925389E-3</v>
      </c>
      <c r="AI190" s="664">
        <v>4.2335505182804489E-3</v>
      </c>
      <c r="AJ190" s="664">
        <v>3.7705746062982031E-3</v>
      </c>
      <c r="AK190" s="671">
        <v>2.747373962675357E-3</v>
      </c>
      <c r="AL190" s="665">
        <v>0</v>
      </c>
      <c r="AM190" s="672">
        <v>3.3869029020064367</v>
      </c>
      <c r="AN190" s="653">
        <f t="shared" si="112"/>
        <v>0</v>
      </c>
      <c r="AO190" s="654">
        <f t="shared" si="113"/>
        <v>3.972811092639263</v>
      </c>
      <c r="AP190" s="655">
        <f t="shared" si="114"/>
        <v>3.972811092639263</v>
      </c>
      <c r="AQ190" s="382">
        <v>1.1302593848762665E-3</v>
      </c>
      <c r="AR190" s="383">
        <v>1.1302593848762665E-3</v>
      </c>
      <c r="AS190" s="440"/>
      <c r="AT190" s="377">
        <v>2024</v>
      </c>
      <c r="AU190" s="384"/>
      <c r="AV190" s="385">
        <v>3.4926710112670574E-2</v>
      </c>
      <c r="AW190" s="386">
        <v>2.5552649872496159E-2</v>
      </c>
      <c r="AX190" s="386">
        <v>2.4755287250138897E-2</v>
      </c>
      <c r="AY190" s="387">
        <v>1.8401510469076902E-2</v>
      </c>
      <c r="AZ190" s="388" t="s">
        <v>517</v>
      </c>
      <c r="BA190" s="389">
        <v>52.025564060184912</v>
      </c>
      <c r="BB190" s="785">
        <f t="shared" si="115"/>
        <v>0</v>
      </c>
      <c r="BC190" s="786">
        <f t="shared" si="116"/>
        <v>61.02558708626492</v>
      </c>
      <c r="BD190" s="787">
        <f t="shared" si="117"/>
        <v>61.02558708626492</v>
      </c>
      <c r="BE190" s="385">
        <v>4.5076239697617773E-2</v>
      </c>
      <c r="BF190" s="386">
        <v>3.2978123815448825E-2</v>
      </c>
      <c r="BG190" s="386">
        <v>3.1949051550258352E-2</v>
      </c>
      <c r="BH190" s="387">
        <v>2.3748898594414734E-2</v>
      </c>
      <c r="BI190" s="388" t="s">
        <v>517</v>
      </c>
      <c r="BJ190" s="389">
        <v>30.197259404750806</v>
      </c>
      <c r="BK190" s="785">
        <f t="shared" si="118"/>
        <v>0</v>
      </c>
      <c r="BL190" s="786">
        <f t="shared" si="119"/>
        <v>35.421153366820469</v>
      </c>
      <c r="BM190" s="787">
        <f t="shared" si="120"/>
        <v>35.421153366820469</v>
      </c>
      <c r="BN190" s="440"/>
      <c r="BO190" s="377">
        <v>2024</v>
      </c>
      <c r="BP190" s="381"/>
      <c r="BQ190" s="673">
        <v>94</v>
      </c>
      <c r="BR190" s="674" t="s">
        <v>517</v>
      </c>
      <c r="BS190" s="675">
        <v>4.6359815737970704</v>
      </c>
      <c r="BT190" s="655">
        <f t="shared" si="141"/>
        <v>4.6359815737970704</v>
      </c>
      <c r="BU190" s="674">
        <v>0.1</v>
      </c>
      <c r="BV190" s="675">
        <v>6.2406854602510453</v>
      </c>
      <c r="BW190" s="655">
        <f t="shared" si="121"/>
        <v>6.2406854602510453</v>
      </c>
      <c r="BX190" s="655">
        <f t="shared" si="142"/>
        <v>5.3523334465801939</v>
      </c>
      <c r="BY190" s="655">
        <f t="shared" si="122"/>
        <v>7.2049961775690372</v>
      </c>
      <c r="BZ190" s="440"/>
      <c r="CA190" s="648">
        <f t="shared" si="123"/>
        <v>4.6846260831236485E-3</v>
      </c>
      <c r="CB190" s="649">
        <f t="shared" si="124"/>
        <v>3.5427336465182861E-3</v>
      </c>
      <c r="CC190" s="649">
        <f t="shared" si="125"/>
        <v>3.155304623568255E-3</v>
      </c>
      <c r="CD190" s="650">
        <f t="shared" si="126"/>
        <v>2.2990665010634206E-3</v>
      </c>
      <c r="CE190" s="648">
        <f t="shared" si="127"/>
        <v>6.0459553028439422E-3</v>
      </c>
      <c r="CF190" s="649">
        <f t="shared" si="128"/>
        <v>4.5722345597428854E-3</v>
      </c>
      <c r="CG190" s="649">
        <f t="shared" si="129"/>
        <v>4.0722205748020598E-3</v>
      </c>
      <c r="CH190" s="650">
        <f t="shared" si="130"/>
        <v>2.9671638796893857E-3</v>
      </c>
      <c r="CI190" s="648">
        <f t="shared" si="131"/>
        <v>1.2206801356663679E-3</v>
      </c>
      <c r="CJ190" s="650">
        <f t="shared" si="132"/>
        <v>1.2206801356663679E-3</v>
      </c>
      <c r="CK190" s="440"/>
      <c r="CL190" s="667">
        <f t="shared" si="133"/>
        <v>0</v>
      </c>
      <c r="CM190" s="1331">
        <f t="shared" si="134"/>
        <v>5.3523334465801939</v>
      </c>
      <c r="CN190" s="655">
        <f t="shared" si="135"/>
        <v>5.3523334465801939</v>
      </c>
      <c r="CO190" s="667">
        <f t="shared" si="136"/>
        <v>0.115452</v>
      </c>
      <c r="CP190" s="1331">
        <f t="shared" si="137"/>
        <v>7.2049961775690372</v>
      </c>
      <c r="CQ190" s="655">
        <f t="shared" si="138"/>
        <v>7.2049961775690372</v>
      </c>
      <c r="CR190" s="808"/>
    </row>
    <row r="191" spans="2:96">
      <c r="B191" s="425">
        <v>2025</v>
      </c>
      <c r="C191" s="381"/>
      <c r="D191" s="663">
        <v>5.488607661284834E-2</v>
      </c>
      <c r="E191" s="664">
        <v>5.1937894652766076E-2</v>
      </c>
      <c r="F191" s="664">
        <v>4.3111419723713226E-2</v>
      </c>
      <c r="G191" s="664">
        <v>3.8579698309879333E-2</v>
      </c>
      <c r="H191" s="663">
        <v>4.1326410935536026E-3</v>
      </c>
      <c r="I191" s="648">
        <f t="shared" si="139"/>
        <v>6.8138289966395177E-2</v>
      </c>
      <c r="J191" s="649">
        <f t="shared" si="104"/>
        <v>6.4734554929840996E-2</v>
      </c>
      <c r="K191" s="649">
        <f t="shared" si="105"/>
        <v>5.4544213094750903E-2</v>
      </c>
      <c r="L191" s="650">
        <f t="shared" si="106"/>
        <v>4.9312250088051394E-2</v>
      </c>
      <c r="M191" s="665">
        <v>65.650000000000006</v>
      </c>
      <c r="N191" s="666">
        <v>53.905214999999998</v>
      </c>
      <c r="O191" s="667">
        <f t="shared" si="107"/>
        <v>70.179850000000002</v>
      </c>
      <c r="P191" s="668">
        <f t="shared" si="108"/>
        <v>63.2304032029488</v>
      </c>
      <c r="Q191" s="669">
        <f t="shared" si="140"/>
        <v>63.2304032029488</v>
      </c>
      <c r="R191" s="670">
        <v>4.2052035427101966E-2</v>
      </c>
      <c r="S191" s="664">
        <v>4.2948253037392296E-2</v>
      </c>
      <c r="T191" s="664">
        <v>4.0965654560718899E-2</v>
      </c>
      <c r="U191" s="671">
        <v>4.1225971436217181E-2</v>
      </c>
      <c r="V191" s="440"/>
      <c r="W191" s="377">
        <v>2025</v>
      </c>
      <c r="X191" s="381"/>
      <c r="Y191" s="670">
        <v>2.9311358704410856E-3</v>
      </c>
      <c r="Z191" s="664">
        <v>2.2152378775547755E-3</v>
      </c>
      <c r="AA191" s="664">
        <v>2.2148039982925888E-3</v>
      </c>
      <c r="AB191" s="671">
        <v>1.5824313055942966E-3</v>
      </c>
      <c r="AC191" s="665">
        <v>0</v>
      </c>
      <c r="AD191" s="672">
        <v>95.554712513111738</v>
      </c>
      <c r="AE191" s="653">
        <f t="shared" si="109"/>
        <v>0</v>
      </c>
      <c r="AF191" s="654">
        <f t="shared" si="110"/>
        <v>112.08494391768798</v>
      </c>
      <c r="AG191" s="655">
        <f t="shared" si="111"/>
        <v>112.08494391768798</v>
      </c>
      <c r="AH191" s="670">
        <v>4.0348363077303091E-3</v>
      </c>
      <c r="AI191" s="664">
        <v>3.0493715111447233E-3</v>
      </c>
      <c r="AJ191" s="664">
        <v>3.0487742574254752E-3</v>
      </c>
      <c r="AK191" s="671">
        <v>2.1782856778113577E-3</v>
      </c>
      <c r="AL191" s="665">
        <v>0</v>
      </c>
      <c r="AM191" s="672">
        <v>74.939998888514168</v>
      </c>
      <c r="AN191" s="653">
        <f t="shared" si="112"/>
        <v>0</v>
      </c>
      <c r="AO191" s="654">
        <f t="shared" si="113"/>
        <v>87.904043157035659</v>
      </c>
      <c r="AP191" s="655">
        <f t="shared" si="114"/>
        <v>87.904043157035659</v>
      </c>
      <c r="AQ191" s="382">
        <v>8.5596327018859952E-4</v>
      </c>
      <c r="AR191" s="383">
        <v>8.5596327018859952E-4</v>
      </c>
      <c r="AS191" s="440"/>
      <c r="AT191" s="377">
        <v>2025</v>
      </c>
      <c r="AU191" s="384"/>
      <c r="AV191" s="385">
        <v>2.32716386644077E-2</v>
      </c>
      <c r="AW191" s="386">
        <v>1.7099831726952602E-2</v>
      </c>
      <c r="AX191" s="386">
        <v>1.8476441536255425E-2</v>
      </c>
      <c r="AY191" s="387">
        <v>1.347536356128674E-2</v>
      </c>
      <c r="AZ191" s="388" t="s">
        <v>517</v>
      </c>
      <c r="BA191" s="389">
        <v>854.69234223010119</v>
      </c>
      <c r="BB191" s="785">
        <f t="shared" si="115"/>
        <v>0</v>
      </c>
      <c r="BC191" s="786">
        <f t="shared" si="116"/>
        <v>1002.5475533987204</v>
      </c>
      <c r="BD191" s="787">
        <f t="shared" si="117"/>
        <v>1002.5475533987204</v>
      </c>
      <c r="BE191" s="385">
        <v>3.203442514229228E-2</v>
      </c>
      <c r="BF191" s="386">
        <v>2.3538663834646621E-2</v>
      </c>
      <c r="BG191" s="386">
        <v>2.5433627250080817E-2</v>
      </c>
      <c r="BH191" s="387">
        <v>1.8549425396907258E-2</v>
      </c>
      <c r="BI191" s="388" t="s">
        <v>517</v>
      </c>
      <c r="BJ191" s="389">
        <v>670.30334237002194</v>
      </c>
      <c r="BK191" s="785">
        <f t="shared" si="118"/>
        <v>0</v>
      </c>
      <c r="BL191" s="786">
        <f t="shared" si="119"/>
        <v>786.26067267036638</v>
      </c>
      <c r="BM191" s="787">
        <f t="shared" si="120"/>
        <v>786.26067267036638</v>
      </c>
      <c r="BN191" s="440"/>
      <c r="BO191" s="377">
        <v>2025</v>
      </c>
      <c r="BP191" s="381"/>
      <c r="BQ191" s="673">
        <v>94</v>
      </c>
      <c r="BR191" s="674" t="s">
        <v>517</v>
      </c>
      <c r="BS191" s="675">
        <v>8.2769585174418605</v>
      </c>
      <c r="BT191" s="655">
        <f t="shared" si="141"/>
        <v>8.2769585174418605</v>
      </c>
      <c r="BU191" s="674" t="s">
        <v>517</v>
      </c>
      <c r="BV191" s="675">
        <v>8.977801501937984</v>
      </c>
      <c r="BW191" s="655">
        <f t="shared" si="121"/>
        <v>8.977801501937984</v>
      </c>
      <c r="BX191" s="655">
        <f t="shared" si="142"/>
        <v>9.5559141475569778</v>
      </c>
      <c r="BY191" s="655">
        <f t="shared" si="122"/>
        <v>10.365051390017442</v>
      </c>
      <c r="BZ191" s="440"/>
      <c r="CA191" s="648">
        <f t="shared" si="123"/>
        <v>3.1656267400763725E-3</v>
      </c>
      <c r="CB191" s="649">
        <f t="shared" si="124"/>
        <v>2.3924569077591576E-3</v>
      </c>
      <c r="CC191" s="649">
        <f t="shared" si="125"/>
        <v>2.3919883181559962E-3</v>
      </c>
      <c r="CD191" s="650">
        <f t="shared" si="126"/>
        <v>1.7090258100418405E-3</v>
      </c>
      <c r="CE191" s="648">
        <f t="shared" si="127"/>
        <v>4.3576232123487338E-3</v>
      </c>
      <c r="CF191" s="649">
        <f t="shared" si="128"/>
        <v>3.2933212320363013E-3</v>
      </c>
      <c r="CG191" s="649">
        <f t="shared" si="129"/>
        <v>3.2926761980195136E-3</v>
      </c>
      <c r="CH191" s="650">
        <f t="shared" si="130"/>
        <v>2.3525485320362665E-3</v>
      </c>
      <c r="CI191" s="648">
        <f t="shared" si="131"/>
        <v>9.244403318036875E-4</v>
      </c>
      <c r="CJ191" s="650">
        <f t="shared" si="132"/>
        <v>9.244403318036875E-4</v>
      </c>
      <c r="CK191" s="440"/>
      <c r="CL191" s="667">
        <f t="shared" si="133"/>
        <v>0</v>
      </c>
      <c r="CM191" s="1331">
        <f t="shared" si="134"/>
        <v>9.5559141475569778</v>
      </c>
      <c r="CN191" s="655">
        <f t="shared" si="135"/>
        <v>9.5559141475569778</v>
      </c>
      <c r="CO191" s="667">
        <f t="shared" si="136"/>
        <v>0</v>
      </c>
      <c r="CP191" s="1331">
        <f t="shared" si="137"/>
        <v>10.365051390017442</v>
      </c>
      <c r="CQ191" s="655">
        <f t="shared" si="138"/>
        <v>10.365051390017442</v>
      </c>
      <c r="CR191" s="808"/>
    </row>
    <row r="192" spans="2:96">
      <c r="B192" s="425">
        <v>2026</v>
      </c>
      <c r="C192" s="381"/>
      <c r="D192" s="663">
        <v>5.5159867031175806E-2</v>
      </c>
      <c r="E192" s="664">
        <v>5.1742704245029934E-2</v>
      </c>
      <c r="F192" s="664">
        <v>4.67582544705012E-2</v>
      </c>
      <c r="G192" s="664">
        <v>4.0937811375294023E-2</v>
      </c>
      <c r="H192" s="663">
        <v>3.4129106998711735E-3</v>
      </c>
      <c r="I192" s="648">
        <f t="shared" si="139"/>
        <v>6.7623443346048362E-2</v>
      </c>
      <c r="J192" s="649">
        <f t="shared" si="104"/>
        <v>6.3678260566187223E-2</v>
      </c>
      <c r="K192" s="649">
        <f t="shared" si="105"/>
        <v>5.7923613612498315E-2</v>
      </c>
      <c r="L192" s="650">
        <f t="shared" si="106"/>
        <v>5.1203795650219722E-2</v>
      </c>
      <c r="M192" s="665">
        <v>71.16</v>
      </c>
      <c r="N192" s="666">
        <v>74.867436000000012</v>
      </c>
      <c r="O192" s="667">
        <f t="shared" si="107"/>
        <v>76.070039999999992</v>
      </c>
      <c r="P192" s="668">
        <f t="shared" si="108"/>
        <v>87.818927446091536</v>
      </c>
      <c r="Q192" s="669">
        <f t="shared" si="140"/>
        <v>87.818927446091536</v>
      </c>
      <c r="R192" s="670">
        <v>4.1716041597023745E-2</v>
      </c>
      <c r="S192" s="664">
        <v>4.2605098469803829E-2</v>
      </c>
      <c r="T192" s="664">
        <v>4.0638340863825957E-2</v>
      </c>
      <c r="U192" s="671">
        <v>4.0896577819454862E-2</v>
      </c>
      <c r="V192" s="440"/>
      <c r="W192" s="377">
        <v>2026</v>
      </c>
      <c r="X192" s="381"/>
      <c r="Y192" s="670">
        <v>1.5525890401777418E-3</v>
      </c>
      <c r="Z192" s="664">
        <v>1.1487004925684924E-3</v>
      </c>
      <c r="AA192" s="664">
        <v>1.2712832807079244E-3</v>
      </c>
      <c r="AB192" s="671">
        <v>8.815451692090146E-4</v>
      </c>
      <c r="AC192" s="665">
        <v>0</v>
      </c>
      <c r="AD192" s="672">
        <v>112.7605110580855</v>
      </c>
      <c r="AE192" s="653">
        <f t="shared" si="109"/>
        <v>0</v>
      </c>
      <c r="AF192" s="654">
        <f t="shared" si="110"/>
        <v>132.26721347040936</v>
      </c>
      <c r="AG192" s="655">
        <f t="shared" si="111"/>
        <v>132.26721347040936</v>
      </c>
      <c r="AH192" s="670">
        <v>2.8768119787890992E-3</v>
      </c>
      <c r="AI192" s="664">
        <v>2.1284417521610639E-3</v>
      </c>
      <c r="AJ192" s="664">
        <v>2.3555769593453894E-3</v>
      </c>
      <c r="AK192" s="671">
        <v>1.6334262557552437E-3</v>
      </c>
      <c r="AL192" s="665">
        <v>0</v>
      </c>
      <c r="AM192" s="672">
        <v>101.98351764715248</v>
      </c>
      <c r="AN192" s="653">
        <f t="shared" si="112"/>
        <v>0</v>
      </c>
      <c r="AO192" s="654">
        <f t="shared" si="113"/>
        <v>119.62588296669433</v>
      </c>
      <c r="AP192" s="655">
        <f t="shared" si="114"/>
        <v>119.62588296669433</v>
      </c>
      <c r="AQ192" s="382">
        <v>5.9059694831179691E-4</v>
      </c>
      <c r="AR192" s="383">
        <v>5.9059694831179691E-4</v>
      </c>
      <c r="AS192" s="440"/>
      <c r="AT192" s="377">
        <v>2026</v>
      </c>
      <c r="AU192" s="384"/>
      <c r="AV192" s="385">
        <v>1.2165168600708411E-2</v>
      </c>
      <c r="AW192" s="386">
        <v>8.7527135951031253E-3</v>
      </c>
      <c r="AX192" s="386">
        <v>1.0487143917855862E-2</v>
      </c>
      <c r="AY192" s="387">
        <v>7.3433163561046587E-3</v>
      </c>
      <c r="AZ192" s="388" t="s">
        <v>517</v>
      </c>
      <c r="BA192" s="389">
        <v>1009.3157370315264</v>
      </c>
      <c r="BB192" s="785">
        <f t="shared" si="115"/>
        <v>0</v>
      </c>
      <c r="BC192" s="786">
        <f t="shared" si="116"/>
        <v>1183.9196079931203</v>
      </c>
      <c r="BD192" s="787">
        <f t="shared" si="117"/>
        <v>1183.9196079931203</v>
      </c>
      <c r="BE192" s="385">
        <v>2.2540995620129133E-2</v>
      </c>
      <c r="BF192" s="386">
        <v>1.6218014339725247E-2</v>
      </c>
      <c r="BG192" s="386">
        <v>1.9431762343703744E-2</v>
      </c>
      <c r="BH192" s="387">
        <v>1.3606524270492951E-2</v>
      </c>
      <c r="BI192" s="388" t="s">
        <v>517</v>
      </c>
      <c r="BJ192" s="389">
        <v>912.85121283354204</v>
      </c>
      <c r="BK192" s="785">
        <f t="shared" si="118"/>
        <v>0</v>
      </c>
      <c r="BL192" s="786">
        <f t="shared" si="119"/>
        <v>1070.7674619564302</v>
      </c>
      <c r="BM192" s="787">
        <f t="shared" si="120"/>
        <v>1070.7674619564302</v>
      </c>
      <c r="BN192" s="440"/>
      <c r="BO192" s="377">
        <v>2026</v>
      </c>
      <c r="BP192" s="381"/>
      <c r="BQ192" s="673">
        <v>94</v>
      </c>
      <c r="BR192" s="674" t="s">
        <v>517</v>
      </c>
      <c r="BS192" s="675">
        <v>7.6259482528409084</v>
      </c>
      <c r="BT192" s="655">
        <f t="shared" si="141"/>
        <v>7.6259482528409084</v>
      </c>
      <c r="BU192" s="674" t="s">
        <v>517</v>
      </c>
      <c r="BV192" s="675">
        <v>9.023941072443181</v>
      </c>
      <c r="BW192" s="655">
        <f t="shared" si="121"/>
        <v>9.023941072443181</v>
      </c>
      <c r="BX192" s="655">
        <f t="shared" si="142"/>
        <v>8.8043097768698857</v>
      </c>
      <c r="BY192" s="655">
        <f t="shared" si="122"/>
        <v>10.418320446957102</v>
      </c>
      <c r="BZ192" s="440"/>
      <c r="CA192" s="648">
        <f t="shared" si="123"/>
        <v>1.6767961633919613E-3</v>
      </c>
      <c r="CB192" s="649">
        <f t="shared" si="124"/>
        <v>1.2405965319739719E-3</v>
      </c>
      <c r="CC192" s="649">
        <f t="shared" si="125"/>
        <v>1.3729859431645583E-3</v>
      </c>
      <c r="CD192" s="650">
        <f t="shared" si="126"/>
        <v>9.5206878274573588E-4</v>
      </c>
      <c r="CE192" s="648">
        <f t="shared" si="127"/>
        <v>3.1069569370922273E-3</v>
      </c>
      <c r="CF192" s="649">
        <f t="shared" si="128"/>
        <v>2.2987170923339491E-3</v>
      </c>
      <c r="CG192" s="649">
        <f t="shared" si="129"/>
        <v>2.5440231160930209E-3</v>
      </c>
      <c r="CH192" s="650">
        <f t="shared" si="130"/>
        <v>1.7641003562156633E-3</v>
      </c>
      <c r="CI192" s="648">
        <f t="shared" si="131"/>
        <v>6.3784470417674072E-4</v>
      </c>
      <c r="CJ192" s="650">
        <f t="shared" si="132"/>
        <v>6.3784470417674072E-4</v>
      </c>
      <c r="CK192" s="440"/>
      <c r="CL192" s="667">
        <f t="shared" si="133"/>
        <v>0</v>
      </c>
      <c r="CM192" s="1331">
        <f t="shared" si="134"/>
        <v>8.8043097768698857</v>
      </c>
      <c r="CN192" s="655">
        <f t="shared" si="135"/>
        <v>8.8043097768698857</v>
      </c>
      <c r="CO192" s="667">
        <f t="shared" si="136"/>
        <v>0</v>
      </c>
      <c r="CP192" s="1331">
        <f t="shared" si="137"/>
        <v>10.418320446957102</v>
      </c>
      <c r="CQ192" s="655">
        <f t="shared" si="138"/>
        <v>10.418320446957102</v>
      </c>
      <c r="CR192" s="808"/>
    </row>
    <row r="193" spans="1:96">
      <c r="B193" s="425">
        <v>2027</v>
      </c>
      <c r="C193" s="381"/>
      <c r="D193" s="663">
        <v>5.9556106718148483E-2</v>
      </c>
      <c r="E193" s="664">
        <v>5.5791453918495812E-2</v>
      </c>
      <c r="F193" s="664">
        <v>4.4753903467477006E-2</v>
      </c>
      <c r="G193" s="664">
        <v>3.880699389441742E-2</v>
      </c>
      <c r="H193" s="663">
        <v>2.7023840356599142E-3</v>
      </c>
      <c r="I193" s="648">
        <f t="shared" si="139"/>
        <v>7.1878672745086872E-2</v>
      </c>
      <c r="J193" s="649">
        <f t="shared" si="104"/>
        <v>6.7532305794831868E-2</v>
      </c>
      <c r="K193" s="649">
        <f t="shared" si="105"/>
        <v>5.4789233048121638E-2</v>
      </c>
      <c r="L193" s="650">
        <f t="shared" si="106"/>
        <v>4.7923407007832881E-2</v>
      </c>
      <c r="M193" s="665">
        <v>76.849999999999994</v>
      </c>
      <c r="N193" s="666">
        <v>89.530249999999995</v>
      </c>
      <c r="O193" s="667">
        <f t="shared" si="107"/>
        <v>82.152649999999994</v>
      </c>
      <c r="P193" s="668">
        <f t="shared" si="108"/>
        <v>105.01829565768</v>
      </c>
      <c r="Q193" s="669">
        <f t="shared" si="140"/>
        <v>105.01829565768</v>
      </c>
      <c r="R193" s="670">
        <v>4.1408580492939578E-2</v>
      </c>
      <c r="S193" s="664">
        <v>4.2291084720808163E-2</v>
      </c>
      <c r="T193" s="664">
        <v>4.0338822772659988E-2</v>
      </c>
      <c r="U193" s="671">
        <v>4.0595156436019214E-2</v>
      </c>
      <c r="V193" s="440"/>
      <c r="W193" s="377">
        <v>2027</v>
      </c>
      <c r="X193" s="381"/>
      <c r="Y193" s="670">
        <v>9.4770914137184059E-4</v>
      </c>
      <c r="Z193" s="664">
        <v>7.1095421661470498E-4</v>
      </c>
      <c r="AA193" s="664">
        <v>6.8956849562192804E-4</v>
      </c>
      <c r="AB193" s="671">
        <v>4.7627710048236922E-4</v>
      </c>
      <c r="AC193" s="665">
        <v>0</v>
      </c>
      <c r="AD193" s="672">
        <v>110.42881648408525</v>
      </c>
      <c r="AE193" s="653">
        <f t="shared" si="109"/>
        <v>0</v>
      </c>
      <c r="AF193" s="654">
        <f t="shared" si="110"/>
        <v>129.53215364252139</v>
      </c>
      <c r="AG193" s="655">
        <f t="shared" si="111"/>
        <v>129.53215364252139</v>
      </c>
      <c r="AH193" s="670">
        <v>1.5987475233250913E-3</v>
      </c>
      <c r="AI193" s="664">
        <v>1.1993514079277226E-3</v>
      </c>
      <c r="AJ193" s="664">
        <v>1.1632745495550876E-3</v>
      </c>
      <c r="AK193" s="671">
        <v>8.0346047280964688E-4</v>
      </c>
      <c r="AL193" s="665">
        <v>0</v>
      </c>
      <c r="AM193" s="672">
        <v>118.73934876019942</v>
      </c>
      <c r="AN193" s="653">
        <f t="shared" si="112"/>
        <v>0</v>
      </c>
      <c r="AO193" s="654">
        <f t="shared" si="113"/>
        <v>139.28034417751545</v>
      </c>
      <c r="AP193" s="655">
        <f t="shared" si="114"/>
        <v>139.28034417751545</v>
      </c>
      <c r="AQ193" s="382">
        <v>3.3725628346215931E-4</v>
      </c>
      <c r="AR193" s="383">
        <v>3.3725628346215931E-4</v>
      </c>
      <c r="AS193" s="440"/>
      <c r="AT193" s="377">
        <v>2027</v>
      </c>
      <c r="AU193" s="384"/>
      <c r="AV193" s="385">
        <v>7.4721330673594519E-3</v>
      </c>
      <c r="AW193" s="386">
        <v>5.4591959295560155E-3</v>
      </c>
      <c r="AX193" s="386">
        <v>5.6989497035486976E-3</v>
      </c>
      <c r="AY193" s="387">
        <v>3.9898151741748003E-3</v>
      </c>
      <c r="AZ193" s="388" t="s">
        <v>517</v>
      </c>
      <c r="BA193" s="389">
        <v>988.44481328875258</v>
      </c>
      <c r="BB193" s="785">
        <f t="shared" si="115"/>
        <v>0</v>
      </c>
      <c r="BC193" s="786">
        <f t="shared" si="116"/>
        <v>1159.4381747315408</v>
      </c>
      <c r="BD193" s="787">
        <f t="shared" si="117"/>
        <v>1159.4381747315408</v>
      </c>
      <c r="BE193" s="385">
        <v>1.2605190468147358E-2</v>
      </c>
      <c r="BF193" s="386">
        <v>9.2094458001008711E-3</v>
      </c>
      <c r="BG193" s="386">
        <v>9.6139008545533325E-3</v>
      </c>
      <c r="BH193" s="387">
        <v>6.7306590701482934E-3</v>
      </c>
      <c r="BI193" s="388" t="s">
        <v>517</v>
      </c>
      <c r="BJ193" s="389">
        <v>1062.8321225575944</v>
      </c>
      <c r="BK193" s="785">
        <f t="shared" si="118"/>
        <v>0</v>
      </c>
      <c r="BL193" s="786">
        <f t="shared" si="119"/>
        <v>1246.6939172093571</v>
      </c>
      <c r="BM193" s="787">
        <f t="shared" si="120"/>
        <v>1246.6939172093571</v>
      </c>
      <c r="BN193" s="440"/>
      <c r="BO193" s="377">
        <v>2027</v>
      </c>
      <c r="BP193" s="381"/>
      <c r="BQ193" s="673">
        <v>94</v>
      </c>
      <c r="BR193" s="674" t="s">
        <v>517</v>
      </c>
      <c r="BS193" s="675">
        <v>6.406174836693852</v>
      </c>
      <c r="BT193" s="655">
        <f t="shared" si="141"/>
        <v>6.406174836693852</v>
      </c>
      <c r="BU193" s="674" t="s">
        <v>517</v>
      </c>
      <c r="BV193" s="675">
        <v>8.351940821816946</v>
      </c>
      <c r="BW193" s="655">
        <f t="shared" si="121"/>
        <v>8.351940821816946</v>
      </c>
      <c r="BX193" s="655">
        <f t="shared" si="142"/>
        <v>7.3960569724597862</v>
      </c>
      <c r="BY193" s="655">
        <f t="shared" si="122"/>
        <v>9.6424827176041017</v>
      </c>
      <c r="BZ193" s="440"/>
      <c r="CA193" s="648">
        <f t="shared" si="123"/>
        <v>1.023525872681588E-3</v>
      </c>
      <c r="CB193" s="649">
        <f t="shared" si="124"/>
        <v>7.6783055394388149E-4</v>
      </c>
      <c r="CC193" s="649">
        <f t="shared" si="125"/>
        <v>7.4473397527168234E-4</v>
      </c>
      <c r="CD193" s="650">
        <f t="shared" si="126"/>
        <v>5.1437926852095875E-4</v>
      </c>
      <c r="CE193" s="648">
        <f t="shared" si="127"/>
        <v>1.7266473251910989E-3</v>
      </c>
      <c r="CF193" s="649">
        <f t="shared" si="128"/>
        <v>1.2952995205619405E-3</v>
      </c>
      <c r="CG193" s="649">
        <f t="shared" si="129"/>
        <v>1.2563365135194948E-3</v>
      </c>
      <c r="CH193" s="650">
        <f t="shared" si="130"/>
        <v>8.6773731063441873E-4</v>
      </c>
      <c r="CI193" s="648">
        <f t="shared" si="131"/>
        <v>3.6423678613913208E-4</v>
      </c>
      <c r="CJ193" s="650">
        <f t="shared" si="132"/>
        <v>3.6423678613913208E-4</v>
      </c>
      <c r="CK193" s="440"/>
      <c r="CL193" s="667">
        <f t="shared" si="133"/>
        <v>0</v>
      </c>
      <c r="CM193" s="1331">
        <f t="shared" si="134"/>
        <v>7.3960569724597862</v>
      </c>
      <c r="CN193" s="655">
        <f t="shared" si="135"/>
        <v>7.3960569724597862</v>
      </c>
      <c r="CO193" s="667">
        <f t="shared" si="136"/>
        <v>0</v>
      </c>
      <c r="CP193" s="1331">
        <f t="shared" si="137"/>
        <v>9.6424827176041017</v>
      </c>
      <c r="CQ193" s="655">
        <f t="shared" si="138"/>
        <v>9.6424827176041017</v>
      </c>
      <c r="CR193" s="808"/>
    </row>
    <row r="194" spans="1:96">
      <c r="B194" s="425">
        <v>2028</v>
      </c>
      <c r="C194" s="381"/>
      <c r="D194" s="663">
        <v>6.1464218579999702E-2</v>
      </c>
      <c r="E194" s="664">
        <v>5.4125167145054373E-2</v>
      </c>
      <c r="F194" s="664">
        <v>4.8887671277537792E-2</v>
      </c>
      <c r="G194" s="664">
        <v>3.9881609960116443E-2</v>
      </c>
      <c r="H194" s="663">
        <v>2.4062744402859834E-3</v>
      </c>
      <c r="I194" s="648">
        <f t="shared" si="139"/>
        <v>7.3739761601780238E-2</v>
      </c>
      <c r="J194" s="649">
        <f t="shared" si="104"/>
        <v>6.5266679939107147E-2</v>
      </c>
      <c r="K194" s="649">
        <f t="shared" si="105"/>
        <v>5.9219886210141903E-2</v>
      </c>
      <c r="L194" s="650">
        <f t="shared" si="106"/>
        <v>4.8822208297952606E-2</v>
      </c>
      <c r="M194" s="665">
        <v>82.490000000000009</v>
      </c>
      <c r="N194" s="666">
        <v>94.781010000000009</v>
      </c>
      <c r="O194" s="667">
        <f t="shared" si="107"/>
        <v>88.181809999999999</v>
      </c>
      <c r="P194" s="668">
        <f t="shared" si="108"/>
        <v>111.17739681184321</v>
      </c>
      <c r="Q194" s="669">
        <f t="shared" si="140"/>
        <v>111.17739681184321</v>
      </c>
      <c r="R194" s="670">
        <v>4.1115933116692462E-2</v>
      </c>
      <c r="S194" s="664">
        <v>4.1992200411448674E-2</v>
      </c>
      <c r="T194" s="664">
        <v>4.0053735708462525E-2</v>
      </c>
      <c r="U194" s="671">
        <v>4.030825778173263E-2</v>
      </c>
      <c r="V194" s="440"/>
      <c r="W194" s="377">
        <v>2028</v>
      </c>
      <c r="X194" s="381"/>
      <c r="Y194" s="670">
        <v>0</v>
      </c>
      <c r="Z194" s="664">
        <v>0</v>
      </c>
      <c r="AA194" s="664">
        <v>0</v>
      </c>
      <c r="AB194" s="671">
        <v>0</v>
      </c>
      <c r="AC194" s="665">
        <v>0</v>
      </c>
      <c r="AD194" s="672">
        <v>84.588431546793345</v>
      </c>
      <c r="AE194" s="653">
        <f t="shared" si="109"/>
        <v>0</v>
      </c>
      <c r="AF194" s="654">
        <f t="shared" si="110"/>
        <v>99.221580565234319</v>
      </c>
      <c r="AG194" s="655">
        <f t="shared" si="111"/>
        <v>99.221580565234319</v>
      </c>
      <c r="AH194" s="670">
        <v>9.3564883324239877E-4</v>
      </c>
      <c r="AI194" s="664">
        <v>6.633971122192232E-4</v>
      </c>
      <c r="AJ194" s="664">
        <v>7.2061245500928928E-4</v>
      </c>
      <c r="AK194" s="671">
        <v>4.7349800771784555E-4</v>
      </c>
      <c r="AL194" s="665">
        <v>0</v>
      </c>
      <c r="AM194" s="672">
        <v>116.63872455493085</v>
      </c>
      <c r="AN194" s="653">
        <f t="shared" si="112"/>
        <v>0</v>
      </c>
      <c r="AO194" s="654">
        <f t="shared" si="113"/>
        <v>136.81632811752931</v>
      </c>
      <c r="AP194" s="655">
        <f t="shared" si="114"/>
        <v>136.81632811752931</v>
      </c>
      <c r="AQ194" s="382">
        <v>9.5634807989834639E-5</v>
      </c>
      <c r="AR194" s="383">
        <v>9.5634807989834639E-5</v>
      </c>
      <c r="AS194" s="440"/>
      <c r="AT194" s="377">
        <v>2028</v>
      </c>
      <c r="AU194" s="384"/>
      <c r="AV194" s="385">
        <v>0</v>
      </c>
      <c r="AW194" s="386">
        <v>0</v>
      </c>
      <c r="AX194" s="386">
        <v>0</v>
      </c>
      <c r="AY194" s="387">
        <v>0</v>
      </c>
      <c r="AZ194" s="388" t="s">
        <v>517</v>
      </c>
      <c r="BA194" s="389">
        <v>757.14835211249795</v>
      </c>
      <c r="BB194" s="785">
        <f t="shared" si="115"/>
        <v>0</v>
      </c>
      <c r="BC194" s="786">
        <f t="shared" si="116"/>
        <v>888.12920212861593</v>
      </c>
      <c r="BD194" s="787">
        <f t="shared" si="117"/>
        <v>888.12920212861593</v>
      </c>
      <c r="BE194" s="385">
        <v>7.4063076875795844E-3</v>
      </c>
      <c r="BF194" s="386">
        <v>5.0853515334553928E-3</v>
      </c>
      <c r="BG194" s="386">
        <v>6.005582047814019E-3</v>
      </c>
      <c r="BH194" s="387">
        <v>4.0040225439586163E-3</v>
      </c>
      <c r="BI194" s="388" t="s">
        <v>517</v>
      </c>
      <c r="BJ194" s="389">
        <v>1044.0295023133961</v>
      </c>
      <c r="BK194" s="785">
        <f t="shared" si="118"/>
        <v>0</v>
      </c>
      <c r="BL194" s="786">
        <f t="shared" si="119"/>
        <v>1224.6385880670357</v>
      </c>
      <c r="BM194" s="787">
        <f t="shared" si="120"/>
        <v>1224.6385880670357</v>
      </c>
      <c r="BN194" s="440"/>
      <c r="BO194" s="377">
        <v>2028</v>
      </c>
      <c r="BP194" s="381"/>
      <c r="BQ194" s="673">
        <v>94</v>
      </c>
      <c r="BR194" s="674" t="s">
        <v>517</v>
      </c>
      <c r="BS194" s="675">
        <v>6.5389444841329549</v>
      </c>
      <c r="BT194" s="655">
        <f t="shared" si="141"/>
        <v>6.5389444841329549</v>
      </c>
      <c r="BU194" s="674" t="s">
        <v>517</v>
      </c>
      <c r="BV194" s="675">
        <v>9.0249487234922565</v>
      </c>
      <c r="BW194" s="655">
        <f t="shared" si="121"/>
        <v>9.0249487234922565</v>
      </c>
      <c r="BX194" s="655">
        <f t="shared" si="142"/>
        <v>7.5493421858211791</v>
      </c>
      <c r="BY194" s="655">
        <f t="shared" si="122"/>
        <v>10.419483800246281</v>
      </c>
      <c r="BZ194" s="440"/>
      <c r="CA194" s="648">
        <f t="shared" si="123"/>
        <v>0</v>
      </c>
      <c r="CB194" s="649">
        <f t="shared" si="124"/>
        <v>0</v>
      </c>
      <c r="CC194" s="649">
        <f t="shared" si="125"/>
        <v>0</v>
      </c>
      <c r="CD194" s="650">
        <f t="shared" si="126"/>
        <v>0</v>
      </c>
      <c r="CE194" s="648">
        <f t="shared" si="127"/>
        <v>1.0105007399017908E-3</v>
      </c>
      <c r="CF194" s="649">
        <f t="shared" si="128"/>
        <v>7.1646888119676112E-4</v>
      </c>
      <c r="CG194" s="649">
        <f t="shared" si="129"/>
        <v>7.7826145141003244E-4</v>
      </c>
      <c r="CH194" s="650">
        <f t="shared" si="130"/>
        <v>5.1137784833527327E-4</v>
      </c>
      <c r="CI194" s="648">
        <f t="shared" si="131"/>
        <v>1.0328559262902142E-4</v>
      </c>
      <c r="CJ194" s="650">
        <f t="shared" si="132"/>
        <v>1.0328559262902142E-4</v>
      </c>
      <c r="CK194" s="440"/>
      <c r="CL194" s="667">
        <f t="shared" si="133"/>
        <v>0</v>
      </c>
      <c r="CM194" s="1331">
        <f t="shared" si="134"/>
        <v>7.5493421858211791</v>
      </c>
      <c r="CN194" s="655">
        <f t="shared" si="135"/>
        <v>7.5493421858211791</v>
      </c>
      <c r="CO194" s="667">
        <f t="shared" si="136"/>
        <v>0</v>
      </c>
      <c r="CP194" s="1331">
        <f t="shared" si="137"/>
        <v>10.419483800246281</v>
      </c>
      <c r="CQ194" s="655">
        <f t="shared" si="138"/>
        <v>10.419483800246281</v>
      </c>
      <c r="CR194" s="808"/>
    </row>
    <row r="195" spans="1:96">
      <c r="B195" s="425">
        <v>2029</v>
      </c>
      <c r="C195" s="381"/>
      <c r="D195" s="663">
        <v>6.3333571143091003E-2</v>
      </c>
      <c r="E195" s="664">
        <v>5.7974776001851788E-2</v>
      </c>
      <c r="F195" s="664">
        <v>4.7951438250270165E-2</v>
      </c>
      <c r="G195" s="664">
        <v>4.056529991870951E-2</v>
      </c>
      <c r="H195" s="663">
        <v>2.2811984094306798E-3</v>
      </c>
      <c r="I195" s="648">
        <f t="shared" si="139"/>
        <v>7.5753563743777341E-2</v>
      </c>
      <c r="J195" s="649">
        <f t="shared" si="104"/>
        <v>6.956672757731383E-2</v>
      </c>
      <c r="K195" s="649">
        <f t="shared" si="105"/>
        <v>5.7994583676357819E-2</v>
      </c>
      <c r="L195" s="650">
        <f t="shared" si="106"/>
        <v>4.946713924980442E-2</v>
      </c>
      <c r="M195" s="665">
        <v>88.13</v>
      </c>
      <c r="N195" s="666">
        <v>100.99697999999999</v>
      </c>
      <c r="O195" s="667">
        <f t="shared" si="107"/>
        <v>94.210969999999989</v>
      </c>
      <c r="P195" s="668">
        <f t="shared" si="108"/>
        <v>118.4686818831936</v>
      </c>
      <c r="Q195" s="669">
        <f t="shared" si="140"/>
        <v>118.4686818831936</v>
      </c>
      <c r="R195" s="670">
        <v>4.0837636746584846E-2</v>
      </c>
      <c r="S195" s="664">
        <v>4.1707972958452036E-2</v>
      </c>
      <c r="T195" s="664">
        <v>3.9782628903582813E-2</v>
      </c>
      <c r="U195" s="671">
        <v>4.0035428224534431E-2</v>
      </c>
      <c r="V195" s="440"/>
      <c r="W195" s="377">
        <v>2029</v>
      </c>
      <c r="X195" s="381"/>
      <c r="Y195" s="670">
        <v>0</v>
      </c>
      <c r="Z195" s="664">
        <v>0</v>
      </c>
      <c r="AA195" s="664">
        <v>0</v>
      </c>
      <c r="AB195" s="671">
        <v>0</v>
      </c>
      <c r="AC195" s="665">
        <v>0</v>
      </c>
      <c r="AD195" s="672">
        <v>55.627449515380476</v>
      </c>
      <c r="AE195" s="653">
        <f t="shared" si="109"/>
        <v>0</v>
      </c>
      <c r="AF195" s="654">
        <f t="shared" si="110"/>
        <v>65.250571062729023</v>
      </c>
      <c r="AG195" s="655">
        <f t="shared" si="111"/>
        <v>65.250571062729023</v>
      </c>
      <c r="AH195" s="656">
        <v>0</v>
      </c>
      <c r="AI195" s="647">
        <v>0</v>
      </c>
      <c r="AJ195" s="647">
        <v>0</v>
      </c>
      <c r="AK195" s="657">
        <v>0</v>
      </c>
      <c r="AL195" s="665">
        <v>0</v>
      </c>
      <c r="AM195" s="672">
        <v>89.909482356254401</v>
      </c>
      <c r="AN195" s="653">
        <f t="shared" si="112"/>
        <v>0</v>
      </c>
      <c r="AO195" s="654">
        <f t="shared" si="113"/>
        <v>105.46313229906191</v>
      </c>
      <c r="AP195" s="655">
        <f t="shared" si="114"/>
        <v>105.46313229906191</v>
      </c>
      <c r="AQ195" s="382">
        <v>9.6351357865369594E-5</v>
      </c>
      <c r="AR195" s="383">
        <v>9.6351357865369594E-5</v>
      </c>
      <c r="AS195" s="440"/>
      <c r="AT195" s="377">
        <v>2029</v>
      </c>
      <c r="AU195" s="384"/>
      <c r="AV195" s="385">
        <v>0</v>
      </c>
      <c r="AW195" s="386">
        <v>0</v>
      </c>
      <c r="AX195" s="386">
        <v>0</v>
      </c>
      <c r="AY195" s="387">
        <v>0</v>
      </c>
      <c r="AZ195" s="388" t="s">
        <v>517</v>
      </c>
      <c r="BA195" s="389">
        <v>497.91952590458175</v>
      </c>
      <c r="BB195" s="785">
        <f t="shared" si="115"/>
        <v>0</v>
      </c>
      <c r="BC195" s="786">
        <f t="shared" si="116"/>
        <v>584.05577986411549</v>
      </c>
      <c r="BD195" s="787">
        <f t="shared" si="117"/>
        <v>584.05577986411549</v>
      </c>
      <c r="BE195" s="385" t="s">
        <v>517</v>
      </c>
      <c r="BF195" s="386" t="s">
        <v>517</v>
      </c>
      <c r="BG195" s="386" t="s">
        <v>517</v>
      </c>
      <c r="BH195" s="387" t="s">
        <v>517</v>
      </c>
      <c r="BI195" s="388" t="s">
        <v>517</v>
      </c>
      <c r="BJ195" s="389">
        <v>804.77690814810194</v>
      </c>
      <c r="BK195" s="785">
        <f t="shared" si="118"/>
        <v>0</v>
      </c>
      <c r="BL195" s="786">
        <f t="shared" si="119"/>
        <v>943.99713257106896</v>
      </c>
      <c r="BM195" s="787">
        <f t="shared" si="120"/>
        <v>943.99713257106896</v>
      </c>
      <c r="BN195" s="440"/>
      <c r="BO195" s="377">
        <v>2029</v>
      </c>
      <c r="BP195" s="381"/>
      <c r="BQ195" s="673">
        <v>94</v>
      </c>
      <c r="BR195" s="674" t="s">
        <v>517</v>
      </c>
      <c r="BS195" s="675">
        <v>4.274731681518646</v>
      </c>
      <c r="BT195" s="655">
        <f t="shared" si="141"/>
        <v>4.274731681518646</v>
      </c>
      <c r="BU195" s="674" t="s">
        <v>517</v>
      </c>
      <c r="BV195" s="675">
        <v>6.9484402613449152</v>
      </c>
      <c r="BW195" s="655">
        <f t="shared" si="121"/>
        <v>6.9484402613449152</v>
      </c>
      <c r="BX195" s="655">
        <f t="shared" si="142"/>
        <v>4.9352632209469078</v>
      </c>
      <c r="BY195" s="655">
        <f t="shared" si="122"/>
        <v>8.0221132505279318</v>
      </c>
      <c r="BZ195" s="440"/>
      <c r="CA195" s="648">
        <f t="shared" si="123"/>
        <v>0</v>
      </c>
      <c r="CB195" s="649">
        <f t="shared" si="124"/>
        <v>0</v>
      </c>
      <c r="CC195" s="649">
        <f t="shared" si="125"/>
        <v>0</v>
      </c>
      <c r="CD195" s="650">
        <f t="shared" si="126"/>
        <v>0</v>
      </c>
      <c r="CE195" s="648">
        <f t="shared" si="127"/>
        <v>0</v>
      </c>
      <c r="CF195" s="649">
        <f t="shared" si="128"/>
        <v>0</v>
      </c>
      <c r="CG195" s="649">
        <f t="shared" si="129"/>
        <v>0</v>
      </c>
      <c r="CH195" s="650">
        <f t="shared" si="130"/>
        <v>0</v>
      </c>
      <c r="CI195" s="648">
        <f t="shared" si="131"/>
        <v>1.0405946649459916E-4</v>
      </c>
      <c r="CJ195" s="650">
        <f t="shared" si="132"/>
        <v>1.0405946649459916E-4</v>
      </c>
      <c r="CK195" s="440"/>
      <c r="CL195" s="667">
        <f t="shared" si="133"/>
        <v>0</v>
      </c>
      <c r="CM195" s="1331">
        <f t="shared" si="134"/>
        <v>4.9352632209469078</v>
      </c>
      <c r="CN195" s="655">
        <f t="shared" si="135"/>
        <v>4.9352632209469078</v>
      </c>
      <c r="CO195" s="667">
        <f t="shared" si="136"/>
        <v>0</v>
      </c>
      <c r="CP195" s="1331">
        <f t="shared" si="137"/>
        <v>8.0221132505279318</v>
      </c>
      <c r="CQ195" s="655">
        <f t="shared" si="138"/>
        <v>8.0221132505279318</v>
      </c>
      <c r="CR195" s="808"/>
    </row>
    <row r="196" spans="1:96">
      <c r="B196" s="425">
        <v>2030</v>
      </c>
      <c r="C196" s="381"/>
      <c r="D196" s="663">
        <v>5.8156887641250862E-2</v>
      </c>
      <c r="E196" s="664">
        <v>5.4928087329026147E-2</v>
      </c>
      <c r="F196" s="664">
        <v>5.0577970870721273E-2</v>
      </c>
      <c r="G196" s="664">
        <v>4.6195855874708008E-2</v>
      </c>
      <c r="H196" s="663">
        <v>2.2868181810828765E-3</v>
      </c>
      <c r="I196" s="648">
        <f t="shared" si="139"/>
        <v>6.9783467246000749E-2</v>
      </c>
      <c r="J196" s="649">
        <f t="shared" si="104"/>
        <v>6.6055752709531068E-2</v>
      </c>
      <c r="K196" s="649">
        <f t="shared" si="105"/>
        <v>6.1033456256088921E-2</v>
      </c>
      <c r="L196" s="650">
        <f t="shared" si="106"/>
        <v>5.5974216850891691E-2</v>
      </c>
      <c r="M196" s="665">
        <v>83.9</v>
      </c>
      <c r="N196" s="666">
        <v>97.743500000000012</v>
      </c>
      <c r="O196" s="667">
        <f t="shared" si="107"/>
        <v>89.689099999999996</v>
      </c>
      <c r="P196" s="668">
        <f t="shared" si="108"/>
        <v>114.65237482992002</v>
      </c>
      <c r="Q196" s="669">
        <f t="shared" si="140"/>
        <v>114.65237482992002</v>
      </c>
      <c r="R196" s="670">
        <v>4.0338886465968123E-2</v>
      </c>
      <c r="S196" s="664">
        <v>4.119859325692652E-2</v>
      </c>
      <c r="T196" s="664">
        <v>3.9296763439514486E-2</v>
      </c>
      <c r="U196" s="671">
        <v>3.9546475320978679E-2</v>
      </c>
      <c r="V196" s="440"/>
      <c r="W196" s="377">
        <v>2030</v>
      </c>
      <c r="X196" s="381"/>
      <c r="Y196" s="670">
        <v>0</v>
      </c>
      <c r="Z196" s="664">
        <v>0</v>
      </c>
      <c r="AA196" s="664">
        <v>0</v>
      </c>
      <c r="AB196" s="671">
        <v>0</v>
      </c>
      <c r="AC196" s="665">
        <v>0</v>
      </c>
      <c r="AD196" s="672">
        <v>27.079066303054049</v>
      </c>
      <c r="AE196" s="653">
        <f t="shared" si="109"/>
        <v>0</v>
      </c>
      <c r="AF196" s="654">
        <f t="shared" si="110"/>
        <v>31.763536806253196</v>
      </c>
      <c r="AG196" s="655">
        <f t="shared" si="111"/>
        <v>31.763536806253196</v>
      </c>
      <c r="AH196" s="670">
        <v>0</v>
      </c>
      <c r="AI196" s="664">
        <v>0</v>
      </c>
      <c r="AJ196" s="664">
        <v>0</v>
      </c>
      <c r="AK196" s="671">
        <v>0</v>
      </c>
      <c r="AL196" s="665">
        <v>0</v>
      </c>
      <c r="AM196" s="672">
        <v>49.54892983112007</v>
      </c>
      <c r="AN196" s="653">
        <f t="shared" si="112"/>
        <v>0</v>
      </c>
      <c r="AO196" s="654">
        <f t="shared" si="113"/>
        <v>58.120514156122738</v>
      </c>
      <c r="AP196" s="655">
        <f t="shared" si="114"/>
        <v>58.120514156122738</v>
      </c>
      <c r="AQ196" s="382">
        <v>9.6901648044217219E-5</v>
      </c>
      <c r="AR196" s="383">
        <v>9.6901648044217219E-5</v>
      </c>
      <c r="AS196" s="440"/>
      <c r="AT196" s="377">
        <v>2030</v>
      </c>
      <c r="AU196" s="384"/>
      <c r="AV196" s="385" t="s">
        <v>517</v>
      </c>
      <c r="AW196" s="386" t="s">
        <v>517</v>
      </c>
      <c r="AX196" s="386" t="s">
        <v>517</v>
      </c>
      <c r="AY196" s="387" t="s">
        <v>517</v>
      </c>
      <c r="AZ196" s="388" t="s">
        <v>517</v>
      </c>
      <c r="BA196" s="389">
        <v>242.38385856298197</v>
      </c>
      <c r="BB196" s="785">
        <f t="shared" si="115"/>
        <v>0</v>
      </c>
      <c r="BC196" s="786">
        <f t="shared" si="116"/>
        <v>284.3144045863441</v>
      </c>
      <c r="BD196" s="787">
        <f t="shared" si="117"/>
        <v>284.3144045863441</v>
      </c>
      <c r="BE196" s="385" t="s">
        <v>517</v>
      </c>
      <c r="BF196" s="386" t="s">
        <v>517</v>
      </c>
      <c r="BG196" s="386" t="s">
        <v>517</v>
      </c>
      <c r="BH196" s="387" t="s">
        <v>517</v>
      </c>
      <c r="BI196" s="388" t="s">
        <v>517</v>
      </c>
      <c r="BJ196" s="389">
        <v>443.51089013651938</v>
      </c>
      <c r="BK196" s="785">
        <f t="shared" si="118"/>
        <v>0</v>
      </c>
      <c r="BL196" s="786">
        <f t="shared" si="119"/>
        <v>520.23486796650104</v>
      </c>
      <c r="BM196" s="787">
        <f t="shared" si="120"/>
        <v>520.23486796650104</v>
      </c>
      <c r="BN196" s="440"/>
      <c r="BO196" s="377">
        <v>2030</v>
      </c>
      <c r="BP196" s="381"/>
      <c r="BQ196" s="673">
        <v>94</v>
      </c>
      <c r="BR196" s="674" t="s">
        <v>517</v>
      </c>
      <c r="BS196" s="675">
        <v>1.6042174048482116</v>
      </c>
      <c r="BT196" s="655">
        <f t="shared" si="141"/>
        <v>1.6042174048482116</v>
      </c>
      <c r="BU196" s="674" t="s">
        <v>517</v>
      </c>
      <c r="BV196" s="675">
        <v>2.8555069806298143</v>
      </c>
      <c r="BW196" s="655">
        <f t="shared" si="121"/>
        <v>2.8555069806298143</v>
      </c>
      <c r="BX196" s="655">
        <f t="shared" si="142"/>
        <v>1.8521010782453573</v>
      </c>
      <c r="BY196" s="655">
        <f t="shared" si="122"/>
        <v>3.296739919276733</v>
      </c>
      <c r="BZ196" s="440"/>
      <c r="CA196" s="648">
        <f t="shared" si="123"/>
        <v>0</v>
      </c>
      <c r="CB196" s="649">
        <f t="shared" si="124"/>
        <v>0</v>
      </c>
      <c r="CC196" s="649">
        <f t="shared" si="125"/>
        <v>0</v>
      </c>
      <c r="CD196" s="650">
        <f t="shared" si="126"/>
        <v>0</v>
      </c>
      <c r="CE196" s="648">
        <f t="shared" si="127"/>
        <v>0</v>
      </c>
      <c r="CF196" s="649">
        <f t="shared" si="128"/>
        <v>0</v>
      </c>
      <c r="CG196" s="649">
        <f t="shared" si="129"/>
        <v>0</v>
      </c>
      <c r="CH196" s="650">
        <f t="shared" si="130"/>
        <v>0</v>
      </c>
      <c r="CI196" s="648">
        <f t="shared" si="131"/>
        <v>1.046537798877546E-4</v>
      </c>
      <c r="CJ196" s="650">
        <f t="shared" si="132"/>
        <v>1.046537798877546E-4</v>
      </c>
      <c r="CK196" s="440"/>
      <c r="CL196" s="667">
        <f t="shared" si="133"/>
        <v>0</v>
      </c>
      <c r="CM196" s="1331">
        <f t="shared" si="134"/>
        <v>1.8521010782453573</v>
      </c>
      <c r="CN196" s="655">
        <f t="shared" si="135"/>
        <v>1.8521010782453573</v>
      </c>
      <c r="CO196" s="667">
        <f t="shared" si="136"/>
        <v>0</v>
      </c>
      <c r="CP196" s="1331">
        <f t="shared" si="137"/>
        <v>3.296739919276733</v>
      </c>
      <c r="CQ196" s="655">
        <f t="shared" si="138"/>
        <v>3.296739919276733</v>
      </c>
      <c r="CR196" s="808"/>
    </row>
    <row r="197" spans="1:96">
      <c r="B197" s="425">
        <v>2031</v>
      </c>
      <c r="C197" s="381"/>
      <c r="D197" s="663">
        <v>5.7720323171627813E-2</v>
      </c>
      <c r="E197" s="664">
        <v>5.41574072121557E-2</v>
      </c>
      <c r="F197" s="664">
        <v>4.5906611096757838E-2</v>
      </c>
      <c r="G197" s="664">
        <v>4.0020810247283559E-2</v>
      </c>
      <c r="H197" s="663">
        <v>2.3388521265012515E-3</v>
      </c>
      <c r="I197" s="648">
        <f t="shared" si="139"/>
        <v>6.9339519065195962E-2</v>
      </c>
      <c r="J197" s="649">
        <f t="shared" si="104"/>
        <v>6.5226061331666224E-2</v>
      </c>
      <c r="K197" s="649">
        <f t="shared" si="105"/>
        <v>5.5700352200517084E-2</v>
      </c>
      <c r="L197" s="650">
        <f t="shared" si="106"/>
        <v>4.8905077403782041E-2</v>
      </c>
      <c r="M197" s="665">
        <v>82.490000000000009</v>
      </c>
      <c r="N197" s="666">
        <v>94.781010000000009</v>
      </c>
      <c r="O197" s="667">
        <f t="shared" si="107"/>
        <v>88.181809999999999</v>
      </c>
      <c r="P197" s="668">
        <f t="shared" si="108"/>
        <v>111.17739681184321</v>
      </c>
      <c r="Q197" s="669">
        <f t="shared" si="140"/>
        <v>111.17739681184321</v>
      </c>
      <c r="R197" s="670">
        <v>3.9862789167650861E-2</v>
      </c>
      <c r="S197" s="664">
        <v>4.0712349320554057E-2</v>
      </c>
      <c r="T197" s="664">
        <v>3.8832965735977248E-2</v>
      </c>
      <c r="U197" s="671">
        <v>3.9079730407874241E-2</v>
      </c>
      <c r="V197" s="440"/>
      <c r="W197" s="377">
        <v>2031</v>
      </c>
      <c r="X197" s="381"/>
      <c r="Y197" s="670">
        <v>0</v>
      </c>
      <c r="Z197" s="664">
        <v>0</v>
      </c>
      <c r="AA197" s="664">
        <v>0</v>
      </c>
      <c r="AB197" s="671">
        <v>0</v>
      </c>
      <c r="AC197" s="665">
        <v>0</v>
      </c>
      <c r="AD197" s="672">
        <v>12.650460876629737</v>
      </c>
      <c r="AE197" s="653">
        <f t="shared" si="109"/>
        <v>0</v>
      </c>
      <c r="AF197" s="654">
        <f t="shared" si="110"/>
        <v>14.838893452747151</v>
      </c>
      <c r="AG197" s="655">
        <f t="shared" si="111"/>
        <v>14.838893452747151</v>
      </c>
      <c r="AH197" s="670">
        <v>0</v>
      </c>
      <c r="AI197" s="664">
        <v>0</v>
      </c>
      <c r="AJ197" s="664">
        <v>0</v>
      </c>
      <c r="AK197" s="671">
        <v>0</v>
      </c>
      <c r="AL197" s="665">
        <v>0</v>
      </c>
      <c r="AM197" s="672">
        <v>28.601843760426625</v>
      </c>
      <c r="AN197" s="653">
        <f t="shared" si="112"/>
        <v>0</v>
      </c>
      <c r="AO197" s="654">
        <f t="shared" si="113"/>
        <v>33.549743068820348</v>
      </c>
      <c r="AP197" s="655">
        <f t="shared" si="114"/>
        <v>33.549743068820348</v>
      </c>
      <c r="AQ197" s="382">
        <v>9.6901648044217219E-5</v>
      </c>
      <c r="AR197" s="383">
        <v>9.6901648044217219E-5</v>
      </c>
      <c r="AS197" s="440"/>
      <c r="AT197" s="377">
        <v>2031</v>
      </c>
      <c r="AU197" s="384"/>
      <c r="AV197" s="385" t="s">
        <v>517</v>
      </c>
      <c r="AW197" s="386" t="s">
        <v>517</v>
      </c>
      <c r="AX197" s="386" t="s">
        <v>517</v>
      </c>
      <c r="AY197" s="387" t="s">
        <v>517</v>
      </c>
      <c r="AZ197" s="388" t="s">
        <v>517</v>
      </c>
      <c r="BA197" s="389">
        <v>113.23387171335879</v>
      </c>
      <c r="BB197" s="785">
        <f t="shared" si="115"/>
        <v>0</v>
      </c>
      <c r="BC197" s="786">
        <f t="shared" si="116"/>
        <v>132.8224618836351</v>
      </c>
      <c r="BD197" s="787">
        <f t="shared" si="117"/>
        <v>132.8224618836351</v>
      </c>
      <c r="BE197" s="385" t="s">
        <v>517</v>
      </c>
      <c r="BF197" s="386" t="s">
        <v>517</v>
      </c>
      <c r="BG197" s="386" t="s">
        <v>517</v>
      </c>
      <c r="BH197" s="387" t="s">
        <v>517</v>
      </c>
      <c r="BI197" s="388" t="s">
        <v>517</v>
      </c>
      <c r="BJ197" s="389">
        <v>256.01419100206851</v>
      </c>
      <c r="BK197" s="785">
        <f t="shared" si="118"/>
        <v>0</v>
      </c>
      <c r="BL197" s="786">
        <f t="shared" si="119"/>
        <v>300.30267985643951</v>
      </c>
      <c r="BM197" s="787">
        <f t="shared" si="120"/>
        <v>300.30267985643951</v>
      </c>
      <c r="BN197" s="440"/>
      <c r="BO197" s="377">
        <v>2031</v>
      </c>
      <c r="BP197" s="381"/>
      <c r="BQ197" s="673">
        <v>94</v>
      </c>
      <c r="BR197" s="674" t="s">
        <v>517</v>
      </c>
      <c r="BS197" s="675">
        <v>1.0094683881034754</v>
      </c>
      <c r="BT197" s="655">
        <f t="shared" si="141"/>
        <v>1.0094683881034754</v>
      </c>
      <c r="BU197" s="674" t="s">
        <v>517</v>
      </c>
      <c r="BV197" s="675">
        <v>2.2600038539630045</v>
      </c>
      <c r="BW197" s="655">
        <f t="shared" si="121"/>
        <v>2.2600038539630045</v>
      </c>
      <c r="BX197" s="655">
        <f t="shared" si="142"/>
        <v>1.1654514434332244</v>
      </c>
      <c r="BY197" s="655">
        <f t="shared" si="122"/>
        <v>2.6092196494773678</v>
      </c>
      <c r="BZ197" s="440"/>
      <c r="CA197" s="648">
        <f t="shared" si="123"/>
        <v>0</v>
      </c>
      <c r="CB197" s="649">
        <f t="shared" si="124"/>
        <v>0</v>
      </c>
      <c r="CC197" s="649">
        <f t="shared" si="125"/>
        <v>0</v>
      </c>
      <c r="CD197" s="650">
        <f t="shared" si="126"/>
        <v>0</v>
      </c>
      <c r="CE197" s="648">
        <f t="shared" si="127"/>
        <v>0</v>
      </c>
      <c r="CF197" s="649">
        <f t="shared" si="128"/>
        <v>0</v>
      </c>
      <c r="CG197" s="649">
        <f t="shared" si="129"/>
        <v>0</v>
      </c>
      <c r="CH197" s="650">
        <f t="shared" si="130"/>
        <v>0</v>
      </c>
      <c r="CI197" s="648">
        <f t="shared" si="131"/>
        <v>1.046537798877546E-4</v>
      </c>
      <c r="CJ197" s="650">
        <f t="shared" si="132"/>
        <v>1.046537798877546E-4</v>
      </c>
      <c r="CK197" s="440"/>
      <c r="CL197" s="667">
        <f t="shared" si="133"/>
        <v>0</v>
      </c>
      <c r="CM197" s="1331">
        <f t="shared" si="134"/>
        <v>1.1654514434332244</v>
      </c>
      <c r="CN197" s="655">
        <f t="shared" si="135"/>
        <v>1.1654514434332244</v>
      </c>
      <c r="CO197" s="667">
        <f t="shared" si="136"/>
        <v>0</v>
      </c>
      <c r="CP197" s="1331">
        <f t="shared" si="137"/>
        <v>2.6092196494773678</v>
      </c>
      <c r="CQ197" s="655">
        <f t="shared" si="138"/>
        <v>2.6092196494773678</v>
      </c>
      <c r="CR197" s="808"/>
    </row>
    <row r="198" spans="1:96">
      <c r="B198" s="425">
        <v>2032</v>
      </c>
      <c r="C198" s="381"/>
      <c r="D198" s="663">
        <v>5.6398264060895549E-2</v>
      </c>
      <c r="E198" s="664">
        <v>5.2567097486768778E-2</v>
      </c>
      <c r="F198" s="664">
        <v>4.677998550477578E-2</v>
      </c>
      <c r="G198" s="664">
        <v>4.0512569825020078E-2</v>
      </c>
      <c r="H198" s="663">
        <v>2.7922705432116535E-3</v>
      </c>
      <c r="I198" s="648">
        <f t="shared" si="139"/>
        <v>6.8336656011133839E-2</v>
      </c>
      <c r="J198" s="649">
        <f t="shared" si="104"/>
        <v>6.3913497577973016E-2</v>
      </c>
      <c r="K198" s="649">
        <f t="shared" si="105"/>
        <v>5.7232161052522455E-2</v>
      </c>
      <c r="L198" s="650">
        <f t="shared" si="106"/>
        <v>4.9996304301930902E-2</v>
      </c>
      <c r="M198" s="665">
        <v>88.13</v>
      </c>
      <c r="N198" s="666">
        <v>100.99697999999999</v>
      </c>
      <c r="O198" s="667">
        <f t="shared" si="107"/>
        <v>94.210969999999989</v>
      </c>
      <c r="P198" s="668">
        <f t="shared" si="108"/>
        <v>118.4686818831936</v>
      </c>
      <c r="Q198" s="669">
        <f t="shared" si="140"/>
        <v>118.4686818831936</v>
      </c>
      <c r="R198" s="670">
        <v>3.9408648252665775E-2</v>
      </c>
      <c r="S198" s="664">
        <v>4.0248529704373433E-2</v>
      </c>
      <c r="T198" s="664">
        <v>3.8390557190083704E-2</v>
      </c>
      <c r="U198" s="671">
        <v>3.8634510570141341E-2</v>
      </c>
      <c r="V198" s="440"/>
      <c r="W198" s="377">
        <v>2032</v>
      </c>
      <c r="X198" s="381"/>
      <c r="Y198" s="670">
        <v>0</v>
      </c>
      <c r="Z198" s="664">
        <v>0</v>
      </c>
      <c r="AA198" s="664">
        <v>0</v>
      </c>
      <c r="AB198" s="671">
        <v>0</v>
      </c>
      <c r="AC198" s="665">
        <v>0</v>
      </c>
      <c r="AD198" s="672">
        <v>3.665374580470858</v>
      </c>
      <c r="AE198" s="653">
        <f t="shared" si="109"/>
        <v>0</v>
      </c>
      <c r="AF198" s="654">
        <f t="shared" si="110"/>
        <v>4.2994562328155386</v>
      </c>
      <c r="AG198" s="655">
        <f t="shared" si="111"/>
        <v>4.2994562328155386</v>
      </c>
      <c r="AH198" s="670">
        <v>0</v>
      </c>
      <c r="AI198" s="664">
        <v>0</v>
      </c>
      <c r="AJ198" s="664">
        <v>0</v>
      </c>
      <c r="AK198" s="671">
        <v>0</v>
      </c>
      <c r="AL198" s="665">
        <v>0</v>
      </c>
      <c r="AM198" s="672">
        <v>13.446240439588161</v>
      </c>
      <c r="AN198" s="653">
        <f t="shared" si="112"/>
        <v>0</v>
      </c>
      <c r="AO198" s="654">
        <f t="shared" si="113"/>
        <v>15.772336768510339</v>
      </c>
      <c r="AP198" s="655">
        <f t="shared" si="114"/>
        <v>15.772336768510339</v>
      </c>
      <c r="AQ198" s="382">
        <v>9.6901648044217219E-5</v>
      </c>
      <c r="AR198" s="383">
        <v>9.6901648044217219E-5</v>
      </c>
      <c r="AS198" s="440"/>
      <c r="AT198" s="377">
        <v>2032</v>
      </c>
      <c r="AU198" s="384"/>
      <c r="AV198" s="385" t="s">
        <v>517</v>
      </c>
      <c r="AW198" s="386" t="s">
        <v>517</v>
      </c>
      <c r="AX198" s="386" t="s">
        <v>517</v>
      </c>
      <c r="AY198" s="387" t="s">
        <v>517</v>
      </c>
      <c r="AZ198" s="388" t="s">
        <v>517</v>
      </c>
      <c r="BA198" s="389">
        <v>32.808650931697684</v>
      </c>
      <c r="BB198" s="785">
        <f t="shared" si="115"/>
        <v>0</v>
      </c>
      <c r="BC198" s="786">
        <f t="shared" si="116"/>
        <v>38.484295572442228</v>
      </c>
      <c r="BD198" s="787">
        <f t="shared" si="117"/>
        <v>38.484295572442228</v>
      </c>
      <c r="BE198" s="385" t="s">
        <v>517</v>
      </c>
      <c r="BF198" s="386" t="s">
        <v>517</v>
      </c>
      <c r="BG198" s="386" t="s">
        <v>517</v>
      </c>
      <c r="BH198" s="387" t="s">
        <v>517</v>
      </c>
      <c r="BI198" s="388" t="s">
        <v>517</v>
      </c>
      <c r="BJ198" s="389">
        <v>120.35686919328563</v>
      </c>
      <c r="BK198" s="785">
        <f t="shared" si="118"/>
        <v>0</v>
      </c>
      <c r="BL198" s="786">
        <f t="shared" si="119"/>
        <v>141.17768322296865</v>
      </c>
      <c r="BM198" s="787">
        <f t="shared" si="120"/>
        <v>141.17768322296865</v>
      </c>
      <c r="BN198" s="440"/>
      <c r="BO198" s="377">
        <v>2032</v>
      </c>
      <c r="BP198" s="381"/>
      <c r="BQ198" s="673">
        <v>94</v>
      </c>
      <c r="BR198" s="674" t="s">
        <v>517</v>
      </c>
      <c r="BS198" s="675">
        <v>0.27217392728770429</v>
      </c>
      <c r="BT198" s="655">
        <f t="shared" si="141"/>
        <v>0.27217392728770429</v>
      </c>
      <c r="BU198" s="674" t="s">
        <v>517</v>
      </c>
      <c r="BV198" s="675">
        <v>1.0726854781338935</v>
      </c>
      <c r="BW198" s="655">
        <f t="shared" si="121"/>
        <v>1.0726854781338935</v>
      </c>
      <c r="BX198" s="655">
        <f t="shared" si="142"/>
        <v>0.31423024253220039</v>
      </c>
      <c r="BY198" s="655">
        <f t="shared" si="122"/>
        <v>1.2384368382151427</v>
      </c>
      <c r="BZ198" s="440"/>
      <c r="CA198" s="648">
        <f t="shared" si="123"/>
        <v>0</v>
      </c>
      <c r="CB198" s="649">
        <f t="shared" si="124"/>
        <v>0</v>
      </c>
      <c r="CC198" s="649">
        <f t="shared" si="125"/>
        <v>0</v>
      </c>
      <c r="CD198" s="650">
        <f t="shared" si="126"/>
        <v>0</v>
      </c>
      <c r="CE198" s="648">
        <f t="shared" si="127"/>
        <v>0</v>
      </c>
      <c r="CF198" s="649">
        <f t="shared" si="128"/>
        <v>0</v>
      </c>
      <c r="CG198" s="649">
        <f t="shared" si="129"/>
        <v>0</v>
      </c>
      <c r="CH198" s="650">
        <f t="shared" si="130"/>
        <v>0</v>
      </c>
      <c r="CI198" s="648">
        <f t="shared" si="131"/>
        <v>1.046537798877546E-4</v>
      </c>
      <c r="CJ198" s="650">
        <f t="shared" si="132"/>
        <v>1.046537798877546E-4</v>
      </c>
      <c r="CK198" s="440"/>
      <c r="CL198" s="667">
        <f t="shared" si="133"/>
        <v>0</v>
      </c>
      <c r="CM198" s="1331">
        <f t="shared" si="134"/>
        <v>0.31423024253220039</v>
      </c>
      <c r="CN198" s="655">
        <f t="shared" si="135"/>
        <v>0.31423024253220039</v>
      </c>
      <c r="CO198" s="667">
        <f t="shared" si="136"/>
        <v>0</v>
      </c>
      <c r="CP198" s="1331">
        <f t="shared" si="137"/>
        <v>1.2384368382151427</v>
      </c>
      <c r="CQ198" s="655">
        <f t="shared" si="138"/>
        <v>1.2384368382151427</v>
      </c>
      <c r="CR198" s="808"/>
    </row>
    <row r="199" spans="1:96">
      <c r="B199" s="425">
        <v>2033</v>
      </c>
      <c r="C199" s="381"/>
      <c r="D199" s="663">
        <v>6.1007920266385428E-2</v>
      </c>
      <c r="E199" s="664">
        <v>5.3623867699613602E-2</v>
      </c>
      <c r="F199" s="664">
        <v>4.7500762299772528E-2</v>
      </c>
      <c r="G199" s="664">
        <v>3.8825835233050714E-2</v>
      </c>
      <c r="H199" s="663">
        <v>2.8980813962443596E-3</v>
      </c>
      <c r="I199" s="648">
        <f t="shared" si="139"/>
        <v>7.3780757039539346E-2</v>
      </c>
      <c r="J199" s="649">
        <f t="shared" si="104"/>
        <v>6.5255720670149939E-2</v>
      </c>
      <c r="K199" s="649">
        <f t="shared" si="105"/>
        <v>5.818647302392542E-2</v>
      </c>
      <c r="L199" s="650">
        <f t="shared" si="106"/>
        <v>4.8171096226853755E-2</v>
      </c>
      <c r="M199" s="665">
        <v>83.9</v>
      </c>
      <c r="N199" s="666">
        <v>97.743500000000012</v>
      </c>
      <c r="O199" s="667">
        <f t="shared" si="107"/>
        <v>89.689099999999996</v>
      </c>
      <c r="P199" s="668">
        <f t="shared" si="108"/>
        <v>114.65237482992002</v>
      </c>
      <c r="Q199" s="669">
        <f t="shared" si="140"/>
        <v>114.65237482992002</v>
      </c>
      <c r="R199" s="670">
        <v>3.8975785730316376E-2</v>
      </c>
      <c r="S199" s="664">
        <v>3.980644196827577E-2</v>
      </c>
      <c r="T199" s="664">
        <v>3.7968877326487412E-2</v>
      </c>
      <c r="U199" s="671">
        <v>3.8210151135432871E-2</v>
      </c>
      <c r="V199" s="440"/>
      <c r="W199" s="377">
        <v>2033</v>
      </c>
      <c r="X199" s="381"/>
      <c r="Y199" s="670">
        <v>0</v>
      </c>
      <c r="Z199" s="664">
        <v>0</v>
      </c>
      <c r="AA199" s="664">
        <v>0</v>
      </c>
      <c r="AB199" s="671">
        <v>0</v>
      </c>
      <c r="AC199" s="665">
        <v>0</v>
      </c>
      <c r="AD199" s="672">
        <v>0</v>
      </c>
      <c r="AE199" s="653">
        <f t="shared" si="109"/>
        <v>0</v>
      </c>
      <c r="AF199" s="654">
        <f t="shared" si="110"/>
        <v>0</v>
      </c>
      <c r="AG199" s="655">
        <f t="shared" si="111"/>
        <v>0</v>
      </c>
      <c r="AH199" s="670">
        <v>0</v>
      </c>
      <c r="AI199" s="664">
        <v>0</v>
      </c>
      <c r="AJ199" s="664">
        <v>0</v>
      </c>
      <c r="AK199" s="671">
        <v>0</v>
      </c>
      <c r="AL199" s="665">
        <v>0</v>
      </c>
      <c r="AM199" s="672">
        <v>3.2648519656164834</v>
      </c>
      <c r="AN199" s="653">
        <f t="shared" si="112"/>
        <v>0</v>
      </c>
      <c r="AO199" s="654">
        <f t="shared" si="113"/>
        <v>3.8296462816050387</v>
      </c>
      <c r="AP199" s="655">
        <f t="shared" si="114"/>
        <v>3.8296462816050387</v>
      </c>
      <c r="AQ199" s="382">
        <v>9.6901648044217219E-5</v>
      </c>
      <c r="AR199" s="383">
        <v>9.6901648044217219E-5</v>
      </c>
      <c r="AS199" s="440"/>
      <c r="AT199" s="377">
        <v>2033</v>
      </c>
      <c r="AU199" s="384"/>
      <c r="AV199" s="385" t="s">
        <v>517</v>
      </c>
      <c r="AW199" s="386" t="s">
        <v>517</v>
      </c>
      <c r="AX199" s="386" t="s">
        <v>517</v>
      </c>
      <c r="AY199" s="387" t="s">
        <v>517</v>
      </c>
      <c r="AZ199" s="388" t="s">
        <v>517</v>
      </c>
      <c r="BA199" s="389" t="s">
        <v>517</v>
      </c>
      <c r="BB199" s="785">
        <f t="shared" si="115"/>
        <v>0</v>
      </c>
      <c r="BC199" s="786">
        <f t="shared" si="116"/>
        <v>0</v>
      </c>
      <c r="BD199" s="787">
        <f t="shared" si="117"/>
        <v>0</v>
      </c>
      <c r="BE199" s="385" t="s">
        <v>517</v>
      </c>
      <c r="BF199" s="386" t="s">
        <v>517</v>
      </c>
      <c r="BG199" s="386" t="s">
        <v>517</v>
      </c>
      <c r="BH199" s="387" t="s">
        <v>517</v>
      </c>
      <c r="BI199" s="388" t="s">
        <v>517</v>
      </c>
      <c r="BJ199" s="389">
        <v>29.223585784189648</v>
      </c>
      <c r="BK199" s="785">
        <f t="shared" si="118"/>
        <v>0</v>
      </c>
      <c r="BL199" s="786">
        <f t="shared" si="119"/>
        <v>34.27904168771564</v>
      </c>
      <c r="BM199" s="787">
        <f t="shared" si="120"/>
        <v>34.27904168771564</v>
      </c>
      <c r="BN199" s="440"/>
      <c r="BO199" s="377">
        <v>2033</v>
      </c>
      <c r="BP199" s="381"/>
      <c r="BQ199" s="673">
        <v>94</v>
      </c>
      <c r="BR199" s="674" t="s">
        <v>517</v>
      </c>
      <c r="BS199" s="675" t="s">
        <v>517</v>
      </c>
      <c r="BT199" s="655">
        <f t="shared" si="141"/>
        <v>0</v>
      </c>
      <c r="BU199" s="674" t="s">
        <v>517</v>
      </c>
      <c r="BV199" s="675">
        <v>0.18181130588279734</v>
      </c>
      <c r="BW199" s="655">
        <f t="shared" si="121"/>
        <v>0.18181130588279734</v>
      </c>
      <c r="BX199" s="655">
        <f t="shared" si="142"/>
        <v>0</v>
      </c>
      <c r="BY199" s="655">
        <f t="shared" si="122"/>
        <v>0.2099047888678072</v>
      </c>
      <c r="BZ199" s="440"/>
      <c r="CA199" s="648">
        <f t="shared" si="123"/>
        <v>0</v>
      </c>
      <c r="CB199" s="649">
        <f t="shared" si="124"/>
        <v>0</v>
      </c>
      <c r="CC199" s="649">
        <f t="shared" si="125"/>
        <v>0</v>
      </c>
      <c r="CD199" s="650">
        <f t="shared" si="126"/>
        <v>0</v>
      </c>
      <c r="CE199" s="648">
        <f t="shared" si="127"/>
        <v>0</v>
      </c>
      <c r="CF199" s="649">
        <f t="shared" si="128"/>
        <v>0</v>
      </c>
      <c r="CG199" s="649">
        <f t="shared" si="129"/>
        <v>0</v>
      </c>
      <c r="CH199" s="650">
        <f t="shared" si="130"/>
        <v>0</v>
      </c>
      <c r="CI199" s="648">
        <f t="shared" si="131"/>
        <v>1.046537798877546E-4</v>
      </c>
      <c r="CJ199" s="650">
        <f t="shared" si="132"/>
        <v>1.046537798877546E-4</v>
      </c>
      <c r="CK199" s="440"/>
      <c r="CL199" s="667">
        <f t="shared" si="133"/>
        <v>0</v>
      </c>
      <c r="CM199" s="1331">
        <f t="shared" si="134"/>
        <v>0</v>
      </c>
      <c r="CN199" s="655">
        <f t="shared" si="135"/>
        <v>0</v>
      </c>
      <c r="CO199" s="667">
        <f t="shared" si="136"/>
        <v>0</v>
      </c>
      <c r="CP199" s="1331">
        <f t="shared" si="137"/>
        <v>0.2099047888678072</v>
      </c>
      <c r="CQ199" s="655">
        <f t="shared" si="138"/>
        <v>0.2099047888678072</v>
      </c>
      <c r="CR199" s="808"/>
    </row>
    <row r="200" spans="1:96">
      <c r="B200" s="425">
        <v>2034</v>
      </c>
      <c r="C200" s="381"/>
      <c r="D200" s="663">
        <v>6.0204855555178703E-2</v>
      </c>
      <c r="E200" s="664">
        <v>5.0486287576219917E-2</v>
      </c>
      <c r="F200" s="664">
        <v>5.0441026278686928E-2</v>
      </c>
      <c r="G200" s="664">
        <v>3.9650466743700541E-2</v>
      </c>
      <c r="H200" s="663">
        <v>3.0079018666999643E-3</v>
      </c>
      <c r="I200" s="648">
        <f t="shared" si="139"/>
        <v>7.2980392698707347E-2</v>
      </c>
      <c r="J200" s="649">
        <f t="shared" si="104"/>
        <v>6.1760111595639856E-2</v>
      </c>
      <c r="K200" s="649">
        <f t="shared" si="105"/>
        <v>6.170785652241207E-2</v>
      </c>
      <c r="L200" s="650">
        <f t="shared" si="106"/>
        <v>4.9249939728079589E-2</v>
      </c>
      <c r="M200" s="665">
        <v>82.490000000000009</v>
      </c>
      <c r="N200" s="666">
        <v>94.781010000000009</v>
      </c>
      <c r="O200" s="667">
        <f t="shared" si="107"/>
        <v>88.181809999999999</v>
      </c>
      <c r="P200" s="668">
        <f t="shared" si="108"/>
        <v>111.17739681184321</v>
      </c>
      <c r="Q200" s="669">
        <f t="shared" si="140"/>
        <v>111.17739681184321</v>
      </c>
      <c r="R200" s="670">
        <v>3.8563541756260547E-2</v>
      </c>
      <c r="S200" s="664">
        <v>3.9385412205243685E-2</v>
      </c>
      <c r="T200" s="664">
        <v>3.7567283347399658E-2</v>
      </c>
      <c r="U200" s="671">
        <v>3.7806005221291822E-2</v>
      </c>
      <c r="V200" s="440"/>
      <c r="W200" s="377">
        <v>2034</v>
      </c>
      <c r="X200" s="381"/>
      <c r="Y200" s="670">
        <v>0</v>
      </c>
      <c r="Z200" s="664">
        <v>0</v>
      </c>
      <c r="AA200" s="664">
        <v>0</v>
      </c>
      <c r="AB200" s="671">
        <v>0</v>
      </c>
      <c r="AC200" s="665">
        <v>0</v>
      </c>
      <c r="AD200" s="672">
        <v>0</v>
      </c>
      <c r="AE200" s="653">
        <f t="shared" si="109"/>
        <v>0</v>
      </c>
      <c r="AF200" s="654">
        <f t="shared" si="110"/>
        <v>0</v>
      </c>
      <c r="AG200" s="655">
        <f t="shared" si="111"/>
        <v>0</v>
      </c>
      <c r="AH200" s="670">
        <v>0</v>
      </c>
      <c r="AI200" s="664">
        <v>0</v>
      </c>
      <c r="AJ200" s="664">
        <v>0</v>
      </c>
      <c r="AK200" s="671">
        <v>0</v>
      </c>
      <c r="AL200" s="665">
        <v>0</v>
      </c>
      <c r="AM200" s="672">
        <v>0</v>
      </c>
      <c r="AN200" s="653">
        <f t="shared" si="112"/>
        <v>0</v>
      </c>
      <c r="AO200" s="654">
        <f t="shared" si="113"/>
        <v>0</v>
      </c>
      <c r="AP200" s="655">
        <f t="shared" si="114"/>
        <v>0</v>
      </c>
      <c r="AQ200" s="382">
        <v>9.6901648044217219E-5</v>
      </c>
      <c r="AR200" s="383">
        <v>9.6901648044217219E-5</v>
      </c>
      <c r="AS200" s="440"/>
      <c r="AT200" s="377">
        <v>2034</v>
      </c>
      <c r="AU200" s="384"/>
      <c r="AV200" s="385" t="s">
        <v>517</v>
      </c>
      <c r="AW200" s="386" t="s">
        <v>517</v>
      </c>
      <c r="AX200" s="386" t="s">
        <v>517</v>
      </c>
      <c r="AY200" s="387" t="s">
        <v>517</v>
      </c>
      <c r="AZ200" s="388" t="s">
        <v>517</v>
      </c>
      <c r="BA200" s="389" t="s">
        <v>517</v>
      </c>
      <c r="BB200" s="785">
        <f t="shared" si="115"/>
        <v>0</v>
      </c>
      <c r="BC200" s="786">
        <f t="shared" si="116"/>
        <v>0</v>
      </c>
      <c r="BD200" s="787">
        <f t="shared" si="117"/>
        <v>0</v>
      </c>
      <c r="BE200" s="385" t="s">
        <v>517</v>
      </c>
      <c r="BF200" s="386" t="s">
        <v>517</v>
      </c>
      <c r="BG200" s="386" t="s">
        <v>517</v>
      </c>
      <c r="BH200" s="387" t="s">
        <v>517</v>
      </c>
      <c r="BI200" s="388" t="s">
        <v>517</v>
      </c>
      <c r="BJ200" s="389" t="s">
        <v>517</v>
      </c>
      <c r="BK200" s="785">
        <f t="shared" si="118"/>
        <v>0</v>
      </c>
      <c r="BL200" s="786">
        <f t="shared" si="119"/>
        <v>0</v>
      </c>
      <c r="BM200" s="787">
        <f t="shared" si="120"/>
        <v>0</v>
      </c>
      <c r="BN200" s="440"/>
      <c r="BO200" s="377">
        <v>2034</v>
      </c>
      <c r="BP200" s="381"/>
      <c r="BQ200" s="673">
        <v>94</v>
      </c>
      <c r="BR200" s="674" t="s">
        <v>517</v>
      </c>
      <c r="BS200" s="675" t="s">
        <v>517</v>
      </c>
      <c r="BT200" s="655">
        <f t="shared" si="141"/>
        <v>0</v>
      </c>
      <c r="BU200" s="674" t="s">
        <v>517</v>
      </c>
      <c r="BV200" s="675" t="s">
        <v>517</v>
      </c>
      <c r="BW200" s="655">
        <f t="shared" si="121"/>
        <v>0</v>
      </c>
      <c r="BX200" s="655">
        <f t="shared" si="142"/>
        <v>0</v>
      </c>
      <c r="BY200" s="655">
        <f t="shared" si="122"/>
        <v>0</v>
      </c>
      <c r="BZ200" s="440"/>
      <c r="CA200" s="648">
        <f t="shared" si="123"/>
        <v>0</v>
      </c>
      <c r="CB200" s="649">
        <f t="shared" si="124"/>
        <v>0</v>
      </c>
      <c r="CC200" s="649">
        <f t="shared" si="125"/>
        <v>0</v>
      </c>
      <c r="CD200" s="650">
        <f t="shared" si="126"/>
        <v>0</v>
      </c>
      <c r="CE200" s="648">
        <f t="shared" si="127"/>
        <v>0</v>
      </c>
      <c r="CF200" s="649">
        <f t="shared" si="128"/>
        <v>0</v>
      </c>
      <c r="CG200" s="649">
        <f t="shared" si="129"/>
        <v>0</v>
      </c>
      <c r="CH200" s="650">
        <f t="shared" si="130"/>
        <v>0</v>
      </c>
      <c r="CI200" s="648">
        <f t="shared" si="131"/>
        <v>1.046537798877546E-4</v>
      </c>
      <c r="CJ200" s="650">
        <f t="shared" si="132"/>
        <v>1.046537798877546E-4</v>
      </c>
      <c r="CK200" s="440"/>
      <c r="CL200" s="667">
        <f t="shared" si="133"/>
        <v>0</v>
      </c>
      <c r="CM200" s="1331">
        <f t="shared" si="134"/>
        <v>0</v>
      </c>
      <c r="CN200" s="655">
        <f t="shared" si="135"/>
        <v>0</v>
      </c>
      <c r="CO200" s="667">
        <f t="shared" si="136"/>
        <v>0</v>
      </c>
      <c r="CP200" s="1331">
        <f t="shared" si="137"/>
        <v>0</v>
      </c>
      <c r="CQ200" s="655">
        <f t="shared" si="138"/>
        <v>0</v>
      </c>
      <c r="CR200" s="808"/>
    </row>
    <row r="201" spans="1:96">
      <c r="B201" s="425">
        <v>2035</v>
      </c>
      <c r="C201" s="381"/>
      <c r="D201" s="663">
        <v>6.2228468580352921E-2</v>
      </c>
      <c r="E201" s="664">
        <v>5.5528611162374251E-2</v>
      </c>
      <c r="F201" s="664">
        <v>5.620671272753424E-2</v>
      </c>
      <c r="G201" s="664">
        <v>4.7614473357095545E-2</v>
      </c>
      <c r="H201" s="663">
        <v>3.1218838958152807E-3</v>
      </c>
      <c r="I201" s="648">
        <f t="shared" si="139"/>
        <v>7.5448288940785702E-2</v>
      </c>
      <c r="J201" s="649">
        <f t="shared" si="104"/>
        <v>6.7713169554580982E-2</v>
      </c>
      <c r="K201" s="649">
        <f t="shared" si="105"/>
        <v>6.8496051373589495E-2</v>
      </c>
      <c r="L201" s="650">
        <f t="shared" si="106"/>
        <v>5.8576139175630614E-2</v>
      </c>
      <c r="M201" s="665">
        <v>88.13</v>
      </c>
      <c r="N201" s="666">
        <v>100.99697999999999</v>
      </c>
      <c r="O201" s="667">
        <f t="shared" si="107"/>
        <v>94.210969999999989</v>
      </c>
      <c r="P201" s="668">
        <f t="shared" si="108"/>
        <v>118.4686818831936</v>
      </c>
      <c r="Q201" s="669">
        <f t="shared" si="140"/>
        <v>118.4686818831936</v>
      </c>
      <c r="R201" s="670">
        <v>3.8171274181554186E-2</v>
      </c>
      <c r="S201" s="664">
        <v>3.8984784580784033E-2</v>
      </c>
      <c r="T201" s="664">
        <v>3.7185149693283237E-2</v>
      </c>
      <c r="U201" s="671">
        <v>3.7421443293053351E-2</v>
      </c>
      <c r="V201" s="440"/>
      <c r="W201" s="377">
        <v>2035</v>
      </c>
      <c r="X201" s="381"/>
      <c r="Y201" s="670">
        <v>0</v>
      </c>
      <c r="Z201" s="664">
        <v>0</v>
      </c>
      <c r="AA201" s="664">
        <v>0</v>
      </c>
      <c r="AB201" s="671">
        <v>0</v>
      </c>
      <c r="AC201" s="665">
        <v>0</v>
      </c>
      <c r="AD201" s="672">
        <v>0</v>
      </c>
      <c r="AE201" s="653">
        <f t="shared" si="109"/>
        <v>0</v>
      </c>
      <c r="AF201" s="654">
        <f t="shared" si="110"/>
        <v>0</v>
      </c>
      <c r="AG201" s="655">
        <f t="shared" si="111"/>
        <v>0</v>
      </c>
      <c r="AH201" s="670">
        <v>0</v>
      </c>
      <c r="AI201" s="664">
        <v>0</v>
      </c>
      <c r="AJ201" s="664">
        <v>0</v>
      </c>
      <c r="AK201" s="671">
        <v>0</v>
      </c>
      <c r="AL201" s="665">
        <v>0</v>
      </c>
      <c r="AM201" s="672">
        <v>0</v>
      </c>
      <c r="AN201" s="653">
        <f t="shared" si="112"/>
        <v>0</v>
      </c>
      <c r="AO201" s="654">
        <f t="shared" si="113"/>
        <v>0</v>
      </c>
      <c r="AP201" s="655">
        <f t="shared" si="114"/>
        <v>0</v>
      </c>
      <c r="AQ201" s="382">
        <v>9.6901648044217219E-5</v>
      </c>
      <c r="AR201" s="383">
        <v>9.6901648044217219E-5</v>
      </c>
      <c r="AS201" s="440"/>
      <c r="AT201" s="377">
        <v>2035</v>
      </c>
      <c r="AU201" s="384"/>
      <c r="AV201" s="385" t="s">
        <v>517</v>
      </c>
      <c r="AW201" s="386" t="s">
        <v>517</v>
      </c>
      <c r="AX201" s="386" t="s">
        <v>517</v>
      </c>
      <c r="AY201" s="387" t="s">
        <v>517</v>
      </c>
      <c r="AZ201" s="388" t="s">
        <v>517</v>
      </c>
      <c r="BA201" s="389" t="s">
        <v>517</v>
      </c>
      <c r="BB201" s="785">
        <f t="shared" si="115"/>
        <v>0</v>
      </c>
      <c r="BC201" s="786">
        <f t="shared" si="116"/>
        <v>0</v>
      </c>
      <c r="BD201" s="787">
        <f t="shared" si="117"/>
        <v>0</v>
      </c>
      <c r="BE201" s="385" t="s">
        <v>517</v>
      </c>
      <c r="BF201" s="386" t="s">
        <v>517</v>
      </c>
      <c r="BG201" s="386" t="s">
        <v>517</v>
      </c>
      <c r="BH201" s="387" t="s">
        <v>517</v>
      </c>
      <c r="BI201" s="388" t="s">
        <v>517</v>
      </c>
      <c r="BJ201" s="389" t="s">
        <v>517</v>
      </c>
      <c r="BK201" s="785">
        <f t="shared" si="118"/>
        <v>0</v>
      </c>
      <c r="BL201" s="786">
        <f t="shared" si="119"/>
        <v>0</v>
      </c>
      <c r="BM201" s="787">
        <f t="shared" si="120"/>
        <v>0</v>
      </c>
      <c r="BN201" s="440"/>
      <c r="BO201" s="377">
        <v>2035</v>
      </c>
      <c r="BP201" s="381"/>
      <c r="BQ201" s="673">
        <v>94</v>
      </c>
      <c r="BR201" s="674" t="s">
        <v>517</v>
      </c>
      <c r="BS201" s="675" t="s">
        <v>517</v>
      </c>
      <c r="BT201" s="655">
        <f t="shared" si="141"/>
        <v>0</v>
      </c>
      <c r="BU201" s="674" t="s">
        <v>517</v>
      </c>
      <c r="BV201" s="675" t="s">
        <v>517</v>
      </c>
      <c r="BW201" s="655">
        <f t="shared" si="121"/>
        <v>0</v>
      </c>
      <c r="BX201" s="655">
        <f t="shared" si="142"/>
        <v>0</v>
      </c>
      <c r="BY201" s="655">
        <f t="shared" si="122"/>
        <v>0</v>
      </c>
      <c r="BZ201" s="440"/>
      <c r="CA201" s="648">
        <f t="shared" si="123"/>
        <v>0</v>
      </c>
      <c r="CB201" s="649">
        <f t="shared" si="124"/>
        <v>0</v>
      </c>
      <c r="CC201" s="649">
        <f t="shared" si="125"/>
        <v>0</v>
      </c>
      <c r="CD201" s="650">
        <f t="shared" si="126"/>
        <v>0</v>
      </c>
      <c r="CE201" s="648">
        <f t="shared" si="127"/>
        <v>0</v>
      </c>
      <c r="CF201" s="649">
        <f t="shared" si="128"/>
        <v>0</v>
      </c>
      <c r="CG201" s="649">
        <f t="shared" si="129"/>
        <v>0</v>
      </c>
      <c r="CH201" s="650">
        <f t="shared" si="130"/>
        <v>0</v>
      </c>
      <c r="CI201" s="648">
        <f t="shared" si="131"/>
        <v>1.046537798877546E-4</v>
      </c>
      <c r="CJ201" s="650">
        <f t="shared" si="132"/>
        <v>1.046537798877546E-4</v>
      </c>
      <c r="CK201" s="440"/>
      <c r="CL201" s="667">
        <f t="shared" si="133"/>
        <v>0</v>
      </c>
      <c r="CM201" s="1331">
        <f t="shared" si="134"/>
        <v>0</v>
      </c>
      <c r="CN201" s="655">
        <f t="shared" si="135"/>
        <v>0</v>
      </c>
      <c r="CO201" s="667">
        <f t="shared" si="136"/>
        <v>0</v>
      </c>
      <c r="CP201" s="1331">
        <f t="shared" si="137"/>
        <v>0</v>
      </c>
      <c r="CQ201" s="655">
        <f t="shared" si="138"/>
        <v>0</v>
      </c>
      <c r="CR201" s="808"/>
    </row>
    <row r="202" spans="1:96">
      <c r="B202" s="425">
        <v>2036</v>
      </c>
      <c r="C202" s="381"/>
      <c r="D202" s="663">
        <v>6.3409481666158216E-2</v>
      </c>
      <c r="E202" s="664">
        <v>5.5876802770926867E-2</v>
      </c>
      <c r="F202" s="664">
        <v>5.9124356132758842E-2</v>
      </c>
      <c r="G202" s="664">
        <v>4.9728145351776526E-2</v>
      </c>
      <c r="H202" s="663">
        <v>3.3556004438304809E-3</v>
      </c>
      <c r="I202" s="648">
        <f t="shared" si="139"/>
        <v>7.7081622597624161E-2</v>
      </c>
      <c r="J202" s="649">
        <f t="shared" si="104"/>
        <v>6.8384994159501652E-2</v>
      </c>
      <c r="K202" s="649">
        <f t="shared" si="105"/>
        <v>7.2134359466803896E-2</v>
      </c>
      <c r="L202" s="650">
        <f t="shared" si="106"/>
        <v>6.1286246195944201E-2</v>
      </c>
      <c r="M202" s="665">
        <v>89.599252554578939</v>
      </c>
      <c r="N202" s="666">
        <v>102.61365371945244</v>
      </c>
      <c r="O202" s="667">
        <f t="shared" si="107"/>
        <v>95.781600980844885</v>
      </c>
      <c r="P202" s="668">
        <f t="shared" si="108"/>
        <v>120.36502774005716</v>
      </c>
      <c r="Q202" s="669">
        <f t="shared" si="140"/>
        <v>120.36502774005716</v>
      </c>
      <c r="R202" s="670">
        <v>3.7759731793787332E-2</v>
      </c>
      <c r="S202" s="664">
        <v>3.8564471356325174E-2</v>
      </c>
      <c r="T202" s="664">
        <v>3.6784239175561069E-2</v>
      </c>
      <c r="U202" s="671">
        <v>3.7017985183343531E-2</v>
      </c>
      <c r="V202" s="440"/>
      <c r="W202" s="377">
        <v>2036</v>
      </c>
      <c r="X202" s="381"/>
      <c r="Y202" s="670">
        <v>0</v>
      </c>
      <c r="Z202" s="664">
        <v>0</v>
      </c>
      <c r="AA202" s="664">
        <v>0</v>
      </c>
      <c r="AB202" s="671">
        <v>0</v>
      </c>
      <c r="AC202" s="665">
        <v>0</v>
      </c>
      <c r="AD202" s="672">
        <v>0</v>
      </c>
      <c r="AE202" s="653">
        <f t="shared" si="109"/>
        <v>0</v>
      </c>
      <c r="AF202" s="654">
        <f t="shared" si="110"/>
        <v>0</v>
      </c>
      <c r="AG202" s="655">
        <f t="shared" si="111"/>
        <v>0</v>
      </c>
      <c r="AH202" s="670">
        <v>0</v>
      </c>
      <c r="AI202" s="664">
        <v>0</v>
      </c>
      <c r="AJ202" s="664">
        <v>0</v>
      </c>
      <c r="AK202" s="671">
        <v>0</v>
      </c>
      <c r="AL202" s="665">
        <v>0</v>
      </c>
      <c r="AM202" s="672">
        <v>0</v>
      </c>
      <c r="AN202" s="653">
        <f t="shared" si="112"/>
        <v>0</v>
      </c>
      <c r="AO202" s="654">
        <f t="shared" si="113"/>
        <v>0</v>
      </c>
      <c r="AP202" s="655">
        <f t="shared" si="114"/>
        <v>0</v>
      </c>
      <c r="AQ202" s="382">
        <v>9.6901648044217219E-5</v>
      </c>
      <c r="AR202" s="383">
        <v>9.6901648044217219E-5</v>
      </c>
      <c r="AS202" s="440"/>
      <c r="AT202" s="377">
        <v>2036</v>
      </c>
      <c r="AU202" s="384"/>
      <c r="AV202" s="385" t="s">
        <v>517</v>
      </c>
      <c r="AW202" s="386" t="s">
        <v>517</v>
      </c>
      <c r="AX202" s="386" t="s">
        <v>517</v>
      </c>
      <c r="AY202" s="387" t="s">
        <v>517</v>
      </c>
      <c r="AZ202" s="388" t="s">
        <v>517</v>
      </c>
      <c r="BA202" s="389" t="s">
        <v>517</v>
      </c>
      <c r="BB202" s="785">
        <f t="shared" si="115"/>
        <v>0</v>
      </c>
      <c r="BC202" s="786">
        <f t="shared" si="116"/>
        <v>0</v>
      </c>
      <c r="BD202" s="787">
        <f t="shared" si="117"/>
        <v>0</v>
      </c>
      <c r="BE202" s="385" t="s">
        <v>517</v>
      </c>
      <c r="BF202" s="386" t="s">
        <v>517</v>
      </c>
      <c r="BG202" s="386" t="s">
        <v>517</v>
      </c>
      <c r="BH202" s="387" t="s">
        <v>517</v>
      </c>
      <c r="BI202" s="388" t="s">
        <v>517</v>
      </c>
      <c r="BJ202" s="389" t="s">
        <v>517</v>
      </c>
      <c r="BK202" s="785">
        <f t="shared" si="118"/>
        <v>0</v>
      </c>
      <c r="BL202" s="786">
        <f t="shared" si="119"/>
        <v>0</v>
      </c>
      <c r="BM202" s="787">
        <f t="shared" si="120"/>
        <v>0</v>
      </c>
      <c r="BN202" s="440"/>
      <c r="BO202" s="377">
        <v>2036</v>
      </c>
      <c r="BP202" s="381"/>
      <c r="BQ202" s="673">
        <v>94</v>
      </c>
      <c r="BR202" s="674" t="s">
        <v>517</v>
      </c>
      <c r="BS202" s="675" t="s">
        <v>517</v>
      </c>
      <c r="BT202" s="655">
        <f t="shared" si="141"/>
        <v>0</v>
      </c>
      <c r="BU202" s="674" t="s">
        <v>517</v>
      </c>
      <c r="BV202" s="675" t="s">
        <v>517</v>
      </c>
      <c r="BW202" s="655">
        <f t="shared" si="121"/>
        <v>0</v>
      </c>
      <c r="BX202" s="655">
        <f t="shared" si="142"/>
        <v>0</v>
      </c>
      <c r="BY202" s="655">
        <f t="shared" si="122"/>
        <v>0</v>
      </c>
      <c r="BZ202" s="440"/>
      <c r="CA202" s="648">
        <f t="shared" si="123"/>
        <v>0</v>
      </c>
      <c r="CB202" s="649">
        <f t="shared" si="124"/>
        <v>0</v>
      </c>
      <c r="CC202" s="649">
        <f t="shared" si="125"/>
        <v>0</v>
      </c>
      <c r="CD202" s="650">
        <f t="shared" si="126"/>
        <v>0</v>
      </c>
      <c r="CE202" s="648">
        <f t="shared" si="127"/>
        <v>0</v>
      </c>
      <c r="CF202" s="649">
        <f t="shared" si="128"/>
        <v>0</v>
      </c>
      <c r="CG202" s="649">
        <f t="shared" si="129"/>
        <v>0</v>
      </c>
      <c r="CH202" s="650">
        <f t="shared" si="130"/>
        <v>0</v>
      </c>
      <c r="CI202" s="648">
        <f t="shared" si="131"/>
        <v>1.046537798877546E-4</v>
      </c>
      <c r="CJ202" s="650">
        <f t="shared" si="132"/>
        <v>1.046537798877546E-4</v>
      </c>
      <c r="CK202" s="440"/>
      <c r="CL202" s="667">
        <f t="shared" si="133"/>
        <v>0</v>
      </c>
      <c r="CM202" s="1331">
        <f t="shared" si="134"/>
        <v>0</v>
      </c>
      <c r="CN202" s="655">
        <f t="shared" si="135"/>
        <v>0</v>
      </c>
      <c r="CO202" s="667">
        <f t="shared" si="136"/>
        <v>0</v>
      </c>
      <c r="CP202" s="1331">
        <f t="shared" si="137"/>
        <v>0</v>
      </c>
      <c r="CQ202" s="655">
        <f t="shared" si="138"/>
        <v>0</v>
      </c>
      <c r="CR202" s="808"/>
    </row>
    <row r="203" spans="1:96">
      <c r="A203" s="676"/>
      <c r="B203" s="425">
        <v>2037</v>
      </c>
      <c r="C203" s="381"/>
      <c r="D203" s="663">
        <v>6.4612908800399271E-2</v>
      </c>
      <c r="E203" s="664">
        <v>5.6227177711526306E-2</v>
      </c>
      <c r="F203" s="664">
        <v>6.2193451964694751E-2</v>
      </c>
      <c r="G203" s="664">
        <v>5.1935646154929099E-2</v>
      </c>
      <c r="H203" s="663">
        <v>3.6068139349220594E-3</v>
      </c>
      <c r="I203" s="648">
        <f t="shared" si="139"/>
        <v>7.8761034292383181E-2</v>
      </c>
      <c r="J203" s="649">
        <f t="shared" si="104"/>
        <v>6.9079540035657569E-2</v>
      </c>
      <c r="K203" s="649">
        <f t="shared" si="105"/>
        <v>7.5967722986425609E-2</v>
      </c>
      <c r="L203" s="650">
        <f t="shared" si="106"/>
        <v>6.4124881022934954E-2</v>
      </c>
      <c r="M203" s="665">
        <v>91.092999640749127</v>
      </c>
      <c r="N203" s="666">
        <v>104.25620577620931</v>
      </c>
      <c r="O203" s="667">
        <f t="shared" si="107"/>
        <v>97.378416615960816</v>
      </c>
      <c r="P203" s="668">
        <f t="shared" si="108"/>
        <v>122.29172868783317</v>
      </c>
      <c r="Q203" s="669">
        <f t="shared" si="140"/>
        <v>122.29172868783317</v>
      </c>
      <c r="R203" s="670">
        <v>3.7352626437284445E-2</v>
      </c>
      <c r="S203" s="664">
        <v>3.814868972562923E-2</v>
      </c>
      <c r="T203" s="664">
        <v>3.6387651061931557E-2</v>
      </c>
      <c r="U203" s="671">
        <v>3.6618876944508973E-2</v>
      </c>
      <c r="V203" s="440"/>
      <c r="W203" s="377">
        <v>2037</v>
      </c>
      <c r="X203" s="381"/>
      <c r="Y203" s="670">
        <v>0</v>
      </c>
      <c r="Z203" s="664">
        <v>0</v>
      </c>
      <c r="AA203" s="664">
        <v>0</v>
      </c>
      <c r="AB203" s="671">
        <v>0</v>
      </c>
      <c r="AC203" s="665">
        <v>0</v>
      </c>
      <c r="AD203" s="672">
        <v>0</v>
      </c>
      <c r="AE203" s="653">
        <f t="shared" si="109"/>
        <v>0</v>
      </c>
      <c r="AF203" s="654">
        <f t="shared" si="110"/>
        <v>0</v>
      </c>
      <c r="AG203" s="655">
        <f t="shared" si="111"/>
        <v>0</v>
      </c>
      <c r="AH203" s="670">
        <v>0</v>
      </c>
      <c r="AI203" s="664">
        <v>0</v>
      </c>
      <c r="AJ203" s="664">
        <v>0</v>
      </c>
      <c r="AK203" s="671">
        <v>0</v>
      </c>
      <c r="AL203" s="665">
        <v>0</v>
      </c>
      <c r="AM203" s="672">
        <v>0</v>
      </c>
      <c r="AN203" s="653">
        <f t="shared" si="112"/>
        <v>0</v>
      </c>
      <c r="AO203" s="654">
        <f t="shared" si="113"/>
        <v>0</v>
      </c>
      <c r="AP203" s="655">
        <f t="shared" si="114"/>
        <v>0</v>
      </c>
      <c r="AQ203" s="382">
        <v>9.6901648044217219E-5</v>
      </c>
      <c r="AR203" s="383">
        <v>9.6901648044217219E-5</v>
      </c>
      <c r="AS203" s="440"/>
      <c r="AT203" s="377">
        <v>2037</v>
      </c>
      <c r="AU203" s="384"/>
      <c r="AV203" s="385" t="s">
        <v>517</v>
      </c>
      <c r="AW203" s="386" t="s">
        <v>517</v>
      </c>
      <c r="AX203" s="386" t="s">
        <v>517</v>
      </c>
      <c r="AY203" s="387" t="s">
        <v>517</v>
      </c>
      <c r="AZ203" s="388" t="s">
        <v>517</v>
      </c>
      <c r="BA203" s="389" t="s">
        <v>517</v>
      </c>
      <c r="BB203" s="785">
        <f t="shared" si="115"/>
        <v>0</v>
      </c>
      <c r="BC203" s="786">
        <f t="shared" si="116"/>
        <v>0</v>
      </c>
      <c r="BD203" s="787">
        <f t="shared" si="117"/>
        <v>0</v>
      </c>
      <c r="BE203" s="385" t="s">
        <v>517</v>
      </c>
      <c r="BF203" s="386" t="s">
        <v>517</v>
      </c>
      <c r="BG203" s="386" t="s">
        <v>517</v>
      </c>
      <c r="BH203" s="387" t="s">
        <v>517</v>
      </c>
      <c r="BI203" s="388" t="s">
        <v>517</v>
      </c>
      <c r="BJ203" s="389" t="s">
        <v>517</v>
      </c>
      <c r="BK203" s="785">
        <f t="shared" si="118"/>
        <v>0</v>
      </c>
      <c r="BL203" s="786">
        <f t="shared" si="119"/>
        <v>0</v>
      </c>
      <c r="BM203" s="787">
        <f t="shared" si="120"/>
        <v>0</v>
      </c>
      <c r="BN203" s="440"/>
      <c r="BO203" s="377">
        <v>2037</v>
      </c>
      <c r="BP203" s="381"/>
      <c r="BQ203" s="673">
        <v>94</v>
      </c>
      <c r="BR203" s="674" t="s">
        <v>517</v>
      </c>
      <c r="BS203" s="675" t="s">
        <v>517</v>
      </c>
      <c r="BT203" s="655">
        <f t="shared" si="141"/>
        <v>0</v>
      </c>
      <c r="BU203" s="674" t="s">
        <v>517</v>
      </c>
      <c r="BV203" s="675" t="s">
        <v>517</v>
      </c>
      <c r="BW203" s="655">
        <f t="shared" si="121"/>
        <v>0</v>
      </c>
      <c r="BX203" s="655">
        <f t="shared" si="142"/>
        <v>0</v>
      </c>
      <c r="BY203" s="655">
        <f t="shared" si="122"/>
        <v>0</v>
      </c>
      <c r="BZ203" s="440"/>
      <c r="CA203" s="648">
        <f t="shared" si="123"/>
        <v>0</v>
      </c>
      <c r="CB203" s="649">
        <f t="shared" si="124"/>
        <v>0</v>
      </c>
      <c r="CC203" s="649">
        <f t="shared" si="125"/>
        <v>0</v>
      </c>
      <c r="CD203" s="650">
        <f t="shared" si="126"/>
        <v>0</v>
      </c>
      <c r="CE203" s="648">
        <f t="shared" si="127"/>
        <v>0</v>
      </c>
      <c r="CF203" s="649">
        <f t="shared" si="128"/>
        <v>0</v>
      </c>
      <c r="CG203" s="649">
        <f t="shared" si="129"/>
        <v>0</v>
      </c>
      <c r="CH203" s="650">
        <f t="shared" si="130"/>
        <v>0</v>
      </c>
      <c r="CI203" s="648">
        <f t="shared" si="131"/>
        <v>1.046537798877546E-4</v>
      </c>
      <c r="CJ203" s="650">
        <f t="shared" si="132"/>
        <v>1.046537798877546E-4</v>
      </c>
      <c r="CK203" s="440"/>
      <c r="CL203" s="667">
        <f t="shared" si="133"/>
        <v>0</v>
      </c>
      <c r="CM203" s="1331">
        <f t="shared" si="134"/>
        <v>0</v>
      </c>
      <c r="CN203" s="655">
        <f t="shared" si="135"/>
        <v>0</v>
      </c>
      <c r="CO203" s="667">
        <f t="shared" si="136"/>
        <v>0</v>
      </c>
      <c r="CP203" s="1331">
        <f t="shared" si="137"/>
        <v>0</v>
      </c>
      <c r="CQ203" s="655">
        <f t="shared" si="138"/>
        <v>0</v>
      </c>
      <c r="CR203" s="808"/>
    </row>
    <row r="204" spans="1:96">
      <c r="A204" s="323"/>
      <c r="B204" s="425">
        <v>2038</v>
      </c>
      <c r="C204" s="381"/>
      <c r="D204" s="663">
        <v>6.5839175371730396E-2</v>
      </c>
      <c r="E204" s="664">
        <v>5.6579749674734635E-2</v>
      </c>
      <c r="F204" s="664">
        <v>6.542186199202682E-2</v>
      </c>
      <c r="G204" s="664">
        <v>5.4241140956479306E-2</v>
      </c>
      <c r="H204" s="663">
        <v>3.8768342592951292E-3</v>
      </c>
      <c r="I204" s="648">
        <f t="shared" si="139"/>
        <v>8.0488527439211588E-2</v>
      </c>
      <c r="J204" s="649">
        <f t="shared" si="104"/>
        <v>6.9798335283516047E-2</v>
      </c>
      <c r="K204" s="649">
        <f t="shared" si="105"/>
        <v>8.0006730796076217E-2</v>
      </c>
      <c r="L204" s="650">
        <f t="shared" si="106"/>
        <v>6.7098364746115899E-2</v>
      </c>
      <c r="M204" s="665">
        <v>92.611649617220579</v>
      </c>
      <c r="N204" s="666">
        <v>105.92505040867479</v>
      </c>
      <c r="O204" s="667">
        <f t="shared" si="107"/>
        <v>99.001853440808787</v>
      </c>
      <c r="P204" s="668">
        <f t="shared" si="108"/>
        <v>124.2492706249884</v>
      </c>
      <c r="Q204" s="669">
        <f t="shared" si="140"/>
        <v>124.2492706249884</v>
      </c>
      <c r="R204" s="670">
        <v>3.6949910274332996E-2</v>
      </c>
      <c r="S204" s="664">
        <v>3.7737390831461083E-2</v>
      </c>
      <c r="T204" s="664">
        <v>3.599533875053141E-2</v>
      </c>
      <c r="U204" s="671">
        <v>3.6224071678554126E-2</v>
      </c>
      <c r="V204" s="440"/>
      <c r="W204" s="377">
        <v>2038</v>
      </c>
      <c r="X204" s="381"/>
      <c r="Y204" s="670">
        <v>0</v>
      </c>
      <c r="Z204" s="664">
        <v>0</v>
      </c>
      <c r="AA204" s="664">
        <v>0</v>
      </c>
      <c r="AB204" s="671">
        <v>0</v>
      </c>
      <c r="AC204" s="665">
        <v>0</v>
      </c>
      <c r="AD204" s="672">
        <v>0</v>
      </c>
      <c r="AE204" s="653">
        <f t="shared" si="109"/>
        <v>0</v>
      </c>
      <c r="AF204" s="654">
        <f t="shared" si="110"/>
        <v>0</v>
      </c>
      <c r="AG204" s="655">
        <f t="shared" si="111"/>
        <v>0</v>
      </c>
      <c r="AH204" s="670">
        <v>0</v>
      </c>
      <c r="AI204" s="664">
        <v>0</v>
      </c>
      <c r="AJ204" s="664">
        <v>0</v>
      </c>
      <c r="AK204" s="671">
        <v>0</v>
      </c>
      <c r="AL204" s="665">
        <v>0</v>
      </c>
      <c r="AM204" s="672">
        <v>0</v>
      </c>
      <c r="AN204" s="653">
        <f t="shared" si="112"/>
        <v>0</v>
      </c>
      <c r="AO204" s="654">
        <f t="shared" si="113"/>
        <v>0</v>
      </c>
      <c r="AP204" s="655">
        <f t="shared" si="114"/>
        <v>0</v>
      </c>
      <c r="AQ204" s="382">
        <v>9.6901648044217219E-5</v>
      </c>
      <c r="AR204" s="383">
        <v>9.6901648044217219E-5</v>
      </c>
      <c r="AS204" s="440"/>
      <c r="AT204" s="377">
        <v>2038</v>
      </c>
      <c r="AU204" s="384"/>
      <c r="AV204" s="385" t="s">
        <v>517</v>
      </c>
      <c r="AW204" s="386" t="s">
        <v>517</v>
      </c>
      <c r="AX204" s="386" t="s">
        <v>517</v>
      </c>
      <c r="AY204" s="387" t="s">
        <v>517</v>
      </c>
      <c r="AZ204" s="388" t="s">
        <v>517</v>
      </c>
      <c r="BA204" s="389" t="s">
        <v>517</v>
      </c>
      <c r="BB204" s="785">
        <f t="shared" si="115"/>
        <v>0</v>
      </c>
      <c r="BC204" s="786">
        <f t="shared" si="116"/>
        <v>0</v>
      </c>
      <c r="BD204" s="787">
        <f t="shared" si="117"/>
        <v>0</v>
      </c>
      <c r="BE204" s="385" t="s">
        <v>517</v>
      </c>
      <c r="BF204" s="386" t="s">
        <v>517</v>
      </c>
      <c r="BG204" s="386" t="s">
        <v>517</v>
      </c>
      <c r="BH204" s="387" t="s">
        <v>517</v>
      </c>
      <c r="BI204" s="388" t="s">
        <v>517</v>
      </c>
      <c r="BJ204" s="389" t="s">
        <v>517</v>
      </c>
      <c r="BK204" s="785">
        <f t="shared" si="118"/>
        <v>0</v>
      </c>
      <c r="BL204" s="786">
        <f t="shared" si="119"/>
        <v>0</v>
      </c>
      <c r="BM204" s="787">
        <f t="shared" si="120"/>
        <v>0</v>
      </c>
      <c r="BN204" s="440"/>
      <c r="BO204" s="377">
        <v>2038</v>
      </c>
      <c r="BP204" s="381"/>
      <c r="BQ204" s="673">
        <v>94</v>
      </c>
      <c r="BR204" s="674" t="s">
        <v>517</v>
      </c>
      <c r="BS204" s="675" t="s">
        <v>517</v>
      </c>
      <c r="BT204" s="655">
        <f t="shared" si="141"/>
        <v>0</v>
      </c>
      <c r="BU204" s="674" t="s">
        <v>517</v>
      </c>
      <c r="BV204" s="675" t="s">
        <v>517</v>
      </c>
      <c r="BW204" s="655">
        <f t="shared" si="121"/>
        <v>0</v>
      </c>
      <c r="BX204" s="655">
        <f t="shared" si="142"/>
        <v>0</v>
      </c>
      <c r="BY204" s="655">
        <f t="shared" si="122"/>
        <v>0</v>
      </c>
      <c r="BZ204" s="440"/>
      <c r="CA204" s="648">
        <f t="shared" si="123"/>
        <v>0</v>
      </c>
      <c r="CB204" s="649">
        <f t="shared" si="124"/>
        <v>0</v>
      </c>
      <c r="CC204" s="649">
        <f t="shared" si="125"/>
        <v>0</v>
      </c>
      <c r="CD204" s="650">
        <f t="shared" si="126"/>
        <v>0</v>
      </c>
      <c r="CE204" s="648">
        <f t="shared" si="127"/>
        <v>0</v>
      </c>
      <c r="CF204" s="649">
        <f t="shared" si="128"/>
        <v>0</v>
      </c>
      <c r="CG204" s="649">
        <f t="shared" si="129"/>
        <v>0</v>
      </c>
      <c r="CH204" s="650">
        <f t="shared" si="130"/>
        <v>0</v>
      </c>
      <c r="CI204" s="648">
        <f t="shared" si="131"/>
        <v>1.046537798877546E-4</v>
      </c>
      <c r="CJ204" s="650">
        <f t="shared" si="132"/>
        <v>1.046537798877546E-4</v>
      </c>
      <c r="CK204" s="440"/>
      <c r="CL204" s="667">
        <f t="shared" si="133"/>
        <v>0</v>
      </c>
      <c r="CM204" s="1331">
        <f t="shared" si="134"/>
        <v>0</v>
      </c>
      <c r="CN204" s="655">
        <f t="shared" si="135"/>
        <v>0</v>
      </c>
      <c r="CO204" s="667">
        <f t="shared" si="136"/>
        <v>0</v>
      </c>
      <c r="CP204" s="1331">
        <f t="shared" si="137"/>
        <v>0</v>
      </c>
      <c r="CQ204" s="655">
        <f t="shared" si="138"/>
        <v>0</v>
      </c>
      <c r="CR204" s="808"/>
    </row>
    <row r="205" spans="1:96">
      <c r="A205" s="323"/>
      <c r="B205" s="425">
        <v>2039</v>
      </c>
      <c r="C205" s="381"/>
      <c r="D205" s="663">
        <v>6.7088714842113456E-2</v>
      </c>
      <c r="E205" s="664">
        <v>5.693453243696045E-2</v>
      </c>
      <c r="F205" s="664">
        <v>6.8817856081270987E-2</v>
      </c>
      <c r="G205" s="664">
        <v>5.6648979844865728E-2</v>
      </c>
      <c r="H205" s="663">
        <v>4.1670693707046456E-3</v>
      </c>
      <c r="I205" s="648">
        <f t="shared" si="139"/>
        <v>8.2266227989382754E-2</v>
      </c>
      <c r="J205" s="649">
        <f t="shared" si="104"/>
        <v>7.0543021318985502E-2</v>
      </c>
      <c r="K205" s="649">
        <f t="shared" si="105"/>
        <v>8.42625561328149E-2</v>
      </c>
      <c r="L205" s="650">
        <f t="shared" si="106"/>
        <v>7.0213345140360303E-2</v>
      </c>
      <c r="M205" s="665">
        <v>94.155617650624322</v>
      </c>
      <c r="N205" s="666">
        <v>107.62060848602898</v>
      </c>
      <c r="O205" s="667">
        <f t="shared" si="107"/>
        <v>100.6523552685174</v>
      </c>
      <c r="P205" s="668">
        <f t="shared" si="108"/>
        <v>126.23814722783884</v>
      </c>
      <c r="Q205" s="669">
        <f t="shared" si="140"/>
        <v>126.23814722783884</v>
      </c>
      <c r="R205" s="670">
        <v>3.6551535982981248E-2</v>
      </c>
      <c r="S205" s="664">
        <v>3.7330526343338354E-2</v>
      </c>
      <c r="T205" s="664">
        <v>3.5607256141933843E-2</v>
      </c>
      <c r="U205" s="671">
        <v>3.583352299311271E-2</v>
      </c>
      <c r="V205" s="440"/>
      <c r="W205" s="377">
        <v>2039</v>
      </c>
      <c r="X205" s="381"/>
      <c r="Y205" s="670">
        <v>0</v>
      </c>
      <c r="Z205" s="664">
        <v>0</v>
      </c>
      <c r="AA205" s="664">
        <v>0</v>
      </c>
      <c r="AB205" s="671">
        <v>0</v>
      </c>
      <c r="AC205" s="665">
        <v>0</v>
      </c>
      <c r="AD205" s="672">
        <v>0</v>
      </c>
      <c r="AE205" s="653">
        <f t="shared" si="109"/>
        <v>0</v>
      </c>
      <c r="AF205" s="654">
        <f t="shared" si="110"/>
        <v>0</v>
      </c>
      <c r="AG205" s="655">
        <f t="shared" si="111"/>
        <v>0</v>
      </c>
      <c r="AH205" s="670">
        <v>0</v>
      </c>
      <c r="AI205" s="664">
        <v>0</v>
      </c>
      <c r="AJ205" s="664">
        <v>0</v>
      </c>
      <c r="AK205" s="671">
        <v>0</v>
      </c>
      <c r="AL205" s="665">
        <v>0</v>
      </c>
      <c r="AM205" s="672">
        <v>0</v>
      </c>
      <c r="AN205" s="653">
        <f t="shared" si="112"/>
        <v>0</v>
      </c>
      <c r="AO205" s="654">
        <f t="shared" si="113"/>
        <v>0</v>
      </c>
      <c r="AP205" s="655">
        <f t="shared" si="114"/>
        <v>0</v>
      </c>
      <c r="AQ205" s="382">
        <v>9.6901648044217219E-5</v>
      </c>
      <c r="AR205" s="383">
        <v>9.6901648044217219E-5</v>
      </c>
      <c r="AS205" s="440"/>
      <c r="AT205" s="377">
        <v>2039</v>
      </c>
      <c r="AU205" s="384"/>
      <c r="AV205" s="385" t="s">
        <v>517</v>
      </c>
      <c r="AW205" s="386" t="s">
        <v>517</v>
      </c>
      <c r="AX205" s="386" t="s">
        <v>517</v>
      </c>
      <c r="AY205" s="387" t="s">
        <v>517</v>
      </c>
      <c r="AZ205" s="388" t="s">
        <v>517</v>
      </c>
      <c r="BA205" s="389" t="s">
        <v>517</v>
      </c>
      <c r="BB205" s="785">
        <f t="shared" si="115"/>
        <v>0</v>
      </c>
      <c r="BC205" s="786">
        <f t="shared" si="116"/>
        <v>0</v>
      </c>
      <c r="BD205" s="787">
        <f t="shared" si="117"/>
        <v>0</v>
      </c>
      <c r="BE205" s="385" t="s">
        <v>517</v>
      </c>
      <c r="BF205" s="386" t="s">
        <v>517</v>
      </c>
      <c r="BG205" s="386" t="s">
        <v>517</v>
      </c>
      <c r="BH205" s="387" t="s">
        <v>517</v>
      </c>
      <c r="BI205" s="388" t="s">
        <v>517</v>
      </c>
      <c r="BJ205" s="389" t="s">
        <v>517</v>
      </c>
      <c r="BK205" s="785">
        <f t="shared" si="118"/>
        <v>0</v>
      </c>
      <c r="BL205" s="786">
        <f t="shared" si="119"/>
        <v>0</v>
      </c>
      <c r="BM205" s="787">
        <f t="shared" si="120"/>
        <v>0</v>
      </c>
      <c r="BN205" s="440"/>
      <c r="BO205" s="377">
        <v>2039</v>
      </c>
      <c r="BP205" s="381"/>
      <c r="BQ205" s="673">
        <v>94</v>
      </c>
      <c r="BR205" s="674" t="s">
        <v>517</v>
      </c>
      <c r="BS205" s="675" t="s">
        <v>517</v>
      </c>
      <c r="BT205" s="655">
        <f t="shared" si="141"/>
        <v>0</v>
      </c>
      <c r="BU205" s="674" t="s">
        <v>517</v>
      </c>
      <c r="BV205" s="675" t="s">
        <v>517</v>
      </c>
      <c r="BW205" s="655">
        <f t="shared" si="121"/>
        <v>0</v>
      </c>
      <c r="BX205" s="655">
        <f t="shared" si="142"/>
        <v>0</v>
      </c>
      <c r="BY205" s="655">
        <f t="shared" si="122"/>
        <v>0</v>
      </c>
      <c r="BZ205" s="440"/>
      <c r="CA205" s="648">
        <f t="shared" si="123"/>
        <v>0</v>
      </c>
      <c r="CB205" s="649">
        <f t="shared" si="124"/>
        <v>0</v>
      </c>
      <c r="CC205" s="649">
        <f t="shared" si="125"/>
        <v>0</v>
      </c>
      <c r="CD205" s="650">
        <f t="shared" si="126"/>
        <v>0</v>
      </c>
      <c r="CE205" s="648">
        <f t="shared" si="127"/>
        <v>0</v>
      </c>
      <c r="CF205" s="649">
        <f t="shared" si="128"/>
        <v>0</v>
      </c>
      <c r="CG205" s="649">
        <f t="shared" si="129"/>
        <v>0</v>
      </c>
      <c r="CH205" s="650">
        <f t="shared" si="130"/>
        <v>0</v>
      </c>
      <c r="CI205" s="648">
        <f t="shared" si="131"/>
        <v>1.046537798877546E-4</v>
      </c>
      <c r="CJ205" s="650">
        <f t="shared" si="132"/>
        <v>1.046537798877546E-4</v>
      </c>
      <c r="CK205" s="440"/>
      <c r="CL205" s="667">
        <f t="shared" si="133"/>
        <v>0</v>
      </c>
      <c r="CM205" s="1331">
        <f t="shared" si="134"/>
        <v>0</v>
      </c>
      <c r="CN205" s="655">
        <f t="shared" si="135"/>
        <v>0</v>
      </c>
      <c r="CO205" s="667">
        <f t="shared" si="136"/>
        <v>0</v>
      </c>
      <c r="CP205" s="1331">
        <f t="shared" si="137"/>
        <v>0</v>
      </c>
      <c r="CQ205" s="655">
        <f t="shared" si="138"/>
        <v>0</v>
      </c>
      <c r="CR205" s="808"/>
    </row>
    <row r="206" spans="1:96">
      <c r="A206" s="323"/>
      <c r="B206" s="425">
        <v>2040</v>
      </c>
      <c r="C206" s="381"/>
      <c r="D206" s="663">
        <v>6.8361968900038511E-2</v>
      </c>
      <c r="E206" s="664">
        <v>5.7291539860997179E-2</v>
      </c>
      <c r="F206" s="664">
        <v>7.2390133380791047E-2</v>
      </c>
      <c r="G206" s="664">
        <v>5.9163706014938901E-2</v>
      </c>
      <c r="H206" s="663">
        <v>4.4790326278797256E-3</v>
      </c>
      <c r="I206" s="648">
        <f t="shared" si="139"/>
        <v>8.4096393084012164E-2</v>
      </c>
      <c r="J206" s="649">
        <f t="shared" si="104"/>
        <v>7.1315361349858164E-2</v>
      </c>
      <c r="K206" s="649">
        <f t="shared" si="105"/>
        <v>8.8746989540330584E-2</v>
      </c>
      <c r="L206" s="650">
        <f t="shared" si="106"/>
        <v>7.3476814617906963E-2</v>
      </c>
      <c r="M206" s="665">
        <v>95.725325829010089</v>
      </c>
      <c r="N206" s="666">
        <v>109.34330761436772</v>
      </c>
      <c r="O206" s="667">
        <f t="shared" si="107"/>
        <v>102.33037331121179</v>
      </c>
      <c r="P206" s="668">
        <f t="shared" si="108"/>
        <v>128.25886007505085</v>
      </c>
      <c r="Q206" s="669">
        <f t="shared" si="140"/>
        <v>128.25886007505085</v>
      </c>
      <c r="R206" s="670">
        <v>3.6157456751477593E-2</v>
      </c>
      <c r="S206" s="664">
        <v>3.6928048451852227E-2</v>
      </c>
      <c r="T206" s="664">
        <v>3.5223357633731599E-2</v>
      </c>
      <c r="U206" s="671">
        <v>3.5447184995996271E-2</v>
      </c>
      <c r="V206" s="440"/>
      <c r="W206" s="377">
        <v>2040</v>
      </c>
      <c r="X206" s="381"/>
      <c r="Y206" s="670">
        <v>0</v>
      </c>
      <c r="Z206" s="664">
        <v>0</v>
      </c>
      <c r="AA206" s="664">
        <v>0</v>
      </c>
      <c r="AB206" s="671">
        <v>0</v>
      </c>
      <c r="AC206" s="665">
        <v>0</v>
      </c>
      <c r="AD206" s="672">
        <v>0</v>
      </c>
      <c r="AE206" s="653">
        <f t="shared" si="109"/>
        <v>0</v>
      </c>
      <c r="AF206" s="654">
        <f t="shared" si="110"/>
        <v>0</v>
      </c>
      <c r="AG206" s="655">
        <f t="shared" si="111"/>
        <v>0</v>
      </c>
      <c r="AH206" s="670">
        <v>0</v>
      </c>
      <c r="AI206" s="664">
        <v>0</v>
      </c>
      <c r="AJ206" s="664">
        <v>0</v>
      </c>
      <c r="AK206" s="671">
        <v>0</v>
      </c>
      <c r="AL206" s="665">
        <v>0</v>
      </c>
      <c r="AM206" s="672">
        <v>0</v>
      </c>
      <c r="AN206" s="653">
        <f t="shared" si="112"/>
        <v>0</v>
      </c>
      <c r="AO206" s="654">
        <f t="shared" si="113"/>
        <v>0</v>
      </c>
      <c r="AP206" s="655">
        <f t="shared" si="114"/>
        <v>0</v>
      </c>
      <c r="AQ206" s="382">
        <v>9.6901648044217219E-5</v>
      </c>
      <c r="AR206" s="383">
        <v>9.6901648044217219E-5</v>
      </c>
      <c r="AS206" s="440"/>
      <c r="AT206" s="377">
        <v>2040</v>
      </c>
      <c r="AU206" s="384"/>
      <c r="AV206" s="385" t="s">
        <v>517</v>
      </c>
      <c r="AW206" s="386" t="s">
        <v>517</v>
      </c>
      <c r="AX206" s="386" t="s">
        <v>517</v>
      </c>
      <c r="AY206" s="387" t="s">
        <v>517</v>
      </c>
      <c r="AZ206" s="388" t="s">
        <v>517</v>
      </c>
      <c r="BA206" s="389" t="s">
        <v>517</v>
      </c>
      <c r="BB206" s="785">
        <f t="shared" si="115"/>
        <v>0</v>
      </c>
      <c r="BC206" s="786">
        <f t="shared" si="116"/>
        <v>0</v>
      </c>
      <c r="BD206" s="787">
        <f t="shared" si="117"/>
        <v>0</v>
      </c>
      <c r="BE206" s="385" t="s">
        <v>517</v>
      </c>
      <c r="BF206" s="386" t="s">
        <v>517</v>
      </c>
      <c r="BG206" s="386" t="s">
        <v>517</v>
      </c>
      <c r="BH206" s="387" t="s">
        <v>517</v>
      </c>
      <c r="BI206" s="388" t="s">
        <v>517</v>
      </c>
      <c r="BJ206" s="389" t="s">
        <v>517</v>
      </c>
      <c r="BK206" s="785">
        <f t="shared" si="118"/>
        <v>0</v>
      </c>
      <c r="BL206" s="786">
        <f t="shared" si="119"/>
        <v>0</v>
      </c>
      <c r="BM206" s="787">
        <f t="shared" si="120"/>
        <v>0</v>
      </c>
      <c r="BN206" s="440"/>
      <c r="BO206" s="377">
        <v>2040</v>
      </c>
      <c r="BP206" s="381"/>
      <c r="BQ206" s="673">
        <v>94</v>
      </c>
      <c r="BR206" s="674" t="s">
        <v>517</v>
      </c>
      <c r="BS206" s="675" t="s">
        <v>517</v>
      </c>
      <c r="BT206" s="655">
        <f t="shared" si="141"/>
        <v>0</v>
      </c>
      <c r="BU206" s="674" t="s">
        <v>517</v>
      </c>
      <c r="BV206" s="675" t="s">
        <v>517</v>
      </c>
      <c r="BW206" s="655">
        <f t="shared" si="121"/>
        <v>0</v>
      </c>
      <c r="BX206" s="655">
        <f t="shared" si="142"/>
        <v>0</v>
      </c>
      <c r="BY206" s="655">
        <f t="shared" si="122"/>
        <v>0</v>
      </c>
      <c r="BZ206" s="440"/>
      <c r="CA206" s="648">
        <f t="shared" si="123"/>
        <v>0</v>
      </c>
      <c r="CB206" s="649">
        <f t="shared" si="124"/>
        <v>0</v>
      </c>
      <c r="CC206" s="649">
        <f t="shared" si="125"/>
        <v>0</v>
      </c>
      <c r="CD206" s="650">
        <f t="shared" si="126"/>
        <v>0</v>
      </c>
      <c r="CE206" s="648">
        <f t="shared" si="127"/>
        <v>0</v>
      </c>
      <c r="CF206" s="649">
        <f t="shared" si="128"/>
        <v>0</v>
      </c>
      <c r="CG206" s="649">
        <f t="shared" si="129"/>
        <v>0</v>
      </c>
      <c r="CH206" s="650">
        <f t="shared" si="130"/>
        <v>0</v>
      </c>
      <c r="CI206" s="648">
        <f t="shared" si="131"/>
        <v>1.046537798877546E-4</v>
      </c>
      <c r="CJ206" s="650">
        <f t="shared" si="132"/>
        <v>1.046537798877546E-4</v>
      </c>
      <c r="CK206" s="440"/>
      <c r="CL206" s="667">
        <f t="shared" si="133"/>
        <v>0</v>
      </c>
      <c r="CM206" s="1331">
        <f t="shared" si="134"/>
        <v>0</v>
      </c>
      <c r="CN206" s="655">
        <f t="shared" si="135"/>
        <v>0</v>
      </c>
      <c r="CO206" s="667">
        <f t="shared" si="136"/>
        <v>0</v>
      </c>
      <c r="CP206" s="1331">
        <f t="shared" si="137"/>
        <v>0</v>
      </c>
      <c r="CQ206" s="655">
        <f t="shared" si="138"/>
        <v>0</v>
      </c>
      <c r="CR206" s="808"/>
    </row>
    <row r="207" spans="1:96">
      <c r="A207" s="323"/>
      <c r="B207" s="425">
        <v>2041</v>
      </c>
      <c r="C207" s="381"/>
      <c r="D207" s="663">
        <v>6.965938761665226E-2</v>
      </c>
      <c r="E207" s="664">
        <v>5.7650785896564763E-2</v>
      </c>
      <c r="F207" s="664">
        <v>7.614784460446003E-2</v>
      </c>
      <c r="G207" s="664">
        <v>6.1790064340220677E-2</v>
      </c>
      <c r="H207" s="663">
        <v>4.8143506855559621E-3</v>
      </c>
      <c r="I207" s="648">
        <f t="shared" si="139"/>
        <v>8.5981420344665452E-2</v>
      </c>
      <c r="J207" s="649">
        <f t="shared" si="104"/>
        <v>7.2117249486790019E-2</v>
      </c>
      <c r="K207" s="649">
        <f t="shared" si="105"/>
        <v>9.347247370622927E-2</v>
      </c>
      <c r="L207" s="650">
        <f t="shared" si="106"/>
        <v>7.6896129235559649E-2</v>
      </c>
      <c r="M207" s="665">
        <v>97.321203277236293</v>
      </c>
      <c r="N207" s="666">
        <v>111.09358224454134</v>
      </c>
      <c r="O207" s="667">
        <f t="shared" si="107"/>
        <v>104.0363663033656</v>
      </c>
      <c r="P207" s="668">
        <f t="shared" si="108"/>
        <v>130.31191877413536</v>
      </c>
      <c r="Q207" s="669">
        <f t="shared" si="140"/>
        <v>130.31191877413536</v>
      </c>
      <c r="R207" s="670">
        <v>3.5767626272769852E-2</v>
      </c>
      <c r="S207" s="664">
        <v>3.652990986304952E-2</v>
      </c>
      <c r="T207" s="664">
        <v>3.4843598115178336E-2</v>
      </c>
      <c r="U207" s="671">
        <v>3.5065012289801537E-2</v>
      </c>
      <c r="V207" s="440"/>
      <c r="W207" s="377">
        <v>2041</v>
      </c>
      <c r="X207" s="381"/>
      <c r="Y207" s="670">
        <v>0</v>
      </c>
      <c r="Z207" s="664">
        <v>0</v>
      </c>
      <c r="AA207" s="664">
        <v>0</v>
      </c>
      <c r="AB207" s="671">
        <v>0</v>
      </c>
      <c r="AC207" s="665">
        <v>0</v>
      </c>
      <c r="AD207" s="672">
        <v>0</v>
      </c>
      <c r="AE207" s="653">
        <f t="shared" si="109"/>
        <v>0</v>
      </c>
      <c r="AF207" s="654">
        <f t="shared" si="110"/>
        <v>0</v>
      </c>
      <c r="AG207" s="655">
        <f t="shared" si="111"/>
        <v>0</v>
      </c>
      <c r="AH207" s="670">
        <v>0</v>
      </c>
      <c r="AI207" s="664">
        <v>0</v>
      </c>
      <c r="AJ207" s="664">
        <v>0</v>
      </c>
      <c r="AK207" s="671">
        <v>0</v>
      </c>
      <c r="AL207" s="665">
        <v>0</v>
      </c>
      <c r="AM207" s="672">
        <v>0</v>
      </c>
      <c r="AN207" s="653">
        <f t="shared" si="112"/>
        <v>0</v>
      </c>
      <c r="AO207" s="654">
        <f t="shared" si="113"/>
        <v>0</v>
      </c>
      <c r="AP207" s="655">
        <f t="shared" si="114"/>
        <v>0</v>
      </c>
      <c r="AQ207" s="382">
        <v>9.6901648044217219E-5</v>
      </c>
      <c r="AR207" s="383">
        <v>9.6901648044217219E-5</v>
      </c>
      <c r="AS207" s="440"/>
      <c r="AT207" s="377">
        <v>2041</v>
      </c>
      <c r="AU207" s="384"/>
      <c r="AV207" s="385" t="s">
        <v>517</v>
      </c>
      <c r="AW207" s="386" t="s">
        <v>517</v>
      </c>
      <c r="AX207" s="386" t="s">
        <v>517</v>
      </c>
      <c r="AY207" s="387" t="s">
        <v>517</v>
      </c>
      <c r="AZ207" s="388" t="s">
        <v>517</v>
      </c>
      <c r="BA207" s="389" t="s">
        <v>517</v>
      </c>
      <c r="BB207" s="785">
        <f t="shared" si="115"/>
        <v>0</v>
      </c>
      <c r="BC207" s="786">
        <f t="shared" si="116"/>
        <v>0</v>
      </c>
      <c r="BD207" s="787">
        <f t="shared" si="117"/>
        <v>0</v>
      </c>
      <c r="BE207" s="385" t="s">
        <v>517</v>
      </c>
      <c r="BF207" s="386" t="s">
        <v>517</v>
      </c>
      <c r="BG207" s="386" t="s">
        <v>517</v>
      </c>
      <c r="BH207" s="387" t="s">
        <v>517</v>
      </c>
      <c r="BI207" s="388" t="s">
        <v>517</v>
      </c>
      <c r="BJ207" s="389" t="s">
        <v>517</v>
      </c>
      <c r="BK207" s="785">
        <f t="shared" si="118"/>
        <v>0</v>
      </c>
      <c r="BL207" s="786">
        <f t="shared" si="119"/>
        <v>0</v>
      </c>
      <c r="BM207" s="787">
        <f t="shared" si="120"/>
        <v>0</v>
      </c>
      <c r="BN207" s="440"/>
      <c r="BO207" s="377">
        <v>2041</v>
      </c>
      <c r="BP207" s="381"/>
      <c r="BQ207" s="673">
        <v>94</v>
      </c>
      <c r="BR207" s="674" t="s">
        <v>517</v>
      </c>
      <c r="BS207" s="675" t="s">
        <v>517</v>
      </c>
      <c r="BT207" s="655">
        <f t="shared" si="141"/>
        <v>0</v>
      </c>
      <c r="BU207" s="674" t="s">
        <v>517</v>
      </c>
      <c r="BV207" s="675" t="s">
        <v>517</v>
      </c>
      <c r="BW207" s="655">
        <f t="shared" si="121"/>
        <v>0</v>
      </c>
      <c r="BX207" s="655">
        <f t="shared" si="142"/>
        <v>0</v>
      </c>
      <c r="BY207" s="655">
        <f t="shared" si="122"/>
        <v>0</v>
      </c>
      <c r="BZ207" s="440"/>
      <c r="CA207" s="648">
        <f t="shared" si="123"/>
        <v>0</v>
      </c>
      <c r="CB207" s="649">
        <f t="shared" si="124"/>
        <v>0</v>
      </c>
      <c r="CC207" s="649">
        <f t="shared" si="125"/>
        <v>0</v>
      </c>
      <c r="CD207" s="650">
        <f t="shared" si="126"/>
        <v>0</v>
      </c>
      <c r="CE207" s="648">
        <f t="shared" si="127"/>
        <v>0</v>
      </c>
      <c r="CF207" s="649">
        <f t="shared" si="128"/>
        <v>0</v>
      </c>
      <c r="CG207" s="649">
        <f t="shared" si="129"/>
        <v>0</v>
      </c>
      <c r="CH207" s="650">
        <f t="shared" si="130"/>
        <v>0</v>
      </c>
      <c r="CI207" s="648">
        <f t="shared" si="131"/>
        <v>1.046537798877546E-4</v>
      </c>
      <c r="CJ207" s="650">
        <f t="shared" si="132"/>
        <v>1.046537798877546E-4</v>
      </c>
      <c r="CK207" s="440"/>
      <c r="CL207" s="667">
        <f t="shared" si="133"/>
        <v>0</v>
      </c>
      <c r="CM207" s="1331">
        <f t="shared" si="134"/>
        <v>0</v>
      </c>
      <c r="CN207" s="655">
        <f t="shared" si="135"/>
        <v>0</v>
      </c>
      <c r="CO207" s="667">
        <f t="shared" si="136"/>
        <v>0</v>
      </c>
      <c r="CP207" s="1331">
        <f t="shared" si="137"/>
        <v>0</v>
      </c>
      <c r="CQ207" s="655">
        <f t="shared" si="138"/>
        <v>0</v>
      </c>
      <c r="CR207" s="808"/>
    </row>
    <row r="208" spans="1:96">
      <c r="A208" s="323"/>
      <c r="B208" s="425">
        <v>2042</v>
      </c>
      <c r="C208" s="381"/>
      <c r="D208" s="663">
        <v>7.0981429604849669E-2</v>
      </c>
      <c r="E208" s="664">
        <v>5.801228458085473E-2</v>
      </c>
      <c r="F208" s="664">
        <v>8.0100615472047776E-2</v>
      </c>
      <c r="G208" s="664">
        <v>6.453301032569797E-2</v>
      </c>
      <c r="H208" s="663">
        <v>5.1747719762615567E-3</v>
      </c>
      <c r="I208" s="648">
        <f t="shared" si="139"/>
        <v>8.7923857849424539E-2</v>
      </c>
      <c r="J208" s="649">
        <f t="shared" si="104"/>
        <v>7.29507205363219E-2</v>
      </c>
      <c r="K208" s="649">
        <f t="shared" si="105"/>
        <v>9.845214031682209E-2</v>
      </c>
      <c r="L208" s="650">
        <f t="shared" si="106"/>
        <v>8.0479028823258317E-2</v>
      </c>
      <c r="M208" s="665">
        <v>98.943686274283564</v>
      </c>
      <c r="N208" s="666">
        <v>112.87187378171977</v>
      </c>
      <c r="O208" s="667">
        <f t="shared" si="107"/>
        <v>105.77080062720913</v>
      </c>
      <c r="P208" s="668">
        <f t="shared" si="108"/>
        <v>132.39784108996665</v>
      </c>
      <c r="Q208" s="669">
        <f t="shared" si="140"/>
        <v>132.39784108996665</v>
      </c>
      <c r="R208" s="670">
        <v>3.5381998739063857E-2</v>
      </c>
      <c r="S208" s="664">
        <v>3.613606379287531E-2</v>
      </c>
      <c r="T208" s="664">
        <v>3.4467932961887784E-2</v>
      </c>
      <c r="U208" s="671">
        <v>3.4686959966575906E-2</v>
      </c>
      <c r="V208" s="440"/>
      <c r="W208" s="377">
        <v>2042</v>
      </c>
      <c r="X208" s="381"/>
      <c r="Y208" s="670">
        <v>0</v>
      </c>
      <c r="Z208" s="664">
        <v>0</v>
      </c>
      <c r="AA208" s="664">
        <v>0</v>
      </c>
      <c r="AB208" s="671">
        <v>0</v>
      </c>
      <c r="AC208" s="665">
        <v>0</v>
      </c>
      <c r="AD208" s="672">
        <v>0</v>
      </c>
      <c r="AE208" s="653">
        <f t="shared" si="109"/>
        <v>0</v>
      </c>
      <c r="AF208" s="654">
        <f t="shared" si="110"/>
        <v>0</v>
      </c>
      <c r="AG208" s="655">
        <f t="shared" si="111"/>
        <v>0</v>
      </c>
      <c r="AH208" s="670">
        <v>0</v>
      </c>
      <c r="AI208" s="664">
        <v>0</v>
      </c>
      <c r="AJ208" s="664">
        <v>0</v>
      </c>
      <c r="AK208" s="671">
        <v>0</v>
      </c>
      <c r="AL208" s="665">
        <v>0</v>
      </c>
      <c r="AM208" s="672">
        <v>0</v>
      </c>
      <c r="AN208" s="653">
        <f t="shared" si="112"/>
        <v>0</v>
      </c>
      <c r="AO208" s="654">
        <f t="shared" si="113"/>
        <v>0</v>
      </c>
      <c r="AP208" s="655">
        <f t="shared" si="114"/>
        <v>0</v>
      </c>
      <c r="AQ208" s="382">
        <v>9.6901648044217219E-5</v>
      </c>
      <c r="AR208" s="383">
        <v>9.6901648044217219E-5</v>
      </c>
      <c r="AS208" s="440"/>
      <c r="AT208" s="377">
        <v>2042</v>
      </c>
      <c r="AU208" s="384"/>
      <c r="AV208" s="385" t="s">
        <v>517</v>
      </c>
      <c r="AW208" s="386" t="s">
        <v>517</v>
      </c>
      <c r="AX208" s="386" t="s">
        <v>517</v>
      </c>
      <c r="AY208" s="387" t="s">
        <v>517</v>
      </c>
      <c r="AZ208" s="388" t="s">
        <v>517</v>
      </c>
      <c r="BA208" s="389" t="s">
        <v>517</v>
      </c>
      <c r="BB208" s="785">
        <f t="shared" si="115"/>
        <v>0</v>
      </c>
      <c r="BC208" s="786">
        <f t="shared" si="116"/>
        <v>0</v>
      </c>
      <c r="BD208" s="787">
        <f t="shared" si="117"/>
        <v>0</v>
      </c>
      <c r="BE208" s="385" t="s">
        <v>517</v>
      </c>
      <c r="BF208" s="386" t="s">
        <v>517</v>
      </c>
      <c r="BG208" s="386" t="s">
        <v>517</v>
      </c>
      <c r="BH208" s="387" t="s">
        <v>517</v>
      </c>
      <c r="BI208" s="388" t="s">
        <v>517</v>
      </c>
      <c r="BJ208" s="389" t="s">
        <v>517</v>
      </c>
      <c r="BK208" s="785">
        <f t="shared" si="118"/>
        <v>0</v>
      </c>
      <c r="BL208" s="786">
        <f t="shared" si="119"/>
        <v>0</v>
      </c>
      <c r="BM208" s="787">
        <f t="shared" si="120"/>
        <v>0</v>
      </c>
      <c r="BN208" s="440"/>
      <c r="BO208" s="377">
        <v>2042</v>
      </c>
      <c r="BP208" s="381"/>
      <c r="BQ208" s="673">
        <v>94</v>
      </c>
      <c r="BR208" s="674" t="s">
        <v>517</v>
      </c>
      <c r="BS208" s="675" t="s">
        <v>517</v>
      </c>
      <c r="BT208" s="655">
        <f t="shared" si="141"/>
        <v>0</v>
      </c>
      <c r="BU208" s="674" t="s">
        <v>517</v>
      </c>
      <c r="BV208" s="675" t="s">
        <v>517</v>
      </c>
      <c r="BW208" s="655">
        <f t="shared" si="121"/>
        <v>0</v>
      </c>
      <c r="BX208" s="655">
        <f t="shared" si="142"/>
        <v>0</v>
      </c>
      <c r="BY208" s="655">
        <f t="shared" si="122"/>
        <v>0</v>
      </c>
      <c r="BZ208" s="440"/>
      <c r="CA208" s="648">
        <f t="shared" si="123"/>
        <v>0</v>
      </c>
      <c r="CB208" s="649">
        <f t="shared" si="124"/>
        <v>0</v>
      </c>
      <c r="CC208" s="649">
        <f t="shared" si="125"/>
        <v>0</v>
      </c>
      <c r="CD208" s="650">
        <f t="shared" si="126"/>
        <v>0</v>
      </c>
      <c r="CE208" s="648">
        <f t="shared" si="127"/>
        <v>0</v>
      </c>
      <c r="CF208" s="649">
        <f t="shared" si="128"/>
        <v>0</v>
      </c>
      <c r="CG208" s="649">
        <f t="shared" si="129"/>
        <v>0</v>
      </c>
      <c r="CH208" s="650">
        <f t="shared" si="130"/>
        <v>0</v>
      </c>
      <c r="CI208" s="648">
        <f t="shared" si="131"/>
        <v>1.046537798877546E-4</v>
      </c>
      <c r="CJ208" s="650">
        <f t="shared" si="132"/>
        <v>1.046537798877546E-4</v>
      </c>
      <c r="CK208" s="440"/>
      <c r="CL208" s="667">
        <f t="shared" si="133"/>
        <v>0</v>
      </c>
      <c r="CM208" s="1331">
        <f t="shared" si="134"/>
        <v>0</v>
      </c>
      <c r="CN208" s="655">
        <f t="shared" si="135"/>
        <v>0</v>
      </c>
      <c r="CO208" s="667">
        <f t="shared" si="136"/>
        <v>0</v>
      </c>
      <c r="CP208" s="1331">
        <f t="shared" si="137"/>
        <v>0</v>
      </c>
      <c r="CQ208" s="655">
        <f t="shared" si="138"/>
        <v>0</v>
      </c>
      <c r="CR208" s="808"/>
    </row>
    <row r="209" spans="1:96">
      <c r="A209" s="323"/>
      <c r="B209" s="425">
        <v>2043</v>
      </c>
      <c r="C209" s="381"/>
      <c r="D209" s="663">
        <v>7.2328562181384934E-2</v>
      </c>
      <c r="E209" s="664">
        <v>5.837605003907867E-2</v>
      </c>
      <c r="F209" s="664">
        <v>8.4258571366379334E-2</v>
      </c>
      <c r="G209" s="664">
        <v>6.7397719458043334E-2</v>
      </c>
      <c r="H209" s="663">
        <v>5.5621758270834355E-3</v>
      </c>
      <c r="I209" s="648">
        <f t="shared" si="139"/>
        <v>8.9926414845536901E-2</v>
      </c>
      <c r="J209" s="649">
        <f t="shared" si="104"/>
        <v>7.3817960527001472E-2</v>
      </c>
      <c r="K209" s="649">
        <f t="shared" si="105"/>
        <v>0.10369984904979662</v>
      </c>
      <c r="L209" s="650">
        <f t="shared" si="106"/>
        <v>8.4233658304584555E-2</v>
      </c>
      <c r="M209" s="665">
        <v>100.59321837252422</v>
      </c>
      <c r="N209" s="666">
        <v>114.67863069671128</v>
      </c>
      <c r="O209" s="667">
        <f t="shared" si="107"/>
        <v>107.53415044022839</v>
      </c>
      <c r="P209" s="668">
        <f t="shared" si="108"/>
        <v>134.51715307535858</v>
      </c>
      <c r="Q209" s="669">
        <f t="shared" si="140"/>
        <v>134.51715307535858</v>
      </c>
      <c r="R209" s="670">
        <v>3.5000528836440732E-2</v>
      </c>
      <c r="S209" s="664">
        <v>3.5746463961675502E-2</v>
      </c>
      <c r="T209" s="664">
        <v>3.4096318030590107E-2</v>
      </c>
      <c r="U209" s="671">
        <v>3.4312983602540453E-2</v>
      </c>
      <c r="V209" s="440"/>
      <c r="W209" s="377">
        <v>2043</v>
      </c>
      <c r="X209" s="381"/>
      <c r="Y209" s="670">
        <v>0</v>
      </c>
      <c r="Z209" s="664">
        <v>0</v>
      </c>
      <c r="AA209" s="664">
        <v>0</v>
      </c>
      <c r="AB209" s="671">
        <v>0</v>
      </c>
      <c r="AC209" s="665">
        <v>0</v>
      </c>
      <c r="AD209" s="672">
        <v>0</v>
      </c>
      <c r="AE209" s="653">
        <f t="shared" si="109"/>
        <v>0</v>
      </c>
      <c r="AF209" s="654">
        <f t="shared" si="110"/>
        <v>0</v>
      </c>
      <c r="AG209" s="655">
        <f t="shared" si="111"/>
        <v>0</v>
      </c>
      <c r="AH209" s="670">
        <v>0</v>
      </c>
      <c r="AI209" s="664">
        <v>0</v>
      </c>
      <c r="AJ209" s="664">
        <v>0</v>
      </c>
      <c r="AK209" s="671">
        <v>0</v>
      </c>
      <c r="AL209" s="665">
        <v>0</v>
      </c>
      <c r="AM209" s="672">
        <v>0</v>
      </c>
      <c r="AN209" s="653">
        <f t="shared" si="112"/>
        <v>0</v>
      </c>
      <c r="AO209" s="654">
        <f t="shared" si="113"/>
        <v>0</v>
      </c>
      <c r="AP209" s="655">
        <f t="shared" si="114"/>
        <v>0</v>
      </c>
      <c r="AQ209" s="382">
        <v>9.6901648044217219E-5</v>
      </c>
      <c r="AR209" s="383">
        <v>9.6901648044217219E-5</v>
      </c>
      <c r="AS209" s="440"/>
      <c r="AT209" s="377">
        <v>2043</v>
      </c>
      <c r="AU209" s="384"/>
      <c r="AV209" s="385" t="s">
        <v>517</v>
      </c>
      <c r="AW209" s="386" t="s">
        <v>517</v>
      </c>
      <c r="AX209" s="386" t="s">
        <v>517</v>
      </c>
      <c r="AY209" s="387" t="s">
        <v>517</v>
      </c>
      <c r="AZ209" s="388" t="s">
        <v>517</v>
      </c>
      <c r="BA209" s="389" t="s">
        <v>517</v>
      </c>
      <c r="BB209" s="785">
        <f t="shared" si="115"/>
        <v>0</v>
      </c>
      <c r="BC209" s="786">
        <f t="shared" si="116"/>
        <v>0</v>
      </c>
      <c r="BD209" s="787">
        <f t="shared" si="117"/>
        <v>0</v>
      </c>
      <c r="BE209" s="385" t="s">
        <v>517</v>
      </c>
      <c r="BF209" s="386" t="s">
        <v>517</v>
      </c>
      <c r="BG209" s="386" t="s">
        <v>517</v>
      </c>
      <c r="BH209" s="387" t="s">
        <v>517</v>
      </c>
      <c r="BI209" s="388" t="s">
        <v>517</v>
      </c>
      <c r="BJ209" s="389" t="s">
        <v>517</v>
      </c>
      <c r="BK209" s="785">
        <f t="shared" si="118"/>
        <v>0</v>
      </c>
      <c r="BL209" s="786">
        <f t="shared" si="119"/>
        <v>0</v>
      </c>
      <c r="BM209" s="787">
        <f t="shared" si="120"/>
        <v>0</v>
      </c>
      <c r="BN209" s="440"/>
      <c r="BO209" s="377">
        <v>2043</v>
      </c>
      <c r="BP209" s="381"/>
      <c r="BQ209" s="673">
        <v>94</v>
      </c>
      <c r="BR209" s="674" t="s">
        <v>517</v>
      </c>
      <c r="BS209" s="675" t="s">
        <v>517</v>
      </c>
      <c r="BT209" s="655">
        <f t="shared" si="141"/>
        <v>0</v>
      </c>
      <c r="BU209" s="674" t="s">
        <v>517</v>
      </c>
      <c r="BV209" s="675" t="s">
        <v>517</v>
      </c>
      <c r="BW209" s="655">
        <f t="shared" si="121"/>
        <v>0</v>
      </c>
      <c r="BX209" s="655">
        <f t="shared" si="142"/>
        <v>0</v>
      </c>
      <c r="BY209" s="655">
        <f t="shared" si="122"/>
        <v>0</v>
      </c>
      <c r="BZ209" s="440"/>
      <c r="CA209" s="648">
        <f t="shared" si="123"/>
        <v>0</v>
      </c>
      <c r="CB209" s="649">
        <f t="shared" si="124"/>
        <v>0</v>
      </c>
      <c r="CC209" s="649">
        <f t="shared" si="125"/>
        <v>0</v>
      </c>
      <c r="CD209" s="650">
        <f t="shared" si="126"/>
        <v>0</v>
      </c>
      <c r="CE209" s="648">
        <f t="shared" si="127"/>
        <v>0</v>
      </c>
      <c r="CF209" s="649">
        <f t="shared" si="128"/>
        <v>0</v>
      </c>
      <c r="CG209" s="649">
        <f t="shared" si="129"/>
        <v>0</v>
      </c>
      <c r="CH209" s="650">
        <f t="shared" si="130"/>
        <v>0</v>
      </c>
      <c r="CI209" s="648">
        <f t="shared" si="131"/>
        <v>1.046537798877546E-4</v>
      </c>
      <c r="CJ209" s="650">
        <f t="shared" si="132"/>
        <v>1.046537798877546E-4</v>
      </c>
      <c r="CK209" s="440"/>
      <c r="CL209" s="667">
        <f t="shared" si="133"/>
        <v>0</v>
      </c>
      <c r="CM209" s="1331">
        <f t="shared" si="134"/>
        <v>0</v>
      </c>
      <c r="CN209" s="655">
        <f t="shared" si="135"/>
        <v>0</v>
      </c>
      <c r="CO209" s="667">
        <f t="shared" si="136"/>
        <v>0</v>
      </c>
      <c r="CP209" s="1331">
        <f t="shared" si="137"/>
        <v>0</v>
      </c>
      <c r="CQ209" s="655">
        <f t="shared" si="138"/>
        <v>0</v>
      </c>
      <c r="CR209" s="808"/>
    </row>
    <row r="210" spans="1:96">
      <c r="A210" s="323"/>
      <c r="B210" s="425">
        <v>2044</v>
      </c>
      <c r="C210" s="381"/>
      <c r="D210" s="663">
        <v>7.3701261532059095E-2</v>
      </c>
      <c r="E210" s="664">
        <v>5.8742096485020177E-2</v>
      </c>
      <c r="F210" s="664">
        <v>8.8632363270425951E-2</v>
      </c>
      <c r="G210" s="664">
        <v>7.0389596970904716E-2</v>
      </c>
      <c r="H210" s="663">
        <v>5.9785822589504493E-3</v>
      </c>
      <c r="I210" s="648">
        <f t="shared" si="139"/>
        <v>9.1991973253596343E-2</v>
      </c>
      <c r="J210" s="649">
        <f t="shared" si="104"/>
        <v>7.472131802348897E-2</v>
      </c>
      <c r="K210" s="649">
        <f t="shared" si="105"/>
        <v>0.10923022883257566</v>
      </c>
      <c r="L210" s="650">
        <f t="shared" si="106"/>
        <v>8.8168590284452397E-2</v>
      </c>
      <c r="M210" s="665">
        <v>102.27025051898001</v>
      </c>
      <c r="N210" s="666">
        <v>116.51430863906327</v>
      </c>
      <c r="O210" s="667">
        <f t="shared" si="107"/>
        <v>109.32689780478962</v>
      </c>
      <c r="P210" s="668">
        <f t="shared" si="108"/>
        <v>136.67038920373088</v>
      </c>
      <c r="Q210" s="669">
        <f t="shared" si="140"/>
        <v>136.67038920373088</v>
      </c>
      <c r="R210" s="670">
        <v>3.4623171739532187E-2</v>
      </c>
      <c r="S210" s="664">
        <v>3.5361064588758609E-2</v>
      </c>
      <c r="T210" s="664">
        <v>3.372870965394472E-2</v>
      </c>
      <c r="U210" s="671">
        <v>3.3943039252869824E-2</v>
      </c>
      <c r="V210" s="440"/>
      <c r="W210" s="377">
        <v>2044</v>
      </c>
      <c r="X210" s="381"/>
      <c r="Y210" s="670">
        <v>0</v>
      </c>
      <c r="Z210" s="664">
        <v>0</v>
      </c>
      <c r="AA210" s="664">
        <v>0</v>
      </c>
      <c r="AB210" s="671">
        <v>0</v>
      </c>
      <c r="AC210" s="665">
        <v>0</v>
      </c>
      <c r="AD210" s="672">
        <v>0</v>
      </c>
      <c r="AE210" s="653">
        <f t="shared" si="109"/>
        <v>0</v>
      </c>
      <c r="AF210" s="654">
        <f t="shared" si="110"/>
        <v>0</v>
      </c>
      <c r="AG210" s="655">
        <f t="shared" si="111"/>
        <v>0</v>
      </c>
      <c r="AH210" s="670">
        <v>0</v>
      </c>
      <c r="AI210" s="664">
        <v>0</v>
      </c>
      <c r="AJ210" s="664">
        <v>0</v>
      </c>
      <c r="AK210" s="671">
        <v>0</v>
      </c>
      <c r="AL210" s="665">
        <v>0</v>
      </c>
      <c r="AM210" s="672">
        <v>0</v>
      </c>
      <c r="AN210" s="653">
        <f t="shared" si="112"/>
        <v>0</v>
      </c>
      <c r="AO210" s="654">
        <f t="shared" si="113"/>
        <v>0</v>
      </c>
      <c r="AP210" s="655">
        <f t="shared" si="114"/>
        <v>0</v>
      </c>
      <c r="AQ210" s="382">
        <v>9.6901648044217219E-5</v>
      </c>
      <c r="AR210" s="383">
        <v>9.6901648044217219E-5</v>
      </c>
      <c r="AS210" s="440"/>
      <c r="AT210" s="377">
        <v>2044</v>
      </c>
      <c r="AU210" s="384"/>
      <c r="AV210" s="385" t="s">
        <v>517</v>
      </c>
      <c r="AW210" s="386" t="s">
        <v>517</v>
      </c>
      <c r="AX210" s="386" t="s">
        <v>517</v>
      </c>
      <c r="AY210" s="387" t="s">
        <v>517</v>
      </c>
      <c r="AZ210" s="388" t="s">
        <v>517</v>
      </c>
      <c r="BA210" s="389" t="s">
        <v>517</v>
      </c>
      <c r="BB210" s="785">
        <f t="shared" si="115"/>
        <v>0</v>
      </c>
      <c r="BC210" s="786">
        <f t="shared" si="116"/>
        <v>0</v>
      </c>
      <c r="BD210" s="787">
        <f t="shared" si="117"/>
        <v>0</v>
      </c>
      <c r="BE210" s="385" t="s">
        <v>517</v>
      </c>
      <c r="BF210" s="386" t="s">
        <v>517</v>
      </c>
      <c r="BG210" s="386" t="s">
        <v>517</v>
      </c>
      <c r="BH210" s="387" t="s">
        <v>517</v>
      </c>
      <c r="BI210" s="388" t="s">
        <v>517</v>
      </c>
      <c r="BJ210" s="389" t="s">
        <v>517</v>
      </c>
      <c r="BK210" s="785">
        <f t="shared" si="118"/>
        <v>0</v>
      </c>
      <c r="BL210" s="786">
        <f t="shared" si="119"/>
        <v>0</v>
      </c>
      <c r="BM210" s="787">
        <f t="shared" si="120"/>
        <v>0</v>
      </c>
      <c r="BN210" s="440"/>
      <c r="BO210" s="377">
        <v>2044</v>
      </c>
      <c r="BP210" s="381"/>
      <c r="BQ210" s="673">
        <v>94</v>
      </c>
      <c r="BR210" s="674" t="s">
        <v>517</v>
      </c>
      <c r="BS210" s="675" t="s">
        <v>517</v>
      </c>
      <c r="BT210" s="655">
        <f t="shared" si="141"/>
        <v>0</v>
      </c>
      <c r="BU210" s="674" t="s">
        <v>517</v>
      </c>
      <c r="BV210" s="675" t="s">
        <v>517</v>
      </c>
      <c r="BW210" s="655">
        <f t="shared" si="121"/>
        <v>0</v>
      </c>
      <c r="BX210" s="655">
        <f t="shared" si="142"/>
        <v>0</v>
      </c>
      <c r="BY210" s="655">
        <f t="shared" si="122"/>
        <v>0</v>
      </c>
      <c r="BZ210" s="440"/>
      <c r="CA210" s="648">
        <f t="shared" si="123"/>
        <v>0</v>
      </c>
      <c r="CB210" s="649">
        <f t="shared" si="124"/>
        <v>0</v>
      </c>
      <c r="CC210" s="649">
        <f t="shared" si="125"/>
        <v>0</v>
      </c>
      <c r="CD210" s="650">
        <f t="shared" si="126"/>
        <v>0</v>
      </c>
      <c r="CE210" s="648">
        <f t="shared" si="127"/>
        <v>0</v>
      </c>
      <c r="CF210" s="649">
        <f t="shared" si="128"/>
        <v>0</v>
      </c>
      <c r="CG210" s="649">
        <f t="shared" si="129"/>
        <v>0</v>
      </c>
      <c r="CH210" s="650">
        <f t="shared" si="130"/>
        <v>0</v>
      </c>
      <c r="CI210" s="648">
        <f t="shared" si="131"/>
        <v>1.046537798877546E-4</v>
      </c>
      <c r="CJ210" s="650">
        <f t="shared" si="132"/>
        <v>1.046537798877546E-4</v>
      </c>
      <c r="CK210" s="440"/>
      <c r="CL210" s="667">
        <f t="shared" si="133"/>
        <v>0</v>
      </c>
      <c r="CM210" s="1331">
        <f t="shared" si="134"/>
        <v>0</v>
      </c>
      <c r="CN210" s="655">
        <f t="shared" si="135"/>
        <v>0</v>
      </c>
      <c r="CO210" s="667">
        <f t="shared" si="136"/>
        <v>0</v>
      </c>
      <c r="CP210" s="1331">
        <f t="shared" si="137"/>
        <v>0</v>
      </c>
      <c r="CQ210" s="655">
        <f t="shared" si="138"/>
        <v>0</v>
      </c>
      <c r="CR210" s="808"/>
    </row>
    <row r="211" spans="1:96">
      <c r="A211" s="323"/>
      <c r="B211" s="425">
        <v>2045</v>
      </c>
      <c r="C211" s="381"/>
      <c r="D211" s="663">
        <v>7.5100012880042644E-2</v>
      </c>
      <c r="E211" s="664">
        <v>5.9110438221590234E-2</v>
      </c>
      <c r="F211" s="664">
        <v>9.3233195050768602E-2</v>
      </c>
      <c r="G211" s="664">
        <v>7.3514288043689868E-2</v>
      </c>
      <c r="H211" s="663">
        <v>6.4261625195295869E-3</v>
      </c>
      <c r="I211" s="648">
        <f t="shared" si="139"/>
        <v>9.4123600022314124E-2</v>
      </c>
      <c r="J211" s="649">
        <f t="shared" si="104"/>
        <v>7.5663316287637658E-2</v>
      </c>
      <c r="K211" s="649">
        <f t="shared" si="105"/>
        <v>0.11505872150206067</v>
      </c>
      <c r="L211" s="650">
        <f t="shared" si="106"/>
        <v>9.2292848984248124E-2</v>
      </c>
      <c r="M211" s="665">
        <v>103.97524117860148</v>
      </c>
      <c r="N211" s="666">
        <v>118.37937055197339</v>
      </c>
      <c r="O211" s="667">
        <f t="shared" si="107"/>
        <v>111.14953281992497</v>
      </c>
      <c r="P211" s="668">
        <f t="shared" si="108"/>
        <v>138.85809250389894</v>
      </c>
      <c r="Q211" s="669">
        <f t="shared" si="140"/>
        <v>138.85809250389894</v>
      </c>
      <c r="R211" s="670">
        <v>3.4249883106253223E-2</v>
      </c>
      <c r="S211" s="664">
        <v>3.497982038701624E-2</v>
      </c>
      <c r="T211" s="664">
        <v>3.3365064635409107E-2</v>
      </c>
      <c r="U211" s="671">
        <v>3.3577083446528405E-2</v>
      </c>
      <c r="V211" s="440"/>
      <c r="W211" s="377">
        <v>2045</v>
      </c>
      <c r="X211" s="381"/>
      <c r="Y211" s="670">
        <v>0</v>
      </c>
      <c r="Z211" s="664">
        <v>0</v>
      </c>
      <c r="AA211" s="664">
        <v>0</v>
      </c>
      <c r="AB211" s="671">
        <v>0</v>
      </c>
      <c r="AC211" s="665">
        <v>0</v>
      </c>
      <c r="AD211" s="672">
        <v>0</v>
      </c>
      <c r="AE211" s="653">
        <f t="shared" si="109"/>
        <v>0</v>
      </c>
      <c r="AF211" s="654">
        <f t="shared" si="110"/>
        <v>0</v>
      </c>
      <c r="AG211" s="655">
        <f t="shared" si="111"/>
        <v>0</v>
      </c>
      <c r="AH211" s="670">
        <v>0</v>
      </c>
      <c r="AI211" s="664">
        <v>0</v>
      </c>
      <c r="AJ211" s="664">
        <v>0</v>
      </c>
      <c r="AK211" s="671">
        <v>0</v>
      </c>
      <c r="AL211" s="665">
        <v>0</v>
      </c>
      <c r="AM211" s="672">
        <v>0</v>
      </c>
      <c r="AN211" s="653">
        <f t="shared" si="112"/>
        <v>0</v>
      </c>
      <c r="AO211" s="654">
        <f t="shared" si="113"/>
        <v>0</v>
      </c>
      <c r="AP211" s="655">
        <f t="shared" si="114"/>
        <v>0</v>
      </c>
      <c r="AQ211" s="382">
        <v>9.6901648044217219E-5</v>
      </c>
      <c r="AR211" s="383">
        <v>9.6901648044217219E-5</v>
      </c>
      <c r="AS211" s="440"/>
      <c r="AT211" s="377">
        <v>2045</v>
      </c>
      <c r="AU211" s="384"/>
      <c r="AV211" s="385" t="s">
        <v>517</v>
      </c>
      <c r="AW211" s="386" t="s">
        <v>517</v>
      </c>
      <c r="AX211" s="386" t="s">
        <v>517</v>
      </c>
      <c r="AY211" s="387" t="s">
        <v>517</v>
      </c>
      <c r="AZ211" s="388" t="s">
        <v>517</v>
      </c>
      <c r="BA211" s="389" t="s">
        <v>517</v>
      </c>
      <c r="BB211" s="785">
        <f t="shared" si="115"/>
        <v>0</v>
      </c>
      <c r="BC211" s="786">
        <f t="shared" si="116"/>
        <v>0</v>
      </c>
      <c r="BD211" s="787">
        <f t="shared" si="117"/>
        <v>0</v>
      </c>
      <c r="BE211" s="385" t="s">
        <v>517</v>
      </c>
      <c r="BF211" s="386" t="s">
        <v>517</v>
      </c>
      <c r="BG211" s="386" t="s">
        <v>517</v>
      </c>
      <c r="BH211" s="387" t="s">
        <v>517</v>
      </c>
      <c r="BI211" s="388" t="s">
        <v>517</v>
      </c>
      <c r="BJ211" s="389" t="s">
        <v>517</v>
      </c>
      <c r="BK211" s="785">
        <f t="shared" si="118"/>
        <v>0</v>
      </c>
      <c r="BL211" s="786">
        <f t="shared" si="119"/>
        <v>0</v>
      </c>
      <c r="BM211" s="787">
        <f t="shared" si="120"/>
        <v>0</v>
      </c>
      <c r="BN211" s="440"/>
      <c r="BO211" s="377">
        <v>2045</v>
      </c>
      <c r="BP211" s="381"/>
      <c r="BQ211" s="673">
        <v>94</v>
      </c>
      <c r="BR211" s="674" t="s">
        <v>517</v>
      </c>
      <c r="BS211" s="675" t="s">
        <v>517</v>
      </c>
      <c r="BT211" s="655">
        <f t="shared" si="141"/>
        <v>0</v>
      </c>
      <c r="BU211" s="674" t="s">
        <v>517</v>
      </c>
      <c r="BV211" s="675" t="s">
        <v>517</v>
      </c>
      <c r="BW211" s="655">
        <f t="shared" si="121"/>
        <v>0</v>
      </c>
      <c r="BX211" s="655">
        <f t="shared" si="142"/>
        <v>0</v>
      </c>
      <c r="BY211" s="655">
        <f t="shared" si="122"/>
        <v>0</v>
      </c>
      <c r="BZ211" s="440"/>
      <c r="CA211" s="648">
        <f t="shared" si="123"/>
        <v>0</v>
      </c>
      <c r="CB211" s="649">
        <f t="shared" si="124"/>
        <v>0</v>
      </c>
      <c r="CC211" s="649">
        <f t="shared" si="125"/>
        <v>0</v>
      </c>
      <c r="CD211" s="650">
        <f t="shared" si="126"/>
        <v>0</v>
      </c>
      <c r="CE211" s="648">
        <f t="shared" si="127"/>
        <v>0</v>
      </c>
      <c r="CF211" s="649">
        <f t="shared" si="128"/>
        <v>0</v>
      </c>
      <c r="CG211" s="649">
        <f t="shared" si="129"/>
        <v>0</v>
      </c>
      <c r="CH211" s="650">
        <f t="shared" si="130"/>
        <v>0</v>
      </c>
      <c r="CI211" s="648">
        <f t="shared" si="131"/>
        <v>1.046537798877546E-4</v>
      </c>
      <c r="CJ211" s="650">
        <f t="shared" si="132"/>
        <v>1.046537798877546E-4</v>
      </c>
      <c r="CK211" s="440"/>
      <c r="CL211" s="667">
        <f t="shared" si="133"/>
        <v>0</v>
      </c>
      <c r="CM211" s="1331">
        <f t="shared" si="134"/>
        <v>0</v>
      </c>
      <c r="CN211" s="655">
        <f t="shared" si="135"/>
        <v>0</v>
      </c>
      <c r="CO211" s="667">
        <f t="shared" si="136"/>
        <v>0</v>
      </c>
      <c r="CP211" s="1331">
        <f t="shared" si="137"/>
        <v>0</v>
      </c>
      <c r="CQ211" s="655">
        <f t="shared" si="138"/>
        <v>0</v>
      </c>
      <c r="CR211" s="808"/>
    </row>
    <row r="212" spans="1:96">
      <c r="A212" s="323"/>
      <c r="B212" s="425">
        <v>2046</v>
      </c>
      <c r="C212" s="381"/>
      <c r="D212" s="663">
        <v>7.6525310657392723E-2</v>
      </c>
      <c r="E212" s="664">
        <v>5.9481089641386084E-2</v>
      </c>
      <c r="F212" s="664">
        <v>9.8072852157323379E-2</v>
      </c>
      <c r="G212" s="664">
        <v>7.6777688453088758E-2</v>
      </c>
      <c r="H212" s="663">
        <v>6.9072504046563642E-3</v>
      </c>
      <c r="I212" s="648">
        <f t="shared" si="139"/>
        <v>9.6324560397356929E-2</v>
      </c>
      <c r="J212" s="649">
        <f t="shared" si="104"/>
        <v>7.6646666349956927E-2</v>
      </c>
      <c r="K212" s="649">
        <f t="shared" si="105"/>
        <v>0.12120162800985686</v>
      </c>
      <c r="L212" s="650">
        <f t="shared" si="106"/>
        <v>9.6615935610043904E-2</v>
      </c>
      <c r="M212" s="665">
        <v>105.70865645960252</v>
      </c>
      <c r="N212" s="666">
        <v>120.27428678904008</v>
      </c>
      <c r="O212" s="667">
        <f t="shared" si="107"/>
        <v>113.00255375531509</v>
      </c>
      <c r="P212" s="668">
        <f t="shared" si="108"/>
        <v>141.08081469702148</v>
      </c>
      <c r="Q212" s="669">
        <f t="shared" si="140"/>
        <v>141.08081469702148</v>
      </c>
      <c r="R212" s="670">
        <v>3.3880619072591635E-2</v>
      </c>
      <c r="S212" s="664">
        <v>3.4602686557601535E-2</v>
      </c>
      <c r="T212" s="664">
        <v>3.3005340244162899E-2</v>
      </c>
      <c r="U212" s="671">
        <v>3.3215073181162187E-2</v>
      </c>
      <c r="V212" s="440"/>
      <c r="W212" s="377">
        <v>2046</v>
      </c>
      <c r="X212" s="381"/>
      <c r="Y212" s="670">
        <v>0</v>
      </c>
      <c r="Z212" s="664">
        <v>0</v>
      </c>
      <c r="AA212" s="664">
        <v>0</v>
      </c>
      <c r="AB212" s="671">
        <v>0</v>
      </c>
      <c r="AC212" s="665">
        <v>0</v>
      </c>
      <c r="AD212" s="672">
        <v>0</v>
      </c>
      <c r="AE212" s="653">
        <f t="shared" si="109"/>
        <v>0</v>
      </c>
      <c r="AF212" s="654">
        <f t="shared" si="110"/>
        <v>0</v>
      </c>
      <c r="AG212" s="655">
        <f t="shared" si="111"/>
        <v>0</v>
      </c>
      <c r="AH212" s="670">
        <v>0</v>
      </c>
      <c r="AI212" s="664">
        <v>0</v>
      </c>
      <c r="AJ212" s="664">
        <v>0</v>
      </c>
      <c r="AK212" s="671">
        <v>0</v>
      </c>
      <c r="AL212" s="665">
        <v>0</v>
      </c>
      <c r="AM212" s="672">
        <v>0</v>
      </c>
      <c r="AN212" s="653">
        <f t="shared" si="112"/>
        <v>0</v>
      </c>
      <c r="AO212" s="654">
        <f t="shared" si="113"/>
        <v>0</v>
      </c>
      <c r="AP212" s="655">
        <f t="shared" si="114"/>
        <v>0</v>
      </c>
      <c r="AQ212" s="382">
        <v>9.6901648044217219E-5</v>
      </c>
      <c r="AR212" s="383">
        <v>9.6901648044217219E-5</v>
      </c>
      <c r="AS212" s="440"/>
      <c r="AT212" s="377">
        <v>2046</v>
      </c>
      <c r="AU212" s="384"/>
      <c r="AV212" s="385" t="s">
        <v>517</v>
      </c>
      <c r="AW212" s="386" t="s">
        <v>517</v>
      </c>
      <c r="AX212" s="386" t="s">
        <v>517</v>
      </c>
      <c r="AY212" s="387" t="s">
        <v>517</v>
      </c>
      <c r="AZ212" s="388" t="s">
        <v>517</v>
      </c>
      <c r="BA212" s="389" t="s">
        <v>517</v>
      </c>
      <c r="BB212" s="785">
        <f t="shared" si="115"/>
        <v>0</v>
      </c>
      <c r="BC212" s="786">
        <f t="shared" si="116"/>
        <v>0</v>
      </c>
      <c r="BD212" s="787">
        <f t="shared" si="117"/>
        <v>0</v>
      </c>
      <c r="BE212" s="385" t="s">
        <v>517</v>
      </c>
      <c r="BF212" s="386" t="s">
        <v>517</v>
      </c>
      <c r="BG212" s="386" t="s">
        <v>517</v>
      </c>
      <c r="BH212" s="387" t="s">
        <v>517</v>
      </c>
      <c r="BI212" s="388" t="s">
        <v>517</v>
      </c>
      <c r="BJ212" s="389" t="s">
        <v>517</v>
      </c>
      <c r="BK212" s="785">
        <f t="shared" si="118"/>
        <v>0</v>
      </c>
      <c r="BL212" s="786">
        <f t="shared" si="119"/>
        <v>0</v>
      </c>
      <c r="BM212" s="787">
        <f t="shared" si="120"/>
        <v>0</v>
      </c>
      <c r="BN212" s="440"/>
      <c r="BO212" s="377">
        <v>2046</v>
      </c>
      <c r="BP212" s="381"/>
      <c r="BQ212" s="673">
        <v>94</v>
      </c>
      <c r="BR212" s="674" t="s">
        <v>517</v>
      </c>
      <c r="BS212" s="675" t="s">
        <v>517</v>
      </c>
      <c r="BT212" s="655">
        <f t="shared" si="141"/>
        <v>0</v>
      </c>
      <c r="BU212" s="674" t="s">
        <v>517</v>
      </c>
      <c r="BV212" s="675" t="s">
        <v>517</v>
      </c>
      <c r="BW212" s="655">
        <f t="shared" si="121"/>
        <v>0</v>
      </c>
      <c r="BX212" s="655">
        <f t="shared" si="142"/>
        <v>0</v>
      </c>
      <c r="BY212" s="655">
        <f t="shared" si="122"/>
        <v>0</v>
      </c>
      <c r="BZ212" s="440"/>
      <c r="CA212" s="648">
        <f t="shared" si="123"/>
        <v>0</v>
      </c>
      <c r="CB212" s="649">
        <f t="shared" si="124"/>
        <v>0</v>
      </c>
      <c r="CC212" s="649">
        <f t="shared" si="125"/>
        <v>0</v>
      </c>
      <c r="CD212" s="650">
        <f t="shared" si="126"/>
        <v>0</v>
      </c>
      <c r="CE212" s="648">
        <f t="shared" si="127"/>
        <v>0</v>
      </c>
      <c r="CF212" s="649">
        <f t="shared" si="128"/>
        <v>0</v>
      </c>
      <c r="CG212" s="649">
        <f t="shared" si="129"/>
        <v>0</v>
      </c>
      <c r="CH212" s="650">
        <f t="shared" si="130"/>
        <v>0</v>
      </c>
      <c r="CI212" s="648">
        <f t="shared" si="131"/>
        <v>1.046537798877546E-4</v>
      </c>
      <c r="CJ212" s="650">
        <f t="shared" si="132"/>
        <v>1.046537798877546E-4</v>
      </c>
      <c r="CK212" s="440"/>
      <c r="CL212" s="667">
        <f t="shared" si="133"/>
        <v>0</v>
      </c>
      <c r="CM212" s="1331">
        <f t="shared" si="134"/>
        <v>0</v>
      </c>
      <c r="CN212" s="655">
        <f t="shared" si="135"/>
        <v>0</v>
      </c>
      <c r="CO212" s="667">
        <f t="shared" si="136"/>
        <v>0</v>
      </c>
      <c r="CP212" s="1331">
        <f t="shared" si="137"/>
        <v>0</v>
      </c>
      <c r="CQ212" s="655">
        <f t="shared" si="138"/>
        <v>0</v>
      </c>
      <c r="CR212" s="808"/>
    </row>
    <row r="213" spans="1:96">
      <c r="A213" s="323"/>
      <c r="B213" s="425">
        <v>2047</v>
      </c>
      <c r="C213" s="381"/>
      <c r="D213" s="663">
        <v>7.7977658679825507E-2</v>
      </c>
      <c r="E213" s="664">
        <v>5.985406522725361E-2</v>
      </c>
      <c r="F213" s="664">
        <v>0.10316373181284552</v>
      </c>
      <c r="G213" s="664">
        <v>8.0185955697431838E-2</v>
      </c>
      <c r="H213" s="663">
        <v>7.4243544273321646E-3</v>
      </c>
      <c r="I213" s="648">
        <f t="shared" si="139"/>
        <v>9.8598332172475669E-2</v>
      </c>
      <c r="J213" s="649">
        <f t="shared" si="104"/>
        <v>7.7674281059612382E-2</v>
      </c>
      <c r="K213" s="649">
        <f t="shared" si="105"/>
        <v>0.12767615732600995</v>
      </c>
      <c r="L213" s="650">
        <f t="shared" si="106"/>
        <v>0.10114785524524253</v>
      </c>
      <c r="M213" s="665">
        <v>107.47097024088448</v>
      </c>
      <c r="N213" s="666">
        <v>122.19953523288194</v>
      </c>
      <c r="O213" s="667">
        <f t="shared" si="107"/>
        <v>114.8864671875055</v>
      </c>
      <c r="P213" s="668">
        <f t="shared" si="108"/>
        <v>143.33911633573993</v>
      </c>
      <c r="Q213" s="669">
        <f t="shared" si="140"/>
        <v>143.33911633573993</v>
      </c>
      <c r="R213" s="670">
        <v>3.3515336247453682E-2</v>
      </c>
      <c r="S213" s="664">
        <v>3.4229618784664975E-2</v>
      </c>
      <c r="T213" s="664">
        <v>3.2649494210086727E-2</v>
      </c>
      <c r="U213" s="671">
        <v>3.2856965918045676E-2</v>
      </c>
      <c r="V213" s="440"/>
      <c r="W213" s="377">
        <v>2047</v>
      </c>
      <c r="X213" s="381"/>
      <c r="Y213" s="670">
        <v>0</v>
      </c>
      <c r="Z213" s="664">
        <v>0</v>
      </c>
      <c r="AA213" s="664">
        <v>0</v>
      </c>
      <c r="AB213" s="671">
        <v>0</v>
      </c>
      <c r="AC213" s="665">
        <v>0</v>
      </c>
      <c r="AD213" s="672">
        <v>0</v>
      </c>
      <c r="AE213" s="653">
        <f t="shared" si="109"/>
        <v>0</v>
      </c>
      <c r="AF213" s="654">
        <f t="shared" si="110"/>
        <v>0</v>
      </c>
      <c r="AG213" s="655">
        <f t="shared" si="111"/>
        <v>0</v>
      </c>
      <c r="AH213" s="670">
        <v>0</v>
      </c>
      <c r="AI213" s="664">
        <v>0</v>
      </c>
      <c r="AJ213" s="664">
        <v>0</v>
      </c>
      <c r="AK213" s="671">
        <v>0</v>
      </c>
      <c r="AL213" s="665">
        <v>0</v>
      </c>
      <c r="AM213" s="672">
        <v>0</v>
      </c>
      <c r="AN213" s="653">
        <f t="shared" si="112"/>
        <v>0</v>
      </c>
      <c r="AO213" s="654">
        <f t="shared" si="113"/>
        <v>0</v>
      </c>
      <c r="AP213" s="655">
        <f t="shared" si="114"/>
        <v>0</v>
      </c>
      <c r="AQ213" s="382">
        <v>9.6901648044217219E-5</v>
      </c>
      <c r="AR213" s="383">
        <v>9.6901648044217219E-5</v>
      </c>
      <c r="AS213" s="440"/>
      <c r="AT213" s="377">
        <v>2047</v>
      </c>
      <c r="AU213" s="384"/>
      <c r="AV213" s="385" t="s">
        <v>517</v>
      </c>
      <c r="AW213" s="386" t="s">
        <v>517</v>
      </c>
      <c r="AX213" s="386" t="s">
        <v>517</v>
      </c>
      <c r="AY213" s="387" t="s">
        <v>517</v>
      </c>
      <c r="AZ213" s="388" t="s">
        <v>517</v>
      </c>
      <c r="BA213" s="389" t="s">
        <v>517</v>
      </c>
      <c r="BB213" s="785">
        <f t="shared" si="115"/>
        <v>0</v>
      </c>
      <c r="BC213" s="786">
        <f t="shared" si="116"/>
        <v>0</v>
      </c>
      <c r="BD213" s="787">
        <f t="shared" si="117"/>
        <v>0</v>
      </c>
      <c r="BE213" s="385" t="s">
        <v>517</v>
      </c>
      <c r="BF213" s="386" t="s">
        <v>517</v>
      </c>
      <c r="BG213" s="386" t="s">
        <v>517</v>
      </c>
      <c r="BH213" s="387" t="s">
        <v>517</v>
      </c>
      <c r="BI213" s="388" t="s">
        <v>517</v>
      </c>
      <c r="BJ213" s="389" t="s">
        <v>517</v>
      </c>
      <c r="BK213" s="785">
        <f t="shared" si="118"/>
        <v>0</v>
      </c>
      <c r="BL213" s="786">
        <f t="shared" si="119"/>
        <v>0</v>
      </c>
      <c r="BM213" s="787">
        <f t="shared" si="120"/>
        <v>0</v>
      </c>
      <c r="BN213" s="440"/>
      <c r="BO213" s="377">
        <v>2047</v>
      </c>
      <c r="BP213" s="381"/>
      <c r="BQ213" s="673">
        <v>94</v>
      </c>
      <c r="BR213" s="674" t="s">
        <v>517</v>
      </c>
      <c r="BS213" s="675" t="s">
        <v>517</v>
      </c>
      <c r="BT213" s="655">
        <f t="shared" si="141"/>
        <v>0</v>
      </c>
      <c r="BU213" s="674" t="s">
        <v>517</v>
      </c>
      <c r="BV213" s="675" t="s">
        <v>517</v>
      </c>
      <c r="BW213" s="655">
        <f t="shared" si="121"/>
        <v>0</v>
      </c>
      <c r="BX213" s="655">
        <f t="shared" si="142"/>
        <v>0</v>
      </c>
      <c r="BY213" s="655">
        <f t="shared" si="122"/>
        <v>0</v>
      </c>
      <c r="BZ213" s="440"/>
      <c r="CA213" s="648">
        <f t="shared" si="123"/>
        <v>0</v>
      </c>
      <c r="CB213" s="649">
        <f t="shared" si="124"/>
        <v>0</v>
      </c>
      <c r="CC213" s="649">
        <f t="shared" si="125"/>
        <v>0</v>
      </c>
      <c r="CD213" s="650">
        <f t="shared" si="126"/>
        <v>0</v>
      </c>
      <c r="CE213" s="648">
        <f t="shared" si="127"/>
        <v>0</v>
      </c>
      <c r="CF213" s="649">
        <f t="shared" si="128"/>
        <v>0</v>
      </c>
      <c r="CG213" s="649">
        <f t="shared" si="129"/>
        <v>0</v>
      </c>
      <c r="CH213" s="650">
        <f t="shared" si="130"/>
        <v>0</v>
      </c>
      <c r="CI213" s="648">
        <f t="shared" si="131"/>
        <v>1.046537798877546E-4</v>
      </c>
      <c r="CJ213" s="650">
        <f t="shared" si="132"/>
        <v>1.046537798877546E-4</v>
      </c>
      <c r="CK213" s="440"/>
      <c r="CL213" s="667">
        <f t="shared" si="133"/>
        <v>0</v>
      </c>
      <c r="CM213" s="1331">
        <f t="shared" si="134"/>
        <v>0</v>
      </c>
      <c r="CN213" s="655">
        <f t="shared" si="135"/>
        <v>0</v>
      </c>
      <c r="CO213" s="667">
        <f t="shared" si="136"/>
        <v>0</v>
      </c>
      <c r="CP213" s="1331">
        <f t="shared" si="137"/>
        <v>0</v>
      </c>
      <c r="CQ213" s="655">
        <f t="shared" si="138"/>
        <v>0</v>
      </c>
      <c r="CR213" s="808"/>
    </row>
    <row r="214" spans="1:96">
      <c r="A214" s="323"/>
      <c r="B214" s="425">
        <v>2048</v>
      </c>
      <c r="C214" s="381"/>
      <c r="D214" s="663">
        <v>7.9457570324805452E-2</v>
      </c>
      <c r="E214" s="664">
        <v>6.0229379552853242E-2</v>
      </c>
      <c r="F214" s="664">
        <v>0.10851887476954539</v>
      </c>
      <c r="G214" s="664">
        <v>8.3745520614873781E-2</v>
      </c>
      <c r="H214" s="663">
        <v>7.9801708977407463E-3</v>
      </c>
      <c r="I214" s="648">
        <f t="shared" si="139"/>
        <v>0.10094862099625404</v>
      </c>
      <c r="J214" s="649">
        <f t="shared" si="104"/>
        <v>7.8749290186219775E-2</v>
      </c>
      <c r="K214" s="649">
        <f t="shared" si="105"/>
        <v>0.13450047820379518</v>
      </c>
      <c r="L214" s="650">
        <f t="shared" si="106"/>
        <v>0.10589914536514373</v>
      </c>
      <c r="M214" s="665">
        <v>109.26266430158455</v>
      </c>
      <c r="N214" s="666">
        <v>124.15560141565595</v>
      </c>
      <c r="O214" s="667">
        <f t="shared" si="107"/>
        <v>116.80178813839387</v>
      </c>
      <c r="P214" s="668">
        <f t="shared" si="108"/>
        <v>145.63356694554557</v>
      </c>
      <c r="Q214" s="669">
        <f t="shared" si="140"/>
        <v>145.63356694554557</v>
      </c>
      <c r="R214" s="670">
        <v>3.3153991707565326E-2</v>
      </c>
      <c r="S214" s="664">
        <v>3.3860573230146976E-2</v>
      </c>
      <c r="T214" s="664">
        <v>3.2297484718795177E-2</v>
      </c>
      <c r="U214" s="671">
        <v>3.2502719577083318E-2</v>
      </c>
      <c r="V214" s="440"/>
      <c r="W214" s="377">
        <v>2048</v>
      </c>
      <c r="X214" s="381"/>
      <c r="Y214" s="670">
        <v>0</v>
      </c>
      <c r="Z214" s="664">
        <v>0</v>
      </c>
      <c r="AA214" s="664">
        <v>0</v>
      </c>
      <c r="AB214" s="671">
        <v>0</v>
      </c>
      <c r="AC214" s="665">
        <v>0</v>
      </c>
      <c r="AD214" s="672">
        <v>0</v>
      </c>
      <c r="AE214" s="653">
        <f t="shared" si="109"/>
        <v>0</v>
      </c>
      <c r="AF214" s="654">
        <f t="shared" si="110"/>
        <v>0</v>
      </c>
      <c r="AG214" s="655">
        <f t="shared" si="111"/>
        <v>0</v>
      </c>
      <c r="AH214" s="670">
        <v>0</v>
      </c>
      <c r="AI214" s="664">
        <v>0</v>
      </c>
      <c r="AJ214" s="664">
        <v>0</v>
      </c>
      <c r="AK214" s="671">
        <v>0</v>
      </c>
      <c r="AL214" s="665">
        <v>0</v>
      </c>
      <c r="AM214" s="672">
        <v>0</v>
      </c>
      <c r="AN214" s="653">
        <f t="shared" si="112"/>
        <v>0</v>
      </c>
      <c r="AO214" s="654">
        <f t="shared" si="113"/>
        <v>0</v>
      </c>
      <c r="AP214" s="655">
        <f t="shared" si="114"/>
        <v>0</v>
      </c>
      <c r="AQ214" s="382">
        <v>9.6901648044217219E-5</v>
      </c>
      <c r="AR214" s="383">
        <v>9.6901648044217219E-5</v>
      </c>
      <c r="AS214" s="440"/>
      <c r="AT214" s="377">
        <v>2048</v>
      </c>
      <c r="AU214" s="384"/>
      <c r="AV214" s="385" t="s">
        <v>517</v>
      </c>
      <c r="AW214" s="386" t="s">
        <v>517</v>
      </c>
      <c r="AX214" s="386" t="s">
        <v>517</v>
      </c>
      <c r="AY214" s="387" t="s">
        <v>517</v>
      </c>
      <c r="AZ214" s="388" t="s">
        <v>517</v>
      </c>
      <c r="BA214" s="389" t="s">
        <v>517</v>
      </c>
      <c r="BB214" s="785">
        <f t="shared" si="115"/>
        <v>0</v>
      </c>
      <c r="BC214" s="786">
        <f t="shared" si="116"/>
        <v>0</v>
      </c>
      <c r="BD214" s="787">
        <f t="shared" si="117"/>
        <v>0</v>
      </c>
      <c r="BE214" s="385" t="s">
        <v>517</v>
      </c>
      <c r="BF214" s="386" t="s">
        <v>517</v>
      </c>
      <c r="BG214" s="386" t="s">
        <v>517</v>
      </c>
      <c r="BH214" s="387" t="s">
        <v>517</v>
      </c>
      <c r="BI214" s="388" t="s">
        <v>517</v>
      </c>
      <c r="BJ214" s="389" t="s">
        <v>517</v>
      </c>
      <c r="BK214" s="785">
        <f t="shared" si="118"/>
        <v>0</v>
      </c>
      <c r="BL214" s="786">
        <f t="shared" si="119"/>
        <v>0</v>
      </c>
      <c r="BM214" s="787">
        <f t="shared" si="120"/>
        <v>0</v>
      </c>
      <c r="BN214" s="440"/>
      <c r="BO214" s="377">
        <v>2048</v>
      </c>
      <c r="BP214" s="381"/>
      <c r="BQ214" s="673">
        <v>94</v>
      </c>
      <c r="BR214" s="674" t="s">
        <v>517</v>
      </c>
      <c r="BS214" s="675" t="s">
        <v>517</v>
      </c>
      <c r="BT214" s="655">
        <f t="shared" si="141"/>
        <v>0</v>
      </c>
      <c r="BU214" s="674" t="s">
        <v>517</v>
      </c>
      <c r="BV214" s="675" t="s">
        <v>517</v>
      </c>
      <c r="BW214" s="655">
        <f t="shared" si="121"/>
        <v>0</v>
      </c>
      <c r="BX214" s="655">
        <f t="shared" si="142"/>
        <v>0</v>
      </c>
      <c r="BY214" s="655">
        <f t="shared" si="122"/>
        <v>0</v>
      </c>
      <c r="BZ214" s="440"/>
      <c r="CA214" s="648">
        <f t="shared" si="123"/>
        <v>0</v>
      </c>
      <c r="CB214" s="649">
        <f t="shared" si="124"/>
        <v>0</v>
      </c>
      <c r="CC214" s="649">
        <f t="shared" si="125"/>
        <v>0</v>
      </c>
      <c r="CD214" s="650">
        <f t="shared" si="126"/>
        <v>0</v>
      </c>
      <c r="CE214" s="648">
        <f t="shared" si="127"/>
        <v>0</v>
      </c>
      <c r="CF214" s="649">
        <f t="shared" si="128"/>
        <v>0</v>
      </c>
      <c r="CG214" s="649">
        <f t="shared" si="129"/>
        <v>0</v>
      </c>
      <c r="CH214" s="650">
        <f t="shared" si="130"/>
        <v>0</v>
      </c>
      <c r="CI214" s="648">
        <f t="shared" si="131"/>
        <v>1.046537798877546E-4</v>
      </c>
      <c r="CJ214" s="650">
        <f t="shared" si="132"/>
        <v>1.046537798877546E-4</v>
      </c>
      <c r="CK214" s="440"/>
      <c r="CL214" s="667">
        <f t="shared" si="133"/>
        <v>0</v>
      </c>
      <c r="CM214" s="1331">
        <f t="shared" si="134"/>
        <v>0</v>
      </c>
      <c r="CN214" s="655">
        <f t="shared" si="135"/>
        <v>0</v>
      </c>
      <c r="CO214" s="667">
        <f t="shared" si="136"/>
        <v>0</v>
      </c>
      <c r="CP214" s="1331">
        <f t="shared" si="137"/>
        <v>0</v>
      </c>
      <c r="CQ214" s="655">
        <f t="shared" si="138"/>
        <v>0</v>
      </c>
      <c r="CR214" s="808"/>
    </row>
    <row r="215" spans="1:96">
      <c r="A215" s="323"/>
      <c r="B215" s="425">
        <v>2049</v>
      </c>
      <c r="C215" s="381"/>
      <c r="D215" s="663">
        <v>8.0965568713014496E-2</v>
      </c>
      <c r="E215" s="664">
        <v>6.0607047283229402E-2</v>
      </c>
      <c r="F215" s="664">
        <v>0.11415199871416373</v>
      </c>
      <c r="G215" s="664">
        <v>8.746309951732445E-2</v>
      </c>
      <c r="H215" s="663">
        <v>8.5775979824864006E-3</v>
      </c>
      <c r="I215" s="648">
        <f t="shared" si="139"/>
        <v>0.10337937681328971</v>
      </c>
      <c r="J215" s="649">
        <f t="shared" si="104"/>
        <v>7.9875056652174203E-2</v>
      </c>
      <c r="K215" s="649">
        <f t="shared" si="105"/>
        <v>0.14169377397821653</v>
      </c>
      <c r="L215" s="650">
        <f t="shared" si="106"/>
        <v>0.11088090607748163</v>
      </c>
      <c r="M215" s="665">
        <v>111.08422845278398</v>
      </c>
      <c r="N215" s="666">
        <v>126.14297864150473</v>
      </c>
      <c r="O215" s="667">
        <f t="shared" si="107"/>
        <v>118.74904021602606</v>
      </c>
      <c r="P215" s="668">
        <f t="shared" si="108"/>
        <v>147.96474516840908</v>
      </c>
      <c r="Q215" s="669">
        <f t="shared" si="140"/>
        <v>147.96474516840908</v>
      </c>
      <c r="R215" s="670">
        <v>3.279654299242845E-2</v>
      </c>
      <c r="S215" s="664">
        <v>3.3495506528626623E-2</v>
      </c>
      <c r="T215" s="664">
        <v>3.1949270406723317E-2</v>
      </c>
      <c r="U215" s="671">
        <v>3.2152292531864766E-2</v>
      </c>
      <c r="V215" s="440"/>
      <c r="W215" s="377">
        <v>2049</v>
      </c>
      <c r="X215" s="381"/>
      <c r="Y215" s="670">
        <v>0</v>
      </c>
      <c r="Z215" s="664">
        <v>0</v>
      </c>
      <c r="AA215" s="664">
        <v>0</v>
      </c>
      <c r="AB215" s="671">
        <v>0</v>
      </c>
      <c r="AC215" s="665">
        <v>0</v>
      </c>
      <c r="AD215" s="672">
        <v>0</v>
      </c>
      <c r="AE215" s="653">
        <f t="shared" si="109"/>
        <v>0</v>
      </c>
      <c r="AF215" s="654">
        <f t="shared" si="110"/>
        <v>0</v>
      </c>
      <c r="AG215" s="655">
        <f t="shared" si="111"/>
        <v>0</v>
      </c>
      <c r="AH215" s="670">
        <v>0</v>
      </c>
      <c r="AI215" s="664">
        <v>0</v>
      </c>
      <c r="AJ215" s="664">
        <v>0</v>
      </c>
      <c r="AK215" s="671">
        <v>0</v>
      </c>
      <c r="AL215" s="665">
        <v>0</v>
      </c>
      <c r="AM215" s="672">
        <v>0</v>
      </c>
      <c r="AN215" s="653">
        <f t="shared" si="112"/>
        <v>0</v>
      </c>
      <c r="AO215" s="654">
        <f t="shared" si="113"/>
        <v>0</v>
      </c>
      <c r="AP215" s="655">
        <f t="shared" si="114"/>
        <v>0</v>
      </c>
      <c r="AQ215" s="382">
        <v>9.6901648044217219E-5</v>
      </c>
      <c r="AR215" s="383">
        <v>9.6901648044217219E-5</v>
      </c>
      <c r="AS215" s="440"/>
      <c r="AT215" s="377">
        <v>2049</v>
      </c>
      <c r="AU215" s="384"/>
      <c r="AV215" s="385" t="s">
        <v>517</v>
      </c>
      <c r="AW215" s="386" t="s">
        <v>517</v>
      </c>
      <c r="AX215" s="386" t="s">
        <v>517</v>
      </c>
      <c r="AY215" s="387" t="s">
        <v>517</v>
      </c>
      <c r="AZ215" s="388" t="s">
        <v>517</v>
      </c>
      <c r="BA215" s="389" t="s">
        <v>517</v>
      </c>
      <c r="BB215" s="785">
        <f t="shared" si="115"/>
        <v>0</v>
      </c>
      <c r="BC215" s="786">
        <f t="shared" si="116"/>
        <v>0</v>
      </c>
      <c r="BD215" s="787">
        <f t="shared" si="117"/>
        <v>0</v>
      </c>
      <c r="BE215" s="385" t="s">
        <v>517</v>
      </c>
      <c r="BF215" s="386" t="s">
        <v>517</v>
      </c>
      <c r="BG215" s="386" t="s">
        <v>517</v>
      </c>
      <c r="BH215" s="387" t="s">
        <v>517</v>
      </c>
      <c r="BI215" s="388" t="s">
        <v>517</v>
      </c>
      <c r="BJ215" s="389" t="s">
        <v>517</v>
      </c>
      <c r="BK215" s="785">
        <f t="shared" si="118"/>
        <v>0</v>
      </c>
      <c r="BL215" s="786">
        <f t="shared" si="119"/>
        <v>0</v>
      </c>
      <c r="BM215" s="787">
        <f t="shared" si="120"/>
        <v>0</v>
      </c>
      <c r="BN215" s="440"/>
      <c r="BO215" s="377">
        <v>2049</v>
      </c>
      <c r="BP215" s="381"/>
      <c r="BQ215" s="673">
        <v>94</v>
      </c>
      <c r="BR215" s="674" t="s">
        <v>517</v>
      </c>
      <c r="BS215" s="675" t="s">
        <v>517</v>
      </c>
      <c r="BT215" s="655">
        <f t="shared" si="141"/>
        <v>0</v>
      </c>
      <c r="BU215" s="674" t="s">
        <v>517</v>
      </c>
      <c r="BV215" s="675" t="s">
        <v>517</v>
      </c>
      <c r="BW215" s="655">
        <f t="shared" si="121"/>
        <v>0</v>
      </c>
      <c r="BX215" s="655">
        <f t="shared" si="142"/>
        <v>0</v>
      </c>
      <c r="BY215" s="655">
        <f t="shared" si="122"/>
        <v>0</v>
      </c>
      <c r="BZ215" s="440"/>
      <c r="CA215" s="648">
        <f t="shared" si="123"/>
        <v>0</v>
      </c>
      <c r="CB215" s="649">
        <f t="shared" si="124"/>
        <v>0</v>
      </c>
      <c r="CC215" s="649">
        <f t="shared" si="125"/>
        <v>0</v>
      </c>
      <c r="CD215" s="650">
        <f t="shared" si="126"/>
        <v>0</v>
      </c>
      <c r="CE215" s="648">
        <f t="shared" si="127"/>
        <v>0</v>
      </c>
      <c r="CF215" s="649">
        <f t="shared" si="128"/>
        <v>0</v>
      </c>
      <c r="CG215" s="649">
        <f t="shared" si="129"/>
        <v>0</v>
      </c>
      <c r="CH215" s="650">
        <f t="shared" si="130"/>
        <v>0</v>
      </c>
      <c r="CI215" s="648">
        <f t="shared" si="131"/>
        <v>1.046537798877546E-4</v>
      </c>
      <c r="CJ215" s="650">
        <f t="shared" si="132"/>
        <v>1.046537798877546E-4</v>
      </c>
      <c r="CK215" s="440"/>
      <c r="CL215" s="667">
        <f t="shared" si="133"/>
        <v>0</v>
      </c>
      <c r="CM215" s="1331">
        <f t="shared" si="134"/>
        <v>0</v>
      </c>
      <c r="CN215" s="655">
        <f t="shared" si="135"/>
        <v>0</v>
      </c>
      <c r="CO215" s="667">
        <f t="shared" si="136"/>
        <v>0</v>
      </c>
      <c r="CP215" s="1331">
        <f t="shared" si="137"/>
        <v>0</v>
      </c>
      <c r="CQ215" s="655">
        <f t="shared" si="138"/>
        <v>0</v>
      </c>
      <c r="CR215" s="808"/>
    </row>
    <row r="216" spans="1:96" ht="13.5" thickBot="1">
      <c r="A216" s="323"/>
      <c r="B216" s="426">
        <v>2050</v>
      </c>
      <c r="C216" s="427"/>
      <c r="D216" s="677">
        <v>8.2502186893265328E-2</v>
      </c>
      <c r="E216" s="678">
        <v>6.0987083175383525E-2</v>
      </c>
      <c r="F216" s="678">
        <v>0.12007753340707651</v>
      </c>
      <c r="G216" s="678">
        <v>9.1345706863021681E-2</v>
      </c>
      <c r="H216" s="677">
        <v>9.2197508163621572E-3</v>
      </c>
      <c r="I216" s="679">
        <f t="shared" si="139"/>
        <v>0.10589481152451913</v>
      </c>
      <c r="J216" s="680">
        <f t="shared" si="104"/>
        <v>8.1055193980150222E-2</v>
      </c>
      <c r="K216" s="680">
        <f t="shared" si="105"/>
        <v>0.14927630058164443</v>
      </c>
      <c r="L216" s="681">
        <f t="shared" si="106"/>
        <v>0.11610483220000224</v>
      </c>
      <c r="M216" s="682">
        <v>112.93616067141195</v>
      </c>
      <c r="N216" s="683">
        <v>128.16216811096382</v>
      </c>
      <c r="O216" s="684">
        <f t="shared" si="107"/>
        <v>120.72875575773938</v>
      </c>
      <c r="P216" s="685">
        <f t="shared" si="108"/>
        <v>150.33323890870949</v>
      </c>
      <c r="Q216" s="686">
        <f t="shared" si="140"/>
        <v>150.33323890870949</v>
      </c>
      <c r="R216" s="687">
        <v>3.2442948099331466E-2</v>
      </c>
      <c r="S216" s="678">
        <v>3.3134375782225903E-2</v>
      </c>
      <c r="T216" s="678">
        <v>3.1604810356266166E-2</v>
      </c>
      <c r="U216" s="688">
        <v>3.1805643604773511E-2</v>
      </c>
      <c r="V216" s="689"/>
      <c r="W216" s="428">
        <v>2050</v>
      </c>
      <c r="X216" s="427"/>
      <c r="Y216" s="687">
        <v>0</v>
      </c>
      <c r="Z216" s="678">
        <v>0</v>
      </c>
      <c r="AA216" s="678">
        <v>0</v>
      </c>
      <c r="AB216" s="688">
        <v>0</v>
      </c>
      <c r="AC216" s="682">
        <v>0</v>
      </c>
      <c r="AD216" s="690">
        <v>0</v>
      </c>
      <c r="AE216" s="691">
        <f t="shared" si="109"/>
        <v>0</v>
      </c>
      <c r="AF216" s="692">
        <f t="shared" si="110"/>
        <v>0</v>
      </c>
      <c r="AG216" s="693">
        <f t="shared" si="111"/>
        <v>0</v>
      </c>
      <c r="AH216" s="687">
        <v>0</v>
      </c>
      <c r="AI216" s="678">
        <v>0</v>
      </c>
      <c r="AJ216" s="678">
        <v>0</v>
      </c>
      <c r="AK216" s="688">
        <v>0</v>
      </c>
      <c r="AL216" s="682">
        <v>0</v>
      </c>
      <c r="AM216" s="690">
        <v>0</v>
      </c>
      <c r="AN216" s="691">
        <f t="shared" si="112"/>
        <v>0</v>
      </c>
      <c r="AO216" s="692">
        <f t="shared" si="113"/>
        <v>0</v>
      </c>
      <c r="AP216" s="693">
        <f t="shared" si="114"/>
        <v>0</v>
      </c>
      <c r="AQ216" s="429">
        <v>9.6901648044217219E-5</v>
      </c>
      <c r="AR216" s="430">
        <v>9.6901648044217219E-5</v>
      </c>
      <c r="AS216" s="689"/>
      <c r="AT216" s="428">
        <v>2050</v>
      </c>
      <c r="AU216" s="431"/>
      <c r="AV216" s="432" t="s">
        <v>517</v>
      </c>
      <c r="AW216" s="433" t="s">
        <v>517</v>
      </c>
      <c r="AX216" s="433" t="s">
        <v>517</v>
      </c>
      <c r="AY216" s="434" t="s">
        <v>517</v>
      </c>
      <c r="AZ216" s="435" t="s">
        <v>517</v>
      </c>
      <c r="BA216" s="436" t="s">
        <v>517</v>
      </c>
      <c r="BB216" s="788">
        <f t="shared" si="115"/>
        <v>0</v>
      </c>
      <c r="BC216" s="789">
        <f t="shared" si="116"/>
        <v>0</v>
      </c>
      <c r="BD216" s="790">
        <f t="shared" si="117"/>
        <v>0</v>
      </c>
      <c r="BE216" s="432" t="s">
        <v>517</v>
      </c>
      <c r="BF216" s="433" t="s">
        <v>517</v>
      </c>
      <c r="BG216" s="433" t="s">
        <v>517</v>
      </c>
      <c r="BH216" s="434" t="s">
        <v>517</v>
      </c>
      <c r="BI216" s="435" t="s">
        <v>517</v>
      </c>
      <c r="BJ216" s="436" t="s">
        <v>517</v>
      </c>
      <c r="BK216" s="788">
        <f t="shared" si="118"/>
        <v>0</v>
      </c>
      <c r="BL216" s="789">
        <f t="shared" si="119"/>
        <v>0</v>
      </c>
      <c r="BM216" s="790">
        <f t="shared" si="120"/>
        <v>0</v>
      </c>
      <c r="BN216" s="689"/>
      <c r="BO216" s="428">
        <v>2050</v>
      </c>
      <c r="BP216" s="427"/>
      <c r="BQ216" s="694">
        <v>94</v>
      </c>
      <c r="BR216" s="695" t="s">
        <v>517</v>
      </c>
      <c r="BS216" s="696" t="s">
        <v>517</v>
      </c>
      <c r="BT216" s="693">
        <f t="shared" si="141"/>
        <v>0</v>
      </c>
      <c r="BU216" s="695" t="s">
        <v>517</v>
      </c>
      <c r="BV216" s="696" t="s">
        <v>517</v>
      </c>
      <c r="BW216" s="693">
        <f t="shared" si="121"/>
        <v>0</v>
      </c>
      <c r="BX216" s="693">
        <f t="shared" si="142"/>
        <v>0</v>
      </c>
      <c r="BY216" s="693">
        <f t="shared" si="122"/>
        <v>0</v>
      </c>
      <c r="BZ216" s="689"/>
      <c r="CA216" s="679">
        <f t="shared" si="123"/>
        <v>0</v>
      </c>
      <c r="CB216" s="680">
        <f t="shared" si="124"/>
        <v>0</v>
      </c>
      <c r="CC216" s="680">
        <f t="shared" si="125"/>
        <v>0</v>
      </c>
      <c r="CD216" s="681">
        <f t="shared" si="126"/>
        <v>0</v>
      </c>
      <c r="CE216" s="679">
        <f t="shared" si="127"/>
        <v>0</v>
      </c>
      <c r="CF216" s="680">
        <f t="shared" si="128"/>
        <v>0</v>
      </c>
      <c r="CG216" s="680">
        <f t="shared" si="129"/>
        <v>0</v>
      </c>
      <c r="CH216" s="681">
        <f t="shared" si="130"/>
        <v>0</v>
      </c>
      <c r="CI216" s="679">
        <f t="shared" si="131"/>
        <v>1.046537798877546E-4</v>
      </c>
      <c r="CJ216" s="681">
        <f t="shared" si="132"/>
        <v>1.046537798877546E-4</v>
      </c>
      <c r="CK216" s="689"/>
      <c r="CL216" s="684">
        <f t="shared" si="133"/>
        <v>0</v>
      </c>
      <c r="CM216" s="1332">
        <f t="shared" si="134"/>
        <v>0</v>
      </c>
      <c r="CN216" s="693">
        <f t="shared" si="135"/>
        <v>0</v>
      </c>
      <c r="CO216" s="684">
        <f t="shared" si="136"/>
        <v>0</v>
      </c>
      <c r="CP216" s="1332">
        <f t="shared" si="137"/>
        <v>0</v>
      </c>
      <c r="CQ216" s="693">
        <f t="shared" si="138"/>
        <v>0</v>
      </c>
      <c r="CR216" s="809"/>
    </row>
    <row r="217" spans="1:96" ht="13.5" thickTop="1">
      <c r="A217" s="323"/>
      <c r="B217" s="326"/>
      <c r="BX217" s="201"/>
      <c r="BY217" s="201"/>
      <c r="BZ217" s="201"/>
    </row>
    <row r="218" spans="1:96" ht="13.5" thickBot="1">
      <c r="A218" s="323"/>
      <c r="B218" s="326"/>
      <c r="BX218" s="201"/>
      <c r="BY218" s="201"/>
      <c r="BZ218" s="201"/>
    </row>
    <row r="219" spans="1:96" ht="35.25" thickTop="1" thickBot="1">
      <c r="A219" s="323"/>
      <c r="B219" s="697" t="s">
        <v>636</v>
      </c>
      <c r="C219" s="698"/>
      <c r="D219" s="698"/>
      <c r="E219" s="698"/>
      <c r="F219" s="698"/>
      <c r="G219" s="698"/>
      <c r="H219" s="698"/>
      <c r="I219" s="698"/>
      <c r="J219" s="698"/>
      <c r="K219" s="698"/>
      <c r="L219" s="698"/>
      <c r="M219" s="698"/>
      <c r="N219" s="698"/>
      <c r="O219" s="698"/>
      <c r="P219" s="698"/>
      <c r="Q219" s="698"/>
      <c r="R219" s="698"/>
      <c r="S219" s="698"/>
      <c r="T219" s="698"/>
      <c r="U219" s="698"/>
      <c r="V219" s="698"/>
      <c r="W219" s="698"/>
      <c r="X219" s="698"/>
      <c r="Y219" s="698"/>
      <c r="Z219" s="698"/>
      <c r="AA219" s="698"/>
      <c r="AB219" s="698"/>
      <c r="AC219" s="698"/>
      <c r="AD219" s="698"/>
      <c r="AE219" s="698"/>
      <c r="AF219" s="698"/>
      <c r="AG219" s="699"/>
      <c r="BX219" s="201"/>
      <c r="BY219" s="201"/>
      <c r="BZ219" s="201"/>
    </row>
    <row r="220" spans="1:96" ht="24" thickTop="1">
      <c r="A220" s="323"/>
      <c r="B220" s="700" t="s">
        <v>638</v>
      </c>
      <c r="C220" s="450"/>
      <c r="D220" s="450"/>
      <c r="E220" s="450"/>
      <c r="F220" s="450"/>
      <c r="G220" s="450"/>
      <c r="H220" s="450"/>
      <c r="I220" s="450"/>
      <c r="J220" s="450"/>
      <c r="K220" s="450"/>
      <c r="L220" s="450"/>
      <c r="M220" s="468"/>
      <c r="N220" s="450"/>
      <c r="O220" s="450"/>
      <c r="P220" s="701" t="s">
        <v>638</v>
      </c>
      <c r="Q220" s="450"/>
      <c r="R220" s="450"/>
      <c r="S220" s="450"/>
      <c r="T220" s="450"/>
      <c r="U220" s="450"/>
      <c r="V220" s="450"/>
      <c r="W220" s="450"/>
      <c r="X220" s="450"/>
      <c r="Y220" s="450"/>
      <c r="Z220" s="450"/>
      <c r="AA220" s="450"/>
      <c r="AB220" s="450"/>
      <c r="AC220" s="468"/>
      <c r="AD220" s="450"/>
      <c r="AE220" s="450"/>
      <c r="AF220" s="450"/>
      <c r="AG220" s="478"/>
      <c r="BW220" s="201"/>
      <c r="BX220" s="201"/>
      <c r="BY220" s="201"/>
    </row>
    <row r="221" spans="1:96" s="324" customFormat="1">
      <c r="A221" s="323"/>
      <c r="B221" s="476">
        <v>1</v>
      </c>
      <c r="C221" s="438">
        <f>B221+1</f>
        <v>2</v>
      </c>
      <c r="D221" s="537">
        <f t="shared" ref="D221:AG221" si="143">C221+1</f>
        <v>3</v>
      </c>
      <c r="E221" s="537">
        <f t="shared" si="143"/>
        <v>4</v>
      </c>
      <c r="F221" s="537">
        <f t="shared" si="143"/>
        <v>5</v>
      </c>
      <c r="G221" s="537">
        <f t="shared" si="143"/>
        <v>6</v>
      </c>
      <c r="H221" s="438">
        <f t="shared" si="143"/>
        <v>7</v>
      </c>
      <c r="I221" s="537">
        <f t="shared" si="143"/>
        <v>8</v>
      </c>
      <c r="J221" s="537">
        <f t="shared" si="143"/>
        <v>9</v>
      </c>
      <c r="K221" s="537">
        <f t="shared" si="143"/>
        <v>10</v>
      </c>
      <c r="L221" s="438">
        <f t="shared" si="143"/>
        <v>11</v>
      </c>
      <c r="M221" s="459">
        <f t="shared" si="143"/>
        <v>12</v>
      </c>
      <c r="N221" s="438">
        <f t="shared" si="143"/>
        <v>13</v>
      </c>
      <c r="O221" s="438">
        <f t="shared" si="143"/>
        <v>14</v>
      </c>
      <c r="P221" s="458">
        <f t="shared" si="143"/>
        <v>15</v>
      </c>
      <c r="Q221" s="438">
        <f t="shared" si="143"/>
        <v>16</v>
      </c>
      <c r="R221" s="537">
        <f t="shared" si="143"/>
        <v>17</v>
      </c>
      <c r="S221" s="438">
        <f t="shared" si="143"/>
        <v>18</v>
      </c>
      <c r="T221" s="537">
        <f t="shared" si="143"/>
        <v>19</v>
      </c>
      <c r="U221" s="537">
        <f t="shared" si="143"/>
        <v>20</v>
      </c>
      <c r="V221" s="537">
        <f t="shared" si="143"/>
        <v>21</v>
      </c>
      <c r="W221" s="537">
        <f t="shared" si="143"/>
        <v>22</v>
      </c>
      <c r="X221" s="438">
        <f t="shared" si="143"/>
        <v>23</v>
      </c>
      <c r="Y221" s="537">
        <f t="shared" si="143"/>
        <v>24</v>
      </c>
      <c r="Z221" s="537">
        <f t="shared" si="143"/>
        <v>25</v>
      </c>
      <c r="AA221" s="537">
        <f t="shared" si="143"/>
        <v>26</v>
      </c>
      <c r="AB221" s="438">
        <f t="shared" si="143"/>
        <v>27</v>
      </c>
      <c r="AC221" s="459">
        <f t="shared" si="143"/>
        <v>28</v>
      </c>
      <c r="AD221" s="438">
        <f t="shared" si="143"/>
        <v>29</v>
      </c>
      <c r="AE221" s="438">
        <f t="shared" si="143"/>
        <v>30</v>
      </c>
      <c r="AF221" s="438">
        <f t="shared" si="143"/>
        <v>31</v>
      </c>
      <c r="AG221" s="536">
        <f t="shared" si="143"/>
        <v>32</v>
      </c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201"/>
      <c r="BX221" s="201"/>
      <c r="BY221" s="201"/>
    </row>
    <row r="222" spans="1:96" ht="18">
      <c r="A222" s="323"/>
      <c r="B222" s="702" t="s">
        <v>637</v>
      </c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60"/>
      <c r="N222" s="440"/>
      <c r="O222" s="440"/>
      <c r="P222" s="703" t="s">
        <v>639</v>
      </c>
      <c r="Q222" s="450"/>
      <c r="R222" s="450"/>
      <c r="S222" s="450"/>
      <c r="T222" s="450"/>
      <c r="U222" s="450"/>
      <c r="V222" s="450"/>
      <c r="W222" s="450"/>
      <c r="X222" s="450"/>
      <c r="Y222" s="450"/>
      <c r="Z222" s="450"/>
      <c r="AA222" s="450"/>
      <c r="AB222" s="450"/>
      <c r="AC222" s="468"/>
      <c r="AD222" s="450"/>
      <c r="AE222" s="450"/>
      <c r="AF222" s="450"/>
      <c r="AG222" s="478"/>
      <c r="BX222" s="201"/>
      <c r="BY222" s="201"/>
      <c r="BZ222" s="201"/>
    </row>
    <row r="223" spans="1:96">
      <c r="A223" s="323"/>
      <c r="B223" s="477"/>
      <c r="C223" s="439"/>
      <c r="D223" s="440"/>
      <c r="E223" s="440"/>
      <c r="F223" s="440"/>
      <c r="G223" s="440"/>
      <c r="H223" s="440"/>
      <c r="I223" s="440"/>
      <c r="J223" s="440"/>
      <c r="K223" s="440"/>
      <c r="L223" s="440"/>
      <c r="M223" s="460"/>
      <c r="N223" s="440"/>
      <c r="O223" s="440"/>
      <c r="P223" s="467"/>
      <c r="Q223" s="450"/>
      <c r="R223" s="450"/>
      <c r="S223" s="450"/>
      <c r="T223" s="450"/>
      <c r="U223" s="450"/>
      <c r="V223" s="450"/>
      <c r="W223" s="450"/>
      <c r="X223" s="450"/>
      <c r="Y223" s="450"/>
      <c r="Z223" s="450"/>
      <c r="AA223" s="450"/>
      <c r="AB223" s="450"/>
      <c r="AC223" s="468"/>
      <c r="AD223" s="450"/>
      <c r="AE223" s="450"/>
      <c r="AF223" s="450"/>
      <c r="AG223" s="478"/>
      <c r="BX223" s="201"/>
      <c r="BY223" s="201"/>
      <c r="BZ223" s="201"/>
    </row>
    <row r="224" spans="1:96" ht="18.75" thickBot="1">
      <c r="A224" s="323"/>
      <c r="B224" s="480"/>
      <c r="C224" s="441"/>
      <c r="D224" s="441"/>
      <c r="E224" s="441"/>
      <c r="F224" s="441"/>
      <c r="G224" s="441"/>
      <c r="H224" s="441"/>
      <c r="I224" s="441"/>
      <c r="J224" s="441"/>
      <c r="K224" s="441"/>
      <c r="L224" s="441"/>
      <c r="M224" s="704"/>
      <c r="N224" s="440"/>
      <c r="O224" s="450"/>
      <c r="P224" s="461"/>
      <c r="Q224" s="441"/>
      <c r="R224" s="1541" t="s">
        <v>518</v>
      </c>
      <c r="S224" s="457"/>
      <c r="T224" s="1538" t="s">
        <v>519</v>
      </c>
      <c r="U224" s="1539"/>
      <c r="V224" s="1539"/>
      <c r="W224" s="1539"/>
      <c r="X224" s="1539"/>
      <c r="Y224" s="1539"/>
      <c r="Z224" s="1539"/>
      <c r="AA224" s="1539"/>
      <c r="AB224" s="1539"/>
      <c r="AC224" s="1540"/>
      <c r="AD224" s="450"/>
      <c r="AE224" s="450"/>
      <c r="AF224" s="450"/>
      <c r="AG224" s="478"/>
      <c r="AH224" s="705"/>
      <c r="AI224" s="705"/>
      <c r="AJ224" s="705"/>
      <c r="AK224" s="705"/>
      <c r="AL224" s="705"/>
      <c r="AM224" s="705"/>
      <c r="AN224" s="705"/>
      <c r="AO224" s="705"/>
      <c r="AP224" s="705"/>
      <c r="AQ224" s="705"/>
      <c r="AR224" s="705"/>
      <c r="AS224" s="705"/>
      <c r="AT224" s="705"/>
      <c r="AU224" s="705"/>
      <c r="AV224" s="705"/>
      <c r="AW224" s="705"/>
      <c r="AX224" s="705"/>
      <c r="AY224" s="705"/>
      <c r="AZ224" s="705"/>
      <c r="BA224" s="705"/>
      <c r="BB224" s="705"/>
      <c r="BC224" s="705"/>
      <c r="BD224" s="705"/>
      <c r="BE224" s="705"/>
      <c r="BF224" s="705"/>
      <c r="BG224" s="705"/>
      <c r="BH224" s="705"/>
      <c r="BI224" s="705"/>
      <c r="BJ224" s="705"/>
      <c r="BK224" s="705"/>
      <c r="BL224" s="705"/>
      <c r="BM224" s="705"/>
      <c r="BN224" s="705"/>
      <c r="BO224" s="705"/>
      <c r="BP224" s="705"/>
      <c r="BQ224" s="705"/>
      <c r="BW224" s="201"/>
      <c r="BX224" s="201"/>
      <c r="BY224" s="201"/>
    </row>
    <row r="225" spans="1:77" ht="18">
      <c r="A225" s="323"/>
      <c r="B225" s="480"/>
      <c r="C225" s="441"/>
      <c r="D225" s="1464" t="s">
        <v>66</v>
      </c>
      <c r="E225" s="1465"/>
      <c r="F225" s="1465"/>
      <c r="G225" s="1466"/>
      <c r="H225" s="451"/>
      <c r="I225" s="1467" t="s">
        <v>67</v>
      </c>
      <c r="J225" s="1465"/>
      <c r="K225" s="1466"/>
      <c r="L225" s="451"/>
      <c r="M225" s="1468" t="s">
        <v>107</v>
      </c>
      <c r="N225" s="440"/>
      <c r="O225" s="450"/>
      <c r="P225" s="461"/>
      <c r="Q225" s="441"/>
      <c r="R225" s="1541"/>
      <c r="S225" s="457"/>
      <c r="T225" s="1550" t="s">
        <v>66</v>
      </c>
      <c r="U225" s="1551"/>
      <c r="V225" s="1551"/>
      <c r="W225" s="1552"/>
      <c r="X225" s="457"/>
      <c r="Y225" s="1550" t="s">
        <v>67</v>
      </c>
      <c r="Z225" s="1551"/>
      <c r="AA225" s="1552"/>
      <c r="AB225" s="457"/>
      <c r="AC225" s="1553" t="s">
        <v>107</v>
      </c>
      <c r="AD225" s="450"/>
      <c r="AE225" s="1554" t="s">
        <v>725</v>
      </c>
      <c r="AF225" s="1555"/>
      <c r="AG225" s="1556"/>
      <c r="AH225" s="705"/>
      <c r="AI225" s="705"/>
      <c r="AJ225" s="705"/>
      <c r="AK225" s="705"/>
      <c r="AL225" s="705"/>
      <c r="AM225" s="705"/>
      <c r="AN225" s="705"/>
      <c r="AO225" s="705"/>
      <c r="AP225" s="705"/>
      <c r="AQ225" s="705"/>
      <c r="AR225" s="705"/>
      <c r="AS225" s="705"/>
      <c r="AT225" s="705"/>
      <c r="AU225" s="705"/>
      <c r="AV225" s="705"/>
      <c r="AW225" s="705"/>
      <c r="AX225" s="705"/>
      <c r="AY225" s="705"/>
      <c r="AZ225" s="705"/>
      <c r="BA225" s="705"/>
      <c r="BB225" s="705"/>
      <c r="BC225" s="705"/>
      <c r="BD225" s="705"/>
      <c r="BE225" s="705"/>
      <c r="BF225" s="705"/>
      <c r="BG225" s="705"/>
      <c r="BH225" s="705"/>
      <c r="BI225" s="705"/>
      <c r="BJ225" s="705"/>
      <c r="BK225" s="705"/>
      <c r="BL225" s="705"/>
      <c r="BM225" s="705"/>
      <c r="BN225" s="705"/>
      <c r="BO225" s="705"/>
      <c r="BP225" s="705"/>
      <c r="BQ225" s="705"/>
      <c r="BW225" s="201"/>
      <c r="BX225" s="201"/>
      <c r="BY225" s="201"/>
    </row>
    <row r="226" spans="1:77" ht="18">
      <c r="A226" s="323"/>
      <c r="B226" s="479" t="s">
        <v>76</v>
      </c>
      <c r="C226" s="441"/>
      <c r="D226" s="452" t="s">
        <v>108</v>
      </c>
      <c r="E226" s="453" t="s">
        <v>36</v>
      </c>
      <c r="F226" s="453" t="s">
        <v>73</v>
      </c>
      <c r="G226" s="454" t="s">
        <v>74</v>
      </c>
      <c r="H226" s="455"/>
      <c r="I226" s="456" t="s">
        <v>108</v>
      </c>
      <c r="J226" s="453" t="s">
        <v>73</v>
      </c>
      <c r="K226" s="454" t="s">
        <v>74</v>
      </c>
      <c r="L226" s="457"/>
      <c r="M226" s="1469"/>
      <c r="N226" s="440"/>
      <c r="O226" s="450"/>
      <c r="P226" s="1542" t="s">
        <v>76</v>
      </c>
      <c r="Q226" s="1543"/>
      <c r="R226" s="1541"/>
      <c r="S226" s="457"/>
      <c r="T226" s="456" t="s">
        <v>108</v>
      </c>
      <c r="U226" s="453" t="s">
        <v>36</v>
      </c>
      <c r="V226" s="453" t="s">
        <v>73</v>
      </c>
      <c r="W226" s="454" t="s">
        <v>74</v>
      </c>
      <c r="X226" s="455"/>
      <c r="Y226" s="456" t="s">
        <v>108</v>
      </c>
      <c r="Z226" s="453" t="s">
        <v>73</v>
      </c>
      <c r="AA226" s="454" t="s">
        <v>74</v>
      </c>
      <c r="AB226" s="457"/>
      <c r="AC226" s="1469"/>
      <c r="AD226" s="450"/>
      <c r="AE226" s="1557"/>
      <c r="AF226" s="1558"/>
      <c r="AG226" s="1559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05"/>
      <c r="AX226" s="705"/>
      <c r="AY226" s="705"/>
      <c r="AZ226" s="705"/>
      <c r="BA226" s="705"/>
      <c r="BB226" s="705"/>
      <c r="BC226" s="705"/>
      <c r="BD226" s="705"/>
      <c r="BE226" s="705"/>
      <c r="BF226" s="705"/>
      <c r="BG226" s="705"/>
      <c r="BH226" s="705"/>
      <c r="BI226" s="705"/>
      <c r="BJ226" s="705"/>
      <c r="BK226" s="705"/>
      <c r="BL226" s="705"/>
      <c r="BM226" s="705"/>
      <c r="BN226" s="705"/>
      <c r="BO226" s="705"/>
      <c r="BP226" s="705"/>
      <c r="BQ226" s="705"/>
      <c r="BW226" s="201"/>
      <c r="BX226" s="201"/>
      <c r="BY226" s="201"/>
    </row>
    <row r="227" spans="1:77" ht="13.5" thickBot="1">
      <c r="A227" s="323"/>
      <c r="B227" s="480"/>
      <c r="C227" s="441"/>
      <c r="D227" s="442"/>
      <c r="E227" s="443"/>
      <c r="F227" s="443"/>
      <c r="G227" s="443"/>
      <c r="H227" s="443"/>
      <c r="I227" s="443"/>
      <c r="J227" s="443"/>
      <c r="K227" s="443"/>
      <c r="L227" s="441"/>
      <c r="M227" s="462"/>
      <c r="N227" s="440"/>
      <c r="O227" s="450"/>
      <c r="P227" s="461"/>
      <c r="Q227" s="441"/>
      <c r="R227" s="441">
        <v>1</v>
      </c>
      <c r="S227" s="441"/>
      <c r="T227" s="443">
        <v>2</v>
      </c>
      <c r="U227" s="443">
        <v>3</v>
      </c>
      <c r="V227" s="443">
        <v>4</v>
      </c>
      <c r="W227" s="443">
        <v>5</v>
      </c>
      <c r="X227" s="443"/>
      <c r="Y227" s="443">
        <v>6</v>
      </c>
      <c r="Z227" s="443">
        <v>7</v>
      </c>
      <c r="AA227" s="443">
        <v>8</v>
      </c>
      <c r="AB227" s="441"/>
      <c r="AC227" s="462">
        <v>9</v>
      </c>
      <c r="AD227" s="450"/>
      <c r="AE227" s="498" t="s">
        <v>76</v>
      </c>
      <c r="AF227" s="499" t="s">
        <v>549</v>
      </c>
      <c r="AG227" s="500" t="s">
        <v>550</v>
      </c>
      <c r="AH227" s="706"/>
      <c r="AI227" s="706"/>
      <c r="AJ227" s="706"/>
      <c r="AK227" s="706"/>
      <c r="AL227" s="706"/>
      <c r="AM227" s="706"/>
      <c r="AN227" s="706"/>
      <c r="AO227" s="706"/>
      <c r="AP227" s="706"/>
      <c r="AQ227" s="706"/>
      <c r="AR227" s="706"/>
      <c r="AS227" s="706"/>
      <c r="AT227" s="706"/>
      <c r="AU227" s="706"/>
      <c r="AV227" s="706"/>
      <c r="AW227" s="706"/>
      <c r="AX227" s="706"/>
      <c r="AY227" s="706"/>
      <c r="AZ227" s="706"/>
      <c r="BA227" s="706"/>
      <c r="BB227" s="706"/>
      <c r="BC227" s="706"/>
      <c r="BD227" s="706"/>
      <c r="BE227" s="706"/>
      <c r="BF227" s="706"/>
      <c r="BG227" s="706"/>
      <c r="BH227" s="706"/>
      <c r="BI227" s="706"/>
      <c r="BJ227" s="706"/>
      <c r="BK227" s="706"/>
      <c r="BL227" s="706"/>
      <c r="BM227" s="706"/>
      <c r="BN227" s="706"/>
      <c r="BO227" s="706"/>
      <c r="BP227" s="706"/>
      <c r="BQ227" s="706"/>
      <c r="BW227" s="201"/>
      <c r="BX227" s="201"/>
      <c r="BY227" s="201"/>
    </row>
    <row r="228" spans="1:77">
      <c r="A228" s="323"/>
      <c r="B228" s="480">
        <v>2018</v>
      </c>
      <c r="C228" s="441"/>
      <c r="D228" s="463">
        <v>4.5933464264561801</v>
      </c>
      <c r="E228" s="444">
        <v>6.3982704857116781</v>
      </c>
      <c r="F228" s="444">
        <v>7.6033107237413464</v>
      </c>
      <c r="G228" s="464">
        <v>7.0239661085594287</v>
      </c>
      <c r="H228" s="445"/>
      <c r="I228" s="446">
        <v>5.3313766526305431</v>
      </c>
      <c r="J228" s="444">
        <v>6.6236203222140304</v>
      </c>
      <c r="K228" s="464">
        <v>6.0589098386060458</v>
      </c>
      <c r="L228" s="445"/>
      <c r="M228" s="465">
        <v>6.3831824839107121</v>
      </c>
      <c r="N228" s="469"/>
      <c r="O228" s="450"/>
      <c r="P228" s="1494">
        <v>2018</v>
      </c>
      <c r="Q228" s="1495"/>
      <c r="R228" s="470">
        <v>0</v>
      </c>
      <c r="S228" s="471"/>
      <c r="T228" s="472">
        <v>0.25</v>
      </c>
      <c r="U228" s="473">
        <v>0.25</v>
      </c>
      <c r="V228" s="473">
        <v>0.47</v>
      </c>
      <c r="W228" s="707">
        <v>0.39300000000000002</v>
      </c>
      <c r="X228" s="473"/>
      <c r="Y228" s="472">
        <v>0.25</v>
      </c>
      <c r="Z228" s="473">
        <v>0.47</v>
      </c>
      <c r="AA228" s="707">
        <v>0.37385999999999997</v>
      </c>
      <c r="AB228" s="473"/>
      <c r="AC228" s="474">
        <v>0.38408076000000002</v>
      </c>
      <c r="AD228" s="450"/>
      <c r="AE228" s="492">
        <v>2018</v>
      </c>
      <c r="AF228" s="493">
        <v>0.49</v>
      </c>
      <c r="AG228" s="494">
        <f>AF228/(161.3/2000)</f>
        <v>6.0756354618722872</v>
      </c>
      <c r="AH228" s="706"/>
      <c r="AI228" s="706"/>
      <c r="AJ228" s="706"/>
      <c r="AK228" s="706"/>
      <c r="AL228" s="706"/>
      <c r="AM228" s="706"/>
      <c r="AN228" s="706"/>
      <c r="AO228" s="706"/>
      <c r="AP228" s="706"/>
      <c r="AQ228" s="706"/>
      <c r="AR228" s="706"/>
      <c r="AS228" s="706"/>
      <c r="AT228" s="706"/>
      <c r="AU228" s="706"/>
      <c r="AV228" s="706"/>
      <c r="AW228" s="706"/>
      <c r="AX228" s="706"/>
      <c r="AY228" s="706"/>
      <c r="AZ228" s="706"/>
      <c r="BA228" s="706"/>
      <c r="BB228" s="706"/>
      <c r="BC228" s="706"/>
      <c r="BD228" s="706"/>
      <c r="BE228" s="706"/>
      <c r="BF228" s="706"/>
      <c r="BG228" s="706"/>
      <c r="BH228" s="706"/>
      <c r="BI228" s="706"/>
      <c r="BJ228" s="706"/>
      <c r="BK228" s="706"/>
      <c r="BL228" s="706"/>
      <c r="BM228" s="706"/>
      <c r="BN228" s="706"/>
      <c r="BO228" s="706"/>
      <c r="BP228" s="706"/>
      <c r="BQ228" s="706"/>
      <c r="BW228" s="201"/>
      <c r="BX228" s="201"/>
      <c r="BY228" s="201"/>
    </row>
    <row r="229" spans="1:77">
      <c r="A229" s="323"/>
      <c r="B229" s="480">
        <v>2019</v>
      </c>
      <c r="C229" s="441"/>
      <c r="D229" s="447">
        <v>4.2669675921424544</v>
      </c>
      <c r="E229" s="445">
        <v>6.0971266747927304</v>
      </c>
      <c r="F229" s="445">
        <v>7.3100454171011897</v>
      </c>
      <c r="G229" s="448">
        <v>6.7241580719124787</v>
      </c>
      <c r="H229" s="445"/>
      <c r="I229" s="449">
        <v>5.0160204117163429</v>
      </c>
      <c r="J229" s="445">
        <v>6.3238000965254759</v>
      </c>
      <c r="K229" s="448">
        <v>5.7523003742638847</v>
      </c>
      <c r="L229" s="445"/>
      <c r="M229" s="466">
        <v>6.0802049819577935</v>
      </c>
      <c r="N229" s="469"/>
      <c r="O229" s="450"/>
      <c r="P229" s="1494">
        <v>2019</v>
      </c>
      <c r="Q229" s="1495"/>
      <c r="R229" s="475">
        <v>0</v>
      </c>
      <c r="S229" s="441"/>
      <c r="T229" s="449">
        <v>0.39</v>
      </c>
      <c r="U229" s="445">
        <v>0.39</v>
      </c>
      <c r="V229" s="445">
        <v>0.74</v>
      </c>
      <c r="W229" s="448">
        <v>0.61749999999999994</v>
      </c>
      <c r="X229" s="445"/>
      <c r="Y229" s="449">
        <v>0.39</v>
      </c>
      <c r="Z229" s="445">
        <v>0.74</v>
      </c>
      <c r="AA229" s="448">
        <v>0.58704999999999996</v>
      </c>
      <c r="AB229" s="445"/>
      <c r="AC229" s="466">
        <v>0.60331029999999997</v>
      </c>
      <c r="AD229" s="450"/>
      <c r="AE229" s="492">
        <f>AE228+1</f>
        <v>2019</v>
      </c>
      <c r="AF229" s="493">
        <v>0.71</v>
      </c>
      <c r="AG229" s="494">
        <f t="shared" ref="AG229:AG260" si="144">AF229/(161.3/2000)</f>
        <v>8.8034717916924983</v>
      </c>
      <c r="AH229" s="706"/>
      <c r="AI229" s="706"/>
      <c r="AJ229" s="706"/>
      <c r="AK229" s="706"/>
      <c r="AL229" s="706"/>
      <c r="AM229" s="706"/>
      <c r="AN229" s="706"/>
      <c r="AO229" s="706"/>
      <c r="AP229" s="706"/>
      <c r="AQ229" s="706"/>
      <c r="AR229" s="706"/>
      <c r="AS229" s="706"/>
      <c r="AT229" s="706"/>
      <c r="AU229" s="706"/>
      <c r="AV229" s="706"/>
      <c r="AW229" s="706"/>
      <c r="AX229" s="706"/>
      <c r="AY229" s="706"/>
      <c r="AZ229" s="706"/>
      <c r="BA229" s="706"/>
      <c r="BB229" s="706"/>
      <c r="BC229" s="706"/>
      <c r="BD229" s="706"/>
      <c r="BE229" s="706"/>
      <c r="BF229" s="706"/>
      <c r="BG229" s="706"/>
      <c r="BH229" s="706"/>
      <c r="BI229" s="706"/>
      <c r="BJ229" s="706"/>
      <c r="BK229" s="706"/>
      <c r="BL229" s="706"/>
      <c r="BM229" s="706"/>
      <c r="BN229" s="706"/>
      <c r="BO229" s="706"/>
      <c r="BP229" s="706"/>
      <c r="BQ229" s="706"/>
      <c r="BW229" s="201"/>
      <c r="BX229" s="201"/>
      <c r="BY229" s="201"/>
    </row>
    <row r="230" spans="1:77">
      <c r="A230" s="323"/>
      <c r="B230" s="480">
        <v>2020</v>
      </c>
      <c r="C230" s="441"/>
      <c r="D230" s="447">
        <v>5.1777418163446844</v>
      </c>
      <c r="E230" s="445">
        <v>6.8491479258596311</v>
      </c>
      <c r="F230" s="445">
        <v>8.0145951546683705</v>
      </c>
      <c r="G230" s="448">
        <v>7.4691357851748599</v>
      </c>
      <c r="H230" s="445"/>
      <c r="I230" s="449">
        <v>5.8579601453697014</v>
      </c>
      <c r="J230" s="445">
        <v>7.0698457333059324</v>
      </c>
      <c r="K230" s="448">
        <v>6.5402517313777988</v>
      </c>
      <c r="L230" s="445"/>
      <c r="M230" s="466">
        <v>6.8452084132549889</v>
      </c>
      <c r="N230" s="469"/>
      <c r="O230" s="450"/>
      <c r="P230" s="1494">
        <v>2020</v>
      </c>
      <c r="Q230" s="1495"/>
      <c r="R230" s="475">
        <v>0</v>
      </c>
      <c r="S230" s="441"/>
      <c r="T230" s="449">
        <v>0.44</v>
      </c>
      <c r="U230" s="445">
        <v>0.44</v>
      </c>
      <c r="V230" s="445">
        <v>0.81</v>
      </c>
      <c r="W230" s="448">
        <v>0.6805000000000001</v>
      </c>
      <c r="X230" s="445"/>
      <c r="Y230" s="449">
        <v>0.44</v>
      </c>
      <c r="Z230" s="445">
        <v>0.81</v>
      </c>
      <c r="AA230" s="448">
        <v>0.64830999999999994</v>
      </c>
      <c r="AB230" s="445"/>
      <c r="AC230" s="466">
        <v>0.66549946000000004</v>
      </c>
      <c r="AD230" s="450"/>
      <c r="AE230" s="492">
        <f t="shared" ref="AE230:AE260" si="145">AE229+1</f>
        <v>2020</v>
      </c>
      <c r="AF230" s="493">
        <v>0.93</v>
      </c>
      <c r="AG230" s="494">
        <f t="shared" si="144"/>
        <v>11.53130812151271</v>
      </c>
      <c r="AH230" s="706"/>
      <c r="AI230" s="706"/>
      <c r="AJ230" s="706"/>
      <c r="AK230" s="706"/>
      <c r="AL230" s="706"/>
      <c r="AM230" s="706"/>
      <c r="AN230" s="706"/>
      <c r="AO230" s="706"/>
      <c r="AP230" s="706"/>
      <c r="AQ230" s="706"/>
      <c r="AR230" s="706"/>
      <c r="AS230" s="706"/>
      <c r="AT230" s="706"/>
      <c r="AU230" s="706"/>
      <c r="AV230" s="706"/>
      <c r="AW230" s="706"/>
      <c r="AX230" s="706"/>
      <c r="AY230" s="706"/>
      <c r="AZ230" s="706"/>
      <c r="BA230" s="706"/>
      <c r="BB230" s="706"/>
      <c r="BC230" s="706"/>
      <c r="BD230" s="706"/>
      <c r="BE230" s="706"/>
      <c r="BF230" s="706"/>
      <c r="BG230" s="706"/>
      <c r="BH230" s="706"/>
      <c r="BI230" s="706"/>
      <c r="BJ230" s="706"/>
      <c r="BK230" s="706"/>
      <c r="BL230" s="706"/>
      <c r="BM230" s="706"/>
      <c r="BN230" s="706"/>
      <c r="BO230" s="706"/>
      <c r="BP230" s="706"/>
      <c r="BQ230" s="706"/>
      <c r="BW230" s="201"/>
      <c r="BX230" s="201"/>
      <c r="BY230" s="201"/>
    </row>
    <row r="231" spans="1:77">
      <c r="A231" s="323"/>
      <c r="B231" s="480">
        <v>2021</v>
      </c>
      <c r="C231" s="441"/>
      <c r="D231" s="447">
        <v>6.0897836505298768</v>
      </c>
      <c r="E231" s="445">
        <v>7.7876111229394214</v>
      </c>
      <c r="F231" s="445">
        <v>8.9601069017001258</v>
      </c>
      <c r="G231" s="448">
        <v>8.4082173352892386</v>
      </c>
      <c r="H231" s="445"/>
      <c r="I231" s="449">
        <v>6.7825328100801041</v>
      </c>
      <c r="J231" s="445">
        <v>8.0085267079974205</v>
      </c>
      <c r="K231" s="448">
        <v>7.4727673746075531</v>
      </c>
      <c r="L231" s="445"/>
      <c r="M231" s="466">
        <v>7.7812302507611317</v>
      </c>
      <c r="N231" s="469"/>
      <c r="O231" s="450"/>
      <c r="P231" s="1494">
        <v>2021</v>
      </c>
      <c r="Q231" s="1495"/>
      <c r="R231" s="475">
        <v>0.01</v>
      </c>
      <c r="S231" s="441"/>
      <c r="T231" s="449">
        <v>0.44</v>
      </c>
      <c r="U231" s="445">
        <v>0.44</v>
      </c>
      <c r="V231" s="445">
        <v>0.82</v>
      </c>
      <c r="W231" s="448">
        <v>0.68700000000000006</v>
      </c>
      <c r="X231" s="445"/>
      <c r="Y231" s="449">
        <v>0.44</v>
      </c>
      <c r="Z231" s="445">
        <v>0.82</v>
      </c>
      <c r="AA231" s="448">
        <v>0.65393999999999997</v>
      </c>
      <c r="AB231" s="445"/>
      <c r="AC231" s="466">
        <v>0.67159404</v>
      </c>
      <c r="AD231" s="450"/>
      <c r="AE231" s="492">
        <f t="shared" si="145"/>
        <v>2021</v>
      </c>
      <c r="AF231" s="493">
        <v>0.99</v>
      </c>
      <c r="AG231" s="494">
        <f t="shared" si="144"/>
        <v>12.275263484190949</v>
      </c>
      <c r="AH231" s="706"/>
      <c r="AI231" s="706"/>
      <c r="AJ231" s="706"/>
      <c r="AK231" s="706"/>
      <c r="AL231" s="706"/>
      <c r="AM231" s="706"/>
      <c r="AN231" s="706"/>
      <c r="AO231" s="706"/>
      <c r="AP231" s="706"/>
      <c r="AQ231" s="706"/>
      <c r="AR231" s="706"/>
      <c r="AS231" s="706"/>
      <c r="AT231" s="706"/>
      <c r="AU231" s="706"/>
      <c r="AV231" s="706"/>
      <c r="AW231" s="706"/>
      <c r="AX231" s="706"/>
      <c r="AY231" s="706"/>
      <c r="AZ231" s="706"/>
      <c r="BA231" s="706"/>
      <c r="BB231" s="706"/>
      <c r="BC231" s="706"/>
      <c r="BD231" s="706"/>
      <c r="BE231" s="706"/>
      <c r="BF231" s="706"/>
      <c r="BG231" s="706"/>
      <c r="BH231" s="706"/>
      <c r="BI231" s="706"/>
      <c r="BJ231" s="706"/>
      <c r="BK231" s="706"/>
      <c r="BL231" s="706"/>
      <c r="BM231" s="706"/>
      <c r="BN231" s="706"/>
      <c r="BO231" s="706"/>
      <c r="BP231" s="706"/>
      <c r="BQ231" s="706"/>
      <c r="BW231" s="201"/>
      <c r="BX231" s="201"/>
      <c r="BY231" s="201"/>
    </row>
    <row r="232" spans="1:77">
      <c r="A232" s="323"/>
      <c r="B232" s="480">
        <v>2022</v>
      </c>
      <c r="C232" s="441"/>
      <c r="D232" s="447">
        <v>6.0266285696656876</v>
      </c>
      <c r="E232" s="445">
        <v>7.7161962558431796</v>
      </c>
      <c r="F232" s="445">
        <v>8.8865289508995335</v>
      </c>
      <c r="G232" s="448">
        <v>8.3366354317199765</v>
      </c>
      <c r="H232" s="445"/>
      <c r="I232" s="449">
        <v>6.7159933419068389</v>
      </c>
      <c r="J232" s="445">
        <v>7.9371587376351496</v>
      </c>
      <c r="K232" s="448">
        <v>7.4035094597018771</v>
      </c>
      <c r="L232" s="445"/>
      <c r="M232" s="466">
        <v>7.7107313259091015</v>
      </c>
      <c r="N232" s="469"/>
      <c r="O232" s="450"/>
      <c r="P232" s="1494">
        <v>2022</v>
      </c>
      <c r="Q232" s="1495"/>
      <c r="R232" s="475">
        <v>0.01</v>
      </c>
      <c r="S232" s="441"/>
      <c r="T232" s="449">
        <v>0.4</v>
      </c>
      <c r="U232" s="445">
        <v>0.4</v>
      </c>
      <c r="V232" s="445">
        <v>0.74</v>
      </c>
      <c r="W232" s="448">
        <v>0.621</v>
      </c>
      <c r="X232" s="445"/>
      <c r="Y232" s="449">
        <v>0.4</v>
      </c>
      <c r="Z232" s="445">
        <v>0.74</v>
      </c>
      <c r="AA232" s="448">
        <v>0.59141999999999995</v>
      </c>
      <c r="AB232" s="445"/>
      <c r="AC232" s="466">
        <v>0.60721572000000001</v>
      </c>
      <c r="AD232" s="450"/>
      <c r="AE232" s="492">
        <f t="shared" si="145"/>
        <v>2022</v>
      </c>
      <c r="AF232" s="493">
        <v>1.05</v>
      </c>
      <c r="AG232" s="494">
        <f t="shared" si="144"/>
        <v>13.019218846869189</v>
      </c>
      <c r="AH232" s="706"/>
      <c r="AI232" s="706"/>
      <c r="AJ232" s="706"/>
      <c r="AK232" s="706"/>
      <c r="AL232" s="706"/>
      <c r="AM232" s="706"/>
      <c r="AN232" s="706"/>
      <c r="AO232" s="706"/>
      <c r="AP232" s="706"/>
      <c r="AQ232" s="706"/>
      <c r="AR232" s="706"/>
      <c r="AS232" s="706"/>
      <c r="AT232" s="706"/>
      <c r="AU232" s="706"/>
      <c r="AV232" s="706"/>
      <c r="AW232" s="706"/>
      <c r="AX232" s="706"/>
      <c r="AY232" s="706"/>
      <c r="AZ232" s="706"/>
      <c r="BA232" s="706"/>
      <c r="BB232" s="706"/>
      <c r="BC232" s="706"/>
      <c r="BD232" s="706"/>
      <c r="BE232" s="706"/>
      <c r="BF232" s="706"/>
      <c r="BG232" s="706"/>
      <c r="BH232" s="706"/>
      <c r="BI232" s="706"/>
      <c r="BJ232" s="706"/>
      <c r="BK232" s="706"/>
      <c r="BL232" s="706"/>
      <c r="BM232" s="706"/>
      <c r="BN232" s="706"/>
      <c r="BO232" s="706"/>
      <c r="BP232" s="706"/>
      <c r="BQ232" s="706"/>
      <c r="BW232" s="201"/>
      <c r="BX232" s="201"/>
      <c r="BY232" s="201"/>
    </row>
    <row r="233" spans="1:77">
      <c r="A233" s="323"/>
      <c r="B233" s="480">
        <v>2023</v>
      </c>
      <c r="C233" s="441"/>
      <c r="D233" s="447">
        <v>6.0446337871190954</v>
      </c>
      <c r="E233" s="445">
        <v>7.7289651748243164</v>
      </c>
      <c r="F233" s="445">
        <v>8.8979372727306849</v>
      </c>
      <c r="G233" s="448">
        <v>8.3493054073244632</v>
      </c>
      <c r="H233" s="445"/>
      <c r="I233" s="449">
        <v>6.7319925665872811</v>
      </c>
      <c r="J233" s="445">
        <v>7.9499876026987728</v>
      </c>
      <c r="K233" s="448">
        <v>7.4177237719180509</v>
      </c>
      <c r="L233" s="445"/>
      <c r="M233" s="466">
        <v>7.7241209623746343</v>
      </c>
      <c r="N233" s="469"/>
      <c r="O233" s="450"/>
      <c r="P233" s="1494">
        <v>2023</v>
      </c>
      <c r="Q233" s="1495"/>
      <c r="R233" s="475">
        <v>0.01</v>
      </c>
      <c r="S233" s="441"/>
      <c r="T233" s="449">
        <v>0.28999999999999998</v>
      </c>
      <c r="U233" s="445">
        <v>0.28999999999999998</v>
      </c>
      <c r="V233" s="445">
        <v>0.53</v>
      </c>
      <c r="W233" s="448">
        <v>0.44600000000000001</v>
      </c>
      <c r="X233" s="445"/>
      <c r="Y233" s="449">
        <v>0.28999999999999998</v>
      </c>
      <c r="Z233" s="445">
        <v>0.53</v>
      </c>
      <c r="AA233" s="448">
        <v>0.42511999999999994</v>
      </c>
      <c r="AB233" s="445"/>
      <c r="AC233" s="466">
        <v>0.43626991999999998</v>
      </c>
      <c r="AD233" s="450"/>
      <c r="AE233" s="492">
        <f t="shared" si="145"/>
        <v>2023</v>
      </c>
      <c r="AF233" s="493">
        <v>1.1100000000000001</v>
      </c>
      <c r="AG233" s="494">
        <f t="shared" si="144"/>
        <v>13.763174209547428</v>
      </c>
      <c r="AH233" s="706"/>
      <c r="AI233" s="706"/>
      <c r="AJ233" s="706"/>
      <c r="AK233" s="706"/>
      <c r="AL233" s="706"/>
      <c r="AM233" s="706"/>
      <c r="AN233" s="706"/>
      <c r="AO233" s="706"/>
      <c r="AP233" s="706"/>
      <c r="AQ233" s="706"/>
      <c r="AR233" s="706"/>
      <c r="AS233" s="706"/>
      <c r="AT233" s="706"/>
      <c r="AU233" s="706"/>
      <c r="AV233" s="706"/>
      <c r="AW233" s="706"/>
      <c r="AX233" s="706"/>
      <c r="AY233" s="706"/>
      <c r="AZ233" s="706"/>
      <c r="BA233" s="706"/>
      <c r="BB233" s="706"/>
      <c r="BC233" s="706"/>
      <c r="BD233" s="706"/>
      <c r="BE233" s="706"/>
      <c r="BF233" s="706"/>
      <c r="BG233" s="706"/>
      <c r="BH233" s="706"/>
      <c r="BI233" s="706"/>
      <c r="BJ233" s="706"/>
      <c r="BK233" s="706"/>
      <c r="BL233" s="706"/>
      <c r="BM233" s="706"/>
      <c r="BN233" s="706"/>
      <c r="BO233" s="706"/>
      <c r="BP233" s="706"/>
      <c r="BQ233" s="706"/>
      <c r="BW233" s="201"/>
      <c r="BX233" s="201"/>
      <c r="BY233" s="201"/>
    </row>
    <row r="234" spans="1:77">
      <c r="A234" s="323"/>
      <c r="B234" s="480">
        <v>2024</v>
      </c>
      <c r="C234" s="441"/>
      <c r="D234" s="447">
        <v>6.1313427695897564</v>
      </c>
      <c r="E234" s="445">
        <v>7.8134651242037449</v>
      </c>
      <c r="F234" s="445">
        <v>8.9818837013976864</v>
      </c>
      <c r="G234" s="448">
        <v>8.4337769232044995</v>
      </c>
      <c r="H234" s="445"/>
      <c r="I234" s="449">
        <v>6.8180538461129974</v>
      </c>
      <c r="J234" s="445">
        <v>8.0345612427506303</v>
      </c>
      <c r="K234" s="448">
        <v>7.5029475104199834</v>
      </c>
      <c r="L234" s="445"/>
      <c r="M234" s="466">
        <v>7.8089430139964744</v>
      </c>
      <c r="N234" s="469"/>
      <c r="O234" s="450"/>
      <c r="P234" s="1494">
        <v>2024</v>
      </c>
      <c r="Q234" s="1495"/>
      <c r="R234" s="475">
        <v>0.01</v>
      </c>
      <c r="S234" s="441"/>
      <c r="T234" s="449">
        <v>0.18</v>
      </c>
      <c r="U234" s="445">
        <v>0.18</v>
      </c>
      <c r="V234" s="445">
        <v>0.33</v>
      </c>
      <c r="W234" s="448">
        <v>0.27750000000000002</v>
      </c>
      <c r="X234" s="445"/>
      <c r="Y234" s="449">
        <v>0.18</v>
      </c>
      <c r="Z234" s="445">
        <v>0.33</v>
      </c>
      <c r="AA234" s="448">
        <v>0.26444999999999996</v>
      </c>
      <c r="AB234" s="445"/>
      <c r="AC234" s="466">
        <v>0.27141870000000001</v>
      </c>
      <c r="AD234" s="450"/>
      <c r="AE234" s="492">
        <f t="shared" si="145"/>
        <v>2024</v>
      </c>
      <c r="AF234" s="493">
        <v>1.2</v>
      </c>
      <c r="AG234" s="494">
        <f t="shared" si="144"/>
        <v>14.879107253564786</v>
      </c>
      <c r="AH234" s="706"/>
      <c r="AI234" s="706"/>
      <c r="AJ234" s="706"/>
      <c r="AK234" s="706"/>
      <c r="AL234" s="706"/>
      <c r="AM234" s="706"/>
      <c r="AN234" s="706"/>
      <c r="AO234" s="706"/>
      <c r="AP234" s="706"/>
      <c r="AQ234" s="706"/>
      <c r="AR234" s="706"/>
      <c r="AS234" s="706"/>
      <c r="AT234" s="706"/>
      <c r="AU234" s="706"/>
      <c r="AV234" s="706"/>
      <c r="AW234" s="706"/>
      <c r="AX234" s="706"/>
      <c r="AY234" s="706"/>
      <c r="AZ234" s="706"/>
      <c r="BA234" s="706"/>
      <c r="BB234" s="706"/>
      <c r="BC234" s="706"/>
      <c r="BD234" s="706"/>
      <c r="BE234" s="706"/>
      <c r="BF234" s="706"/>
      <c r="BG234" s="706"/>
      <c r="BH234" s="706"/>
      <c r="BI234" s="706"/>
      <c r="BJ234" s="706"/>
      <c r="BK234" s="706"/>
      <c r="BL234" s="706"/>
      <c r="BM234" s="706"/>
      <c r="BN234" s="706"/>
      <c r="BO234" s="706"/>
      <c r="BP234" s="706"/>
      <c r="BQ234" s="706"/>
      <c r="BW234" s="201"/>
      <c r="BX234" s="201"/>
      <c r="BY234" s="201"/>
    </row>
    <row r="235" spans="1:77">
      <c r="A235" s="323"/>
      <c r="B235" s="480">
        <v>2025</v>
      </c>
      <c r="C235" s="441"/>
      <c r="D235" s="447">
        <v>6.1549654854106679</v>
      </c>
      <c r="E235" s="445">
        <v>7.832028600705855</v>
      </c>
      <c r="F235" s="445">
        <v>8.9991304398831442</v>
      </c>
      <c r="G235" s="448">
        <v>8.452243405893606</v>
      </c>
      <c r="H235" s="445"/>
      <c r="I235" s="449">
        <v>6.8397486979245805</v>
      </c>
      <c r="J235" s="445">
        <v>8.053181850109759</v>
      </c>
      <c r="K235" s="448">
        <v>7.5229115626048353</v>
      </c>
      <c r="L235" s="445"/>
      <c r="M235" s="466">
        <v>7.8281073640705987</v>
      </c>
      <c r="N235" s="469"/>
      <c r="O235" s="450"/>
      <c r="P235" s="1494">
        <v>2025</v>
      </c>
      <c r="Q235" s="1495"/>
      <c r="R235" s="475">
        <v>0.01</v>
      </c>
      <c r="S235" s="441"/>
      <c r="T235" s="449">
        <v>0.14000000000000001</v>
      </c>
      <c r="U235" s="445">
        <v>0.14000000000000001</v>
      </c>
      <c r="V235" s="445">
        <v>0.25</v>
      </c>
      <c r="W235" s="448">
        <v>0.21150000000000002</v>
      </c>
      <c r="X235" s="445"/>
      <c r="Y235" s="449">
        <v>0.14000000000000001</v>
      </c>
      <c r="Z235" s="445">
        <v>0.25</v>
      </c>
      <c r="AA235" s="448">
        <v>0.20193</v>
      </c>
      <c r="AB235" s="445"/>
      <c r="AC235" s="466">
        <v>0.20704038000000002</v>
      </c>
      <c r="AD235" s="450"/>
      <c r="AE235" s="492">
        <f t="shared" si="145"/>
        <v>2025</v>
      </c>
      <c r="AF235" s="493">
        <v>1.29</v>
      </c>
      <c r="AG235" s="494">
        <f t="shared" si="144"/>
        <v>15.995040297582145</v>
      </c>
      <c r="AH235" s="706"/>
      <c r="AI235" s="706"/>
      <c r="AJ235" s="706"/>
      <c r="AK235" s="706"/>
      <c r="AL235" s="706"/>
      <c r="AM235" s="706"/>
      <c r="AN235" s="706"/>
      <c r="AO235" s="706"/>
      <c r="AP235" s="706"/>
      <c r="AQ235" s="706"/>
      <c r="AR235" s="706"/>
      <c r="AS235" s="706"/>
      <c r="AT235" s="706"/>
      <c r="AU235" s="706"/>
      <c r="AV235" s="706"/>
      <c r="AW235" s="706"/>
      <c r="AX235" s="706"/>
      <c r="AY235" s="706"/>
      <c r="AZ235" s="706"/>
      <c r="BA235" s="706"/>
      <c r="BB235" s="706"/>
      <c r="BC235" s="706"/>
      <c r="BD235" s="706"/>
      <c r="BE235" s="706"/>
      <c r="BF235" s="706"/>
      <c r="BG235" s="706"/>
      <c r="BH235" s="706"/>
      <c r="BI235" s="706"/>
      <c r="BJ235" s="706"/>
      <c r="BK235" s="706"/>
      <c r="BL235" s="706"/>
      <c r="BM235" s="706"/>
      <c r="BN235" s="706"/>
      <c r="BO235" s="706"/>
      <c r="BP235" s="706"/>
      <c r="BQ235" s="706"/>
      <c r="BW235" s="201"/>
      <c r="BX235" s="201"/>
      <c r="BY235" s="201"/>
    </row>
    <row r="236" spans="1:77">
      <c r="A236" s="323"/>
      <c r="B236" s="480">
        <v>2026</v>
      </c>
      <c r="C236" s="441"/>
      <c r="D236" s="447">
        <v>6.2327559862154827</v>
      </c>
      <c r="E236" s="445">
        <v>7.9071177114592208</v>
      </c>
      <c r="F236" s="445">
        <v>9.0735309608657104</v>
      </c>
      <c r="G236" s="448">
        <v>8.52729014180367</v>
      </c>
      <c r="H236" s="445"/>
      <c r="I236" s="449">
        <v>6.9166700216549408</v>
      </c>
      <c r="J236" s="445">
        <v>8.1283384279854847</v>
      </c>
      <c r="K236" s="448">
        <v>7.5988393344190364</v>
      </c>
      <c r="L236" s="445"/>
      <c r="M236" s="466">
        <v>7.9035646627119895</v>
      </c>
      <c r="N236" s="469"/>
      <c r="O236" s="450"/>
      <c r="P236" s="1494">
        <v>2026</v>
      </c>
      <c r="Q236" s="1495"/>
      <c r="R236" s="475">
        <v>0.01</v>
      </c>
      <c r="S236" s="441"/>
      <c r="T236" s="449">
        <v>0.09</v>
      </c>
      <c r="U236" s="445">
        <v>0.09</v>
      </c>
      <c r="V236" s="445">
        <v>0.16</v>
      </c>
      <c r="W236" s="448">
        <v>0.13550000000000001</v>
      </c>
      <c r="X236" s="445"/>
      <c r="Y236" s="449">
        <v>0.09</v>
      </c>
      <c r="Z236" s="445">
        <v>0.16</v>
      </c>
      <c r="AA236" s="448">
        <v>0.12941</v>
      </c>
      <c r="AB236" s="445"/>
      <c r="AC236" s="466">
        <v>0.13266206</v>
      </c>
      <c r="AD236" s="450"/>
      <c r="AE236" s="492">
        <f t="shared" si="145"/>
        <v>2026</v>
      </c>
      <c r="AF236" s="493">
        <v>1.38</v>
      </c>
      <c r="AG236" s="494">
        <f t="shared" si="144"/>
        <v>17.110973341599504</v>
      </c>
      <c r="AH236" s="706"/>
      <c r="AI236" s="706"/>
      <c r="AJ236" s="706"/>
      <c r="AK236" s="706"/>
      <c r="AL236" s="706"/>
      <c r="AM236" s="706"/>
      <c r="AN236" s="706"/>
      <c r="AO236" s="706"/>
      <c r="AP236" s="706"/>
      <c r="AQ236" s="706"/>
      <c r="AR236" s="706"/>
      <c r="AS236" s="706"/>
      <c r="AT236" s="706"/>
      <c r="AU236" s="706"/>
      <c r="AV236" s="706"/>
      <c r="AW236" s="706"/>
      <c r="AX236" s="706"/>
      <c r="AY236" s="706"/>
      <c r="AZ236" s="706"/>
      <c r="BA236" s="706"/>
      <c r="BB236" s="706"/>
      <c r="BC236" s="706"/>
      <c r="BD236" s="706"/>
      <c r="BE236" s="706"/>
      <c r="BF236" s="706"/>
      <c r="BG236" s="706"/>
      <c r="BH236" s="706"/>
      <c r="BI236" s="706"/>
      <c r="BJ236" s="706"/>
      <c r="BK236" s="706"/>
      <c r="BL236" s="706"/>
      <c r="BM236" s="706"/>
      <c r="BN236" s="706"/>
      <c r="BO236" s="706"/>
      <c r="BP236" s="706"/>
      <c r="BQ236" s="706"/>
      <c r="BW236" s="201"/>
      <c r="BX236" s="201"/>
      <c r="BY236" s="201"/>
    </row>
    <row r="237" spans="1:77">
      <c r="A237" s="323"/>
      <c r="B237" s="480">
        <v>2027</v>
      </c>
      <c r="C237" s="441"/>
      <c r="D237" s="447">
        <v>6.2702810053051685</v>
      </c>
      <c r="E237" s="445">
        <v>7.9405314806535356</v>
      </c>
      <c r="F237" s="445">
        <v>9.1058804899206311</v>
      </c>
      <c r="G237" s="448">
        <v>8.560628842391683</v>
      </c>
      <c r="H237" s="445"/>
      <c r="I237" s="449">
        <v>6.9526758743641492</v>
      </c>
      <c r="J237" s="445">
        <v>8.1618110926359773</v>
      </c>
      <c r="K237" s="448">
        <v>7.6334190022511876</v>
      </c>
      <c r="L237" s="445"/>
      <c r="M237" s="466">
        <v>7.9374816540357713</v>
      </c>
      <c r="N237" s="469"/>
      <c r="O237" s="450"/>
      <c r="P237" s="1494">
        <v>2027</v>
      </c>
      <c r="Q237" s="1495"/>
      <c r="R237" s="475">
        <v>0.01</v>
      </c>
      <c r="S237" s="441"/>
      <c r="T237" s="449">
        <v>0.05</v>
      </c>
      <c r="U237" s="445">
        <v>0.05</v>
      </c>
      <c r="V237" s="445">
        <v>0.08</v>
      </c>
      <c r="W237" s="448">
        <v>6.9500000000000006E-2</v>
      </c>
      <c r="X237" s="445"/>
      <c r="Y237" s="449">
        <v>0.05</v>
      </c>
      <c r="Z237" s="445">
        <v>0.08</v>
      </c>
      <c r="AA237" s="448">
        <v>6.6890000000000005E-2</v>
      </c>
      <c r="AB237" s="445"/>
      <c r="AC237" s="466">
        <v>6.8283740000000009E-2</v>
      </c>
      <c r="AD237" s="450"/>
      <c r="AE237" s="492">
        <f t="shared" si="145"/>
        <v>2027</v>
      </c>
      <c r="AF237" s="493">
        <v>1.47</v>
      </c>
      <c r="AG237" s="494">
        <f t="shared" si="144"/>
        <v>18.226906385616864</v>
      </c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  <c r="BL237" s="706"/>
      <c r="BM237" s="706"/>
      <c r="BN237" s="706"/>
      <c r="BO237" s="706"/>
      <c r="BP237" s="706"/>
      <c r="BQ237" s="706"/>
      <c r="BW237" s="201"/>
      <c r="BX237" s="201"/>
      <c r="BY237" s="201"/>
    </row>
    <row r="238" spans="1:77">
      <c r="A238" s="323"/>
      <c r="B238" s="480">
        <v>2028</v>
      </c>
      <c r="C238" s="441"/>
      <c r="D238" s="447">
        <v>6.3930962227133579</v>
      </c>
      <c r="E238" s="445">
        <v>8.0631114547415041</v>
      </c>
      <c r="F238" s="445">
        <v>9.2284308709031162</v>
      </c>
      <c r="G238" s="448">
        <v>8.6832248674591206</v>
      </c>
      <c r="H238" s="445"/>
      <c r="I238" s="449">
        <v>7.0757071332752135</v>
      </c>
      <c r="J238" s="445">
        <v>8.284468352846508</v>
      </c>
      <c r="K238" s="448">
        <v>7.7562396998938521</v>
      </c>
      <c r="L238" s="445"/>
      <c r="M238" s="466">
        <v>8.0601823765232652</v>
      </c>
      <c r="N238" s="469"/>
      <c r="O238" s="450"/>
      <c r="P238" s="1494">
        <v>2028</v>
      </c>
      <c r="Q238" s="1495"/>
      <c r="R238" s="475">
        <v>0.01</v>
      </c>
      <c r="S238" s="441"/>
      <c r="T238" s="449">
        <v>0.01</v>
      </c>
      <c r="U238" s="445">
        <v>0.01</v>
      </c>
      <c r="V238" s="445">
        <v>0</v>
      </c>
      <c r="W238" s="448">
        <v>3.5000000000000001E-3</v>
      </c>
      <c r="X238" s="445"/>
      <c r="Y238" s="449">
        <v>0.01</v>
      </c>
      <c r="Z238" s="445">
        <v>0</v>
      </c>
      <c r="AA238" s="448">
        <v>4.3699999999999998E-3</v>
      </c>
      <c r="AB238" s="445"/>
      <c r="AC238" s="466">
        <v>3.9054200000000006E-3</v>
      </c>
      <c r="AD238" s="450"/>
      <c r="AE238" s="492">
        <f t="shared" si="145"/>
        <v>2028</v>
      </c>
      <c r="AF238" s="493">
        <v>1.56</v>
      </c>
      <c r="AG238" s="494">
        <f t="shared" si="144"/>
        <v>19.342839429634221</v>
      </c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  <c r="BL238" s="706"/>
      <c r="BM238" s="706"/>
      <c r="BN238" s="706"/>
      <c r="BO238" s="706"/>
      <c r="BP238" s="706"/>
      <c r="BQ238" s="706"/>
      <c r="BW238" s="201"/>
      <c r="BX238" s="201"/>
      <c r="BY238" s="201"/>
    </row>
    <row r="239" spans="1:77">
      <c r="A239" s="323"/>
      <c r="B239" s="480">
        <v>2029</v>
      </c>
      <c r="C239" s="441"/>
      <c r="D239" s="447">
        <v>6.4995047469697527</v>
      </c>
      <c r="E239" s="445">
        <v>8.1679493498763627</v>
      </c>
      <c r="F239" s="445">
        <v>9.3328771935788701</v>
      </c>
      <c r="G239" s="448">
        <v>8.7880438348637924</v>
      </c>
      <c r="H239" s="445"/>
      <c r="I239" s="449">
        <v>7.1817538669944527</v>
      </c>
      <c r="J239" s="445">
        <v>8.3893742838041945</v>
      </c>
      <c r="K239" s="448">
        <v>7.8616441616583375</v>
      </c>
      <c r="L239" s="445"/>
      <c r="M239" s="466">
        <v>8.1652741842996086</v>
      </c>
      <c r="N239" s="469"/>
      <c r="O239" s="450"/>
      <c r="P239" s="1494">
        <v>2029</v>
      </c>
      <c r="Q239" s="1495"/>
      <c r="R239" s="475">
        <v>0.01</v>
      </c>
      <c r="S239" s="441"/>
      <c r="T239" s="449">
        <v>0.01</v>
      </c>
      <c r="U239" s="445">
        <v>0.01</v>
      </c>
      <c r="V239" s="445">
        <v>0</v>
      </c>
      <c r="W239" s="448">
        <v>3.5000000000000001E-3</v>
      </c>
      <c r="X239" s="445"/>
      <c r="Y239" s="449">
        <v>0.01</v>
      </c>
      <c r="Z239" s="445">
        <v>0</v>
      </c>
      <c r="AA239" s="448">
        <v>4.3699999999999998E-3</v>
      </c>
      <c r="AB239" s="445"/>
      <c r="AC239" s="466">
        <v>3.9054200000000006E-3</v>
      </c>
      <c r="AD239" s="450"/>
      <c r="AE239" s="492">
        <f t="shared" si="145"/>
        <v>2029</v>
      </c>
      <c r="AF239" s="493">
        <v>1.65</v>
      </c>
      <c r="AG239" s="494">
        <f t="shared" si="144"/>
        <v>20.458772473651582</v>
      </c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  <c r="BL239" s="706"/>
      <c r="BM239" s="706"/>
      <c r="BN239" s="706"/>
      <c r="BO239" s="706"/>
      <c r="BP239" s="706"/>
      <c r="BQ239" s="706"/>
      <c r="BW239" s="201"/>
      <c r="BX239" s="201"/>
      <c r="BY239" s="201"/>
    </row>
    <row r="240" spans="1:77">
      <c r="A240" s="323"/>
      <c r="B240" s="480">
        <v>2030</v>
      </c>
      <c r="C240" s="441"/>
      <c r="D240" s="447">
        <v>6.5614852802276564</v>
      </c>
      <c r="E240" s="445">
        <v>8.226972109520192</v>
      </c>
      <c r="F240" s="445">
        <v>9.3911402038334781</v>
      </c>
      <c r="G240" s="448">
        <v>8.847016423446739</v>
      </c>
      <c r="H240" s="445"/>
      <c r="I240" s="449">
        <v>7.2427247966380088</v>
      </c>
      <c r="J240" s="445">
        <v>8.4484569629215329</v>
      </c>
      <c r="K240" s="448">
        <v>7.9215520062556317</v>
      </c>
      <c r="L240" s="445"/>
      <c r="M240" s="466">
        <v>8.2246826021852417</v>
      </c>
      <c r="N240" s="469"/>
      <c r="O240" s="450"/>
      <c r="P240" s="1494">
        <v>2030</v>
      </c>
      <c r="Q240" s="1495"/>
      <c r="R240" s="475">
        <v>0.01</v>
      </c>
      <c r="S240" s="441"/>
      <c r="T240" s="449">
        <v>0</v>
      </c>
      <c r="U240" s="445">
        <v>0</v>
      </c>
      <c r="V240" s="445">
        <v>0</v>
      </c>
      <c r="W240" s="448">
        <v>0</v>
      </c>
      <c r="X240" s="445"/>
      <c r="Y240" s="449">
        <v>0</v>
      </c>
      <c r="Z240" s="445">
        <v>0</v>
      </c>
      <c r="AA240" s="448">
        <v>0</v>
      </c>
      <c r="AB240" s="445"/>
      <c r="AC240" s="466">
        <v>0</v>
      </c>
      <c r="AD240" s="450"/>
      <c r="AE240" s="492">
        <f t="shared" si="145"/>
        <v>2030</v>
      </c>
      <c r="AF240" s="493">
        <v>1.78</v>
      </c>
      <c r="AG240" s="494">
        <f t="shared" si="144"/>
        <v>22.070675759454435</v>
      </c>
      <c r="AH240" s="706"/>
      <c r="AI240" s="706"/>
      <c r="AJ240" s="706"/>
      <c r="AK240" s="706"/>
      <c r="AL240" s="706"/>
      <c r="AM240" s="706"/>
      <c r="AN240" s="706"/>
      <c r="AO240" s="706"/>
      <c r="AP240" s="706"/>
      <c r="AQ240" s="706"/>
      <c r="AR240" s="706"/>
      <c r="AS240" s="706"/>
      <c r="AT240" s="706"/>
      <c r="AU240" s="706"/>
      <c r="AV240" s="706"/>
      <c r="AW240" s="706"/>
      <c r="AX240" s="706"/>
      <c r="AY240" s="706"/>
      <c r="AZ240" s="706"/>
      <c r="BA240" s="706"/>
      <c r="BB240" s="706"/>
      <c r="BC240" s="706"/>
      <c r="BD240" s="706"/>
      <c r="BE240" s="706"/>
      <c r="BF240" s="706"/>
      <c r="BG240" s="706"/>
      <c r="BH240" s="706"/>
      <c r="BI240" s="706"/>
      <c r="BJ240" s="706"/>
      <c r="BK240" s="706"/>
      <c r="BL240" s="706"/>
      <c r="BM240" s="706"/>
      <c r="BN240" s="706"/>
      <c r="BO240" s="706"/>
      <c r="BP240" s="706"/>
      <c r="BQ240" s="706"/>
      <c r="BW240" s="201"/>
      <c r="BX240" s="201"/>
      <c r="BY240" s="201"/>
    </row>
    <row r="241" spans="1:77">
      <c r="A241" s="323"/>
      <c r="B241" s="480">
        <v>2031</v>
      </c>
      <c r="C241" s="441"/>
      <c r="D241" s="447">
        <v>6.722234350088347</v>
      </c>
      <c r="E241" s="445">
        <v>8.3888655260289617</v>
      </c>
      <c r="F241" s="445">
        <v>9.5533666300755886</v>
      </c>
      <c r="G241" s="448">
        <v>9.0089546442849677</v>
      </c>
      <c r="H241" s="445"/>
      <c r="I241" s="449">
        <v>7.4043157352406546</v>
      </c>
      <c r="J241" s="445">
        <v>8.6104295265241149</v>
      </c>
      <c r="K241" s="448">
        <v>8.0833577997332426</v>
      </c>
      <c r="L241" s="445"/>
      <c r="M241" s="466">
        <v>8.3865591118734226</v>
      </c>
      <c r="N241" s="469"/>
      <c r="O241" s="450"/>
      <c r="P241" s="1494">
        <v>2031</v>
      </c>
      <c r="Q241" s="1495"/>
      <c r="R241" s="475">
        <v>0.01</v>
      </c>
      <c r="S241" s="441"/>
      <c r="T241" s="449">
        <v>0</v>
      </c>
      <c r="U241" s="445">
        <v>0</v>
      </c>
      <c r="V241" s="445">
        <v>0</v>
      </c>
      <c r="W241" s="448">
        <v>0</v>
      </c>
      <c r="X241" s="445"/>
      <c r="Y241" s="449">
        <v>0</v>
      </c>
      <c r="Z241" s="445">
        <v>0</v>
      </c>
      <c r="AA241" s="448">
        <v>0</v>
      </c>
      <c r="AB241" s="445"/>
      <c r="AC241" s="466">
        <v>0</v>
      </c>
      <c r="AD241" s="450"/>
      <c r="AE241" s="492">
        <f t="shared" si="145"/>
        <v>2031</v>
      </c>
      <c r="AF241" s="493">
        <v>1.92</v>
      </c>
      <c r="AG241" s="494">
        <f t="shared" si="144"/>
        <v>23.806571605703656</v>
      </c>
      <c r="AH241" s="706"/>
      <c r="AI241" s="706"/>
      <c r="AJ241" s="706"/>
      <c r="AK241" s="706"/>
      <c r="AL241" s="706"/>
      <c r="AM241" s="706"/>
      <c r="AN241" s="706"/>
      <c r="AO241" s="706"/>
      <c r="AP241" s="706"/>
      <c r="AQ241" s="706"/>
      <c r="AR241" s="706"/>
      <c r="AS241" s="706"/>
      <c r="AT241" s="706"/>
      <c r="AU241" s="706"/>
      <c r="AV241" s="706"/>
      <c r="AW241" s="706"/>
      <c r="AX241" s="706"/>
      <c r="AY241" s="706"/>
      <c r="AZ241" s="706"/>
      <c r="BA241" s="706"/>
      <c r="BB241" s="706"/>
      <c r="BC241" s="706"/>
      <c r="BD241" s="706"/>
      <c r="BE241" s="706"/>
      <c r="BF241" s="706"/>
      <c r="BG241" s="706"/>
      <c r="BH241" s="706"/>
      <c r="BI241" s="706"/>
      <c r="BJ241" s="706"/>
      <c r="BK241" s="706"/>
      <c r="BL241" s="706"/>
      <c r="BM241" s="706"/>
      <c r="BN241" s="706"/>
      <c r="BO241" s="706"/>
      <c r="BP241" s="706"/>
      <c r="BQ241" s="706"/>
      <c r="BW241" s="201"/>
      <c r="BX241" s="201"/>
      <c r="BY241" s="201"/>
    </row>
    <row r="242" spans="1:77">
      <c r="A242" s="323"/>
      <c r="B242" s="480">
        <v>2032</v>
      </c>
      <c r="C242" s="441"/>
      <c r="D242" s="447">
        <v>6.7389303581217037</v>
      </c>
      <c r="E242" s="445">
        <v>8.4010133105547791</v>
      </c>
      <c r="F242" s="445">
        <v>9.5643298633855913</v>
      </c>
      <c r="G242" s="448">
        <v>9.0210147040466371</v>
      </c>
      <c r="H242" s="445"/>
      <c r="I242" s="449">
        <v>7.4192677238219877</v>
      </c>
      <c r="J242" s="445">
        <v>8.6226263370947382</v>
      </c>
      <c r="K242" s="448">
        <v>8.0967586230945461</v>
      </c>
      <c r="L242" s="445"/>
      <c r="M242" s="466">
        <v>8.3992439674725219</v>
      </c>
      <c r="N242" s="469"/>
      <c r="O242" s="450"/>
      <c r="P242" s="1494">
        <v>2032</v>
      </c>
      <c r="Q242" s="1495"/>
      <c r="R242" s="475">
        <v>0.01</v>
      </c>
      <c r="S242" s="441"/>
      <c r="T242" s="449">
        <v>0</v>
      </c>
      <c r="U242" s="445">
        <v>0</v>
      </c>
      <c r="V242" s="445">
        <v>0</v>
      </c>
      <c r="W242" s="448">
        <v>0</v>
      </c>
      <c r="X242" s="445"/>
      <c r="Y242" s="449">
        <v>0</v>
      </c>
      <c r="Z242" s="445">
        <v>0</v>
      </c>
      <c r="AA242" s="448">
        <v>0</v>
      </c>
      <c r="AB242" s="445"/>
      <c r="AC242" s="466">
        <v>0</v>
      </c>
      <c r="AD242" s="450"/>
      <c r="AE242" s="492">
        <f t="shared" si="145"/>
        <v>2032</v>
      </c>
      <c r="AF242" s="493">
        <v>2.06</v>
      </c>
      <c r="AG242" s="494">
        <f t="shared" si="144"/>
        <v>25.542467451952884</v>
      </c>
      <c r="AH242" s="706"/>
      <c r="AI242" s="706"/>
      <c r="AJ242" s="706"/>
      <c r="AK242" s="706"/>
      <c r="AL242" s="706"/>
      <c r="AM242" s="706"/>
      <c r="AN242" s="706"/>
      <c r="AO242" s="706"/>
      <c r="AP242" s="706"/>
      <c r="AQ242" s="706"/>
      <c r="AR242" s="706"/>
      <c r="AS242" s="706"/>
      <c r="AT242" s="706"/>
      <c r="AU242" s="706"/>
      <c r="AV242" s="706"/>
      <c r="AW242" s="706"/>
      <c r="AX242" s="706"/>
      <c r="AY242" s="706"/>
      <c r="AZ242" s="706"/>
      <c r="BA242" s="706"/>
      <c r="BB242" s="706"/>
      <c r="BC242" s="706"/>
      <c r="BD242" s="706"/>
      <c r="BE242" s="706"/>
      <c r="BF242" s="706"/>
      <c r="BG242" s="706"/>
      <c r="BH242" s="706"/>
      <c r="BI242" s="706"/>
      <c r="BJ242" s="706"/>
      <c r="BK242" s="706"/>
      <c r="BL242" s="706"/>
      <c r="BM242" s="706"/>
      <c r="BN242" s="706"/>
      <c r="BO242" s="706"/>
      <c r="BP242" s="706"/>
      <c r="BQ242" s="706"/>
      <c r="BW242" s="201"/>
      <c r="BX242" s="201"/>
      <c r="BY242" s="201"/>
    </row>
    <row r="243" spans="1:77">
      <c r="A243" s="323"/>
      <c r="B243" s="480">
        <v>2033</v>
      </c>
      <c r="C243" s="441"/>
      <c r="D243" s="447">
        <v>6.6873205617491758</v>
      </c>
      <c r="E243" s="445">
        <v>8.3425148781750806</v>
      </c>
      <c r="F243" s="445">
        <v>9.5040247975239343</v>
      </c>
      <c r="G243" s="448">
        <v>8.9623752553047407</v>
      </c>
      <c r="H243" s="445"/>
      <c r="I243" s="449">
        <v>7.3648339075563545</v>
      </c>
      <c r="J243" s="445">
        <v>8.5641641152604038</v>
      </c>
      <c r="K243" s="448">
        <v>8.0400568144937345</v>
      </c>
      <c r="L243" s="445"/>
      <c r="M243" s="466">
        <v>8.3415074590363698</v>
      </c>
      <c r="N243" s="469"/>
      <c r="O243" s="450"/>
      <c r="P243" s="1494">
        <v>2033</v>
      </c>
      <c r="Q243" s="1495"/>
      <c r="R243" s="475">
        <v>0.01</v>
      </c>
      <c r="S243" s="441"/>
      <c r="T243" s="449">
        <v>0</v>
      </c>
      <c r="U243" s="445">
        <v>0</v>
      </c>
      <c r="V243" s="445">
        <v>0</v>
      </c>
      <c r="W243" s="448">
        <v>0</v>
      </c>
      <c r="X243" s="445"/>
      <c r="Y243" s="449">
        <v>0</v>
      </c>
      <c r="Z243" s="445">
        <v>0</v>
      </c>
      <c r="AA243" s="448">
        <v>0</v>
      </c>
      <c r="AB243" s="445"/>
      <c r="AC243" s="466">
        <v>0</v>
      </c>
      <c r="AD243" s="450"/>
      <c r="AE243" s="492">
        <f t="shared" si="145"/>
        <v>2033</v>
      </c>
      <c r="AF243" s="493">
        <v>2.2000000000000002</v>
      </c>
      <c r="AG243" s="494">
        <f t="shared" si="144"/>
        <v>27.278363298202109</v>
      </c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  <c r="BL243" s="706"/>
      <c r="BM243" s="706"/>
      <c r="BN243" s="706"/>
      <c r="BO243" s="706"/>
      <c r="BP243" s="706"/>
      <c r="BQ243" s="706"/>
      <c r="BW243" s="201"/>
      <c r="BX243" s="201"/>
      <c r="BY243" s="201"/>
    </row>
    <row r="244" spans="1:77">
      <c r="A244" s="323"/>
      <c r="B244" s="480">
        <v>2034</v>
      </c>
      <c r="C244" s="441"/>
      <c r="D244" s="447">
        <v>6.6016449561551971</v>
      </c>
      <c r="E244" s="445">
        <v>8.2497942265189597</v>
      </c>
      <c r="F244" s="445">
        <v>9.4094631399197972</v>
      </c>
      <c r="G244" s="448">
        <v>8.8695147066917315</v>
      </c>
      <c r="H244" s="445"/>
      <c r="I244" s="449">
        <v>7.276209092532933</v>
      </c>
      <c r="J244" s="445">
        <v>8.4714789135607695</v>
      </c>
      <c r="K244" s="448">
        <v>7.949146001771604</v>
      </c>
      <c r="L244" s="445"/>
      <c r="M244" s="466">
        <v>8.2495554873485109</v>
      </c>
      <c r="N244" s="469"/>
      <c r="O244" s="450"/>
      <c r="P244" s="1494">
        <v>2034</v>
      </c>
      <c r="Q244" s="1495"/>
      <c r="R244" s="475">
        <v>0.01</v>
      </c>
      <c r="S244" s="441"/>
      <c r="T244" s="449">
        <v>0</v>
      </c>
      <c r="U244" s="445">
        <v>0</v>
      </c>
      <c r="V244" s="445">
        <v>0</v>
      </c>
      <c r="W244" s="448">
        <v>0</v>
      </c>
      <c r="X244" s="445"/>
      <c r="Y244" s="449">
        <v>0</v>
      </c>
      <c r="Z244" s="445">
        <v>0</v>
      </c>
      <c r="AA244" s="448">
        <v>0</v>
      </c>
      <c r="AB244" s="445"/>
      <c r="AC244" s="466">
        <v>0</v>
      </c>
      <c r="AD244" s="450"/>
      <c r="AE244" s="492">
        <f t="shared" si="145"/>
        <v>2034</v>
      </c>
      <c r="AF244" s="493">
        <v>2.33</v>
      </c>
      <c r="AG244" s="494">
        <f t="shared" si="144"/>
        <v>28.890266584004962</v>
      </c>
      <c r="AH244" s="706"/>
      <c r="AI244" s="706"/>
      <c r="AJ244" s="706"/>
      <c r="AK244" s="706"/>
      <c r="AL244" s="706"/>
      <c r="AM244" s="706"/>
      <c r="AN244" s="706"/>
      <c r="AO244" s="706"/>
      <c r="AP244" s="706"/>
      <c r="AQ244" s="706"/>
      <c r="AR244" s="706"/>
      <c r="AS244" s="706"/>
      <c r="AT244" s="706"/>
      <c r="AU244" s="706"/>
      <c r="AV244" s="706"/>
      <c r="AW244" s="706"/>
      <c r="AX244" s="706"/>
      <c r="AY244" s="706"/>
      <c r="AZ244" s="706"/>
      <c r="BA244" s="706"/>
      <c r="BB244" s="706"/>
      <c r="BC244" s="706"/>
      <c r="BD244" s="706"/>
      <c r="BE244" s="706"/>
      <c r="BF244" s="706"/>
      <c r="BG244" s="706"/>
      <c r="BH244" s="706"/>
      <c r="BI244" s="706"/>
      <c r="BJ244" s="706"/>
      <c r="BK244" s="706"/>
      <c r="BL244" s="706"/>
      <c r="BM244" s="706"/>
      <c r="BN244" s="706"/>
      <c r="BO244" s="706"/>
      <c r="BP244" s="706"/>
      <c r="BQ244" s="706"/>
      <c r="BW244" s="201"/>
      <c r="BX244" s="201"/>
      <c r="BY244" s="201"/>
    </row>
    <row r="245" spans="1:77">
      <c r="A245" s="323"/>
      <c r="B245" s="480">
        <v>2035</v>
      </c>
      <c r="C245" s="441"/>
      <c r="D245" s="447">
        <v>6.6302887728931239</v>
      </c>
      <c r="E245" s="445">
        <v>8.2748011677627549</v>
      </c>
      <c r="F245" s="445">
        <v>9.4335277191947622</v>
      </c>
      <c r="G245" s="448">
        <v>8.8944546439799073</v>
      </c>
      <c r="H245" s="445"/>
      <c r="I245" s="449">
        <v>7.3034979751443689</v>
      </c>
      <c r="J245" s="445">
        <v>8.4965354871334373</v>
      </c>
      <c r="K245" s="448">
        <v>7.9751780943942139</v>
      </c>
      <c r="L245" s="445"/>
      <c r="M245" s="466">
        <v>8.2750043690225326</v>
      </c>
      <c r="N245" s="469"/>
      <c r="O245" s="450"/>
      <c r="P245" s="1494">
        <v>2035</v>
      </c>
      <c r="Q245" s="1495"/>
      <c r="R245" s="475">
        <v>0.01</v>
      </c>
      <c r="S245" s="441"/>
      <c r="T245" s="449">
        <v>0</v>
      </c>
      <c r="U245" s="445">
        <v>0</v>
      </c>
      <c r="V245" s="445">
        <v>0</v>
      </c>
      <c r="W245" s="448">
        <v>0</v>
      </c>
      <c r="X245" s="445"/>
      <c r="Y245" s="449">
        <v>0</v>
      </c>
      <c r="Z245" s="445">
        <v>0</v>
      </c>
      <c r="AA245" s="448">
        <v>0</v>
      </c>
      <c r="AB245" s="445"/>
      <c r="AC245" s="466">
        <v>0</v>
      </c>
      <c r="AD245" s="450"/>
      <c r="AE245" s="492">
        <f t="shared" si="145"/>
        <v>2035</v>
      </c>
      <c r="AF245" s="493">
        <v>2.4700000000000002</v>
      </c>
      <c r="AG245" s="494">
        <f t="shared" si="144"/>
        <v>30.626162430254187</v>
      </c>
      <c r="AH245" s="706"/>
      <c r="AI245" s="706"/>
      <c r="AJ245" s="706"/>
      <c r="AK245" s="706"/>
      <c r="AL245" s="706"/>
      <c r="AM245" s="706"/>
      <c r="AN245" s="706"/>
      <c r="AO245" s="706"/>
      <c r="AP245" s="706"/>
      <c r="AQ245" s="706"/>
      <c r="AR245" s="706"/>
      <c r="AS245" s="706"/>
      <c r="AT245" s="706"/>
      <c r="AU245" s="706"/>
      <c r="AV245" s="706"/>
      <c r="AW245" s="706"/>
      <c r="AX245" s="706"/>
      <c r="AY245" s="706"/>
      <c r="AZ245" s="706"/>
      <c r="BA245" s="706"/>
      <c r="BB245" s="706"/>
      <c r="BC245" s="706"/>
      <c r="BD245" s="706"/>
      <c r="BE245" s="706"/>
      <c r="BF245" s="706"/>
      <c r="BG245" s="706"/>
      <c r="BH245" s="706"/>
      <c r="BI245" s="706"/>
      <c r="BJ245" s="706"/>
      <c r="BK245" s="706"/>
      <c r="BL245" s="706"/>
      <c r="BM245" s="706"/>
      <c r="BN245" s="706"/>
      <c r="BO245" s="706"/>
      <c r="BP245" s="706"/>
      <c r="BQ245" s="706"/>
      <c r="BW245" s="201"/>
      <c r="BX245" s="201"/>
      <c r="BY245" s="201"/>
    </row>
    <row r="246" spans="1:77">
      <c r="A246" s="323"/>
      <c r="B246" s="480">
        <v>2036</v>
      </c>
      <c r="C246" s="441"/>
      <c r="D246" s="447">
        <v>6.6714106797197319</v>
      </c>
      <c r="E246" s="445">
        <v>8.3124970342778823</v>
      </c>
      <c r="F246" s="445">
        <v>9.4703037845225655</v>
      </c>
      <c r="G246" s="448">
        <v>8.9320295935505811</v>
      </c>
      <c r="H246" s="445"/>
      <c r="I246" s="449">
        <v>7.3433511954090349</v>
      </c>
      <c r="J246" s="445">
        <v>8.5342603100273244</v>
      </c>
      <c r="K246" s="448">
        <v>8.0138222045413787</v>
      </c>
      <c r="L246" s="445"/>
      <c r="M246" s="466">
        <v>8.3130951971446461</v>
      </c>
      <c r="N246" s="469"/>
      <c r="O246" s="450"/>
      <c r="P246" s="1494">
        <v>2036</v>
      </c>
      <c r="Q246" s="1495"/>
      <c r="R246" s="475">
        <v>0.01</v>
      </c>
      <c r="S246" s="441"/>
      <c r="T246" s="449">
        <v>0</v>
      </c>
      <c r="U246" s="445">
        <v>0</v>
      </c>
      <c r="V246" s="445">
        <v>0</v>
      </c>
      <c r="W246" s="448">
        <v>0</v>
      </c>
      <c r="X246" s="445"/>
      <c r="Y246" s="449">
        <v>0</v>
      </c>
      <c r="Z246" s="445">
        <v>0</v>
      </c>
      <c r="AA246" s="448">
        <v>0</v>
      </c>
      <c r="AB246" s="445"/>
      <c r="AC246" s="466">
        <v>0</v>
      </c>
      <c r="AD246" s="450"/>
      <c r="AE246" s="492">
        <f t="shared" si="145"/>
        <v>2036</v>
      </c>
      <c r="AF246" s="493">
        <v>2.62</v>
      </c>
      <c r="AG246" s="494">
        <f t="shared" si="144"/>
        <v>32.486050836949786</v>
      </c>
      <c r="AH246" s="706"/>
      <c r="AI246" s="706"/>
      <c r="AJ246" s="706"/>
      <c r="AK246" s="706"/>
      <c r="AL246" s="706"/>
      <c r="AM246" s="706"/>
      <c r="AN246" s="706"/>
      <c r="AO246" s="706"/>
      <c r="AP246" s="706"/>
      <c r="AQ246" s="706"/>
      <c r="AR246" s="706"/>
      <c r="AS246" s="706"/>
      <c r="AT246" s="706"/>
      <c r="AU246" s="706"/>
      <c r="AV246" s="706"/>
      <c r="AW246" s="706"/>
      <c r="AX246" s="706"/>
      <c r="AY246" s="706"/>
      <c r="AZ246" s="706"/>
      <c r="BA246" s="706"/>
      <c r="BB246" s="706"/>
      <c r="BC246" s="706"/>
      <c r="BD246" s="706"/>
      <c r="BE246" s="706"/>
      <c r="BF246" s="706"/>
      <c r="BG246" s="706"/>
      <c r="BH246" s="706"/>
      <c r="BI246" s="706"/>
      <c r="BJ246" s="706"/>
      <c r="BK246" s="706"/>
      <c r="BL246" s="706"/>
      <c r="BM246" s="706"/>
      <c r="BN246" s="706"/>
      <c r="BO246" s="706"/>
      <c r="BP246" s="706"/>
      <c r="BQ246" s="706"/>
      <c r="BW246" s="201"/>
      <c r="BX246" s="201"/>
      <c r="BY246" s="201"/>
    </row>
    <row r="247" spans="1:77">
      <c r="A247" s="323"/>
      <c r="B247" s="480">
        <v>2037</v>
      </c>
      <c r="C247" s="441"/>
      <c r="D247" s="447">
        <v>6.7127876299206148</v>
      </c>
      <c r="E247" s="445">
        <v>8.3503646243575407</v>
      </c>
      <c r="F247" s="445">
        <v>9.5072232192262014</v>
      </c>
      <c r="G247" s="448">
        <v>8.9697632798726072</v>
      </c>
      <c r="H247" s="445"/>
      <c r="I247" s="449">
        <v>7.3834218839568262</v>
      </c>
      <c r="J247" s="445">
        <v>8.5721526320465351</v>
      </c>
      <c r="K247" s="448">
        <v>8.052653566588301</v>
      </c>
      <c r="L247" s="445"/>
      <c r="M247" s="466">
        <v>8.3513613618735238</v>
      </c>
      <c r="N247" s="469"/>
      <c r="O247" s="450"/>
      <c r="P247" s="1494">
        <v>2037</v>
      </c>
      <c r="Q247" s="1495"/>
      <c r="R247" s="475">
        <v>0.01</v>
      </c>
      <c r="S247" s="441"/>
      <c r="T247" s="449">
        <v>0</v>
      </c>
      <c r="U247" s="445">
        <v>0</v>
      </c>
      <c r="V247" s="445">
        <v>0</v>
      </c>
      <c r="W247" s="448">
        <v>0</v>
      </c>
      <c r="X247" s="445"/>
      <c r="Y247" s="449">
        <v>0</v>
      </c>
      <c r="Z247" s="445">
        <v>0</v>
      </c>
      <c r="AA247" s="448">
        <v>0</v>
      </c>
      <c r="AB247" s="445"/>
      <c r="AC247" s="466">
        <v>0</v>
      </c>
      <c r="AD247" s="450"/>
      <c r="AE247" s="492">
        <f t="shared" si="145"/>
        <v>2037</v>
      </c>
      <c r="AF247" s="493">
        <v>2.77</v>
      </c>
      <c r="AG247" s="494">
        <f t="shared" si="144"/>
        <v>34.345939243645383</v>
      </c>
      <c r="AH247" s="706"/>
      <c r="AI247" s="706"/>
      <c r="AJ247" s="706"/>
      <c r="AK247" s="706"/>
      <c r="AL247" s="706"/>
      <c r="AM247" s="706"/>
      <c r="AN247" s="706"/>
      <c r="AO247" s="706"/>
      <c r="AP247" s="706"/>
      <c r="AQ247" s="706"/>
      <c r="AR247" s="706"/>
      <c r="AS247" s="706"/>
      <c r="AT247" s="706"/>
      <c r="AU247" s="706"/>
      <c r="AV247" s="706"/>
      <c r="AW247" s="706"/>
      <c r="AX247" s="706"/>
      <c r="AY247" s="706"/>
      <c r="AZ247" s="706"/>
      <c r="BA247" s="706"/>
      <c r="BB247" s="706"/>
      <c r="BC247" s="706"/>
      <c r="BD247" s="706"/>
      <c r="BE247" s="706"/>
      <c r="BF247" s="706"/>
      <c r="BG247" s="706"/>
      <c r="BH247" s="706"/>
      <c r="BI247" s="706"/>
      <c r="BJ247" s="706"/>
      <c r="BK247" s="706"/>
      <c r="BL247" s="706"/>
      <c r="BM247" s="706"/>
      <c r="BN247" s="706"/>
      <c r="BO247" s="706"/>
      <c r="BP247" s="706"/>
      <c r="BQ247" s="706"/>
      <c r="BW247" s="201"/>
      <c r="BX247" s="201"/>
      <c r="BY247" s="201"/>
    </row>
    <row r="248" spans="1:77">
      <c r="A248" s="323"/>
      <c r="B248" s="480">
        <v>2038</v>
      </c>
      <c r="C248" s="441"/>
      <c r="D248" s="447">
        <v>6.7544212053077013</v>
      </c>
      <c r="E248" s="445">
        <v>8.3884047202886336</v>
      </c>
      <c r="F248" s="445">
        <v>9.5442865822229361</v>
      </c>
      <c r="G248" s="448">
        <v>9.0076563735352089</v>
      </c>
      <c r="H248" s="445"/>
      <c r="I248" s="449">
        <v>7.4237112274535599</v>
      </c>
      <c r="J248" s="445">
        <v>8.6102131968912339</v>
      </c>
      <c r="K248" s="448">
        <v>8.0916730878730903</v>
      </c>
      <c r="L248" s="445"/>
      <c r="M248" s="466">
        <v>8.3898036703043974</v>
      </c>
      <c r="N248" s="469"/>
      <c r="O248" s="450"/>
      <c r="P248" s="1494">
        <v>2038</v>
      </c>
      <c r="Q248" s="1495"/>
      <c r="R248" s="475">
        <v>0.01</v>
      </c>
      <c r="S248" s="441"/>
      <c r="T248" s="449">
        <v>0</v>
      </c>
      <c r="U248" s="445">
        <v>0</v>
      </c>
      <c r="V248" s="445">
        <v>0</v>
      </c>
      <c r="W248" s="448">
        <v>0</v>
      </c>
      <c r="X248" s="445"/>
      <c r="Y248" s="449">
        <v>0</v>
      </c>
      <c r="Z248" s="445">
        <v>0</v>
      </c>
      <c r="AA248" s="448">
        <v>0</v>
      </c>
      <c r="AB248" s="445"/>
      <c r="AC248" s="466">
        <v>0</v>
      </c>
      <c r="AD248" s="450"/>
      <c r="AE248" s="492">
        <f t="shared" si="145"/>
        <v>2038</v>
      </c>
      <c r="AF248" s="493">
        <v>2.94</v>
      </c>
      <c r="AG248" s="494">
        <f t="shared" si="144"/>
        <v>36.453812771233729</v>
      </c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  <c r="BL248" s="706"/>
      <c r="BM248" s="706"/>
      <c r="BN248" s="706"/>
      <c r="BO248" s="706"/>
      <c r="BP248" s="706"/>
      <c r="BQ248" s="706"/>
      <c r="BW248" s="201"/>
      <c r="BX248" s="201"/>
      <c r="BY248" s="201"/>
    </row>
    <row r="249" spans="1:77">
      <c r="A249" s="323"/>
      <c r="B249" s="480">
        <v>2039</v>
      </c>
      <c r="C249" s="441"/>
      <c r="D249" s="447">
        <v>6.7963129975035228</v>
      </c>
      <c r="E249" s="445">
        <v>8.4266181079217706</v>
      </c>
      <c r="F249" s="445">
        <v>9.5814944346089437</v>
      </c>
      <c r="G249" s="448">
        <v>9.0457095479605378</v>
      </c>
      <c r="H249" s="445"/>
      <c r="I249" s="449">
        <v>7.4642204190403669</v>
      </c>
      <c r="J249" s="445">
        <v>8.648442751563632</v>
      </c>
      <c r="K249" s="448">
        <v>8.1308816801304111</v>
      </c>
      <c r="L249" s="445"/>
      <c r="M249" s="466">
        <v>8.4284229332476492</v>
      </c>
      <c r="N249" s="469"/>
      <c r="O249" s="450"/>
      <c r="P249" s="1494">
        <v>2039</v>
      </c>
      <c r="Q249" s="1495"/>
      <c r="R249" s="475">
        <v>0.01</v>
      </c>
      <c r="S249" s="441"/>
      <c r="T249" s="449">
        <v>0</v>
      </c>
      <c r="U249" s="445">
        <v>0</v>
      </c>
      <c r="V249" s="445">
        <v>0</v>
      </c>
      <c r="W249" s="448">
        <v>0</v>
      </c>
      <c r="X249" s="445"/>
      <c r="Y249" s="449">
        <v>0</v>
      </c>
      <c r="Z249" s="445">
        <v>0</v>
      </c>
      <c r="AA249" s="448">
        <v>0</v>
      </c>
      <c r="AB249" s="445"/>
      <c r="AC249" s="466">
        <v>0</v>
      </c>
      <c r="AD249" s="450"/>
      <c r="AE249" s="492">
        <f t="shared" si="145"/>
        <v>2039</v>
      </c>
      <c r="AF249" s="493">
        <v>3.12</v>
      </c>
      <c r="AG249" s="494">
        <f t="shared" si="144"/>
        <v>38.685678859268442</v>
      </c>
      <c r="AH249" s="706"/>
      <c r="AI249" s="706"/>
      <c r="AJ249" s="706"/>
      <c r="AK249" s="706"/>
      <c r="AL249" s="706"/>
      <c r="AM249" s="706"/>
      <c r="AN249" s="706"/>
      <c r="AO249" s="706"/>
      <c r="AP249" s="706"/>
      <c r="AQ249" s="706"/>
      <c r="AR249" s="706"/>
      <c r="AS249" s="706"/>
      <c r="AT249" s="706"/>
      <c r="AU249" s="706"/>
      <c r="AV249" s="706"/>
      <c r="AW249" s="706"/>
      <c r="AX249" s="706"/>
      <c r="AY249" s="706"/>
      <c r="AZ249" s="706"/>
      <c r="BA249" s="706"/>
      <c r="BB249" s="706"/>
      <c r="BC249" s="706"/>
      <c r="BD249" s="706"/>
      <c r="BE249" s="706"/>
      <c r="BF249" s="706"/>
      <c r="BG249" s="706"/>
      <c r="BH249" s="706"/>
      <c r="BI249" s="706"/>
      <c r="BJ249" s="706"/>
      <c r="BK249" s="706"/>
      <c r="BL249" s="706"/>
      <c r="BM249" s="706"/>
      <c r="BN249" s="706"/>
      <c r="BO249" s="706"/>
      <c r="BP249" s="706"/>
      <c r="BQ249" s="706"/>
      <c r="BW249" s="201"/>
      <c r="BX249" s="201"/>
      <c r="BY249" s="201"/>
    </row>
    <row r="250" spans="1:77">
      <c r="A250" s="323"/>
      <c r="B250" s="480">
        <v>2040</v>
      </c>
      <c r="C250" s="441"/>
      <c r="D250" s="447">
        <v>6.8384646080020586</v>
      </c>
      <c r="E250" s="445">
        <v>8.4650055766875063</v>
      </c>
      <c r="F250" s="445">
        <v>9.6188473396678003</v>
      </c>
      <c r="G250" s="448">
        <v>9.0839234794156418</v>
      </c>
      <c r="H250" s="445"/>
      <c r="I250" s="449">
        <v>7.5049506583690295</v>
      </c>
      <c r="J250" s="445">
        <v>8.6868420463826475</v>
      </c>
      <c r="K250" s="448">
        <v>8.170280259512781</v>
      </c>
      <c r="L250" s="445"/>
      <c r="M250" s="466">
        <v>8.4672199652459224</v>
      </c>
      <c r="N250" s="469"/>
      <c r="O250" s="450"/>
      <c r="P250" s="1494">
        <v>2040</v>
      </c>
      <c r="Q250" s="1495"/>
      <c r="R250" s="475">
        <v>0.01</v>
      </c>
      <c r="S250" s="441"/>
      <c r="T250" s="449">
        <v>0</v>
      </c>
      <c r="U250" s="445">
        <v>0</v>
      </c>
      <c r="V250" s="445">
        <v>0</v>
      </c>
      <c r="W250" s="448">
        <v>0</v>
      </c>
      <c r="X250" s="445"/>
      <c r="Y250" s="449">
        <v>0</v>
      </c>
      <c r="Z250" s="445">
        <v>0</v>
      </c>
      <c r="AA250" s="448">
        <v>0</v>
      </c>
      <c r="AB250" s="445"/>
      <c r="AC250" s="466">
        <v>0</v>
      </c>
      <c r="AD250" s="450"/>
      <c r="AE250" s="492">
        <f t="shared" si="145"/>
        <v>2040</v>
      </c>
      <c r="AF250" s="493">
        <v>3.3</v>
      </c>
      <c r="AG250" s="494">
        <f t="shared" si="144"/>
        <v>40.917544947303163</v>
      </c>
      <c r="AH250" s="706"/>
      <c r="AI250" s="706"/>
      <c r="AJ250" s="706"/>
      <c r="AK250" s="706"/>
      <c r="AL250" s="706"/>
      <c r="AM250" s="706"/>
      <c r="AN250" s="706"/>
      <c r="AO250" s="706"/>
      <c r="AP250" s="706"/>
      <c r="AQ250" s="706"/>
      <c r="AR250" s="706"/>
      <c r="AS250" s="706"/>
      <c r="AT250" s="706"/>
      <c r="AU250" s="706"/>
      <c r="AV250" s="706"/>
      <c r="AW250" s="706"/>
      <c r="AX250" s="706"/>
      <c r="AY250" s="706"/>
      <c r="AZ250" s="706"/>
      <c r="BA250" s="706"/>
      <c r="BB250" s="706"/>
      <c r="BC250" s="706"/>
      <c r="BD250" s="706"/>
      <c r="BE250" s="706"/>
      <c r="BF250" s="706"/>
      <c r="BG250" s="706"/>
      <c r="BH250" s="706"/>
      <c r="BI250" s="706"/>
      <c r="BJ250" s="706"/>
      <c r="BK250" s="706"/>
      <c r="BL250" s="706"/>
      <c r="BM250" s="706"/>
      <c r="BN250" s="706"/>
      <c r="BO250" s="706"/>
      <c r="BP250" s="706"/>
      <c r="BQ250" s="706"/>
      <c r="BW250" s="201"/>
      <c r="BX250" s="201"/>
      <c r="BY250" s="201"/>
    </row>
    <row r="251" spans="1:77">
      <c r="A251" s="323"/>
      <c r="B251" s="480">
        <v>2041</v>
      </c>
      <c r="C251" s="441"/>
      <c r="D251" s="447">
        <v>6.8808776482299594</v>
      </c>
      <c r="E251" s="445">
        <v>8.5035679196126459</v>
      </c>
      <c r="F251" s="445">
        <v>9.6563458628790073</v>
      </c>
      <c r="G251" s="448">
        <v>9.1222988470244832</v>
      </c>
      <c r="H251" s="445"/>
      <c r="I251" s="449">
        <v>7.5459031516375061</v>
      </c>
      <c r="J251" s="445">
        <v>8.7254118349986332</v>
      </c>
      <c r="K251" s="448">
        <v>8.2098697466119788</v>
      </c>
      <c r="L251" s="445"/>
      <c r="M251" s="466">
        <v>8.5061955845912944</v>
      </c>
      <c r="N251" s="469"/>
      <c r="O251" s="450"/>
      <c r="P251" s="1494">
        <v>2041</v>
      </c>
      <c r="Q251" s="1495"/>
      <c r="R251" s="475">
        <v>0.01</v>
      </c>
      <c r="S251" s="441"/>
      <c r="T251" s="449">
        <v>0</v>
      </c>
      <c r="U251" s="445">
        <v>0</v>
      </c>
      <c r="V251" s="445">
        <v>0</v>
      </c>
      <c r="W251" s="448">
        <v>0</v>
      </c>
      <c r="X251" s="445"/>
      <c r="Y251" s="449">
        <v>0</v>
      </c>
      <c r="Z251" s="445">
        <v>0</v>
      </c>
      <c r="AA251" s="448">
        <v>0</v>
      </c>
      <c r="AB251" s="445"/>
      <c r="AC251" s="466">
        <v>0</v>
      </c>
      <c r="AD251" s="450"/>
      <c r="AE251" s="492">
        <f t="shared" si="145"/>
        <v>2041</v>
      </c>
      <c r="AF251" s="493">
        <v>3.5</v>
      </c>
      <c r="AG251" s="494">
        <f t="shared" si="144"/>
        <v>43.397396156230627</v>
      </c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  <c r="BL251" s="706"/>
      <c r="BM251" s="706"/>
      <c r="BN251" s="706"/>
      <c r="BO251" s="706"/>
      <c r="BP251" s="706"/>
      <c r="BQ251" s="706"/>
      <c r="BW251" s="201"/>
      <c r="BX251" s="201"/>
      <c r="BY251" s="201"/>
    </row>
    <row r="252" spans="1:77">
      <c r="A252" s="323"/>
      <c r="B252" s="480">
        <v>2042</v>
      </c>
      <c r="C252" s="441"/>
      <c r="D252" s="447">
        <v>6.9235537396081535</v>
      </c>
      <c r="E252" s="445">
        <v>8.54230593333663</v>
      </c>
      <c r="F252" s="445">
        <v>9.6939905719265589</v>
      </c>
      <c r="G252" s="448">
        <v>9.1608363327800113</v>
      </c>
      <c r="H252" s="445"/>
      <c r="I252" s="449">
        <v>7.587079111625652</v>
      </c>
      <c r="J252" s="445">
        <v>8.7641528744081683</v>
      </c>
      <c r="K252" s="448">
        <v>8.2496510664805545</v>
      </c>
      <c r="L252" s="445"/>
      <c r="M252" s="466">
        <v>8.5453506133425385</v>
      </c>
      <c r="N252" s="469"/>
      <c r="O252" s="450"/>
      <c r="P252" s="1494">
        <v>2042</v>
      </c>
      <c r="Q252" s="1495"/>
      <c r="R252" s="475">
        <v>0.01</v>
      </c>
      <c r="S252" s="441"/>
      <c r="T252" s="449">
        <v>0</v>
      </c>
      <c r="U252" s="445">
        <v>0</v>
      </c>
      <c r="V252" s="445">
        <v>0</v>
      </c>
      <c r="W252" s="448">
        <v>0</v>
      </c>
      <c r="X252" s="445"/>
      <c r="Y252" s="449">
        <v>0</v>
      </c>
      <c r="Z252" s="445">
        <v>0</v>
      </c>
      <c r="AA252" s="448">
        <v>0</v>
      </c>
      <c r="AB252" s="445"/>
      <c r="AC252" s="466">
        <v>0</v>
      </c>
      <c r="AD252" s="450"/>
      <c r="AE252" s="492">
        <f t="shared" si="145"/>
        <v>2042</v>
      </c>
      <c r="AF252" s="493">
        <v>3.71</v>
      </c>
      <c r="AG252" s="494">
        <f t="shared" si="144"/>
        <v>46.001239925604466</v>
      </c>
      <c r="AH252" s="706"/>
      <c r="AI252" s="706"/>
      <c r="AJ252" s="706"/>
      <c r="AK252" s="706"/>
      <c r="AL252" s="706"/>
      <c r="AM252" s="706"/>
      <c r="AN252" s="706"/>
      <c r="AO252" s="706"/>
      <c r="AP252" s="706"/>
      <c r="AQ252" s="706"/>
      <c r="AR252" s="706"/>
      <c r="AS252" s="706"/>
      <c r="AT252" s="706"/>
      <c r="AU252" s="706"/>
      <c r="AV252" s="706"/>
      <c r="AW252" s="706"/>
      <c r="AX252" s="706"/>
      <c r="AY252" s="706"/>
      <c r="AZ252" s="706"/>
      <c r="BA252" s="706"/>
      <c r="BB252" s="706"/>
      <c r="BC252" s="706"/>
      <c r="BD252" s="706"/>
      <c r="BE252" s="706"/>
      <c r="BF252" s="706"/>
      <c r="BG252" s="706"/>
      <c r="BH252" s="706"/>
      <c r="BI252" s="706"/>
      <c r="BJ252" s="706"/>
      <c r="BK252" s="706"/>
      <c r="BL252" s="706"/>
      <c r="BM252" s="706"/>
      <c r="BN252" s="706"/>
      <c r="BO252" s="706"/>
      <c r="BP252" s="706"/>
      <c r="BQ252" s="706"/>
      <c r="BW252" s="201"/>
      <c r="BX252" s="201"/>
      <c r="BY252" s="201"/>
    </row>
    <row r="253" spans="1:77">
      <c r="A253" s="323"/>
      <c r="B253" s="480">
        <v>2043</v>
      </c>
      <c r="C253" s="441"/>
      <c r="D253" s="447">
        <v>6.9664945136138305</v>
      </c>
      <c r="E253" s="445">
        <v>8.5812204181279892</v>
      </c>
      <c r="F253" s="445">
        <v>9.7317820367075321</v>
      </c>
      <c r="G253" s="448">
        <v>9.1995366215562751</v>
      </c>
      <c r="H253" s="445"/>
      <c r="I253" s="449">
        <v>7.6284797577311352</v>
      </c>
      <c r="J253" s="445">
        <v>8.803065924968914</v>
      </c>
      <c r="K253" s="448">
        <v>8.289625148653446</v>
      </c>
      <c r="L253" s="445"/>
      <c r="M253" s="466">
        <v>8.5846858773424621</v>
      </c>
      <c r="N253" s="469"/>
      <c r="O253" s="450"/>
      <c r="P253" s="1494">
        <v>2043</v>
      </c>
      <c r="Q253" s="1495"/>
      <c r="R253" s="475">
        <v>0.01</v>
      </c>
      <c r="S253" s="441"/>
      <c r="T253" s="449">
        <v>0</v>
      </c>
      <c r="U253" s="445">
        <v>0</v>
      </c>
      <c r="V253" s="445">
        <v>0</v>
      </c>
      <c r="W253" s="448">
        <v>0</v>
      </c>
      <c r="X253" s="445"/>
      <c r="Y253" s="449">
        <v>0</v>
      </c>
      <c r="Z253" s="445">
        <v>0</v>
      </c>
      <c r="AA253" s="448">
        <v>0</v>
      </c>
      <c r="AB253" s="445"/>
      <c r="AC253" s="466">
        <v>0</v>
      </c>
      <c r="AD253" s="450"/>
      <c r="AE253" s="492">
        <f t="shared" si="145"/>
        <v>2043</v>
      </c>
      <c r="AF253" s="493">
        <v>3.93</v>
      </c>
      <c r="AG253" s="494">
        <f t="shared" si="144"/>
        <v>48.72907625542468</v>
      </c>
      <c r="AH253" s="706"/>
      <c r="AI253" s="706"/>
      <c r="AJ253" s="706"/>
      <c r="AK253" s="706"/>
      <c r="AL253" s="706"/>
      <c r="AM253" s="706"/>
      <c r="AN253" s="706"/>
      <c r="AO253" s="706"/>
      <c r="AP253" s="706"/>
      <c r="AQ253" s="706"/>
      <c r="AR253" s="706"/>
      <c r="AS253" s="706"/>
      <c r="AT253" s="706"/>
      <c r="AU253" s="706"/>
      <c r="AV253" s="706"/>
      <c r="AW253" s="706"/>
      <c r="AX253" s="706"/>
      <c r="AY253" s="706"/>
      <c r="AZ253" s="706"/>
      <c r="BA253" s="706"/>
      <c r="BB253" s="706"/>
      <c r="BC253" s="706"/>
      <c r="BD253" s="706"/>
      <c r="BE253" s="706"/>
      <c r="BF253" s="706"/>
      <c r="BG253" s="706"/>
      <c r="BH253" s="706"/>
      <c r="BI253" s="706"/>
      <c r="BJ253" s="706"/>
      <c r="BK253" s="706"/>
      <c r="BL253" s="706"/>
      <c r="BM253" s="706"/>
      <c r="BN253" s="706"/>
      <c r="BO253" s="706"/>
      <c r="BP253" s="706"/>
      <c r="BQ253" s="706"/>
      <c r="BW253" s="201"/>
      <c r="BX253" s="201"/>
      <c r="BY253" s="201"/>
    </row>
    <row r="254" spans="1:77">
      <c r="A254" s="323"/>
      <c r="B254" s="480">
        <v>2044</v>
      </c>
      <c r="C254" s="441"/>
      <c r="D254" s="447">
        <v>7.0097016118428117</v>
      </c>
      <c r="E254" s="445">
        <v>8.6203121779008818</v>
      </c>
      <c r="F254" s="445">
        <v>9.7697208293407147</v>
      </c>
      <c r="G254" s="448">
        <v>9.238400401120602</v>
      </c>
      <c r="H254" s="445"/>
      <c r="I254" s="449">
        <v>7.6701063160055485</v>
      </c>
      <c r="J254" s="445">
        <v>8.8421517504145406</v>
      </c>
      <c r="K254" s="448">
        <v>8.3297929271696969</v>
      </c>
      <c r="L254" s="445"/>
      <c r="M254" s="466">
        <v>8.6242022062353261</v>
      </c>
      <c r="N254" s="469"/>
      <c r="O254" s="450"/>
      <c r="P254" s="1494">
        <v>2044</v>
      </c>
      <c r="Q254" s="1495"/>
      <c r="R254" s="475">
        <v>0.01</v>
      </c>
      <c r="S254" s="441"/>
      <c r="T254" s="449">
        <v>0</v>
      </c>
      <c r="U254" s="445">
        <v>0</v>
      </c>
      <c r="V254" s="445">
        <v>0</v>
      </c>
      <c r="W254" s="448">
        <v>0</v>
      </c>
      <c r="X254" s="445"/>
      <c r="Y254" s="449">
        <v>0</v>
      </c>
      <c r="Z254" s="445">
        <v>0</v>
      </c>
      <c r="AA254" s="448">
        <v>0</v>
      </c>
      <c r="AB254" s="445"/>
      <c r="AC254" s="466">
        <v>0</v>
      </c>
      <c r="AD254" s="450"/>
      <c r="AE254" s="492">
        <f t="shared" si="145"/>
        <v>2044</v>
      </c>
      <c r="AF254" s="493">
        <v>4.16</v>
      </c>
      <c r="AG254" s="494">
        <f t="shared" si="144"/>
        <v>51.580905145691261</v>
      </c>
      <c r="AH254" s="328"/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/>
      <c r="AS254" s="329"/>
      <c r="BW254" s="201"/>
      <c r="BX254" s="201"/>
      <c r="BY254" s="201"/>
    </row>
    <row r="255" spans="1:77">
      <c r="A255" s="323"/>
      <c r="B255" s="480">
        <v>2045</v>
      </c>
      <c r="C255" s="441"/>
      <c r="D255" s="447">
        <v>7.053176686072308</v>
      </c>
      <c r="E255" s="445">
        <v>8.6595820202316958</v>
      </c>
      <c r="F255" s="445">
        <v>9.8078075241752654</v>
      </c>
      <c r="G255" s="448">
        <v>9.2774283621458178</v>
      </c>
      <c r="H255" s="445"/>
      <c r="I255" s="449">
        <v>7.7119600191907178</v>
      </c>
      <c r="J255" s="445">
        <v>8.8814111178697104</v>
      </c>
      <c r="K255" s="448">
        <v>8.3701553405942803</v>
      </c>
      <c r="L255" s="445"/>
      <c r="M255" s="466">
        <v>8.6639004334843435</v>
      </c>
      <c r="N255" s="469"/>
      <c r="O255" s="450"/>
      <c r="P255" s="1494">
        <v>2045</v>
      </c>
      <c r="Q255" s="1495"/>
      <c r="R255" s="475">
        <v>0.01</v>
      </c>
      <c r="S255" s="441"/>
      <c r="T255" s="449">
        <v>0</v>
      </c>
      <c r="U255" s="445">
        <v>0</v>
      </c>
      <c r="V255" s="445">
        <v>0</v>
      </c>
      <c r="W255" s="448">
        <v>0</v>
      </c>
      <c r="X255" s="445"/>
      <c r="Y255" s="449">
        <v>0</v>
      </c>
      <c r="Z255" s="445">
        <v>0</v>
      </c>
      <c r="AA255" s="448">
        <v>0</v>
      </c>
      <c r="AB255" s="445"/>
      <c r="AC255" s="466">
        <v>0</v>
      </c>
      <c r="AD255" s="450"/>
      <c r="AE255" s="492">
        <f t="shared" si="145"/>
        <v>2045</v>
      </c>
      <c r="AF255" s="493">
        <v>4.41</v>
      </c>
      <c r="AG255" s="494">
        <f t="shared" si="144"/>
        <v>54.680719156850593</v>
      </c>
      <c r="AH255" s="328"/>
      <c r="AI255" s="327"/>
      <c r="AJ255" s="327"/>
      <c r="AK255" s="327"/>
      <c r="AL255" s="327"/>
      <c r="AM255" s="327"/>
      <c r="AN255" s="327"/>
      <c r="AO255" s="327"/>
      <c r="AP255" s="327"/>
      <c r="AQ255" s="327"/>
      <c r="AR255" s="327"/>
      <c r="AS255" s="329"/>
      <c r="BW255" s="201"/>
      <c r="BX255" s="201"/>
      <c r="BY255" s="201"/>
    </row>
    <row r="256" spans="1:77">
      <c r="A256" s="323"/>
      <c r="B256" s="480">
        <v>2046</v>
      </c>
      <c r="C256" s="441"/>
      <c r="D256" s="447">
        <v>7.0969213983240653</v>
      </c>
      <c r="E256" s="445">
        <v>8.6990307563757323</v>
      </c>
      <c r="F256" s="445">
        <v>9.84604269779941</v>
      </c>
      <c r="G256" s="448">
        <v>9.3166211982225207</v>
      </c>
      <c r="H256" s="445"/>
      <c r="I256" s="449">
        <v>7.7540421067552083</v>
      </c>
      <c r="J256" s="445">
        <v>8.92084479786514</v>
      </c>
      <c r="K256" s="448">
        <v>8.4107133320400358</v>
      </c>
      <c r="L256" s="445"/>
      <c r="M256" s="466">
        <v>8.7037813963892532</v>
      </c>
      <c r="N256" s="469"/>
      <c r="O256" s="450"/>
      <c r="P256" s="1494">
        <v>2046</v>
      </c>
      <c r="Q256" s="1495"/>
      <c r="R256" s="475">
        <v>0.01</v>
      </c>
      <c r="S256" s="441"/>
      <c r="T256" s="449">
        <v>0</v>
      </c>
      <c r="U256" s="445">
        <v>0</v>
      </c>
      <c r="V256" s="445">
        <v>0</v>
      </c>
      <c r="W256" s="448">
        <v>0</v>
      </c>
      <c r="X256" s="445"/>
      <c r="Y256" s="449">
        <v>0</v>
      </c>
      <c r="Z256" s="445">
        <v>0</v>
      </c>
      <c r="AA256" s="448">
        <v>0</v>
      </c>
      <c r="AB256" s="445"/>
      <c r="AC256" s="466">
        <v>0</v>
      </c>
      <c r="AD256" s="450"/>
      <c r="AE256" s="492">
        <f t="shared" si="145"/>
        <v>2046</v>
      </c>
      <c r="AF256" s="493">
        <v>4.68</v>
      </c>
      <c r="AG256" s="494">
        <f t="shared" si="144"/>
        <v>58.02851828890266</v>
      </c>
      <c r="AH256" s="328"/>
      <c r="AI256" s="327"/>
      <c r="AJ256" s="327"/>
      <c r="AK256" s="327"/>
      <c r="AL256" s="327"/>
      <c r="AM256" s="327"/>
      <c r="AN256" s="327"/>
      <c r="AO256" s="327"/>
      <c r="AP256" s="327"/>
      <c r="AQ256" s="327"/>
      <c r="AR256" s="327"/>
      <c r="AS256" s="329"/>
      <c r="BW256" s="201"/>
      <c r="BX256" s="201"/>
      <c r="BY256" s="201"/>
    </row>
    <row r="257" spans="1:79">
      <c r="A257" s="323"/>
      <c r="B257" s="480">
        <v>2047</v>
      </c>
      <c r="C257" s="441"/>
      <c r="D257" s="447">
        <v>7.1409374209279042</v>
      </c>
      <c r="E257" s="445">
        <v>8.738659201283971</v>
      </c>
      <c r="F257" s="445">
        <v>9.8844269290491731</v>
      </c>
      <c r="G257" s="448">
        <v>9.355979605871406</v>
      </c>
      <c r="H257" s="445"/>
      <c r="I257" s="449">
        <v>7.7963538249310327</v>
      </c>
      <c r="J257" s="445">
        <v>8.9604535643527221</v>
      </c>
      <c r="K257" s="448">
        <v>8.4514678491896973</v>
      </c>
      <c r="L257" s="445"/>
      <c r="M257" s="466">
        <v>8.7438459361039893</v>
      </c>
      <c r="N257" s="469"/>
      <c r="O257" s="450"/>
      <c r="P257" s="1494">
        <v>2047</v>
      </c>
      <c r="Q257" s="1495"/>
      <c r="R257" s="475">
        <v>0.01</v>
      </c>
      <c r="S257" s="441"/>
      <c r="T257" s="449">
        <v>0</v>
      </c>
      <c r="U257" s="445">
        <v>0</v>
      </c>
      <c r="V257" s="445">
        <v>0</v>
      </c>
      <c r="W257" s="448">
        <v>0</v>
      </c>
      <c r="X257" s="445"/>
      <c r="Y257" s="449">
        <v>0</v>
      </c>
      <c r="Z257" s="445">
        <v>0</v>
      </c>
      <c r="AA257" s="448">
        <v>0</v>
      </c>
      <c r="AB257" s="445"/>
      <c r="AC257" s="466">
        <v>0</v>
      </c>
      <c r="AD257" s="450"/>
      <c r="AE257" s="492">
        <f t="shared" si="145"/>
        <v>2047</v>
      </c>
      <c r="AF257" s="493">
        <v>4.95</v>
      </c>
      <c r="AG257" s="494">
        <f t="shared" si="144"/>
        <v>61.376317420954749</v>
      </c>
      <c r="AH257" s="328"/>
      <c r="AI257" s="327"/>
      <c r="AJ257" s="327"/>
      <c r="AK257" s="327"/>
      <c r="AL257" s="327"/>
      <c r="AM257" s="327"/>
      <c r="AN257" s="327"/>
      <c r="AO257" s="327"/>
      <c r="AP257" s="327"/>
      <c r="AQ257" s="327"/>
      <c r="AR257" s="327"/>
      <c r="AS257" s="329"/>
      <c r="BW257" s="201"/>
      <c r="BX257" s="201"/>
      <c r="BY257" s="201"/>
    </row>
    <row r="258" spans="1:79">
      <c r="A258" s="323"/>
      <c r="B258" s="480">
        <v>2048</v>
      </c>
      <c r="C258" s="441"/>
      <c r="D258" s="447">
        <v>7.1852264365856495</v>
      </c>
      <c r="E258" s="445">
        <v>8.7784681736199008</v>
      </c>
      <c r="F258" s="445">
        <v>9.9229607990171349</v>
      </c>
      <c r="G258" s="448">
        <v>9.3955042845556473</v>
      </c>
      <c r="H258" s="445"/>
      <c r="I258" s="449">
        <v>7.8388964267505541</v>
      </c>
      <c r="J258" s="445">
        <v>9.000238194720712</v>
      </c>
      <c r="K258" s="448">
        <v>8.492419844318043</v>
      </c>
      <c r="L258" s="445"/>
      <c r="M258" s="466">
        <v>8.7840948976544126</v>
      </c>
      <c r="N258" s="469"/>
      <c r="O258" s="450"/>
      <c r="P258" s="1494">
        <v>2048</v>
      </c>
      <c r="Q258" s="1495"/>
      <c r="R258" s="475">
        <v>0.01</v>
      </c>
      <c r="S258" s="441"/>
      <c r="T258" s="449">
        <v>0</v>
      </c>
      <c r="U258" s="445">
        <v>0</v>
      </c>
      <c r="V258" s="445">
        <v>0</v>
      </c>
      <c r="W258" s="448">
        <v>0</v>
      </c>
      <c r="X258" s="445"/>
      <c r="Y258" s="449">
        <v>0</v>
      </c>
      <c r="Z258" s="445">
        <v>0</v>
      </c>
      <c r="AA258" s="448">
        <v>0</v>
      </c>
      <c r="AB258" s="445"/>
      <c r="AC258" s="466">
        <v>0</v>
      </c>
      <c r="AD258" s="450"/>
      <c r="AE258" s="492">
        <f t="shared" si="145"/>
        <v>2048</v>
      </c>
      <c r="AF258" s="493">
        <v>5.25</v>
      </c>
      <c r="AG258" s="494">
        <f t="shared" si="144"/>
        <v>65.096094234345941</v>
      </c>
      <c r="AH258" s="328"/>
      <c r="AI258" s="327"/>
      <c r="AJ258" s="327"/>
      <c r="AK258" s="327"/>
      <c r="AL258" s="327"/>
      <c r="AM258" s="327"/>
      <c r="AN258" s="327"/>
      <c r="AO258" s="327"/>
      <c r="AP258" s="327"/>
      <c r="AQ258" s="327"/>
      <c r="AR258" s="327"/>
      <c r="AS258" s="329"/>
      <c r="BW258" s="201"/>
      <c r="BX258" s="201"/>
      <c r="BY258" s="201"/>
    </row>
    <row r="259" spans="1:79">
      <c r="A259" s="323"/>
      <c r="B259" s="480">
        <v>2049</v>
      </c>
      <c r="C259" s="441"/>
      <c r="D259" s="447">
        <v>7.2297901384354599</v>
      </c>
      <c r="E259" s="445">
        <v>8.8184584957764311</v>
      </c>
      <c r="F259" s="445">
        <v>9.9616448910612334</v>
      </c>
      <c r="G259" s="448">
        <v>9.4351959366933276</v>
      </c>
      <c r="H259" s="445"/>
      <c r="I259" s="449">
        <v>7.881671172083597</v>
      </c>
      <c r="J259" s="445">
        <v>9.0401994698089876</v>
      </c>
      <c r="K259" s="448">
        <v>8.5335702743141439</v>
      </c>
      <c r="L259" s="445"/>
      <c r="M259" s="466">
        <v>8.8245291299561419</v>
      </c>
      <c r="N259" s="469"/>
      <c r="O259" s="450"/>
      <c r="P259" s="1494">
        <v>2049</v>
      </c>
      <c r="Q259" s="1495"/>
      <c r="R259" s="475">
        <v>0.01</v>
      </c>
      <c r="S259" s="441"/>
      <c r="T259" s="449">
        <v>0</v>
      </c>
      <c r="U259" s="445">
        <v>0</v>
      </c>
      <c r="V259" s="445">
        <v>0</v>
      </c>
      <c r="W259" s="448">
        <v>0</v>
      </c>
      <c r="X259" s="445"/>
      <c r="Y259" s="449">
        <v>0</v>
      </c>
      <c r="Z259" s="445">
        <v>0</v>
      </c>
      <c r="AA259" s="448">
        <v>0</v>
      </c>
      <c r="AB259" s="445"/>
      <c r="AC259" s="466">
        <v>0</v>
      </c>
      <c r="AD259" s="450"/>
      <c r="AE259" s="492">
        <f t="shared" si="145"/>
        <v>2049</v>
      </c>
      <c r="AF259" s="493">
        <v>5.56</v>
      </c>
      <c r="AG259" s="494">
        <f t="shared" si="144"/>
        <v>68.939863608183501</v>
      </c>
      <c r="AH259" s="328"/>
      <c r="AI259" s="327"/>
      <c r="AJ259" s="327"/>
      <c r="AK259" s="327"/>
      <c r="AL259" s="327"/>
      <c r="AM259" s="327"/>
      <c r="AN259" s="327"/>
      <c r="AO259" s="327"/>
      <c r="AP259" s="327"/>
      <c r="AQ259" s="327"/>
      <c r="AR259" s="327"/>
      <c r="AS259" s="329"/>
      <c r="BW259" s="201"/>
      <c r="BX259" s="201"/>
      <c r="BY259" s="201"/>
    </row>
    <row r="260" spans="1:79" ht="13.5" thickBot="1">
      <c r="A260" s="323"/>
      <c r="B260" s="481">
        <v>2050</v>
      </c>
      <c r="C260" s="482"/>
      <c r="D260" s="483">
        <v>7.2746302301165562</v>
      </c>
      <c r="E260" s="484">
        <v>8.8586309938928842</v>
      </c>
      <c r="F260" s="484">
        <v>10.000479790813595</v>
      </c>
      <c r="G260" s="485">
        <v>9.4750552676699193</v>
      </c>
      <c r="H260" s="484"/>
      <c r="I260" s="486">
        <v>7.9246793276747551</v>
      </c>
      <c r="J260" s="484">
        <v>9.0803381739243765</v>
      </c>
      <c r="K260" s="485">
        <v>8.5749201007037232</v>
      </c>
      <c r="L260" s="484"/>
      <c r="M260" s="487">
        <v>8.8651494858324558</v>
      </c>
      <c r="N260" s="488"/>
      <c r="O260" s="489"/>
      <c r="P260" s="1496">
        <v>2050</v>
      </c>
      <c r="Q260" s="1497"/>
      <c r="R260" s="490">
        <v>0.01</v>
      </c>
      <c r="S260" s="482"/>
      <c r="T260" s="486">
        <v>0</v>
      </c>
      <c r="U260" s="484">
        <v>0</v>
      </c>
      <c r="V260" s="484">
        <v>0</v>
      </c>
      <c r="W260" s="485">
        <v>0</v>
      </c>
      <c r="X260" s="484"/>
      <c r="Y260" s="486">
        <v>0</v>
      </c>
      <c r="Z260" s="484">
        <v>0</v>
      </c>
      <c r="AA260" s="485">
        <v>0</v>
      </c>
      <c r="AB260" s="484"/>
      <c r="AC260" s="487">
        <v>0</v>
      </c>
      <c r="AD260" s="489"/>
      <c r="AE260" s="495">
        <f t="shared" si="145"/>
        <v>2050</v>
      </c>
      <c r="AF260" s="496">
        <v>5.9</v>
      </c>
      <c r="AG260" s="497">
        <f t="shared" si="144"/>
        <v>73.155610663360207</v>
      </c>
      <c r="AH260" s="328"/>
      <c r="AI260" s="327"/>
      <c r="AJ260" s="327"/>
      <c r="AK260" s="327"/>
      <c r="AL260" s="327"/>
      <c r="AM260" s="327"/>
      <c r="AN260" s="327"/>
      <c r="AO260" s="327"/>
      <c r="AP260" s="327"/>
      <c r="AQ260" s="327"/>
      <c r="AR260" s="327"/>
      <c r="AS260" s="329"/>
      <c r="BW260" s="201"/>
      <c r="BX260" s="201"/>
      <c r="BY260" s="201"/>
    </row>
    <row r="261" spans="1:79" ht="13.5" thickTop="1">
      <c r="A261" s="323"/>
      <c r="B261" s="323"/>
      <c r="AE261" s="1488"/>
      <c r="AF261" s="1488"/>
      <c r="AG261" s="327"/>
      <c r="AH261" s="328"/>
      <c r="AI261" s="327"/>
      <c r="AJ261" s="327"/>
      <c r="AK261" s="327"/>
      <c r="AL261" s="327"/>
      <c r="AM261" s="327"/>
      <c r="AN261" s="327"/>
      <c r="AO261" s="327"/>
      <c r="AP261" s="327"/>
      <c r="AQ261" s="327"/>
      <c r="AR261" s="327"/>
      <c r="AS261" s="329"/>
      <c r="BW261" s="201"/>
      <c r="BX261" s="201"/>
      <c r="BY261" s="201"/>
    </row>
    <row r="262" spans="1:79" ht="13.5" thickBot="1">
      <c r="A262" s="323"/>
      <c r="B262" s="323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  <c r="AA262" s="331"/>
      <c r="AB262" s="331"/>
      <c r="AC262" s="331"/>
      <c r="AD262" s="331"/>
      <c r="AG262" s="1488"/>
      <c r="AH262" s="1488"/>
      <c r="AI262" s="327"/>
      <c r="AJ262" s="328"/>
      <c r="AK262" s="327"/>
      <c r="AL262" s="327"/>
      <c r="AM262" s="327"/>
      <c r="AN262" s="327"/>
      <c r="AO262" s="327"/>
      <c r="AP262" s="327"/>
      <c r="AQ262" s="327"/>
      <c r="AR262" s="327"/>
      <c r="AS262" s="327"/>
      <c r="AT262" s="327"/>
      <c r="AU262" s="329"/>
      <c r="BY262" s="201"/>
      <c r="BZ262" s="201"/>
      <c r="CA262" s="201"/>
    </row>
    <row r="263" spans="1:79" ht="35.25" thickTop="1" thickBot="1">
      <c r="A263" s="323"/>
      <c r="B263" s="708" t="s">
        <v>640</v>
      </c>
      <c r="C263" s="709"/>
      <c r="D263" s="709"/>
      <c r="E263" s="709"/>
      <c r="F263" s="709"/>
      <c r="G263" s="709"/>
      <c r="H263" s="709"/>
      <c r="I263" s="709"/>
      <c r="J263" s="709"/>
      <c r="K263" s="709"/>
      <c r="L263" s="709"/>
      <c r="M263" s="709"/>
      <c r="N263" s="709"/>
      <c r="O263" s="709"/>
      <c r="P263" s="709"/>
      <c r="Q263" s="709"/>
      <c r="R263" s="709"/>
      <c r="S263" s="709"/>
      <c r="T263" s="709"/>
      <c r="U263" s="709"/>
      <c r="V263" s="709"/>
      <c r="W263" s="710"/>
      <c r="X263" s="331"/>
      <c r="Y263" s="331"/>
      <c r="Z263" s="331"/>
      <c r="AA263" s="331"/>
      <c r="AB263" s="331"/>
      <c r="AC263" s="331"/>
      <c r="AD263" s="331"/>
      <c r="AG263" s="328"/>
      <c r="AH263" s="328"/>
      <c r="AI263" s="327"/>
      <c r="AJ263" s="328"/>
      <c r="AK263" s="327"/>
      <c r="AL263" s="327"/>
      <c r="AM263" s="327"/>
      <c r="AN263" s="327"/>
      <c r="AO263" s="327"/>
      <c r="AP263" s="327"/>
      <c r="AQ263" s="327"/>
      <c r="AR263" s="327"/>
      <c r="AS263" s="327"/>
      <c r="AT263" s="327"/>
      <c r="AU263" s="329"/>
      <c r="BY263" s="201"/>
      <c r="BZ263" s="201"/>
      <c r="CA263" s="201"/>
    </row>
    <row r="264" spans="1:79" ht="24" thickTop="1">
      <c r="A264" s="323"/>
      <c r="B264" s="711" t="s">
        <v>641</v>
      </c>
      <c r="C264" s="450"/>
      <c r="D264" s="450"/>
      <c r="E264" s="450"/>
      <c r="F264" s="450"/>
      <c r="G264" s="450"/>
      <c r="H264" s="450"/>
      <c r="I264" s="450"/>
      <c r="J264" s="450"/>
      <c r="K264" s="450"/>
      <c r="L264" s="450"/>
      <c r="M264" s="450"/>
      <c r="N264" s="468"/>
      <c r="O264" s="325"/>
      <c r="P264" s="701" t="s">
        <v>641</v>
      </c>
      <c r="Q264" s="438"/>
      <c r="R264" s="438"/>
      <c r="S264" s="438"/>
      <c r="T264" s="438"/>
      <c r="U264" s="438"/>
      <c r="V264" s="438"/>
      <c r="W264" s="525"/>
      <c r="X264" s="331"/>
      <c r="Y264" s="331"/>
      <c r="Z264" s="331"/>
      <c r="AA264" s="331"/>
      <c r="AB264" s="331"/>
      <c r="AC264" s="331"/>
      <c r="AD264" s="331"/>
      <c r="AG264" s="1488"/>
      <c r="AH264" s="1488"/>
      <c r="AI264" s="327"/>
      <c r="AJ264" s="328"/>
      <c r="AK264" s="327"/>
      <c r="AL264" s="327"/>
      <c r="AM264" s="327"/>
      <c r="AN264" s="327"/>
      <c r="AO264" s="327"/>
      <c r="AP264" s="327"/>
      <c r="AQ264" s="327"/>
      <c r="AR264" s="327"/>
      <c r="AS264" s="327"/>
      <c r="AT264" s="327"/>
      <c r="AU264" s="329"/>
      <c r="BY264" s="201"/>
      <c r="BZ264" s="201"/>
      <c r="CA264" s="201"/>
    </row>
    <row r="265" spans="1:79" s="322" customFormat="1">
      <c r="A265" s="328"/>
      <c r="B265" s="524">
        <v>1</v>
      </c>
      <c r="C265" s="519">
        <f>B265+1</f>
        <v>2</v>
      </c>
      <c r="D265" s="519">
        <f t="shared" ref="D265:L265" si="146">C265+1</f>
        <v>3</v>
      </c>
      <c r="E265" s="519">
        <f t="shared" si="146"/>
        <v>4</v>
      </c>
      <c r="F265" s="519">
        <f t="shared" si="146"/>
        <v>5</v>
      </c>
      <c r="G265" s="519">
        <f t="shared" si="146"/>
        <v>6</v>
      </c>
      <c r="H265" s="519">
        <f t="shared" si="146"/>
        <v>7</v>
      </c>
      <c r="I265" s="519">
        <f t="shared" si="146"/>
        <v>8</v>
      </c>
      <c r="J265" s="519">
        <f t="shared" si="146"/>
        <v>9</v>
      </c>
      <c r="K265" s="519">
        <f t="shared" si="146"/>
        <v>10</v>
      </c>
      <c r="L265" s="519">
        <f t="shared" si="146"/>
        <v>11</v>
      </c>
      <c r="M265" s="519">
        <f>L265+1</f>
        <v>12</v>
      </c>
      <c r="N265" s="520">
        <f t="shared" ref="N265:W265" si="147">M265+1</f>
        <v>13</v>
      </c>
      <c r="O265" s="330">
        <f t="shared" si="147"/>
        <v>14</v>
      </c>
      <c r="P265" s="458">
        <f t="shared" si="147"/>
        <v>15</v>
      </c>
      <c r="Q265" s="438">
        <f t="shared" si="147"/>
        <v>16</v>
      </c>
      <c r="R265" s="438">
        <f t="shared" si="147"/>
        <v>17</v>
      </c>
      <c r="S265" s="438">
        <f t="shared" si="147"/>
        <v>18</v>
      </c>
      <c r="T265" s="438">
        <f t="shared" si="147"/>
        <v>19</v>
      </c>
      <c r="U265" s="519">
        <f t="shared" si="147"/>
        <v>20</v>
      </c>
      <c r="V265" s="438">
        <f t="shared" si="147"/>
        <v>21</v>
      </c>
      <c r="W265" s="525">
        <f t="shared" si="147"/>
        <v>22</v>
      </c>
      <c r="X265" s="324"/>
      <c r="Y265" s="324"/>
      <c r="Z265" s="324"/>
      <c r="AA265" s="324"/>
      <c r="AB265" s="324"/>
      <c r="AC265" s="324"/>
      <c r="AF265" s="1488"/>
      <c r="AG265" s="1488"/>
      <c r="AH265" s="327"/>
      <c r="AI265" s="328"/>
      <c r="AJ265" s="327"/>
      <c r="AK265" s="327"/>
      <c r="AL265" s="327"/>
      <c r="AM265" s="327"/>
      <c r="AN265" s="327"/>
      <c r="AO265" s="327"/>
      <c r="AP265" s="327"/>
      <c r="AQ265" s="327"/>
      <c r="AR265" s="327"/>
      <c r="AS265" s="327"/>
      <c r="AT265" s="327"/>
      <c r="BX265" s="330"/>
      <c r="BY265" s="330"/>
      <c r="BZ265" s="330"/>
    </row>
    <row r="266" spans="1:79" ht="18">
      <c r="A266" s="323"/>
      <c r="B266" s="712" t="s">
        <v>642</v>
      </c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60"/>
      <c r="O266" s="325"/>
      <c r="P266" s="703" t="s">
        <v>643</v>
      </c>
      <c r="Q266" s="450"/>
      <c r="R266" s="450"/>
      <c r="S266" s="450"/>
      <c r="T266" s="450"/>
      <c r="U266" s="450"/>
      <c r="V266" s="450"/>
      <c r="W266" s="527"/>
      <c r="AE266" s="324"/>
      <c r="AF266" s="328"/>
      <c r="AG266" s="328"/>
      <c r="AH266" s="327"/>
      <c r="AI266" s="328"/>
      <c r="AJ266" s="327"/>
      <c r="AK266" s="327"/>
      <c r="AL266" s="327"/>
      <c r="AM266" s="327"/>
      <c r="AN266" s="327"/>
      <c r="AO266" s="327"/>
      <c r="AP266" s="327"/>
      <c r="AQ266" s="327"/>
      <c r="AR266" s="327"/>
      <c r="AS266" s="327"/>
      <c r="AT266" s="329"/>
      <c r="AU266" s="324"/>
      <c r="BX266" s="201"/>
      <c r="BY266" s="201"/>
      <c r="BZ266" s="201"/>
    </row>
    <row r="267" spans="1:79">
      <c r="A267" s="323"/>
      <c r="B267" s="526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60"/>
      <c r="O267" s="325"/>
      <c r="P267" s="467"/>
      <c r="Q267" s="450"/>
      <c r="R267" s="450"/>
      <c r="S267" s="450"/>
      <c r="T267" s="450"/>
      <c r="U267" s="450"/>
      <c r="V267" s="450"/>
      <c r="W267" s="527"/>
      <c r="AE267" s="324"/>
      <c r="AF267" s="328"/>
      <c r="AG267" s="328"/>
      <c r="AH267" s="327"/>
      <c r="AI267" s="328"/>
      <c r="AJ267" s="327"/>
      <c r="AK267" s="327"/>
      <c r="AL267" s="327"/>
      <c r="AM267" s="327"/>
      <c r="AN267" s="327"/>
      <c r="AO267" s="327"/>
      <c r="AP267" s="327"/>
      <c r="AQ267" s="327"/>
      <c r="AR267" s="327"/>
      <c r="AS267" s="327"/>
      <c r="AT267" s="329"/>
      <c r="AU267" s="324"/>
      <c r="BX267" s="201"/>
      <c r="BY267" s="201"/>
      <c r="BZ267" s="201"/>
    </row>
    <row r="268" spans="1:79" ht="12.75" customHeight="1">
      <c r="A268" s="323"/>
      <c r="B268" s="1470" t="s">
        <v>76</v>
      </c>
      <c r="C268" s="1474" t="s">
        <v>109</v>
      </c>
      <c r="D268" s="1475"/>
      <c r="E268" s="1475"/>
      <c r="F268" s="1475"/>
      <c r="G268" s="1475"/>
      <c r="H268" s="1475"/>
      <c r="I268" s="1476"/>
      <c r="J268" s="1474" t="s">
        <v>110</v>
      </c>
      <c r="K268" s="1475"/>
      <c r="L268" s="1475"/>
      <c r="M268" s="1475"/>
      <c r="N268" s="1480"/>
      <c r="O268" s="325"/>
      <c r="P268" s="467"/>
      <c r="Q268" s="450"/>
      <c r="R268" s="450"/>
      <c r="S268" s="450"/>
      <c r="T268" s="450"/>
      <c r="U268" s="450"/>
      <c r="V268" s="450"/>
      <c r="W268" s="527"/>
      <c r="AE268" s="324"/>
      <c r="AF268" s="328"/>
      <c r="AG268" s="328"/>
      <c r="AH268" s="327"/>
      <c r="AI268" s="328"/>
      <c r="AJ268" s="327"/>
      <c r="AK268" s="327"/>
      <c r="AL268" s="327"/>
      <c r="AM268" s="327"/>
      <c r="AN268" s="327"/>
      <c r="AO268" s="327"/>
      <c r="AP268" s="327"/>
      <c r="AQ268" s="327"/>
      <c r="AR268" s="327"/>
      <c r="AS268" s="327"/>
      <c r="AT268" s="329"/>
      <c r="AU268" s="324"/>
      <c r="BX268" s="201"/>
      <c r="BY268" s="201"/>
      <c r="BZ268" s="201"/>
    </row>
    <row r="269" spans="1:79" ht="12.75" customHeight="1">
      <c r="A269" s="323"/>
      <c r="B269" s="1471"/>
      <c r="C269" s="1477"/>
      <c r="D269" s="1478"/>
      <c r="E269" s="1478"/>
      <c r="F269" s="1478"/>
      <c r="G269" s="1478"/>
      <c r="H269" s="1478"/>
      <c r="I269" s="1479"/>
      <c r="J269" s="1477"/>
      <c r="K269" s="1478"/>
      <c r="L269" s="1478"/>
      <c r="M269" s="1478"/>
      <c r="N269" s="1481"/>
      <c r="O269" s="325"/>
      <c r="P269" s="467"/>
      <c r="Q269" s="450"/>
      <c r="R269" s="450"/>
      <c r="S269" s="450"/>
      <c r="T269" s="450"/>
      <c r="U269" s="450"/>
      <c r="V269" s="450"/>
      <c r="W269" s="527"/>
      <c r="AE269" s="324"/>
      <c r="AF269" s="328"/>
      <c r="AG269" s="328"/>
      <c r="AH269" s="327"/>
      <c r="AI269" s="328"/>
      <c r="AJ269" s="327"/>
      <c r="AK269" s="327"/>
      <c r="AL269" s="327"/>
      <c r="AM269" s="327"/>
      <c r="AN269" s="327"/>
      <c r="AO269" s="327"/>
      <c r="AP269" s="327"/>
      <c r="AQ269" s="327"/>
      <c r="AR269" s="327"/>
      <c r="AS269" s="327"/>
      <c r="AT269" s="329"/>
      <c r="AU269" s="324"/>
      <c r="BX269" s="201"/>
      <c r="BY269" s="201"/>
      <c r="BZ269" s="201"/>
    </row>
    <row r="270" spans="1:79" ht="13.5" customHeight="1" thickBot="1">
      <c r="A270" s="323"/>
      <c r="B270" s="1471"/>
      <c r="C270" s="1477"/>
      <c r="D270" s="1478"/>
      <c r="E270" s="1478"/>
      <c r="F270" s="1478"/>
      <c r="G270" s="1478"/>
      <c r="H270" s="1478"/>
      <c r="I270" s="1479"/>
      <c r="J270" s="1482"/>
      <c r="K270" s="1483"/>
      <c r="L270" s="1483"/>
      <c r="M270" s="1483"/>
      <c r="N270" s="1484"/>
      <c r="O270" s="325"/>
      <c r="P270" s="467"/>
      <c r="Q270" s="450"/>
      <c r="R270" s="450"/>
      <c r="S270" s="450"/>
      <c r="T270" s="450"/>
      <c r="U270" s="450"/>
      <c r="V270" s="450"/>
      <c r="W270" s="527"/>
      <c r="AE270" s="324"/>
      <c r="AF270" s="328"/>
      <c r="AG270" s="328"/>
      <c r="AH270" s="327"/>
      <c r="AI270" s="328"/>
      <c r="AJ270" s="327"/>
      <c r="AK270" s="327"/>
      <c r="AL270" s="327"/>
      <c r="AM270" s="327"/>
      <c r="AN270" s="327"/>
      <c r="AO270" s="327"/>
      <c r="AP270" s="327"/>
      <c r="AQ270" s="327"/>
      <c r="AR270" s="327"/>
      <c r="AS270" s="327"/>
      <c r="AT270" s="329"/>
      <c r="AU270" s="324"/>
      <c r="BX270" s="201"/>
      <c r="BY270" s="201"/>
      <c r="BZ270" s="201"/>
    </row>
    <row r="271" spans="1:79" ht="20.25" customHeight="1">
      <c r="A271" s="323"/>
      <c r="B271" s="1472"/>
      <c r="C271" s="501" t="s">
        <v>60</v>
      </c>
      <c r="D271" s="1485" t="s">
        <v>68</v>
      </c>
      <c r="E271" s="1485"/>
      <c r="F271" s="1486"/>
      <c r="G271" s="1487" t="s">
        <v>69</v>
      </c>
      <c r="H271" s="1485"/>
      <c r="I271" s="1486"/>
      <c r="J271" s="1487" t="s">
        <v>60</v>
      </c>
      <c r="K271" s="1485"/>
      <c r="L271" s="1485"/>
      <c r="M271" s="1486"/>
      <c r="N271" s="521" t="s">
        <v>69</v>
      </c>
      <c r="O271" s="325"/>
      <c r="P271" s="467"/>
      <c r="Q271" s="450"/>
      <c r="R271" s="450"/>
      <c r="S271" s="450"/>
      <c r="T271" s="450"/>
      <c r="U271" s="450"/>
      <c r="V271" s="450"/>
      <c r="W271" s="527"/>
      <c r="AE271" s="324"/>
      <c r="AF271" s="328"/>
      <c r="AG271" s="328"/>
      <c r="AH271" s="327"/>
      <c r="AI271" s="328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9"/>
      <c r="AU271" s="324"/>
      <c r="BX271" s="201"/>
      <c r="BY271" s="201"/>
      <c r="BZ271" s="201"/>
    </row>
    <row r="272" spans="1:79" ht="22.5" customHeight="1" thickBot="1">
      <c r="A272" s="323"/>
      <c r="B272" s="1472"/>
      <c r="C272" s="502" t="s">
        <v>111</v>
      </c>
      <c r="D272" s="503" t="s">
        <v>111</v>
      </c>
      <c r="E272" s="503" t="s">
        <v>112</v>
      </c>
      <c r="F272" s="504" t="s">
        <v>113</v>
      </c>
      <c r="G272" s="505" t="s">
        <v>111</v>
      </c>
      <c r="H272" s="503" t="s">
        <v>112</v>
      </c>
      <c r="I272" s="504" t="s">
        <v>113</v>
      </c>
      <c r="J272" s="505" t="s">
        <v>114</v>
      </c>
      <c r="K272" s="503" t="s">
        <v>408</v>
      </c>
      <c r="L272" s="503" t="s">
        <v>65</v>
      </c>
      <c r="M272" s="504" t="s">
        <v>30</v>
      </c>
      <c r="N272" s="522" t="s">
        <v>65</v>
      </c>
      <c r="O272" s="325"/>
      <c r="P272" s="467"/>
      <c r="Q272" s="450"/>
      <c r="R272" s="450"/>
      <c r="S272" s="450"/>
      <c r="T272" s="450"/>
      <c r="U272" s="450"/>
      <c r="V272" s="450"/>
      <c r="W272" s="527"/>
      <c r="AE272" s="324"/>
      <c r="AF272" s="328"/>
      <c r="AG272" s="328"/>
      <c r="AH272" s="327"/>
      <c r="AI272" s="328"/>
      <c r="AJ272" s="327"/>
      <c r="AK272" s="327"/>
      <c r="AL272" s="327"/>
      <c r="AM272" s="327"/>
      <c r="AN272" s="327"/>
      <c r="AO272" s="327"/>
      <c r="AP272" s="327"/>
      <c r="AQ272" s="327"/>
      <c r="AR272" s="327"/>
      <c r="AS272" s="327"/>
      <c r="AT272" s="329"/>
      <c r="AU272" s="324"/>
      <c r="BX272" s="201"/>
      <c r="BY272" s="201"/>
      <c r="BZ272" s="201"/>
    </row>
    <row r="273" spans="1:78" ht="15.75" thickBot="1">
      <c r="A273" s="323"/>
      <c r="B273" s="1472"/>
      <c r="C273" s="502" t="s">
        <v>77</v>
      </c>
      <c r="D273" s="503" t="s">
        <v>77</v>
      </c>
      <c r="E273" s="503" t="s">
        <v>77</v>
      </c>
      <c r="F273" s="504" t="s">
        <v>77</v>
      </c>
      <c r="G273" s="505" t="s">
        <v>77</v>
      </c>
      <c r="H273" s="503" t="s">
        <v>77</v>
      </c>
      <c r="I273" s="504" t="s">
        <v>77</v>
      </c>
      <c r="J273" s="505" t="s">
        <v>77</v>
      </c>
      <c r="K273" s="503" t="s">
        <v>77</v>
      </c>
      <c r="L273" s="503" t="s">
        <v>77</v>
      </c>
      <c r="M273" s="504" t="s">
        <v>77</v>
      </c>
      <c r="N273" s="522" t="s">
        <v>77</v>
      </c>
      <c r="O273" s="325"/>
      <c r="P273" s="1489" t="s">
        <v>76</v>
      </c>
      <c r="Q273" s="1491" t="s">
        <v>521</v>
      </c>
      <c r="R273" s="1492"/>
      <c r="S273" s="1492"/>
      <c r="T273" s="1492"/>
      <c r="U273" s="1492"/>
      <c r="V273" s="1492"/>
      <c r="W273" s="1493"/>
      <c r="AE273" s="324"/>
      <c r="AF273" s="328"/>
      <c r="AG273" s="328"/>
      <c r="AH273" s="327"/>
      <c r="AI273" s="328"/>
      <c r="AJ273" s="327"/>
      <c r="AK273" s="327"/>
      <c r="AL273" s="327"/>
      <c r="AM273" s="327"/>
      <c r="AN273" s="327"/>
      <c r="AO273" s="327"/>
      <c r="AP273" s="327"/>
      <c r="AQ273" s="327"/>
      <c r="AR273" s="327"/>
      <c r="AS273" s="327"/>
      <c r="AT273" s="329"/>
      <c r="AU273" s="324"/>
      <c r="BX273" s="201"/>
      <c r="BY273" s="201"/>
      <c r="BZ273" s="201"/>
    </row>
    <row r="274" spans="1:78" ht="15.75" thickBot="1">
      <c r="A274" s="323"/>
      <c r="B274" s="1473"/>
      <c r="C274" s="502" t="s">
        <v>520</v>
      </c>
      <c r="D274" s="506" t="s">
        <v>520</v>
      </c>
      <c r="E274" s="506" t="s">
        <v>520</v>
      </c>
      <c r="F274" s="504" t="s">
        <v>520</v>
      </c>
      <c r="G274" s="507" t="s">
        <v>520</v>
      </c>
      <c r="H274" s="506" t="s">
        <v>520</v>
      </c>
      <c r="I274" s="508" t="s">
        <v>520</v>
      </c>
      <c r="J274" s="505" t="s">
        <v>520</v>
      </c>
      <c r="K274" s="506" t="s">
        <v>520</v>
      </c>
      <c r="L274" s="503" t="s">
        <v>520</v>
      </c>
      <c r="M274" s="508" t="s">
        <v>520</v>
      </c>
      <c r="N274" s="523" t="s">
        <v>520</v>
      </c>
      <c r="O274" s="325"/>
      <c r="P274" s="1490"/>
      <c r="Q274" s="713" t="s">
        <v>522</v>
      </c>
      <c r="R274" s="714" t="s">
        <v>523</v>
      </c>
      <c r="S274" s="714" t="s">
        <v>524</v>
      </c>
      <c r="T274" s="714" t="s">
        <v>525</v>
      </c>
      <c r="U274" s="714" t="s">
        <v>261</v>
      </c>
      <c r="V274" s="714" t="s">
        <v>526</v>
      </c>
      <c r="W274" s="715" t="s">
        <v>527</v>
      </c>
      <c r="AE274" s="324"/>
      <c r="AF274" s="328"/>
      <c r="AG274" s="328"/>
      <c r="AH274" s="327"/>
      <c r="AI274" s="328"/>
      <c r="AJ274" s="327"/>
      <c r="AK274" s="327"/>
      <c r="AL274" s="327"/>
      <c r="AM274" s="327"/>
      <c r="AN274" s="327"/>
      <c r="AO274" s="327"/>
      <c r="AP274" s="327"/>
      <c r="AQ274" s="327"/>
      <c r="AR274" s="327"/>
      <c r="AS274" s="327"/>
      <c r="AT274" s="329"/>
      <c r="AU274" s="324"/>
      <c r="BX274" s="201"/>
      <c r="BY274" s="201"/>
      <c r="BZ274" s="201"/>
    </row>
    <row r="275" spans="1:78">
      <c r="A275" s="323"/>
      <c r="B275" s="528">
        <v>2018</v>
      </c>
      <c r="C275" s="512">
        <v>17.302398515425292</v>
      </c>
      <c r="D275" s="513">
        <v>14.159084390031158</v>
      </c>
      <c r="E275" s="513">
        <v>10.689034610589507</v>
      </c>
      <c r="F275" s="514">
        <v>14.044370891803053</v>
      </c>
      <c r="G275" s="515">
        <v>14.436560991696393</v>
      </c>
      <c r="H275" s="513">
        <v>10.925766699499176</v>
      </c>
      <c r="I275" s="514">
        <v>14.157109785843526</v>
      </c>
      <c r="J275" s="515">
        <v>10.462727272727273</v>
      </c>
      <c r="K275" s="513">
        <v>16.861875000000001</v>
      </c>
      <c r="L275" s="513">
        <v>15.515002803459362</v>
      </c>
      <c r="M275" s="514">
        <v>26.981523059531973</v>
      </c>
      <c r="N275" s="516">
        <v>14.630957571097738</v>
      </c>
      <c r="O275" s="325"/>
      <c r="P275" s="716">
        <v>2018</v>
      </c>
      <c r="Q275" s="717">
        <v>8.9424002470350164E-2</v>
      </c>
      <c r="R275" s="718">
        <v>2.0127262558365562E-2</v>
      </c>
      <c r="S275" s="718">
        <v>3.2922677229796748E-2</v>
      </c>
      <c r="T275" s="718">
        <v>1.307473853939852E-2</v>
      </c>
      <c r="U275" s="719">
        <v>9.5055553767928527E-3</v>
      </c>
      <c r="V275" s="718">
        <v>7.6027624380674242E-3</v>
      </c>
      <c r="W275" s="720">
        <v>5.3751007714002274E-3</v>
      </c>
      <c r="AE275" s="324"/>
      <c r="AF275" s="328"/>
      <c r="AG275" s="328"/>
      <c r="AH275" s="327"/>
      <c r="AI275" s="328"/>
      <c r="AJ275" s="327"/>
      <c r="AK275" s="327"/>
      <c r="AL275" s="327"/>
      <c r="AM275" s="327"/>
      <c r="AN275" s="327"/>
      <c r="AO275" s="327"/>
      <c r="AP275" s="327"/>
      <c r="AQ275" s="327"/>
      <c r="AR275" s="327"/>
      <c r="AS275" s="327"/>
      <c r="AT275" s="329"/>
      <c r="AU275" s="324"/>
      <c r="BX275" s="201"/>
      <c r="BY275" s="201"/>
      <c r="BZ275" s="201"/>
    </row>
    <row r="276" spans="1:78">
      <c r="A276" s="323"/>
      <c r="B276" s="528">
        <v>2019</v>
      </c>
      <c r="C276" s="517">
        <v>16.259227445047383</v>
      </c>
      <c r="D276" s="509">
        <v>13.355723712610157</v>
      </c>
      <c r="E276" s="509">
        <v>10.631082050650591</v>
      </c>
      <c r="F276" s="510">
        <v>13.265652043231478</v>
      </c>
      <c r="G276" s="511">
        <v>13.658694579319283</v>
      </c>
      <c r="H276" s="509">
        <v>10.969749481988208</v>
      </c>
      <c r="I276" s="510">
        <v>13.444660692004559</v>
      </c>
      <c r="J276" s="511">
        <v>9.8319237226626548</v>
      </c>
      <c r="K276" s="509">
        <v>15.845263333319975</v>
      </c>
      <c r="L276" s="509">
        <v>14.579594798206678</v>
      </c>
      <c r="M276" s="510">
        <v>24.121274315837709</v>
      </c>
      <c r="N276" s="518">
        <v>13.842616741033183</v>
      </c>
      <c r="O276" s="325"/>
      <c r="P276" s="721">
        <v>2019</v>
      </c>
      <c r="Q276" s="722">
        <v>9.8772157227229457E-2</v>
      </c>
      <c r="R276" s="723">
        <v>2.2231314714724015E-2</v>
      </c>
      <c r="S276" s="723">
        <v>3.6364329059874141E-2</v>
      </c>
      <c r="T276" s="723">
        <v>1.4441538010408071E-2</v>
      </c>
      <c r="U276" s="724">
        <v>1.0499241638395921E-2</v>
      </c>
      <c r="V276" s="723">
        <v>8.3975356296879643E-3</v>
      </c>
      <c r="W276" s="725">
        <v>5.936999953463017E-3</v>
      </c>
      <c r="AE276" s="324"/>
      <c r="AF276" s="328"/>
      <c r="AG276" s="328"/>
      <c r="AH276" s="327"/>
      <c r="AI276" s="328"/>
      <c r="AJ276" s="327"/>
      <c r="AK276" s="327"/>
      <c r="AL276" s="327"/>
      <c r="AM276" s="327"/>
      <c r="AN276" s="327"/>
      <c r="AO276" s="327"/>
      <c r="AP276" s="327"/>
      <c r="AQ276" s="327"/>
      <c r="AR276" s="327"/>
      <c r="AS276" s="327"/>
      <c r="AT276" s="329"/>
      <c r="AU276" s="324"/>
      <c r="BX276" s="201"/>
      <c r="BY276" s="201"/>
      <c r="BZ276" s="201"/>
    </row>
    <row r="277" spans="1:78">
      <c r="A277" s="323"/>
      <c r="B277" s="528">
        <v>2020</v>
      </c>
      <c r="C277" s="517">
        <v>17.711095700769306</v>
      </c>
      <c r="D277" s="509">
        <v>14.589701381720829</v>
      </c>
      <c r="E277" s="509">
        <v>12.089749587627521</v>
      </c>
      <c r="F277" s="510">
        <v>14.507057548366884</v>
      </c>
      <c r="G277" s="511">
        <v>14.950099869744363</v>
      </c>
      <c r="H277" s="509">
        <v>12.565549463420405</v>
      </c>
      <c r="I277" s="510">
        <v>14.760295104496461</v>
      </c>
      <c r="J277" s="511">
        <v>10.709865678629409</v>
      </c>
      <c r="K277" s="509">
        <v>17.260166649910783</v>
      </c>
      <c r="L277" s="509">
        <v>15.881480200840153</v>
      </c>
      <c r="M277" s="510">
        <v>25.620682817398883</v>
      </c>
      <c r="N277" s="518">
        <v>15.151411544876579</v>
      </c>
      <c r="O277" s="325"/>
      <c r="P277" s="721">
        <v>2020</v>
      </c>
      <c r="Q277" s="722">
        <v>0.10475998263543231</v>
      </c>
      <c r="R277" s="723">
        <v>2.3579034910814659E-2</v>
      </c>
      <c r="S277" s="723">
        <v>3.8568829392858009E-2</v>
      </c>
      <c r="T277" s="723">
        <v>1.5317021655392282E-2</v>
      </c>
      <c r="U277" s="724">
        <v>1.1135733010196361E-2</v>
      </c>
      <c r="V277" s="723">
        <v>8.9066161096663047E-3</v>
      </c>
      <c r="W277" s="725">
        <v>6.296916352656984E-3</v>
      </c>
      <c r="AE277" s="324"/>
      <c r="AF277" s="328"/>
      <c r="AG277" s="328"/>
      <c r="AH277" s="327"/>
      <c r="AI277" s="328"/>
      <c r="AJ277" s="327"/>
      <c r="AK277" s="327"/>
      <c r="AL277" s="327"/>
      <c r="AM277" s="327"/>
      <c r="AN277" s="327"/>
      <c r="AO277" s="327"/>
      <c r="AP277" s="327"/>
      <c r="AQ277" s="327"/>
      <c r="AR277" s="327"/>
      <c r="AS277" s="327"/>
      <c r="AT277" s="329"/>
      <c r="AU277" s="324"/>
      <c r="BX277" s="201"/>
      <c r="BY277" s="201"/>
      <c r="BZ277" s="201"/>
    </row>
    <row r="278" spans="1:78">
      <c r="A278" s="323"/>
      <c r="B278" s="528">
        <v>2021</v>
      </c>
      <c r="C278" s="517">
        <v>19.374895772898348</v>
      </c>
      <c r="D278" s="509">
        <v>15.960102465511172</v>
      </c>
      <c r="E278" s="509">
        <v>13.615140618282599</v>
      </c>
      <c r="F278" s="510">
        <v>15.882582316290051</v>
      </c>
      <c r="G278" s="511">
        <v>16.374228218856064</v>
      </c>
      <c r="H278" s="509">
        <v>14.239731890044871</v>
      </c>
      <c r="I278" s="510">
        <v>16.204327186972623</v>
      </c>
      <c r="J278" s="511">
        <v>11.715962398428736</v>
      </c>
      <c r="K278" s="509">
        <v>18.881605944365809</v>
      </c>
      <c r="L278" s="509">
        <v>17.373404153491261</v>
      </c>
      <c r="M278" s="510">
        <v>27.571923069740158</v>
      </c>
      <c r="N278" s="518">
        <v>16.594716599566222</v>
      </c>
      <c r="O278" s="325"/>
      <c r="P278" s="721">
        <v>2021</v>
      </c>
      <c r="Q278" s="722">
        <v>0.10777279537230476</v>
      </c>
      <c r="R278" s="723">
        <v>2.4257148966538414E-2</v>
      </c>
      <c r="S278" s="723">
        <v>3.9678037866531068E-2</v>
      </c>
      <c r="T278" s="723">
        <v>1.5757526863329468E-2</v>
      </c>
      <c r="U278" s="724">
        <v>1.1455987723909756E-2</v>
      </c>
      <c r="V278" s="723">
        <v>9.1627632164391175E-3</v>
      </c>
      <c r="W278" s="725">
        <v>6.4780105960220912E-3</v>
      </c>
      <c r="AE278" s="324"/>
      <c r="AF278" s="328"/>
      <c r="AG278" s="328"/>
      <c r="AH278" s="327"/>
      <c r="AI278" s="328"/>
      <c r="AJ278" s="327"/>
      <c r="AK278" s="327"/>
      <c r="AL278" s="327"/>
      <c r="AM278" s="327"/>
      <c r="AN278" s="327"/>
      <c r="AO278" s="327"/>
      <c r="AP278" s="327"/>
      <c r="AQ278" s="327"/>
      <c r="AR278" s="327"/>
      <c r="AS278" s="327"/>
      <c r="AT278" s="329"/>
      <c r="AU278" s="324"/>
      <c r="BX278" s="201"/>
      <c r="BY278" s="201"/>
      <c r="BZ278" s="201"/>
    </row>
    <row r="279" spans="1:78">
      <c r="A279" s="323"/>
      <c r="B279" s="528">
        <v>2022</v>
      </c>
      <c r="C279" s="517">
        <v>20.946665442249419</v>
      </c>
      <c r="D279" s="509">
        <v>17.377375438781634</v>
      </c>
      <c r="E279" s="509">
        <v>15.052650026570134</v>
      </c>
      <c r="F279" s="510">
        <v>17.300524269085312</v>
      </c>
      <c r="G279" s="511">
        <v>17.873052916432648</v>
      </c>
      <c r="H279" s="509">
        <v>15.832843607028753</v>
      </c>
      <c r="I279" s="510">
        <v>17.710656915911539</v>
      </c>
      <c r="J279" s="511">
        <v>12.666408509775904</v>
      </c>
      <c r="K279" s="509">
        <v>20.413357953762734</v>
      </c>
      <c r="L279" s="509">
        <v>18.782804752179</v>
      </c>
      <c r="M279" s="510">
        <v>30.082490272151009</v>
      </c>
      <c r="N279" s="518">
        <v>18.113723831923682</v>
      </c>
      <c r="O279" s="325"/>
      <c r="P279" s="721">
        <v>2022</v>
      </c>
      <c r="Q279" s="722">
        <v>0.11014592479273817</v>
      </c>
      <c r="R279" s="723">
        <v>2.4791285189594212E-2</v>
      </c>
      <c r="S279" s="723">
        <v>4.0551738123454473E-2</v>
      </c>
      <c r="T279" s="723">
        <v>1.6104503579145887E-2</v>
      </c>
      <c r="U279" s="724">
        <v>1.1708245646828222E-2</v>
      </c>
      <c r="V279" s="723">
        <v>9.3645249215733323E-3</v>
      </c>
      <c r="W279" s="725">
        <v>6.6206547343521079E-3</v>
      </c>
      <c r="AE279" s="324"/>
      <c r="AF279" s="328"/>
      <c r="AG279" s="328"/>
      <c r="AH279" s="327"/>
      <c r="AI279" s="328"/>
      <c r="AJ279" s="327"/>
      <c r="AK279" s="327"/>
      <c r="AL279" s="327"/>
      <c r="AM279" s="327"/>
      <c r="AN279" s="327"/>
      <c r="AO279" s="327"/>
      <c r="AP279" s="327"/>
      <c r="AQ279" s="327"/>
      <c r="AR279" s="327"/>
      <c r="AS279" s="327"/>
      <c r="AT279" s="329"/>
      <c r="AU279" s="324"/>
      <c r="BX279" s="201"/>
      <c r="BY279" s="201"/>
      <c r="BZ279" s="201"/>
    </row>
    <row r="280" spans="1:78">
      <c r="A280" s="323"/>
      <c r="B280" s="528">
        <v>2023</v>
      </c>
      <c r="C280" s="517">
        <v>22.90925134392322</v>
      </c>
      <c r="D280" s="509">
        <v>19.027318911415243</v>
      </c>
      <c r="E280" s="509">
        <v>16.740168683119737</v>
      </c>
      <c r="F280" s="510">
        <v>18.951709908565952</v>
      </c>
      <c r="G280" s="511">
        <v>19.580508193600377</v>
      </c>
      <c r="H280" s="509">
        <v>17.607828006847495</v>
      </c>
      <c r="I280" s="510">
        <v>19.423487356983621</v>
      </c>
      <c r="J280" s="511">
        <v>13.8531804489499</v>
      </c>
      <c r="K280" s="509">
        <v>22.325975913711076</v>
      </c>
      <c r="L280" s="509">
        <v>20.542648957556235</v>
      </c>
      <c r="M280" s="510">
        <v>32.860087608768353</v>
      </c>
      <c r="N280" s="518">
        <v>19.844170974366882</v>
      </c>
      <c r="O280" s="325"/>
      <c r="P280" s="721">
        <v>2023</v>
      </c>
      <c r="Q280" s="722">
        <v>0.11054875543267409</v>
      </c>
      <c r="R280" s="723">
        <v>2.4881952995021869E-2</v>
      </c>
      <c r="S280" s="723">
        <v>4.0700045767604935E-2</v>
      </c>
      <c r="T280" s="723">
        <v>1.6163401695393442E-2</v>
      </c>
      <c r="U280" s="724">
        <v>1.1751065570446034E-2</v>
      </c>
      <c r="V280" s="723">
        <v>9.3987732841337383E-3</v>
      </c>
      <c r="W280" s="725">
        <v>6.6448680912098599E-3</v>
      </c>
      <c r="AE280" s="324"/>
      <c r="AF280" s="328"/>
      <c r="AG280" s="328"/>
      <c r="AH280" s="327"/>
      <c r="AI280" s="328"/>
      <c r="AJ280" s="327"/>
      <c r="AK280" s="327"/>
      <c r="AL280" s="327"/>
      <c r="AM280" s="327"/>
      <c r="AN280" s="327"/>
      <c r="AO280" s="327"/>
      <c r="AP280" s="327"/>
      <c r="AQ280" s="327"/>
      <c r="AR280" s="327"/>
      <c r="AS280" s="327"/>
      <c r="AT280" s="329"/>
      <c r="AU280" s="324"/>
      <c r="BX280" s="201"/>
      <c r="BY280" s="201"/>
      <c r="BZ280" s="201"/>
    </row>
    <row r="281" spans="1:78">
      <c r="A281" s="323"/>
      <c r="B281" s="528">
        <v>2024</v>
      </c>
      <c r="C281" s="517">
        <v>23.231756182769882</v>
      </c>
      <c r="D281" s="509">
        <v>19.296032585522326</v>
      </c>
      <c r="E281" s="509">
        <v>17.134399024821828</v>
      </c>
      <c r="F281" s="510">
        <v>19.224572934106281</v>
      </c>
      <c r="G281" s="511">
        <v>19.862861503420127</v>
      </c>
      <c r="H281" s="509">
        <v>18.022491692929151</v>
      </c>
      <c r="I281" s="510">
        <v>19.716372270513506</v>
      </c>
      <c r="J281" s="511">
        <v>14.048198507861169</v>
      </c>
      <c r="K281" s="509">
        <v>22.640269696430245</v>
      </c>
      <c r="L281" s="509">
        <v>20.831837966488976</v>
      </c>
      <c r="M281" s="510">
        <v>33.006039657938217</v>
      </c>
      <c r="N281" s="518">
        <v>20.130326333555814</v>
      </c>
      <c r="O281" s="325"/>
      <c r="P281" s="721">
        <v>2024</v>
      </c>
      <c r="Q281" s="722">
        <v>0.11102781453922231</v>
      </c>
      <c r="R281" s="723">
        <v>2.498977805487276E-2</v>
      </c>
      <c r="S281" s="723">
        <v>4.0876417970852168E-2</v>
      </c>
      <c r="T281" s="723">
        <v>1.6233445222746321E-2</v>
      </c>
      <c r="U281" s="724">
        <v>1.1801988395864868E-2</v>
      </c>
      <c r="V281" s="723">
        <v>9.4395025344497993E-3</v>
      </c>
      <c r="W281" s="725">
        <v>6.6736633911519223E-3</v>
      </c>
      <c r="AE281" s="324"/>
      <c r="AF281" s="328"/>
      <c r="AG281" s="328"/>
      <c r="AH281" s="327"/>
      <c r="AI281" s="328"/>
      <c r="AJ281" s="327"/>
      <c r="AK281" s="327"/>
      <c r="AL281" s="327"/>
      <c r="AM281" s="327"/>
      <c r="AN281" s="327"/>
      <c r="AO281" s="327"/>
      <c r="AP281" s="327"/>
      <c r="AQ281" s="327"/>
      <c r="AR281" s="327"/>
      <c r="AS281" s="327"/>
      <c r="AT281" s="329"/>
      <c r="AU281" s="324"/>
      <c r="BX281" s="201"/>
      <c r="BY281" s="201"/>
      <c r="BZ281" s="201"/>
    </row>
    <row r="282" spans="1:78">
      <c r="A282" s="323"/>
      <c r="B282" s="528">
        <v>2025</v>
      </c>
      <c r="C282" s="517">
        <v>23.709829560038905</v>
      </c>
      <c r="D282" s="509">
        <v>19.794178682552349</v>
      </c>
      <c r="E282" s="509">
        <v>17.695792401310722</v>
      </c>
      <c r="F282" s="510">
        <v>19.724809870502099</v>
      </c>
      <c r="G282" s="511">
        <v>20.404788985299387</v>
      </c>
      <c r="H282" s="509">
        <v>18.612982637465898</v>
      </c>
      <c r="I282" s="510">
        <v>20.262165293085424</v>
      </c>
      <c r="J282" s="511">
        <v>14.337288564263359</v>
      </c>
      <c r="K282" s="509">
        <v>23.106171202579894</v>
      </c>
      <c r="L282" s="509">
        <v>21.2605247628297</v>
      </c>
      <c r="M282" s="510">
        <v>32.937850210208325</v>
      </c>
      <c r="N282" s="518">
        <v>20.679551180009746</v>
      </c>
      <c r="O282" s="325"/>
      <c r="P282" s="721">
        <v>2025</v>
      </c>
      <c r="Q282" s="722">
        <v>0.11270254018362741</v>
      </c>
      <c r="R282" s="723">
        <v>2.5366719835904605E-2</v>
      </c>
      <c r="S282" s="723">
        <v>4.1492991265673025E-2</v>
      </c>
      <c r="T282" s="723">
        <v>1.6478307891838798E-2</v>
      </c>
      <c r="U282" s="724">
        <v>1.1980007685027258E-2</v>
      </c>
      <c r="V282" s="723">
        <v>9.5818864679756213E-3</v>
      </c>
      <c r="W282" s="725">
        <v>6.7743278532029277E-3</v>
      </c>
      <c r="AE282" s="324"/>
      <c r="AF282" s="328"/>
      <c r="AG282" s="328"/>
      <c r="AH282" s="327"/>
      <c r="AI282" s="328"/>
      <c r="AJ282" s="327"/>
      <c r="AK282" s="327"/>
      <c r="AL282" s="327"/>
      <c r="AM282" s="327"/>
      <c r="AN282" s="327"/>
      <c r="AO282" s="327"/>
      <c r="AP282" s="327"/>
      <c r="AQ282" s="327"/>
      <c r="AR282" s="327"/>
      <c r="AS282" s="327"/>
      <c r="AT282" s="329"/>
      <c r="AU282" s="324"/>
      <c r="BX282" s="201"/>
      <c r="BY282" s="201"/>
      <c r="BZ282" s="201"/>
    </row>
    <row r="283" spans="1:78">
      <c r="A283" s="323"/>
      <c r="B283" s="528">
        <v>2026</v>
      </c>
      <c r="C283" s="517">
        <v>24.080866267592636</v>
      </c>
      <c r="D283" s="509">
        <v>20.114400305098631</v>
      </c>
      <c r="E283" s="509">
        <v>18.155595246664728</v>
      </c>
      <c r="F283" s="510">
        <v>20.049645792949811</v>
      </c>
      <c r="G283" s="511">
        <v>20.743312835193198</v>
      </c>
      <c r="H283" s="509">
        <v>19.096617514228896</v>
      </c>
      <c r="I283" s="510">
        <v>20.612239649236827</v>
      </c>
      <c r="J283" s="511">
        <v>14.561653751312106</v>
      </c>
      <c r="K283" s="509">
        <v>23.467761220149132</v>
      </c>
      <c r="L283" s="509">
        <v>21.593232135899992</v>
      </c>
      <c r="M283" s="510">
        <v>32.998204529206255</v>
      </c>
      <c r="N283" s="518">
        <v>21.022633447833073</v>
      </c>
      <c r="O283" s="325"/>
      <c r="P283" s="721">
        <v>2026</v>
      </c>
      <c r="Q283" s="722">
        <v>0.11397448461270765</v>
      </c>
      <c r="R283" s="723">
        <v>2.5653004935838896E-2</v>
      </c>
      <c r="S283" s="723">
        <v>4.19612751126942E-2</v>
      </c>
      <c r="T283" s="723">
        <v>1.6664279671086579E-2</v>
      </c>
      <c r="U283" s="724">
        <v>1.2115212304288563E-2</v>
      </c>
      <c r="V283" s="723">
        <v>9.690026240984851E-3</v>
      </c>
      <c r="W283" s="725">
        <v>6.8507819292122681E-3</v>
      </c>
      <c r="AE283" s="324"/>
      <c r="AF283" s="328"/>
      <c r="AG283" s="328"/>
      <c r="AH283" s="327"/>
      <c r="AI283" s="328"/>
      <c r="AJ283" s="327"/>
      <c r="AK283" s="327"/>
      <c r="AL283" s="327"/>
      <c r="AM283" s="327"/>
      <c r="AN283" s="327"/>
      <c r="AO283" s="327"/>
      <c r="AP283" s="327"/>
      <c r="AQ283" s="327"/>
      <c r="AR283" s="327"/>
      <c r="AS283" s="327"/>
      <c r="AT283" s="329"/>
      <c r="AU283" s="324"/>
      <c r="BX283" s="201"/>
      <c r="BY283" s="201"/>
      <c r="BZ283" s="201"/>
    </row>
    <row r="284" spans="1:78">
      <c r="A284" s="323"/>
      <c r="B284" s="528">
        <v>2027</v>
      </c>
      <c r="C284" s="517">
        <v>24.278414777390061</v>
      </c>
      <c r="D284" s="509">
        <v>20.332082048288687</v>
      </c>
      <c r="E284" s="509">
        <v>18.335024721608033</v>
      </c>
      <c r="F284" s="510">
        <v>20.266062986123398</v>
      </c>
      <c r="G284" s="511">
        <v>20.981880369669177</v>
      </c>
      <c r="H284" s="509">
        <v>19.285346994436971</v>
      </c>
      <c r="I284" s="510">
        <v>20.846840188439547</v>
      </c>
      <c r="J284" s="511">
        <v>14.681110957161426</v>
      </c>
      <c r="K284" s="509">
        <v>23.660280094088531</v>
      </c>
      <c r="L284" s="509">
        <v>21.770373223050065</v>
      </c>
      <c r="M284" s="510">
        <v>33.309592884267438</v>
      </c>
      <c r="N284" s="518">
        <v>21.264413431083039</v>
      </c>
      <c r="O284" s="325"/>
      <c r="P284" s="721">
        <v>2027</v>
      </c>
      <c r="Q284" s="722">
        <v>0.11363462999096961</v>
      </c>
      <c r="R284" s="723">
        <v>2.5576511567006924E-2</v>
      </c>
      <c r="S284" s="723">
        <v>4.1836152956366592E-2</v>
      </c>
      <c r="T284" s="723">
        <v>1.6614589317290297E-2</v>
      </c>
      <c r="U284" s="724">
        <v>1.2079086579228772E-2</v>
      </c>
      <c r="V284" s="723">
        <v>9.6611320528343005E-3</v>
      </c>
      <c r="W284" s="725">
        <v>6.830353936849996E-3</v>
      </c>
      <c r="AE284" s="324"/>
      <c r="AF284" s="328"/>
      <c r="AG284" s="328"/>
      <c r="AH284" s="327"/>
      <c r="AI284" s="328"/>
      <c r="AJ284" s="327"/>
      <c r="AK284" s="327"/>
      <c r="AL284" s="327"/>
      <c r="AM284" s="327"/>
      <c r="AN284" s="327"/>
      <c r="AO284" s="327"/>
      <c r="AP284" s="327"/>
      <c r="AQ284" s="327"/>
      <c r="AR284" s="327"/>
      <c r="AS284" s="327"/>
      <c r="AT284" s="329"/>
      <c r="AU284" s="324"/>
      <c r="BX284" s="201"/>
      <c r="BY284" s="201"/>
      <c r="BZ284" s="201"/>
    </row>
    <row r="285" spans="1:78">
      <c r="A285" s="323"/>
      <c r="B285" s="528">
        <v>2028</v>
      </c>
      <c r="C285" s="517">
        <v>24.319762372602359</v>
      </c>
      <c r="D285" s="509">
        <v>20.391878406692715</v>
      </c>
      <c r="E285" s="509">
        <v>18.416744882101757</v>
      </c>
      <c r="F285" s="510">
        <v>20.326584105321082</v>
      </c>
      <c r="G285" s="511">
        <v>21.049412531667077</v>
      </c>
      <c r="H285" s="509">
        <v>19.371302790815321</v>
      </c>
      <c r="I285" s="510">
        <v>20.915838829648504</v>
      </c>
      <c r="J285" s="511">
        <v>14.706113768864306</v>
      </c>
      <c r="K285" s="509">
        <v>23.700574968894401</v>
      </c>
      <c r="L285" s="509">
        <v>21.807449473204816</v>
      </c>
      <c r="M285" s="510">
        <v>33.400750425525274</v>
      </c>
      <c r="N285" s="518">
        <v>21.332854952401313</v>
      </c>
      <c r="O285" s="325"/>
      <c r="P285" s="721">
        <v>2028</v>
      </c>
      <c r="Q285" s="722">
        <v>0.11257641832444729</v>
      </c>
      <c r="R285" s="723">
        <v>2.533833273955529E-2</v>
      </c>
      <c r="S285" s="723">
        <v>4.1446557767432037E-2</v>
      </c>
      <c r="T285" s="723">
        <v>1.6459867537042226E-2</v>
      </c>
      <c r="U285" s="724">
        <v>1.1966601236159597E-2</v>
      </c>
      <c r="V285" s="723">
        <v>9.571163680948595E-3</v>
      </c>
      <c r="W285" s="725">
        <v>6.7667469164986675E-3</v>
      </c>
      <c r="AE285" s="324"/>
      <c r="AF285" s="328"/>
      <c r="AG285" s="328"/>
      <c r="AH285" s="327"/>
      <c r="AI285" s="328"/>
      <c r="AJ285" s="327"/>
      <c r="AK285" s="327"/>
      <c r="AL285" s="327"/>
      <c r="AM285" s="327"/>
      <c r="AN285" s="327"/>
      <c r="AO285" s="327"/>
      <c r="AP285" s="327"/>
      <c r="AQ285" s="327"/>
      <c r="AR285" s="327"/>
      <c r="AS285" s="327"/>
      <c r="AT285" s="329"/>
      <c r="AU285" s="324"/>
      <c r="BX285" s="201"/>
      <c r="BY285" s="201"/>
      <c r="BZ285" s="201"/>
    </row>
    <row r="286" spans="1:78">
      <c r="A286" s="323"/>
      <c r="B286" s="528">
        <v>2029</v>
      </c>
      <c r="C286" s="517">
        <v>24.539037806447887</v>
      </c>
      <c r="D286" s="509">
        <v>20.633484933174447</v>
      </c>
      <c r="E286" s="509">
        <v>18.765134225432831</v>
      </c>
      <c r="F286" s="510">
        <v>20.571720676398716</v>
      </c>
      <c r="G286" s="511">
        <v>21.314200942621667</v>
      </c>
      <c r="H286" s="509">
        <v>19.737749494723257</v>
      </c>
      <c r="I286" s="510">
        <v>21.188719008501288</v>
      </c>
      <c r="J286" s="511">
        <v>14.838709204109273</v>
      </c>
      <c r="K286" s="509">
        <v>23.914267593808674</v>
      </c>
      <c r="L286" s="509">
        <v>22.004073020385871</v>
      </c>
      <c r="M286" s="510">
        <v>33.437725505301522</v>
      </c>
      <c r="N286" s="518">
        <v>21.601208891280752</v>
      </c>
      <c r="O286" s="325"/>
      <c r="P286" s="721">
        <v>2029</v>
      </c>
      <c r="Q286" s="722">
        <v>0.11208253058936156</v>
      </c>
      <c r="R286" s="723">
        <v>2.5227170100400067E-2</v>
      </c>
      <c r="S286" s="723">
        <v>4.1264726200505988E-2</v>
      </c>
      <c r="T286" s="723">
        <v>1.6387655906767655E-2</v>
      </c>
      <c r="U286" s="724">
        <v>1.1914102163359398E-2</v>
      </c>
      <c r="V286" s="723">
        <v>9.5291737116204259E-3</v>
      </c>
      <c r="W286" s="725">
        <v>6.7370602968830377E-3</v>
      </c>
      <c r="AE286" s="324"/>
      <c r="AF286" s="328"/>
      <c r="AG286" s="328"/>
      <c r="AH286" s="327"/>
      <c r="AI286" s="328"/>
      <c r="AJ286" s="327"/>
      <c r="AK286" s="327"/>
      <c r="AL286" s="327"/>
      <c r="AM286" s="327"/>
      <c r="AN286" s="327"/>
      <c r="AO286" s="327"/>
      <c r="AP286" s="327"/>
      <c r="AQ286" s="327"/>
      <c r="AR286" s="327"/>
      <c r="AS286" s="327"/>
      <c r="AT286" s="329"/>
      <c r="AU286" s="324"/>
      <c r="BX286" s="201"/>
      <c r="BY286" s="201"/>
      <c r="BZ286" s="201"/>
    </row>
    <row r="287" spans="1:78">
      <c r="A287" s="323"/>
      <c r="B287" s="528">
        <v>2030</v>
      </c>
      <c r="C287" s="517">
        <v>24.999461685085411</v>
      </c>
      <c r="D287" s="509">
        <v>21.050781147757714</v>
      </c>
      <c r="E287" s="509">
        <v>19.225409774083893</v>
      </c>
      <c r="F287" s="510">
        <v>20.99043770914766</v>
      </c>
      <c r="G287" s="511">
        <v>21.758914700217044</v>
      </c>
      <c r="H287" s="509">
        <v>20.221881575457758</v>
      </c>
      <c r="I287" s="510">
        <v>21.636570374574152</v>
      </c>
      <c r="J287" s="511">
        <v>15.11712664246275</v>
      </c>
      <c r="K287" s="509">
        <v>24.36296896210046</v>
      </c>
      <c r="L287" s="509">
        <v>22.416933570411484</v>
      </c>
      <c r="M287" s="510">
        <v>33.696951307838674</v>
      </c>
      <c r="N287" s="518">
        <v>22.051910974858956</v>
      </c>
      <c r="O287" s="325"/>
      <c r="P287" s="721">
        <f>P286+1</f>
        <v>2030</v>
      </c>
      <c r="Q287" s="722">
        <v>0.11355632793507767</v>
      </c>
      <c r="R287" s="723">
        <v>2.5558887595877707E-2</v>
      </c>
      <c r="S287" s="723">
        <v>4.1807324976838221E-2</v>
      </c>
      <c r="T287" s="723">
        <v>1.6603140725417843E-2</v>
      </c>
      <c r="U287" s="724">
        <v>1.2070763259897989E-2</v>
      </c>
      <c r="V287" s="723">
        <v>9.6544748700543633E-3</v>
      </c>
      <c r="W287" s="725">
        <v>6.8256473543956211E-3</v>
      </c>
      <c r="AE287" s="324"/>
      <c r="AF287" s="328"/>
      <c r="AG287" s="328"/>
      <c r="AH287" s="327"/>
      <c r="AI287" s="328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9"/>
      <c r="AU287" s="324"/>
      <c r="BX287" s="201"/>
      <c r="BY287" s="201"/>
      <c r="BZ287" s="201"/>
    </row>
    <row r="288" spans="1:78">
      <c r="A288" s="323"/>
      <c r="B288" s="528">
        <v>2031</v>
      </c>
      <c r="C288" s="517">
        <v>25.409502593906485</v>
      </c>
      <c r="D288" s="509">
        <v>21.401140741104264</v>
      </c>
      <c r="E288" s="509">
        <v>19.685553470776728</v>
      </c>
      <c r="F288" s="510">
        <v>21.344426564131695</v>
      </c>
      <c r="G288" s="511">
        <v>22.128668089568816</v>
      </c>
      <c r="H288" s="509">
        <v>20.705874970218012</v>
      </c>
      <c r="I288" s="510">
        <v>22.015417007394785</v>
      </c>
      <c r="J288" s="511">
        <v>15.365077595380141</v>
      </c>
      <c r="K288" s="509">
        <v>24.762570123943046</v>
      </c>
      <c r="L288" s="509">
        <v>22.784615880134059</v>
      </c>
      <c r="M288" s="510">
        <v>34.367464524797107</v>
      </c>
      <c r="N288" s="518">
        <v>22.426643305812775</v>
      </c>
      <c r="O288" s="325"/>
      <c r="P288" s="726">
        <f t="shared" ref="P288:P307" si="148">P287+1</f>
        <v>2031</v>
      </c>
      <c r="Q288" s="727">
        <v>0.11355632793507767</v>
      </c>
      <c r="R288" s="728">
        <v>2.5558887595877707E-2</v>
      </c>
      <c r="S288" s="728">
        <v>4.1807324976838221E-2</v>
      </c>
      <c r="T288" s="728">
        <v>1.6603140725417843E-2</v>
      </c>
      <c r="U288" s="729">
        <f>U287</f>
        <v>1.2070763259897989E-2</v>
      </c>
      <c r="V288" s="728">
        <v>9.6544748700543633E-3</v>
      </c>
      <c r="W288" s="730">
        <v>6.8256473543956211E-3</v>
      </c>
      <c r="AE288" s="324"/>
      <c r="AF288" s="328"/>
      <c r="AG288" s="328"/>
      <c r="AH288" s="327"/>
      <c r="AI288" s="328"/>
      <c r="AJ288" s="327"/>
      <c r="AK288" s="327"/>
      <c r="AL288" s="327"/>
      <c r="AM288" s="327"/>
      <c r="AN288" s="327"/>
      <c r="AO288" s="327"/>
      <c r="AP288" s="327"/>
      <c r="AQ288" s="327"/>
      <c r="AR288" s="327"/>
      <c r="AS288" s="327"/>
      <c r="AT288" s="329"/>
      <c r="AU288" s="324"/>
      <c r="BX288" s="201"/>
      <c r="BY288" s="201"/>
      <c r="BZ288" s="201"/>
    </row>
    <row r="289" spans="1:78">
      <c r="A289" s="323"/>
      <c r="B289" s="528">
        <v>2032</v>
      </c>
      <c r="C289" s="517">
        <v>25.904716166853134</v>
      </c>
      <c r="D289" s="509">
        <v>21.81202765609115</v>
      </c>
      <c r="E289" s="509">
        <v>20.204425993417235</v>
      </c>
      <c r="F289" s="510">
        <v>21.758883285778307</v>
      </c>
      <c r="G289" s="511">
        <v>22.560084780098158</v>
      </c>
      <c r="H289" s="509">
        <v>21.251641163443161</v>
      </c>
      <c r="I289" s="510">
        <v>22.455935657126933</v>
      </c>
      <c r="J289" s="511">
        <v>15.664532295309428</v>
      </c>
      <c r="K289" s="509">
        <v>25.245175431980858</v>
      </c>
      <c r="L289" s="509">
        <v>23.228672232536802</v>
      </c>
      <c r="M289" s="510">
        <v>34.870462346844704</v>
      </c>
      <c r="N289" s="518">
        <v>22.863869269685249</v>
      </c>
      <c r="O289" s="325"/>
      <c r="P289" s="726">
        <f t="shared" si="148"/>
        <v>2032</v>
      </c>
      <c r="Q289" s="727">
        <v>0.11355632793507767</v>
      </c>
      <c r="R289" s="728">
        <v>2.5558887595877707E-2</v>
      </c>
      <c r="S289" s="728">
        <v>4.1807324976838221E-2</v>
      </c>
      <c r="T289" s="728">
        <v>1.6603140725417843E-2</v>
      </c>
      <c r="U289" s="729">
        <f t="shared" ref="U289:U307" si="149">U288</f>
        <v>1.2070763259897989E-2</v>
      </c>
      <c r="V289" s="728">
        <v>9.6544748700543633E-3</v>
      </c>
      <c r="W289" s="730">
        <v>6.8256473543956211E-3</v>
      </c>
      <c r="AE289" s="324"/>
      <c r="AF289" s="328"/>
      <c r="AG289" s="328"/>
      <c r="AH289" s="327"/>
      <c r="AI289" s="328"/>
      <c r="AJ289" s="327"/>
      <c r="AK289" s="327"/>
      <c r="AL289" s="327"/>
      <c r="AM289" s="327"/>
      <c r="AN289" s="327"/>
      <c r="AO289" s="327"/>
      <c r="AP289" s="327"/>
      <c r="AQ289" s="327"/>
      <c r="AR289" s="327"/>
      <c r="AS289" s="327"/>
      <c r="AT289" s="329"/>
      <c r="AU289" s="324"/>
      <c r="BX289" s="201"/>
      <c r="BY289" s="201"/>
      <c r="BZ289" s="201"/>
    </row>
    <row r="290" spans="1:78">
      <c r="A290" s="323"/>
      <c r="B290" s="528">
        <v>2033</v>
      </c>
      <c r="C290" s="517">
        <v>25.82210702761525</v>
      </c>
      <c r="D290" s="509">
        <v>21.797818443912252</v>
      </c>
      <c r="E290" s="509">
        <v>20.1848754339088</v>
      </c>
      <c r="F290" s="510">
        <v>21.744497498427187</v>
      </c>
      <c r="G290" s="511">
        <v>22.555281693034551</v>
      </c>
      <c r="H290" s="509">
        <v>21.231077279304451</v>
      </c>
      <c r="I290" s="510">
        <v>22.449878046618977</v>
      </c>
      <c r="J290" s="511">
        <v>15.614578706891601</v>
      </c>
      <c r="K290" s="509">
        <v>25.164669542670481</v>
      </c>
      <c r="L290" s="509">
        <v>23.154596894038242</v>
      </c>
      <c r="M290" s="510">
        <v>34.967425763656657</v>
      </c>
      <c r="N290" s="518">
        <v>22.85900150629767</v>
      </c>
      <c r="O290" s="325"/>
      <c r="P290" s="726">
        <f t="shared" si="148"/>
        <v>2033</v>
      </c>
      <c r="Q290" s="727">
        <v>0.11355632793507767</v>
      </c>
      <c r="R290" s="728">
        <v>2.5558887595877707E-2</v>
      </c>
      <c r="S290" s="728">
        <v>4.1807324976838221E-2</v>
      </c>
      <c r="T290" s="728">
        <v>1.6603140725417843E-2</v>
      </c>
      <c r="U290" s="729">
        <f t="shared" si="149"/>
        <v>1.2070763259897989E-2</v>
      </c>
      <c r="V290" s="728">
        <v>9.6544748700543633E-3</v>
      </c>
      <c r="W290" s="730">
        <v>6.8256473543956211E-3</v>
      </c>
      <c r="AE290" s="324"/>
      <c r="AF290" s="328"/>
      <c r="AG290" s="328"/>
      <c r="AH290" s="327"/>
      <c r="AI290" s="328"/>
      <c r="AJ290" s="327"/>
      <c r="AK290" s="327"/>
      <c r="AL290" s="327"/>
      <c r="AM290" s="327"/>
      <c r="AN290" s="327"/>
      <c r="AO290" s="327"/>
      <c r="AP290" s="327"/>
      <c r="AQ290" s="327"/>
      <c r="AR290" s="327"/>
      <c r="AS290" s="327"/>
      <c r="AT290" s="329"/>
      <c r="AU290" s="324"/>
      <c r="BX290" s="201"/>
      <c r="BY290" s="201"/>
      <c r="BZ290" s="201"/>
    </row>
    <row r="291" spans="1:78">
      <c r="A291" s="323"/>
      <c r="B291" s="528">
        <v>2034</v>
      </c>
      <c r="C291" s="517">
        <v>26.131528083701813</v>
      </c>
      <c r="D291" s="509">
        <v>22.070810035788877</v>
      </c>
      <c r="E291" s="509">
        <v>20.554710357977747</v>
      </c>
      <c r="F291" s="510">
        <v>22.020690553718449</v>
      </c>
      <c r="G291" s="511">
        <v>22.844939105667013</v>
      </c>
      <c r="H291" s="509">
        <v>21.620081109385207</v>
      </c>
      <c r="I291" s="510">
        <v>22.747443207140513</v>
      </c>
      <c r="J291" s="511">
        <v>15.801685027404725</v>
      </c>
      <c r="K291" s="509">
        <v>25.46621265910305</v>
      </c>
      <c r="L291" s="509">
        <v>23.43205371878728</v>
      </c>
      <c r="M291" s="510">
        <v>35.339302371540256</v>
      </c>
      <c r="N291" s="518">
        <v>23.152559322235764</v>
      </c>
      <c r="O291" s="325"/>
      <c r="P291" s="726">
        <f t="shared" si="148"/>
        <v>2034</v>
      </c>
      <c r="Q291" s="727">
        <v>0.11355632793507767</v>
      </c>
      <c r="R291" s="728">
        <v>2.5558887595877707E-2</v>
      </c>
      <c r="S291" s="728">
        <v>4.1807324976838221E-2</v>
      </c>
      <c r="T291" s="728">
        <v>1.6603140725417843E-2</v>
      </c>
      <c r="U291" s="729">
        <f t="shared" si="149"/>
        <v>1.2070763259897989E-2</v>
      </c>
      <c r="V291" s="728">
        <v>9.6544748700543633E-3</v>
      </c>
      <c r="W291" s="730">
        <v>6.8256473543956211E-3</v>
      </c>
      <c r="AE291" s="324"/>
      <c r="AF291" s="328"/>
      <c r="AG291" s="328"/>
      <c r="AH291" s="327"/>
      <c r="AI291" s="328"/>
      <c r="AJ291" s="327"/>
      <c r="AK291" s="327"/>
      <c r="AL291" s="327"/>
      <c r="AM291" s="327"/>
      <c r="AN291" s="327"/>
      <c r="AO291" s="327"/>
      <c r="AP291" s="327"/>
      <c r="AQ291" s="327"/>
      <c r="AR291" s="327"/>
      <c r="AS291" s="327"/>
      <c r="AT291" s="329"/>
      <c r="AU291" s="324"/>
      <c r="BX291" s="201"/>
      <c r="BY291" s="201"/>
      <c r="BZ291" s="201"/>
    </row>
    <row r="292" spans="1:78">
      <c r="A292" s="323"/>
      <c r="B292" s="528">
        <v>2035</v>
      </c>
      <c r="C292" s="517">
        <v>26.347753703395245</v>
      </c>
      <c r="D292" s="509">
        <v>22.236686096733727</v>
      </c>
      <c r="E292" s="509">
        <v>20.743066491029225</v>
      </c>
      <c r="F292" s="510">
        <v>22.187309764726177</v>
      </c>
      <c r="G292" s="511">
        <v>23.016583627056715</v>
      </c>
      <c r="H292" s="509">
        <v>21.818199925126272</v>
      </c>
      <c r="I292" s="510">
        <v>22.921195021884611</v>
      </c>
      <c r="J292" s="511">
        <v>15.93243624586799</v>
      </c>
      <c r="K292" s="509">
        <v>25.676933118917784</v>
      </c>
      <c r="L292" s="509">
        <v>23.625942507831908</v>
      </c>
      <c r="M292" s="510">
        <v>35.509075953026596</v>
      </c>
      <c r="N292" s="518">
        <v>23.326515135618784</v>
      </c>
      <c r="O292" s="325"/>
      <c r="P292" s="726">
        <f t="shared" si="148"/>
        <v>2035</v>
      </c>
      <c r="Q292" s="727">
        <v>0.11355632793507767</v>
      </c>
      <c r="R292" s="728">
        <v>2.5558887595877707E-2</v>
      </c>
      <c r="S292" s="728">
        <v>4.1807324976838221E-2</v>
      </c>
      <c r="T292" s="728">
        <v>1.6603140725417843E-2</v>
      </c>
      <c r="U292" s="729">
        <f t="shared" si="149"/>
        <v>1.2070763259897989E-2</v>
      </c>
      <c r="V292" s="728">
        <v>9.6544748700543633E-3</v>
      </c>
      <c r="W292" s="730">
        <v>6.8256473543956211E-3</v>
      </c>
      <c r="AE292" s="324"/>
      <c r="AF292" s="328"/>
      <c r="AG292" s="328"/>
      <c r="AH292" s="327"/>
      <c r="AI292" s="328"/>
      <c r="AJ292" s="327"/>
      <c r="AK292" s="327"/>
      <c r="AL292" s="327"/>
      <c r="AM292" s="327"/>
      <c r="AN292" s="327"/>
      <c r="AO292" s="327"/>
      <c r="AP292" s="327"/>
      <c r="AQ292" s="327"/>
      <c r="AR292" s="327"/>
      <c r="AS292" s="327"/>
      <c r="AT292" s="329"/>
      <c r="AU292" s="324"/>
      <c r="BX292" s="201"/>
      <c r="BY292" s="201"/>
      <c r="BZ292" s="201"/>
    </row>
    <row r="293" spans="1:78">
      <c r="A293" s="323"/>
      <c r="B293" s="528">
        <v>2036</v>
      </c>
      <c r="C293" s="517">
        <v>26.877691931963405</v>
      </c>
      <c r="D293" s="509">
        <v>22.690031278726931</v>
      </c>
      <c r="E293" s="509">
        <v>21.335597969866214</v>
      </c>
      <c r="F293" s="510">
        <v>22.645256191090844</v>
      </c>
      <c r="G293" s="511">
        <v>23.495123622658646</v>
      </c>
      <c r="H293" s="509">
        <v>22.441442890325614</v>
      </c>
      <c r="I293" s="510">
        <v>23.411253043317437</v>
      </c>
      <c r="J293" s="511">
        <v>16.252888878603144</v>
      </c>
      <c r="K293" s="509">
        <v>26.193378983915714</v>
      </c>
      <c r="L293" s="509">
        <v>24.101136342638412</v>
      </c>
      <c r="M293" s="510">
        <v>36.037894970537522</v>
      </c>
      <c r="N293" s="518">
        <v>23.811498946912366</v>
      </c>
      <c r="O293" s="325"/>
      <c r="P293" s="726">
        <f t="shared" si="148"/>
        <v>2036</v>
      </c>
      <c r="Q293" s="727">
        <v>0.11355632793507767</v>
      </c>
      <c r="R293" s="728">
        <v>2.5558887595877707E-2</v>
      </c>
      <c r="S293" s="728">
        <v>4.1807324976838221E-2</v>
      </c>
      <c r="T293" s="728">
        <v>1.6603140725417843E-2</v>
      </c>
      <c r="U293" s="729">
        <f t="shared" si="149"/>
        <v>1.2070763259897989E-2</v>
      </c>
      <c r="V293" s="728">
        <v>9.6544748700543633E-3</v>
      </c>
      <c r="W293" s="730">
        <v>6.8256473543956211E-3</v>
      </c>
      <c r="AE293" s="324"/>
      <c r="AF293" s="328"/>
      <c r="AG293" s="328"/>
      <c r="AH293" s="327"/>
      <c r="AI293" s="328"/>
      <c r="AJ293" s="327"/>
      <c r="AK293" s="327"/>
      <c r="AL293" s="327"/>
      <c r="AM293" s="327"/>
      <c r="AN293" s="327"/>
      <c r="AO293" s="327"/>
      <c r="AP293" s="327"/>
      <c r="AQ293" s="327"/>
      <c r="AR293" s="327"/>
      <c r="AS293" s="327"/>
      <c r="AT293" s="329"/>
      <c r="AU293" s="324"/>
      <c r="BX293" s="201"/>
      <c r="BY293" s="201"/>
      <c r="BZ293" s="201"/>
    </row>
    <row r="294" spans="1:78">
      <c r="A294" s="323"/>
      <c r="B294" s="528">
        <v>2037</v>
      </c>
      <c r="C294" s="517">
        <v>26.952889662597425</v>
      </c>
      <c r="D294" s="509">
        <v>22.736377913582963</v>
      </c>
      <c r="E294" s="509">
        <v>21.450738393729715</v>
      </c>
      <c r="F294" s="510">
        <v>22.693877022772572</v>
      </c>
      <c r="G294" s="511">
        <v>23.540797475422096</v>
      </c>
      <c r="H294" s="509">
        <v>22.562551155027176</v>
      </c>
      <c r="I294" s="510">
        <v>23.46293130295421</v>
      </c>
      <c r="J294" s="511">
        <v>16.298360802420547</v>
      </c>
      <c r="K294" s="509">
        <v>26.266662160991082</v>
      </c>
      <c r="L294" s="509">
        <v>24.168565895862521</v>
      </c>
      <c r="M294" s="510">
        <v>36.280824452849807</v>
      </c>
      <c r="N294" s="518">
        <v>23.8577878243171</v>
      </c>
      <c r="O294" s="325"/>
      <c r="P294" s="726">
        <f t="shared" si="148"/>
        <v>2037</v>
      </c>
      <c r="Q294" s="727">
        <v>0.11355632793507767</v>
      </c>
      <c r="R294" s="728">
        <v>2.5558887595877707E-2</v>
      </c>
      <c r="S294" s="728">
        <v>4.1807324976838221E-2</v>
      </c>
      <c r="T294" s="728">
        <v>1.6603140725417843E-2</v>
      </c>
      <c r="U294" s="729">
        <f t="shared" si="149"/>
        <v>1.2070763259897989E-2</v>
      </c>
      <c r="V294" s="728">
        <v>9.6544748700543633E-3</v>
      </c>
      <c r="W294" s="730">
        <v>6.8256473543956211E-3</v>
      </c>
      <c r="AE294" s="324"/>
      <c r="AF294" s="328"/>
      <c r="AG294" s="328"/>
      <c r="AH294" s="327"/>
      <c r="AI294" s="328"/>
      <c r="AJ294" s="327"/>
      <c r="AK294" s="327"/>
      <c r="AL294" s="327"/>
      <c r="AM294" s="327"/>
      <c r="AN294" s="327"/>
      <c r="AO294" s="327"/>
      <c r="AP294" s="327"/>
      <c r="AQ294" s="327"/>
      <c r="AR294" s="327"/>
      <c r="AS294" s="327"/>
      <c r="AT294" s="329"/>
      <c r="AU294" s="324"/>
      <c r="BX294" s="201"/>
      <c r="BY294" s="201"/>
      <c r="BZ294" s="201"/>
    </row>
    <row r="295" spans="1:78">
      <c r="A295" s="323"/>
      <c r="B295" s="528">
        <v>2038</v>
      </c>
      <c r="C295" s="517">
        <v>27.119378696969903</v>
      </c>
      <c r="D295" s="509">
        <v>22.836735600253249</v>
      </c>
      <c r="E295" s="509">
        <v>21.590436946153538</v>
      </c>
      <c r="F295" s="510">
        <v>22.795535246501622</v>
      </c>
      <c r="G295" s="511">
        <v>23.639133814729718</v>
      </c>
      <c r="H295" s="509">
        <v>22.709490420123387</v>
      </c>
      <c r="I295" s="510">
        <v>23.565136324129579</v>
      </c>
      <c r="J295" s="511">
        <v>16.39903640291524</v>
      </c>
      <c r="K295" s="509">
        <v>26.428912341736641</v>
      </c>
      <c r="L295" s="509">
        <v>24.317856055416492</v>
      </c>
      <c r="M295" s="510">
        <v>36.7643364608059</v>
      </c>
      <c r="N295" s="518">
        <v>23.957448318872167</v>
      </c>
      <c r="O295" s="325"/>
      <c r="P295" s="726">
        <f t="shared" si="148"/>
        <v>2038</v>
      </c>
      <c r="Q295" s="727">
        <v>0.11355632793507767</v>
      </c>
      <c r="R295" s="728">
        <v>2.5558887595877707E-2</v>
      </c>
      <c r="S295" s="728">
        <v>4.1807324976838221E-2</v>
      </c>
      <c r="T295" s="728">
        <v>1.6603140725417843E-2</v>
      </c>
      <c r="U295" s="729">
        <f t="shared" si="149"/>
        <v>1.2070763259897989E-2</v>
      </c>
      <c r="V295" s="728">
        <v>9.6544748700543633E-3</v>
      </c>
      <c r="W295" s="730">
        <v>6.8256473543956211E-3</v>
      </c>
      <c r="AE295" s="324"/>
      <c r="AF295" s="328"/>
      <c r="AG295" s="328"/>
      <c r="AH295" s="327"/>
      <c r="AI295" s="328"/>
      <c r="AJ295" s="327"/>
      <c r="AK295" s="327"/>
      <c r="AL295" s="327"/>
      <c r="AM295" s="327"/>
      <c r="AN295" s="327"/>
      <c r="AO295" s="327"/>
      <c r="AP295" s="327"/>
      <c r="AQ295" s="327"/>
      <c r="AR295" s="327"/>
      <c r="AS295" s="327"/>
      <c r="AT295" s="329"/>
      <c r="AU295" s="324"/>
      <c r="BX295" s="201"/>
      <c r="BY295" s="201"/>
      <c r="BZ295" s="201"/>
    </row>
    <row r="296" spans="1:78">
      <c r="A296" s="323"/>
      <c r="B296" s="528">
        <v>2039</v>
      </c>
      <c r="C296" s="517">
        <v>27.491575094353781</v>
      </c>
      <c r="D296" s="509">
        <v>23.140322460662123</v>
      </c>
      <c r="E296" s="509">
        <v>21.877334183135758</v>
      </c>
      <c r="F296" s="510">
        <v>23.098570378488983</v>
      </c>
      <c r="G296" s="511">
        <v>23.956920075703927</v>
      </c>
      <c r="H296" s="509">
        <v>23.011257821638079</v>
      </c>
      <c r="I296" s="510">
        <v>23.881647520483138</v>
      </c>
      <c r="J296" s="511">
        <v>16.624102852185114</v>
      </c>
      <c r="K296" s="509">
        <v>26.791632523134741</v>
      </c>
      <c r="L296" s="509">
        <v>24.6516033184737</v>
      </c>
      <c r="M296" s="510">
        <v>37.449006171537654</v>
      </c>
      <c r="N296" s="518">
        <v>24.279513754239062</v>
      </c>
      <c r="O296" s="325"/>
      <c r="P296" s="726">
        <f t="shared" si="148"/>
        <v>2039</v>
      </c>
      <c r="Q296" s="727">
        <v>0.11355632793507767</v>
      </c>
      <c r="R296" s="728">
        <v>2.5558887595877707E-2</v>
      </c>
      <c r="S296" s="728">
        <v>4.1807324976838221E-2</v>
      </c>
      <c r="T296" s="728">
        <v>1.6603140725417843E-2</v>
      </c>
      <c r="U296" s="729">
        <f t="shared" si="149"/>
        <v>1.2070763259897989E-2</v>
      </c>
      <c r="V296" s="728">
        <v>9.6544748700543633E-3</v>
      </c>
      <c r="W296" s="730">
        <v>6.8256473543956211E-3</v>
      </c>
      <c r="AE296" s="324"/>
      <c r="AF296" s="328"/>
      <c r="AG296" s="328"/>
      <c r="AH296" s="327"/>
      <c r="AI296" s="328"/>
      <c r="AJ296" s="327"/>
      <c r="AK296" s="327"/>
      <c r="AL296" s="327"/>
      <c r="AM296" s="327"/>
      <c r="AN296" s="327"/>
      <c r="AO296" s="327"/>
      <c r="AP296" s="327"/>
      <c r="AQ296" s="327"/>
      <c r="AR296" s="327"/>
      <c r="AS296" s="327"/>
      <c r="AT296" s="329"/>
      <c r="AU296" s="324"/>
      <c r="BX296" s="201"/>
      <c r="BY296" s="201"/>
      <c r="BZ296" s="201"/>
    </row>
    <row r="297" spans="1:78">
      <c r="A297" s="323"/>
      <c r="B297" s="528">
        <v>2040</v>
      </c>
      <c r="C297" s="517">
        <v>27.690087177323274</v>
      </c>
      <c r="D297" s="509">
        <v>23.272018858961086</v>
      </c>
      <c r="E297" s="509">
        <v>22.117140633504597</v>
      </c>
      <c r="F297" s="510">
        <v>23.233840697352438</v>
      </c>
      <c r="G297" s="511">
        <v>24.089050442966776</v>
      </c>
      <c r="H297" s="509">
        <v>23.263493674989125</v>
      </c>
      <c r="I297" s="510">
        <v>24.023338010078273</v>
      </c>
      <c r="J297" s="511">
        <v>16.744142728887709</v>
      </c>
      <c r="K297" s="509">
        <v>26.985090437425473</v>
      </c>
      <c r="L297" s="509">
        <v>24.829608438460184</v>
      </c>
      <c r="M297" s="510">
        <v>37.704313631023787</v>
      </c>
      <c r="N297" s="518">
        <v>24.413423332731355</v>
      </c>
      <c r="O297" s="325"/>
      <c r="P297" s="726">
        <f t="shared" si="148"/>
        <v>2040</v>
      </c>
      <c r="Q297" s="727">
        <v>0.11355632793507767</v>
      </c>
      <c r="R297" s="728">
        <v>2.5558887595877707E-2</v>
      </c>
      <c r="S297" s="728">
        <v>4.1807324976838221E-2</v>
      </c>
      <c r="T297" s="728">
        <v>1.6603140725417843E-2</v>
      </c>
      <c r="U297" s="729">
        <f t="shared" si="149"/>
        <v>1.2070763259897989E-2</v>
      </c>
      <c r="V297" s="728">
        <v>9.6544748700543633E-3</v>
      </c>
      <c r="W297" s="730">
        <v>6.8256473543956211E-3</v>
      </c>
      <c r="AE297" s="324"/>
      <c r="AF297" s="328"/>
      <c r="AG297" s="328"/>
      <c r="AH297" s="327"/>
      <c r="AI297" s="328"/>
      <c r="AJ297" s="327"/>
      <c r="AK297" s="327"/>
      <c r="AL297" s="327"/>
      <c r="AM297" s="327"/>
      <c r="AN297" s="327"/>
      <c r="AO297" s="327"/>
      <c r="AP297" s="327"/>
      <c r="AQ297" s="327"/>
      <c r="AR297" s="327"/>
      <c r="AS297" s="327"/>
      <c r="AT297" s="329"/>
      <c r="AU297" s="324"/>
      <c r="BX297" s="201"/>
      <c r="BY297" s="201"/>
      <c r="BZ297" s="201"/>
    </row>
    <row r="298" spans="1:78">
      <c r="A298" s="323"/>
      <c r="B298" s="528">
        <v>2041</v>
      </c>
      <c r="C298" s="517">
        <v>27.733628077201384</v>
      </c>
      <c r="D298" s="509">
        <v>23.317408110261269</v>
      </c>
      <c r="E298" s="509">
        <v>22.364918516624659</v>
      </c>
      <c r="F298" s="510">
        <v>23.2859205466075</v>
      </c>
      <c r="G298" s="511">
        <v>24.138432241049152</v>
      </c>
      <c r="H298" s="509">
        <v>23.524114128251231</v>
      </c>
      <c r="I298" s="510">
        <v>24.08953392257456</v>
      </c>
      <c r="J298" s="511">
        <v>16.77047182772494</v>
      </c>
      <c r="K298" s="509">
        <v>27.027522774796367</v>
      </c>
      <c r="L298" s="509">
        <v>24.868651417563441</v>
      </c>
      <c r="M298" s="510">
        <v>38.116532352736208</v>
      </c>
      <c r="N298" s="518">
        <v>24.463470085066856</v>
      </c>
      <c r="O298" s="325"/>
      <c r="P298" s="726">
        <f t="shared" si="148"/>
        <v>2041</v>
      </c>
      <c r="Q298" s="727">
        <v>0.11355632793507767</v>
      </c>
      <c r="R298" s="728">
        <v>2.5558887595877707E-2</v>
      </c>
      <c r="S298" s="728">
        <v>4.1807324976838221E-2</v>
      </c>
      <c r="T298" s="728">
        <v>1.6603140725417843E-2</v>
      </c>
      <c r="U298" s="729">
        <f t="shared" si="149"/>
        <v>1.2070763259897989E-2</v>
      </c>
      <c r="V298" s="728">
        <v>9.6544748700543633E-3</v>
      </c>
      <c r="W298" s="730">
        <v>6.8256473543956211E-3</v>
      </c>
      <c r="AE298" s="324"/>
      <c r="AF298" s="328"/>
      <c r="AG298" s="328"/>
      <c r="AH298" s="327"/>
      <c r="AI298" s="328"/>
      <c r="AJ298" s="327"/>
      <c r="AK298" s="327"/>
      <c r="AL298" s="327"/>
      <c r="AM298" s="327"/>
      <c r="AN298" s="327"/>
      <c r="AO298" s="327"/>
      <c r="AP298" s="327"/>
      <c r="AQ298" s="327"/>
      <c r="AR298" s="327"/>
      <c r="AS298" s="327"/>
      <c r="AT298" s="329"/>
      <c r="AU298" s="324"/>
      <c r="BX298" s="201"/>
      <c r="BY298" s="201"/>
      <c r="BZ298" s="201"/>
    </row>
    <row r="299" spans="1:78">
      <c r="A299" s="323"/>
      <c r="B299" s="528">
        <v>2042</v>
      </c>
      <c r="C299" s="517">
        <v>27.786050260023721</v>
      </c>
      <c r="D299" s="509">
        <v>23.298156143170456</v>
      </c>
      <c r="E299" s="509">
        <v>22.299445603281615</v>
      </c>
      <c r="F299" s="510">
        <v>23.265140599581809</v>
      </c>
      <c r="G299" s="511">
        <v>24.106537658766999</v>
      </c>
      <c r="H299" s="509">
        <v>23.45524768974192</v>
      </c>
      <c r="I299" s="510">
        <v>24.054696464992578</v>
      </c>
      <c r="J299" s="511">
        <v>16.802171421363486</v>
      </c>
      <c r="K299" s="509">
        <v>27.078610275363953</v>
      </c>
      <c r="L299" s="509">
        <v>24.915658213339583</v>
      </c>
      <c r="M299" s="510">
        <v>38.333459984659122</v>
      </c>
      <c r="N299" s="518">
        <v>24.431146023928857</v>
      </c>
      <c r="O299" s="325"/>
      <c r="P299" s="726">
        <f t="shared" si="148"/>
        <v>2042</v>
      </c>
      <c r="Q299" s="727">
        <v>0.11355632793507767</v>
      </c>
      <c r="R299" s="728">
        <v>2.5558887595877707E-2</v>
      </c>
      <c r="S299" s="728">
        <v>4.1807324976838221E-2</v>
      </c>
      <c r="T299" s="728">
        <v>1.6603140725417843E-2</v>
      </c>
      <c r="U299" s="729">
        <f t="shared" si="149"/>
        <v>1.2070763259897989E-2</v>
      </c>
      <c r="V299" s="728">
        <v>9.6544748700543633E-3</v>
      </c>
      <c r="W299" s="730">
        <v>6.8256473543956211E-3</v>
      </c>
      <c r="AE299" s="324"/>
      <c r="AF299" s="328"/>
      <c r="AG299" s="328"/>
      <c r="AH299" s="327"/>
      <c r="AI299" s="328"/>
      <c r="AJ299" s="327"/>
      <c r="AK299" s="327"/>
      <c r="AL299" s="327"/>
      <c r="AM299" s="327"/>
      <c r="AN299" s="327"/>
      <c r="AO299" s="327"/>
      <c r="AP299" s="327"/>
      <c r="AQ299" s="327"/>
      <c r="AR299" s="327"/>
      <c r="AS299" s="327"/>
      <c r="AT299" s="329"/>
      <c r="AU299" s="324"/>
      <c r="BX299" s="201"/>
      <c r="BY299" s="201"/>
      <c r="BZ299" s="201"/>
    </row>
    <row r="300" spans="1:78">
      <c r="A300" s="323"/>
      <c r="B300" s="528">
        <v>2043</v>
      </c>
      <c r="C300" s="517">
        <v>27.847363731742227</v>
      </c>
      <c r="D300" s="509">
        <v>23.311712836948164</v>
      </c>
      <c r="E300" s="509">
        <v>22.358351166960535</v>
      </c>
      <c r="F300" s="510">
        <v>23.280196444045448</v>
      </c>
      <c r="G300" s="511">
        <v>24.113821867136249</v>
      </c>
      <c r="H300" s="509">
        <v>23.51720638642762</v>
      </c>
      <c r="I300" s="510">
        <v>24.066332637737347</v>
      </c>
      <c r="J300" s="511">
        <v>16.839247560383338</v>
      </c>
      <c r="K300" s="509">
        <v>27.138362690326062</v>
      </c>
      <c r="L300" s="509">
        <v>24.970637798092206</v>
      </c>
      <c r="M300" s="510">
        <v>38.645145797400254</v>
      </c>
      <c r="N300" s="518">
        <v>24.43852831834446</v>
      </c>
      <c r="O300" s="325"/>
      <c r="P300" s="726">
        <f t="shared" si="148"/>
        <v>2043</v>
      </c>
      <c r="Q300" s="727">
        <v>0.11355632793507767</v>
      </c>
      <c r="R300" s="728">
        <v>2.5558887595877707E-2</v>
      </c>
      <c r="S300" s="728">
        <v>4.1807324976838221E-2</v>
      </c>
      <c r="T300" s="728">
        <v>1.6603140725417843E-2</v>
      </c>
      <c r="U300" s="729">
        <f t="shared" si="149"/>
        <v>1.2070763259897989E-2</v>
      </c>
      <c r="V300" s="728">
        <v>9.6544748700543633E-3</v>
      </c>
      <c r="W300" s="730">
        <v>6.8256473543956211E-3</v>
      </c>
      <c r="AE300" s="324"/>
      <c r="AF300" s="328"/>
      <c r="AG300" s="328"/>
      <c r="AH300" s="327"/>
      <c r="AI300" s="328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9"/>
      <c r="AU300" s="324"/>
      <c r="BX300" s="201"/>
      <c r="BY300" s="201"/>
      <c r="BZ300" s="201"/>
    </row>
    <row r="301" spans="1:78">
      <c r="A301" s="323"/>
      <c r="B301" s="528">
        <v>2044</v>
      </c>
      <c r="C301" s="517">
        <v>27.945380035781291</v>
      </c>
      <c r="D301" s="509">
        <v>23.357386450775646</v>
      </c>
      <c r="E301" s="509">
        <v>22.468383028782881</v>
      </c>
      <c r="F301" s="510">
        <v>23.327997623826324</v>
      </c>
      <c r="G301" s="511">
        <v>24.155144520908937</v>
      </c>
      <c r="H301" s="509">
        <v>23.632941307318514</v>
      </c>
      <c r="I301" s="510">
        <v>24.11357833799061</v>
      </c>
      <c r="J301" s="511">
        <v>16.898517831873569</v>
      </c>
      <c r="K301" s="509">
        <v>27.233883474059901</v>
      </c>
      <c r="L301" s="509">
        <v>25.058528689669753</v>
      </c>
      <c r="M301" s="510">
        <v>38.913550739024309</v>
      </c>
      <c r="N301" s="518">
        <v>24.480407405366716</v>
      </c>
      <c r="O301" s="325"/>
      <c r="P301" s="726">
        <f t="shared" si="148"/>
        <v>2044</v>
      </c>
      <c r="Q301" s="727">
        <v>0.11355632793507767</v>
      </c>
      <c r="R301" s="728">
        <v>2.5558887595877707E-2</v>
      </c>
      <c r="S301" s="728">
        <v>4.1807324976838221E-2</v>
      </c>
      <c r="T301" s="728">
        <v>1.6603140725417843E-2</v>
      </c>
      <c r="U301" s="729">
        <f t="shared" si="149"/>
        <v>1.2070763259897989E-2</v>
      </c>
      <c r="V301" s="728">
        <v>9.6544748700543633E-3</v>
      </c>
      <c r="W301" s="730">
        <v>6.8256473543956211E-3</v>
      </c>
      <c r="AE301" s="324"/>
      <c r="AF301" s="328"/>
      <c r="AG301" s="328"/>
      <c r="AH301" s="327"/>
      <c r="AI301" s="328"/>
      <c r="AJ301" s="327"/>
      <c r="AK301" s="327"/>
      <c r="AL301" s="327"/>
      <c r="AM301" s="327"/>
      <c r="AN301" s="327"/>
      <c r="AO301" s="327"/>
      <c r="AP301" s="327"/>
      <c r="AQ301" s="327"/>
      <c r="AR301" s="327"/>
      <c r="AS301" s="327"/>
      <c r="AT301" s="329"/>
      <c r="AU301" s="324"/>
      <c r="BX301" s="201"/>
      <c r="BY301" s="201"/>
      <c r="BZ301" s="201"/>
    </row>
    <row r="302" spans="1:78">
      <c r="A302" s="323"/>
      <c r="B302" s="528">
        <v>2045</v>
      </c>
      <c r="C302" s="517">
        <v>28.037274698421886</v>
      </c>
      <c r="D302" s="509">
        <v>23.454191834401207</v>
      </c>
      <c r="E302" s="509">
        <v>22.597743826609403</v>
      </c>
      <c r="F302" s="510">
        <v>23.425879229894392</v>
      </c>
      <c r="G302" s="511">
        <v>24.260607807747036</v>
      </c>
      <c r="H302" s="509">
        <v>23.769007001880766</v>
      </c>
      <c r="I302" s="510">
        <v>24.22147750657761</v>
      </c>
      <c r="J302" s="511">
        <v>16.954086358524407</v>
      </c>
      <c r="K302" s="509">
        <v>27.323438474959428</v>
      </c>
      <c r="L302" s="509">
        <v>25.140930325906528</v>
      </c>
      <c r="M302" s="510">
        <v>39.040667954784439</v>
      </c>
      <c r="N302" s="518">
        <v>24.587290815891162</v>
      </c>
      <c r="O302" s="325"/>
      <c r="P302" s="726">
        <f t="shared" si="148"/>
        <v>2045</v>
      </c>
      <c r="Q302" s="727">
        <v>0.11355632793507767</v>
      </c>
      <c r="R302" s="728">
        <v>2.5558887595877707E-2</v>
      </c>
      <c r="S302" s="728">
        <v>4.1807324976838221E-2</v>
      </c>
      <c r="T302" s="728">
        <v>1.6603140725417843E-2</v>
      </c>
      <c r="U302" s="729">
        <f t="shared" si="149"/>
        <v>1.2070763259897989E-2</v>
      </c>
      <c r="V302" s="728">
        <v>9.6544748700543633E-3</v>
      </c>
      <c r="W302" s="730">
        <v>6.8256473543956211E-3</v>
      </c>
      <c r="AE302" s="324"/>
      <c r="AF302" s="328"/>
      <c r="AG302" s="328"/>
      <c r="AH302" s="327"/>
      <c r="AI302" s="328"/>
      <c r="AJ302" s="327"/>
      <c r="AK302" s="327"/>
      <c r="AL302" s="327"/>
      <c r="AM302" s="327"/>
      <c r="AN302" s="327"/>
      <c r="AO302" s="327"/>
      <c r="AP302" s="327"/>
      <c r="AQ302" s="327"/>
      <c r="AR302" s="327"/>
      <c r="AS302" s="327"/>
      <c r="AT302" s="329"/>
      <c r="AU302" s="324"/>
      <c r="BX302" s="201"/>
      <c r="BY302" s="201"/>
      <c r="BZ302" s="201"/>
    </row>
    <row r="303" spans="1:78" ht="12.75" customHeight="1">
      <c r="A303" s="323"/>
      <c r="B303" s="528">
        <v>2046</v>
      </c>
      <c r="C303" s="517">
        <v>28.208731687933856</v>
      </c>
      <c r="D303" s="509">
        <v>23.613866296279017</v>
      </c>
      <c r="E303" s="509">
        <v>22.803393606394952</v>
      </c>
      <c r="F303" s="510">
        <v>23.587073551683318</v>
      </c>
      <c r="G303" s="511">
        <v>24.431505813829816</v>
      </c>
      <c r="H303" s="509">
        <v>23.98531581098861</v>
      </c>
      <c r="I303" s="510">
        <v>24.395990108848014</v>
      </c>
      <c r="J303" s="511">
        <v>17.057766071985366</v>
      </c>
      <c r="K303" s="509">
        <v>27.490530125429142</v>
      </c>
      <c r="L303" s="509">
        <v>25.294675234196518</v>
      </c>
      <c r="M303" s="510">
        <v>39.333928522439528</v>
      </c>
      <c r="N303" s="518">
        <v>24.7604900617102</v>
      </c>
      <c r="O303" s="325"/>
      <c r="P303" s="726">
        <f t="shared" si="148"/>
        <v>2046</v>
      </c>
      <c r="Q303" s="727">
        <v>0.11355632793507767</v>
      </c>
      <c r="R303" s="728">
        <v>2.5558887595877707E-2</v>
      </c>
      <c r="S303" s="728">
        <v>4.1807324976838221E-2</v>
      </c>
      <c r="T303" s="728">
        <v>1.6603140725417843E-2</v>
      </c>
      <c r="U303" s="729">
        <f t="shared" si="149"/>
        <v>1.2070763259897989E-2</v>
      </c>
      <c r="V303" s="728">
        <v>9.6544748700543633E-3</v>
      </c>
      <c r="W303" s="730">
        <v>6.8256473543956211E-3</v>
      </c>
      <c r="AE303" s="324"/>
      <c r="AF303" s="328"/>
      <c r="AG303" s="328"/>
      <c r="AH303" s="327"/>
      <c r="AI303" s="328"/>
      <c r="AJ303" s="327"/>
      <c r="AK303" s="327"/>
      <c r="AL303" s="327"/>
      <c r="AM303" s="327"/>
      <c r="AN303" s="327"/>
      <c r="AO303" s="327"/>
      <c r="AP303" s="327"/>
      <c r="AQ303" s="327"/>
      <c r="AR303" s="327"/>
      <c r="AS303" s="327"/>
      <c r="AT303" s="329"/>
      <c r="AU303" s="324"/>
      <c r="BX303" s="201"/>
      <c r="BY303" s="201"/>
      <c r="BZ303" s="201"/>
    </row>
    <row r="304" spans="1:78" ht="12.75" customHeight="1">
      <c r="A304" s="323"/>
      <c r="B304" s="528">
        <v>2047</v>
      </c>
      <c r="C304" s="517">
        <v>28.554239209701304</v>
      </c>
      <c r="D304" s="509">
        <v>23.911168655692837</v>
      </c>
      <c r="E304" s="509">
        <v>23.099980559626577</v>
      </c>
      <c r="F304" s="510">
        <v>23.884352261077392</v>
      </c>
      <c r="G304" s="511">
        <v>24.745641918106568</v>
      </c>
      <c r="H304" s="509">
        <v>24.297275156227666</v>
      </c>
      <c r="I304" s="510">
        <v>24.709952948077799</v>
      </c>
      <c r="J304" s="511">
        <v>17.266693809241328</v>
      </c>
      <c r="K304" s="509">
        <v>27.827240936846913</v>
      </c>
      <c r="L304" s="509">
        <v>25.604490671868888</v>
      </c>
      <c r="M304" s="510">
        <v>39.645925809191077</v>
      </c>
      <c r="N304" s="518">
        <v>25.078856188924757</v>
      </c>
      <c r="O304" s="325"/>
      <c r="P304" s="726">
        <f t="shared" si="148"/>
        <v>2047</v>
      </c>
      <c r="Q304" s="727">
        <v>0.11355632793507767</v>
      </c>
      <c r="R304" s="728">
        <v>2.5558887595877707E-2</v>
      </c>
      <c r="S304" s="728">
        <v>4.1807324976838221E-2</v>
      </c>
      <c r="T304" s="728">
        <v>1.6603140725417843E-2</v>
      </c>
      <c r="U304" s="729">
        <f t="shared" si="149"/>
        <v>1.2070763259897989E-2</v>
      </c>
      <c r="V304" s="728">
        <v>9.6544748700543633E-3</v>
      </c>
      <c r="W304" s="730">
        <v>6.8256473543956211E-3</v>
      </c>
      <c r="AE304" s="324"/>
      <c r="AF304" s="328"/>
      <c r="AG304" s="328"/>
      <c r="AH304" s="327"/>
      <c r="AI304" s="328"/>
      <c r="AJ304" s="327"/>
      <c r="AK304" s="327"/>
      <c r="AL304" s="327"/>
      <c r="AM304" s="327"/>
      <c r="AN304" s="327"/>
      <c r="AO304" s="327"/>
      <c r="AP304" s="327"/>
      <c r="AQ304" s="327"/>
      <c r="AR304" s="327"/>
      <c r="AS304" s="327"/>
      <c r="AT304" s="329"/>
      <c r="AU304" s="324"/>
      <c r="BX304" s="201"/>
      <c r="BY304" s="201"/>
      <c r="BZ304" s="201"/>
    </row>
    <row r="305" spans="1:78" ht="12.75" customHeight="1">
      <c r="A305" s="323"/>
      <c r="B305" s="528">
        <v>2048</v>
      </c>
      <c r="C305" s="517">
        <v>28.572507076162861</v>
      </c>
      <c r="D305" s="509">
        <v>23.928415822395298</v>
      </c>
      <c r="E305" s="509">
        <v>23.147555270980259</v>
      </c>
      <c r="F305" s="510">
        <v>23.902602000930305</v>
      </c>
      <c r="G305" s="511">
        <v>24.76414090845984</v>
      </c>
      <c r="H305" s="509">
        <v>24.347315711424443</v>
      </c>
      <c r="I305" s="510">
        <v>24.73096257494133</v>
      </c>
      <c r="J305" s="511">
        <v>17.277740353133577</v>
      </c>
      <c r="K305" s="509">
        <v>27.845043698730869</v>
      </c>
      <c r="L305" s="509">
        <v>25.620871406546314</v>
      </c>
      <c r="M305" s="510">
        <v>40.012027688921606</v>
      </c>
      <c r="N305" s="518">
        <v>25.097604278800354</v>
      </c>
      <c r="O305" s="325"/>
      <c r="P305" s="726">
        <f t="shared" si="148"/>
        <v>2048</v>
      </c>
      <c r="Q305" s="727">
        <v>0.11355632793507767</v>
      </c>
      <c r="R305" s="728">
        <v>2.5558887595877707E-2</v>
      </c>
      <c r="S305" s="728">
        <v>4.1807324976838221E-2</v>
      </c>
      <c r="T305" s="728">
        <v>1.6603140725417843E-2</v>
      </c>
      <c r="U305" s="729">
        <f t="shared" si="149"/>
        <v>1.2070763259897989E-2</v>
      </c>
      <c r="V305" s="728">
        <v>9.6544748700543633E-3</v>
      </c>
      <c r="W305" s="730">
        <v>6.8256473543956211E-3</v>
      </c>
      <c r="AE305" s="324"/>
      <c r="AF305" s="328"/>
      <c r="AG305" s="328"/>
      <c r="AH305" s="327"/>
      <c r="AI305" s="328"/>
      <c r="AJ305" s="327"/>
      <c r="AK305" s="327"/>
      <c r="AL305" s="327"/>
      <c r="AM305" s="327"/>
      <c r="AN305" s="327"/>
      <c r="AO305" s="327"/>
      <c r="AP305" s="327"/>
      <c r="AQ305" s="327"/>
      <c r="AR305" s="327"/>
      <c r="AS305" s="327"/>
      <c r="AT305" s="329"/>
      <c r="AU305" s="324"/>
      <c r="BX305" s="201"/>
      <c r="BY305" s="201"/>
      <c r="BZ305" s="201"/>
    </row>
    <row r="306" spans="1:78">
      <c r="A306" s="323"/>
      <c r="B306" s="528">
        <v>2049</v>
      </c>
      <c r="C306" s="517">
        <v>28.760303785197049</v>
      </c>
      <c r="D306" s="509">
        <v>24.104044002614742</v>
      </c>
      <c r="E306" s="509">
        <v>23.366868560607372</v>
      </c>
      <c r="F306" s="510">
        <v>24.079674330957143</v>
      </c>
      <c r="G306" s="511">
        <v>24.952234345172112</v>
      </c>
      <c r="H306" s="509">
        <v>24.577996223459191</v>
      </c>
      <c r="I306" s="510">
        <v>24.922445845566418</v>
      </c>
      <c r="J306" s="511">
        <v>17.391300663722234</v>
      </c>
      <c r="K306" s="509">
        <v>28.028059055262091</v>
      </c>
      <c r="L306" s="509">
        <v>25.789268086610544</v>
      </c>
      <c r="M306" s="510">
        <v>40.200291925036169</v>
      </c>
      <c r="N306" s="518">
        <v>25.288230501591368</v>
      </c>
      <c r="O306" s="325"/>
      <c r="P306" s="726">
        <f t="shared" si="148"/>
        <v>2049</v>
      </c>
      <c r="Q306" s="727">
        <v>0.11355632793507767</v>
      </c>
      <c r="R306" s="728">
        <v>2.5558887595877707E-2</v>
      </c>
      <c r="S306" s="728">
        <v>4.1807324976838221E-2</v>
      </c>
      <c r="T306" s="728">
        <v>1.6603140725417843E-2</v>
      </c>
      <c r="U306" s="729">
        <f t="shared" si="149"/>
        <v>1.2070763259897989E-2</v>
      </c>
      <c r="V306" s="728">
        <v>9.6544748700543633E-3</v>
      </c>
      <c r="W306" s="730">
        <v>6.8256473543956211E-3</v>
      </c>
      <c r="AE306" s="324"/>
      <c r="AF306" s="328"/>
      <c r="AG306" s="328"/>
      <c r="AH306" s="327"/>
      <c r="AI306" s="328"/>
      <c r="AJ306" s="327"/>
      <c r="AK306" s="327"/>
      <c r="AL306" s="327"/>
      <c r="AM306" s="327"/>
      <c r="AN306" s="327"/>
      <c r="AO306" s="327"/>
      <c r="AP306" s="327"/>
      <c r="AQ306" s="327"/>
      <c r="AR306" s="327"/>
      <c r="AS306" s="327"/>
      <c r="AT306" s="329"/>
      <c r="AU306" s="324"/>
      <c r="BX306" s="201"/>
      <c r="BY306" s="201"/>
      <c r="BZ306" s="201"/>
    </row>
    <row r="307" spans="1:78" ht="13.5" thickBot="1">
      <c r="A307" s="323"/>
      <c r="B307" s="529">
        <v>2050</v>
      </c>
      <c r="C307" s="530">
        <v>29.037255527229959</v>
      </c>
      <c r="D307" s="531">
        <v>24.341776423944065</v>
      </c>
      <c r="E307" s="531">
        <v>23.663931022496868</v>
      </c>
      <c r="F307" s="532">
        <v>24.319368094899762</v>
      </c>
      <c r="G307" s="533">
        <v>25.203320221355892</v>
      </c>
      <c r="H307" s="531">
        <v>24.890455723435156</v>
      </c>
      <c r="I307" s="532">
        <v>25.178416922006562</v>
      </c>
      <c r="J307" s="533">
        <v>17.558772852159795</v>
      </c>
      <c r="K307" s="531">
        <v>28.297959534726132</v>
      </c>
      <c r="L307" s="531">
        <v>26.037609786186636</v>
      </c>
      <c r="M307" s="532">
        <v>40.553688779881895</v>
      </c>
      <c r="N307" s="534">
        <v>25.542697393204943</v>
      </c>
      <c r="O307" s="731"/>
      <c r="P307" s="732">
        <f t="shared" si="148"/>
        <v>2050</v>
      </c>
      <c r="Q307" s="733">
        <v>0.11355632793507767</v>
      </c>
      <c r="R307" s="734">
        <v>2.5558887595877707E-2</v>
      </c>
      <c r="S307" s="734">
        <v>4.1807324976838221E-2</v>
      </c>
      <c r="T307" s="734">
        <v>1.6603140725417843E-2</v>
      </c>
      <c r="U307" s="735">
        <f t="shared" si="149"/>
        <v>1.2070763259897989E-2</v>
      </c>
      <c r="V307" s="734">
        <v>9.6544748700543633E-3</v>
      </c>
      <c r="W307" s="736">
        <v>6.8256473543956211E-3</v>
      </c>
      <c r="AE307" s="324"/>
      <c r="AF307" s="328"/>
      <c r="AG307" s="328"/>
      <c r="AH307" s="327"/>
      <c r="AI307" s="328"/>
      <c r="AJ307" s="327"/>
      <c r="AK307" s="327"/>
      <c r="AL307" s="327"/>
      <c r="AM307" s="327"/>
      <c r="AN307" s="327"/>
      <c r="AO307" s="327"/>
      <c r="AP307" s="327"/>
      <c r="AQ307" s="327"/>
      <c r="AR307" s="327"/>
      <c r="AS307" s="327"/>
      <c r="AT307" s="329"/>
      <c r="AU307" s="324"/>
      <c r="BX307" s="201"/>
      <c r="BY307" s="201"/>
      <c r="BZ307" s="201"/>
    </row>
    <row r="308" spans="1:78" ht="13.5" thickTop="1">
      <c r="A308" s="323"/>
      <c r="B308" s="326"/>
      <c r="AE308" s="324"/>
      <c r="AF308" s="328"/>
      <c r="AG308" s="328"/>
      <c r="AH308" s="327"/>
      <c r="AI308" s="328"/>
      <c r="AJ308" s="327"/>
      <c r="AK308" s="327"/>
      <c r="AL308" s="327"/>
      <c r="AM308" s="327"/>
      <c r="AN308" s="327"/>
      <c r="AO308" s="327"/>
      <c r="AP308" s="327"/>
      <c r="AQ308" s="327"/>
      <c r="AR308" s="327"/>
      <c r="AS308" s="327"/>
      <c r="AT308" s="329"/>
      <c r="AU308" s="324"/>
      <c r="BX308" s="201"/>
      <c r="BY308" s="201"/>
      <c r="BZ308" s="201"/>
    </row>
    <row r="309" spans="1:78">
      <c r="A309" s="323"/>
      <c r="B309" s="326"/>
      <c r="AE309" s="324"/>
      <c r="AF309" s="328"/>
      <c r="AG309" s="328"/>
      <c r="AH309" s="327"/>
      <c r="AI309" s="328"/>
      <c r="AJ309" s="327"/>
      <c r="AK309" s="327"/>
      <c r="AL309" s="327"/>
      <c r="AM309" s="327"/>
      <c r="AN309" s="327"/>
      <c r="AO309" s="327"/>
      <c r="AP309" s="327"/>
      <c r="AQ309" s="327"/>
      <c r="AR309" s="327"/>
      <c r="AS309" s="327"/>
      <c r="AT309" s="329"/>
      <c r="AU309" s="324"/>
      <c r="BX309" s="201"/>
      <c r="BY309" s="201"/>
      <c r="BZ309" s="201"/>
    </row>
  </sheetData>
  <mergeCells count="119">
    <mergeCell ref="CL178:CQ178"/>
    <mergeCell ref="CL179:CN180"/>
    <mergeCell ref="CO179:CQ180"/>
    <mergeCell ref="CL175:CQ175"/>
    <mergeCell ref="CI178:CJ180"/>
    <mergeCell ref="CA175:CJ175"/>
    <mergeCell ref="AY9:AY10"/>
    <mergeCell ref="AV9:AW9"/>
    <mergeCell ref="AZ9:BC9"/>
    <mergeCell ref="CA178:CD179"/>
    <mergeCell ref="CA180:CD180"/>
    <mergeCell ref="CE178:CH179"/>
    <mergeCell ref="CE180:CH180"/>
    <mergeCell ref="BX178:BY178"/>
    <mergeCell ref="BX179:BX180"/>
    <mergeCell ref="BY179:BY180"/>
    <mergeCell ref="BQ178:BQ181"/>
    <mergeCell ref="BR178:BW178"/>
    <mergeCell ref="BR179:BT180"/>
    <mergeCell ref="BU179:BW180"/>
    <mergeCell ref="BE179:BM179"/>
    <mergeCell ref="AV180:AY180"/>
    <mergeCell ref="AZ180:BA180"/>
    <mergeCell ref="BB180:BD180"/>
    <mergeCell ref="BE180:BH180"/>
    <mergeCell ref="BI180:BJ180"/>
    <mergeCell ref="BK180:BM180"/>
    <mergeCell ref="Y178:AP178"/>
    <mergeCell ref="A9:B10"/>
    <mergeCell ref="C9:F9"/>
    <mergeCell ref="G9:J9"/>
    <mergeCell ref="P9:R9"/>
    <mergeCell ref="S9:U9"/>
    <mergeCell ref="AV178:BM178"/>
    <mergeCell ref="AV179:BD179"/>
    <mergeCell ref="Y180:AB180"/>
    <mergeCell ref="AC180:AD180"/>
    <mergeCell ref="AE180:AG180"/>
    <mergeCell ref="AH180:AK180"/>
    <mergeCell ref="Y179:AG179"/>
    <mergeCell ref="R178:U180"/>
    <mergeCell ref="AL180:AM180"/>
    <mergeCell ref="P231:Q231"/>
    <mergeCell ref="O178:Q180"/>
    <mergeCell ref="K9:K10"/>
    <mergeCell ref="Y9:AE9"/>
    <mergeCell ref="AT9:AU9"/>
    <mergeCell ref="AG9:AM9"/>
    <mergeCell ref="AN9:AQ9"/>
    <mergeCell ref="AR9:AS9"/>
    <mergeCell ref="L9:O9"/>
    <mergeCell ref="V9:X9"/>
    <mergeCell ref="T224:AC224"/>
    <mergeCell ref="R224:R226"/>
    <mergeCell ref="P226:Q226"/>
    <mergeCell ref="AQ178:AR180"/>
    <mergeCell ref="AH179:AP179"/>
    <mergeCell ref="AN180:AP180"/>
    <mergeCell ref="Y225:AA225"/>
    <mergeCell ref="AC225:AC226"/>
    <mergeCell ref="AE225:AG226"/>
    <mergeCell ref="T225:W225"/>
    <mergeCell ref="P255:Q255"/>
    <mergeCell ref="P256:Q256"/>
    <mergeCell ref="A12:B12"/>
    <mergeCell ref="A38:B38"/>
    <mergeCell ref="A144:B144"/>
    <mergeCell ref="A118:B118"/>
    <mergeCell ref="A92:B92"/>
    <mergeCell ref="A64:B64"/>
    <mergeCell ref="H178:H181"/>
    <mergeCell ref="I178:L180"/>
    <mergeCell ref="P237:Q237"/>
    <mergeCell ref="P238:Q238"/>
    <mergeCell ref="P239:Q239"/>
    <mergeCell ref="P232:Q232"/>
    <mergeCell ref="P233:Q233"/>
    <mergeCell ref="P234:Q234"/>
    <mergeCell ref="P235:Q235"/>
    <mergeCell ref="P236:Q236"/>
    <mergeCell ref="M178:N180"/>
    <mergeCell ref="D178:G180"/>
    <mergeCell ref="P253:Q253"/>
    <mergeCell ref="P228:Q228"/>
    <mergeCell ref="P229:Q229"/>
    <mergeCell ref="P230:Q230"/>
    <mergeCell ref="AE261:AF261"/>
    <mergeCell ref="AG262:AH262"/>
    <mergeCell ref="AF265:AG265"/>
    <mergeCell ref="AG264:AH264"/>
    <mergeCell ref="P273:P274"/>
    <mergeCell ref="Q273:W273"/>
    <mergeCell ref="P240:Q240"/>
    <mergeCell ref="P241:Q241"/>
    <mergeCell ref="P242:Q242"/>
    <mergeCell ref="P243:Q243"/>
    <mergeCell ref="P258:Q258"/>
    <mergeCell ref="P259:Q259"/>
    <mergeCell ref="P260:Q260"/>
    <mergeCell ref="P247:Q247"/>
    <mergeCell ref="P248:Q248"/>
    <mergeCell ref="P244:Q244"/>
    <mergeCell ref="P257:Q257"/>
    <mergeCell ref="P249:Q249"/>
    <mergeCell ref="P250:Q250"/>
    <mergeCell ref="P251:Q251"/>
    <mergeCell ref="P252:Q252"/>
    <mergeCell ref="P245:Q245"/>
    <mergeCell ref="P246:Q246"/>
    <mergeCell ref="P254:Q254"/>
    <mergeCell ref="D225:G225"/>
    <mergeCell ref="I225:K225"/>
    <mergeCell ref="M225:M226"/>
    <mergeCell ref="B268:B274"/>
    <mergeCell ref="C268:I270"/>
    <mergeCell ref="J268:N270"/>
    <mergeCell ref="D271:F271"/>
    <mergeCell ref="G271:I271"/>
    <mergeCell ref="J271:M271"/>
  </mergeCells>
  <phoneticPr fontId="28" type="noConversion"/>
  <dataValidations disablePrompts="1" count="1">
    <dataValidation allowBlank="1" showInputMessage="1" showErrorMessage="1" sqref="AB175"/>
  </dataValidations>
  <pageMargins left="0" right="0" top="1" bottom="1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J14"/>
  <sheetViews>
    <sheetView showGridLines="0" workbookViewId="0"/>
  </sheetViews>
  <sheetFormatPr defaultColWidth="9.140625" defaultRowHeight="12.75"/>
  <cols>
    <col min="1" max="1" width="32.85546875" style="1034" bestFit="1" customWidth="1"/>
    <col min="2" max="3" width="8.140625" style="1034" bestFit="1" customWidth="1"/>
    <col min="4" max="5" width="8.7109375" style="1034" bestFit="1" customWidth="1"/>
    <col min="6" max="8" width="15" style="1034" bestFit="1" customWidth="1"/>
    <col min="9" max="9" width="11.7109375" style="1034" bestFit="1" customWidth="1"/>
    <col min="10" max="10" width="10" style="1034" bestFit="1" customWidth="1"/>
    <col min="11" max="16384" width="9.140625" style="1034"/>
  </cols>
  <sheetData>
    <row r="1" spans="1:10">
      <c r="A1" s="1023">
        <v>1</v>
      </c>
      <c r="B1" s="1023">
        <f>A1+1</f>
        <v>2</v>
      </c>
      <c r="C1" s="1023">
        <f t="shared" ref="C1:J1" si="0">B1+1</f>
        <v>3</v>
      </c>
      <c r="D1" s="1023">
        <f t="shared" si="0"/>
        <v>4</v>
      </c>
      <c r="E1" s="1023">
        <f t="shared" si="0"/>
        <v>5</v>
      </c>
      <c r="F1" s="1023">
        <f t="shared" si="0"/>
        <v>6</v>
      </c>
      <c r="G1" s="1023">
        <f t="shared" si="0"/>
        <v>7</v>
      </c>
      <c r="H1" s="1023">
        <f t="shared" si="0"/>
        <v>8</v>
      </c>
      <c r="I1" s="1023">
        <f t="shared" si="0"/>
        <v>9</v>
      </c>
      <c r="J1" s="1023">
        <f t="shared" si="0"/>
        <v>10</v>
      </c>
    </row>
    <row r="2" spans="1:10">
      <c r="A2" s="1048"/>
      <c r="B2" s="1621" t="s">
        <v>37</v>
      </c>
      <c r="C2" s="1622"/>
      <c r="D2" s="1622"/>
      <c r="E2" s="1622"/>
      <c r="F2" s="1623" t="s">
        <v>38</v>
      </c>
      <c r="G2" s="1624"/>
      <c r="H2" s="1625"/>
      <c r="I2" s="1024"/>
      <c r="J2" s="1025"/>
    </row>
    <row r="3" spans="1:10">
      <c r="A3" s="1049" t="s">
        <v>386</v>
      </c>
      <c r="B3" s="1044" t="s">
        <v>40</v>
      </c>
      <c r="C3" s="1026" t="s">
        <v>40</v>
      </c>
      <c r="D3" s="1026" t="s">
        <v>39</v>
      </c>
      <c r="E3" s="1026" t="s">
        <v>39</v>
      </c>
      <c r="F3" s="1027" t="s">
        <v>40</v>
      </c>
      <c r="G3" s="1028" t="s">
        <v>39</v>
      </c>
      <c r="H3" s="1029" t="s">
        <v>41</v>
      </c>
      <c r="I3" s="1030" t="s">
        <v>42</v>
      </c>
      <c r="J3" s="1031" t="s">
        <v>43</v>
      </c>
    </row>
    <row r="4" spans="1:10">
      <c r="A4" s="1049" t="s">
        <v>28</v>
      </c>
      <c r="B4" s="1044" t="s">
        <v>44</v>
      </c>
      <c r="C4" s="1026" t="s">
        <v>45</v>
      </c>
      <c r="D4" s="1026" t="s">
        <v>44</v>
      </c>
      <c r="E4" s="1026" t="s">
        <v>45</v>
      </c>
      <c r="F4" s="1027" t="s">
        <v>38</v>
      </c>
      <c r="G4" s="1028" t="s">
        <v>38</v>
      </c>
      <c r="H4" s="1029" t="s">
        <v>38</v>
      </c>
      <c r="I4" s="1032"/>
      <c r="J4" s="1033"/>
    </row>
    <row r="5" spans="1:10">
      <c r="A5" s="1050"/>
      <c r="B5" s="1039"/>
      <c r="C5" s="1039"/>
      <c r="D5" s="1039"/>
      <c r="E5" s="1039"/>
      <c r="F5" s="1040"/>
      <c r="G5" s="1041"/>
      <c r="H5" s="1042"/>
      <c r="I5" s="1041"/>
      <c r="J5" s="1043"/>
    </row>
    <row r="6" spans="1:10">
      <c r="A6" s="1045" t="s">
        <v>57</v>
      </c>
      <c r="B6" s="1051">
        <v>0</v>
      </c>
      <c r="C6" s="1052">
        <v>0</v>
      </c>
      <c r="D6" s="1052">
        <v>1</v>
      </c>
      <c r="E6" s="1052">
        <v>0</v>
      </c>
      <c r="F6" s="1053"/>
      <c r="G6" s="1054"/>
      <c r="H6" s="1055"/>
      <c r="I6" s="1052">
        <v>1</v>
      </c>
      <c r="J6" s="1056">
        <v>0</v>
      </c>
    </row>
    <row r="7" spans="1:10">
      <c r="A7" s="1046" t="s">
        <v>839</v>
      </c>
      <c r="B7" s="1057">
        <v>0</v>
      </c>
      <c r="C7" s="1058">
        <v>0</v>
      </c>
      <c r="D7" s="1058">
        <v>0</v>
      </c>
      <c r="E7" s="1058">
        <v>1</v>
      </c>
      <c r="F7" s="1053"/>
      <c r="G7" s="1054"/>
      <c r="H7" s="1059"/>
      <c r="I7" s="1060">
        <v>0</v>
      </c>
      <c r="J7" s="1061">
        <v>0</v>
      </c>
    </row>
    <row r="8" spans="1:10">
      <c r="A8" s="1046" t="s">
        <v>55</v>
      </c>
      <c r="B8" s="1057">
        <v>1</v>
      </c>
      <c r="C8" s="1058">
        <v>0</v>
      </c>
      <c r="D8" s="1058">
        <v>0</v>
      </c>
      <c r="E8" s="1058">
        <v>0</v>
      </c>
      <c r="F8" s="1053"/>
      <c r="G8" s="1054"/>
      <c r="H8" s="1059"/>
      <c r="I8" s="1060">
        <v>0</v>
      </c>
      <c r="J8" s="1061">
        <v>1</v>
      </c>
    </row>
    <row r="9" spans="1:10">
      <c r="A9" s="1046" t="s">
        <v>840</v>
      </c>
      <c r="B9" s="1057">
        <v>0</v>
      </c>
      <c r="C9" s="1058">
        <v>1</v>
      </c>
      <c r="D9" s="1058">
        <v>0</v>
      </c>
      <c r="E9" s="1058">
        <v>0</v>
      </c>
      <c r="F9" s="1053"/>
      <c r="G9" s="1054"/>
      <c r="H9" s="1059"/>
      <c r="I9" s="1060">
        <v>0</v>
      </c>
      <c r="J9" s="1061">
        <v>0</v>
      </c>
    </row>
    <row r="10" spans="1:10">
      <c r="A10" s="1046"/>
      <c r="B10" s="1057"/>
      <c r="C10" s="1058"/>
      <c r="D10" s="1058"/>
      <c r="E10" s="1058"/>
      <c r="F10" s="1053"/>
      <c r="G10" s="1054"/>
      <c r="H10" s="1059"/>
      <c r="I10" s="1060"/>
      <c r="J10" s="1061"/>
    </row>
    <row r="11" spans="1:10">
      <c r="A11" s="1047"/>
      <c r="B11" s="1062"/>
      <c r="C11" s="1062"/>
      <c r="D11" s="1062"/>
      <c r="E11" s="1062"/>
      <c r="F11" s="1063"/>
      <c r="G11" s="1064"/>
      <c r="H11" s="1065"/>
      <c r="I11" s="1036"/>
      <c r="J11" s="1037"/>
    </row>
    <row r="14" spans="1:10">
      <c r="C14" s="1035"/>
      <c r="D14" s="1035"/>
      <c r="E14" s="1035"/>
      <c r="H14" s="1038"/>
    </row>
  </sheetData>
  <mergeCells count="2">
    <mergeCell ref="B2:E2"/>
    <mergeCell ref="F2:H2"/>
  </mergeCells>
  <hyperlinks>
    <hyperlink ref="D4" location="Manager!A1" display="Back to Manager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BC244"/>
  <sheetViews>
    <sheetView showGridLines="0" zoomScale="80" zoomScaleNormal="80" workbookViewId="0">
      <pane xSplit="3" topLeftCell="D1" activePane="topRight" state="frozen"/>
      <selection pane="topRight" activeCell="U71" sqref="U71"/>
    </sheetView>
  </sheetViews>
  <sheetFormatPr defaultColWidth="9.140625" defaultRowHeight="12.75"/>
  <cols>
    <col min="1" max="1" width="2.7109375" style="1072" customWidth="1"/>
    <col min="2" max="2" width="16.28515625" style="1072" customWidth="1"/>
    <col min="3" max="3" width="15.42578125" style="1072" bestFit="1" customWidth="1"/>
    <col min="4" max="4" width="9.42578125" style="1072" bestFit="1" customWidth="1"/>
    <col min="5" max="5" width="9.85546875" style="1072" bestFit="1" customWidth="1"/>
    <col min="6" max="6" width="10" style="1072" bestFit="1" customWidth="1"/>
    <col min="7" max="23" width="10.42578125" style="1072" bestFit="1" customWidth="1"/>
    <col min="24" max="28" width="9.85546875" style="1072" customWidth="1"/>
    <col min="29" max="29" width="2.7109375" style="1072" customWidth="1"/>
    <col min="30" max="49" width="12.28515625" style="1072" bestFit="1" customWidth="1"/>
    <col min="50" max="54" width="12.140625" style="1072" customWidth="1"/>
    <col min="55" max="55" width="2.7109375" style="1072" customWidth="1"/>
    <col min="56" max="16384" width="9.140625" style="1072"/>
  </cols>
  <sheetData>
    <row r="1" spans="2:55" ht="21">
      <c r="B1" s="1071" t="s">
        <v>846</v>
      </c>
      <c r="I1" s="1108"/>
    </row>
    <row r="4" spans="2:55" s="1073" customFormat="1" ht="34.5" thickBot="1">
      <c r="B4" s="1626" t="s">
        <v>847</v>
      </c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27"/>
      <c r="V4" s="1627"/>
      <c r="W4" s="1627"/>
      <c r="X4" s="1627"/>
      <c r="Y4" s="1627"/>
      <c r="Z4" s="1627"/>
      <c r="AA4" s="1627"/>
      <c r="AB4" s="1628"/>
      <c r="AD4" s="1626" t="s">
        <v>926</v>
      </c>
      <c r="AE4" s="1627"/>
      <c r="AF4" s="1627"/>
      <c r="AG4" s="1627"/>
      <c r="AH4" s="1627"/>
      <c r="AI4" s="1627"/>
      <c r="AJ4" s="1627"/>
      <c r="AK4" s="1627"/>
      <c r="AL4" s="1627"/>
      <c r="AM4" s="1627"/>
      <c r="AN4" s="1627"/>
      <c r="AO4" s="1627"/>
      <c r="AP4" s="1627"/>
      <c r="AQ4" s="1627"/>
      <c r="AR4" s="1627"/>
      <c r="AS4" s="1627"/>
      <c r="AT4" s="1627"/>
      <c r="AU4" s="1627"/>
      <c r="AV4" s="1627"/>
      <c r="AW4" s="1627"/>
      <c r="AX4" s="1627"/>
      <c r="AY4" s="1627"/>
      <c r="AZ4" s="1627"/>
      <c r="BA4" s="1627"/>
      <c r="BB4" s="1628"/>
    </row>
    <row r="5" spans="2:55" ht="16.5" thickTop="1">
      <c r="B5" s="1074"/>
      <c r="C5" s="1075" t="s">
        <v>848</v>
      </c>
      <c r="D5" s="1076" t="s">
        <v>849</v>
      </c>
      <c r="E5" s="1076"/>
      <c r="F5" s="1076"/>
      <c r="G5" s="1076"/>
      <c r="H5" s="1076"/>
      <c r="I5" s="1076"/>
      <c r="J5" s="1076"/>
      <c r="K5" s="1076"/>
      <c r="L5" s="1077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9"/>
      <c r="AD5" s="1080" t="s">
        <v>849</v>
      </c>
      <c r="AE5" s="1076"/>
      <c r="AF5" s="1076"/>
      <c r="AG5" s="1076"/>
      <c r="AH5" s="1076"/>
      <c r="AI5" s="1076"/>
      <c r="AJ5" s="1076"/>
      <c r="AK5" s="1076"/>
      <c r="AL5" s="1077"/>
      <c r="AM5" s="1078"/>
      <c r="AN5" s="1078"/>
      <c r="AO5" s="1078"/>
      <c r="AP5" s="1078"/>
      <c r="AQ5" s="1078"/>
      <c r="AR5" s="1078"/>
      <c r="AS5" s="1078"/>
      <c r="AT5" s="1078"/>
      <c r="AU5" s="1078"/>
      <c r="AV5" s="1078"/>
      <c r="AW5" s="1078"/>
      <c r="AX5" s="1078"/>
      <c r="AY5" s="1078"/>
      <c r="AZ5" s="1078"/>
      <c r="BA5" s="1078"/>
      <c r="BB5" s="1079"/>
    </row>
    <row r="6" spans="2:55" ht="15.75">
      <c r="B6" s="1081"/>
      <c r="C6" s="1082"/>
      <c r="D6" s="1083">
        <v>1</v>
      </c>
      <c r="E6" s="1083">
        <v>2</v>
      </c>
      <c r="F6" s="1083">
        <v>3</v>
      </c>
      <c r="G6" s="1083">
        <v>4</v>
      </c>
      <c r="H6" s="1083">
        <v>5</v>
      </c>
      <c r="I6" s="1083">
        <v>6</v>
      </c>
      <c r="J6" s="1083">
        <v>7</v>
      </c>
      <c r="K6" s="1083">
        <v>8</v>
      </c>
      <c r="L6" s="1083">
        <v>9</v>
      </c>
      <c r="M6" s="1083">
        <v>10</v>
      </c>
      <c r="N6" s="1083">
        <v>11</v>
      </c>
      <c r="O6" s="1083">
        <v>12</v>
      </c>
      <c r="P6" s="1083">
        <v>13</v>
      </c>
      <c r="Q6" s="1083">
        <v>14</v>
      </c>
      <c r="R6" s="1083">
        <v>15</v>
      </c>
      <c r="S6" s="1083">
        <v>16</v>
      </c>
      <c r="T6" s="1083">
        <v>17</v>
      </c>
      <c r="U6" s="1083">
        <v>18</v>
      </c>
      <c r="V6" s="1083">
        <v>19</v>
      </c>
      <c r="W6" s="1083">
        <v>20</v>
      </c>
      <c r="X6" s="1083">
        <v>21</v>
      </c>
      <c r="Y6" s="1083">
        <v>22</v>
      </c>
      <c r="Z6" s="1083">
        <v>23</v>
      </c>
      <c r="AA6" s="1083">
        <v>24</v>
      </c>
      <c r="AB6" s="1084">
        <v>25</v>
      </c>
      <c r="AD6" s="1085">
        <v>1</v>
      </c>
      <c r="AE6" s="1083">
        <v>2</v>
      </c>
      <c r="AF6" s="1083">
        <v>3</v>
      </c>
      <c r="AG6" s="1083">
        <v>4</v>
      </c>
      <c r="AH6" s="1083">
        <v>5</v>
      </c>
      <c r="AI6" s="1083">
        <v>6</v>
      </c>
      <c r="AJ6" s="1083">
        <v>7</v>
      </c>
      <c r="AK6" s="1083">
        <v>8</v>
      </c>
      <c r="AL6" s="1083">
        <v>9</v>
      </c>
      <c r="AM6" s="1083">
        <v>10</v>
      </c>
      <c r="AN6" s="1083">
        <v>11</v>
      </c>
      <c r="AO6" s="1083">
        <v>12</v>
      </c>
      <c r="AP6" s="1083">
        <v>13</v>
      </c>
      <c r="AQ6" s="1083">
        <v>14</v>
      </c>
      <c r="AR6" s="1083">
        <v>15</v>
      </c>
      <c r="AS6" s="1083">
        <v>16</v>
      </c>
      <c r="AT6" s="1083">
        <v>17</v>
      </c>
      <c r="AU6" s="1083">
        <v>18</v>
      </c>
      <c r="AV6" s="1083">
        <v>19</v>
      </c>
      <c r="AW6" s="1083">
        <v>20</v>
      </c>
      <c r="AX6" s="1083">
        <v>21</v>
      </c>
      <c r="AY6" s="1083">
        <v>22</v>
      </c>
      <c r="AZ6" s="1083">
        <v>23</v>
      </c>
      <c r="BA6" s="1083">
        <v>24</v>
      </c>
      <c r="BB6" s="1084">
        <v>25</v>
      </c>
      <c r="BC6" s="1086"/>
    </row>
    <row r="7" spans="2:55" s="1073" customFormat="1" ht="33.75">
      <c r="B7" s="1629">
        <f>Year1</f>
        <v>2021</v>
      </c>
      <c r="C7" s="1630"/>
      <c r="D7" s="1087"/>
      <c r="E7" s="1087"/>
      <c r="F7" s="108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 t="str">
        <f>Year1&amp;"$"</f>
        <v>2021$</v>
      </c>
      <c r="AE7" s="1087"/>
      <c r="AF7" s="1087"/>
      <c r="AG7" s="1087"/>
      <c r="AH7" s="1087"/>
      <c r="AI7" s="1087"/>
      <c r="AJ7" s="1087"/>
      <c r="AK7" s="1087"/>
      <c r="AL7" s="1087"/>
      <c r="AM7" s="1087"/>
      <c r="AN7" s="1087"/>
      <c r="AO7" s="1087"/>
      <c r="AP7" s="1087"/>
      <c r="AQ7" s="1087"/>
      <c r="AR7" s="1087"/>
      <c r="AS7" s="1087"/>
      <c r="AT7" s="1087"/>
      <c r="AU7" s="1087"/>
      <c r="AV7" s="1087"/>
      <c r="AW7" s="1087"/>
      <c r="AX7" s="1087"/>
      <c r="AY7" s="1087"/>
      <c r="AZ7" s="1087"/>
      <c r="BA7" s="1087"/>
      <c r="BB7" s="1088"/>
    </row>
    <row r="8" spans="2:55" s="1093" customFormat="1" ht="31.5" customHeight="1" thickBot="1">
      <c r="B8" s="1089"/>
      <c r="C8" s="1090"/>
      <c r="D8" s="1091" t="s">
        <v>884</v>
      </c>
      <c r="E8" s="1090"/>
      <c r="F8" s="1090"/>
      <c r="G8" s="1090"/>
      <c r="H8" s="1090"/>
      <c r="I8" s="1090"/>
      <c r="J8" s="1090"/>
      <c r="K8" s="1090"/>
      <c r="L8" s="1090"/>
      <c r="M8" s="1090"/>
      <c r="N8" s="1090"/>
      <c r="O8" s="1090"/>
      <c r="P8" s="1090"/>
      <c r="Q8" s="1090"/>
      <c r="R8" s="1090"/>
      <c r="S8" s="1090"/>
      <c r="T8" s="1090"/>
      <c r="U8" s="1090"/>
      <c r="V8" s="1090"/>
      <c r="W8" s="1090"/>
      <c r="X8" s="1090"/>
      <c r="Y8" s="1090"/>
      <c r="Z8" s="1090"/>
      <c r="AA8" s="1090"/>
      <c r="AB8" s="1092"/>
      <c r="AC8" s="1072"/>
      <c r="AD8" s="1091" t="s">
        <v>881</v>
      </c>
      <c r="AE8" s="1094"/>
      <c r="AF8" s="1094"/>
      <c r="AG8" s="1094"/>
      <c r="AH8" s="1094"/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5"/>
    </row>
    <row r="9" spans="2:55" s="1099" customFormat="1" ht="15.75" thickTop="1">
      <c r="B9" s="1074">
        <v>2018</v>
      </c>
      <c r="C9" s="1404" t="s">
        <v>31</v>
      </c>
      <c r="D9" s="1097">
        <v>0</v>
      </c>
      <c r="E9" s="1097">
        <v>0</v>
      </c>
      <c r="F9" s="1097">
        <v>0</v>
      </c>
      <c r="G9" s="1097">
        <v>0</v>
      </c>
      <c r="H9" s="1097">
        <v>0</v>
      </c>
      <c r="I9" s="1097">
        <v>0</v>
      </c>
      <c r="J9" s="1097">
        <v>0</v>
      </c>
      <c r="K9" s="1097">
        <v>0</v>
      </c>
      <c r="L9" s="1097">
        <v>0</v>
      </c>
      <c r="M9" s="1097">
        <v>0</v>
      </c>
      <c r="N9" s="1097">
        <v>0</v>
      </c>
      <c r="O9" s="1097">
        <v>0</v>
      </c>
      <c r="P9" s="1097">
        <v>0</v>
      </c>
      <c r="Q9" s="1097">
        <v>0</v>
      </c>
      <c r="R9" s="1097">
        <v>0</v>
      </c>
      <c r="S9" s="1097">
        <v>0</v>
      </c>
      <c r="T9" s="1097">
        <v>0</v>
      </c>
      <c r="U9" s="1097">
        <v>0</v>
      </c>
      <c r="V9" s="1097">
        <v>0</v>
      </c>
      <c r="W9" s="1097">
        <v>0</v>
      </c>
      <c r="X9" s="1097">
        <v>0</v>
      </c>
      <c r="Y9" s="1097">
        <v>0</v>
      </c>
      <c r="Z9" s="1097">
        <v>0</v>
      </c>
      <c r="AA9" s="1097">
        <v>0</v>
      </c>
      <c r="AB9" s="1098">
        <v>0</v>
      </c>
      <c r="AD9" s="1100">
        <f>D9*(1+PTFlosses)*(1+WholesaleRiskPremium)*(1+DistributionLosses)*(1+Inflation1)^(Year1-Real_Year)</f>
        <v>0</v>
      </c>
      <c r="AE9" s="1101">
        <f t="shared" ref="AE9:AE41" si="0">E9*(1+PTFlosses)*(1+WholesaleRiskPremium)*(1+DistributionLosses)*(1+Inflation1)^(Year1-Real_Year)</f>
        <v>0</v>
      </c>
      <c r="AF9" s="1101">
        <f t="shared" ref="AF9:AF41" si="1">F9*(1+PTFlosses)*(1+WholesaleRiskPremium)*(1+DistributionLosses)*(1+Inflation1)^(Year1-Real_Year)</f>
        <v>0</v>
      </c>
      <c r="AG9" s="1101">
        <f t="shared" ref="AG9:AG41" si="2">G9*(1+PTFlosses)*(1+WholesaleRiskPremium)*(1+DistributionLosses)*(1+Inflation1)^(Year1-Real_Year)</f>
        <v>0</v>
      </c>
      <c r="AH9" s="1101">
        <f t="shared" ref="AH9:AH41" si="3">H9*(1+PTFlosses)*(1+WholesaleRiskPremium)*(1+DistributionLosses)*(1+Inflation1)^(Year1-Real_Year)</f>
        <v>0</v>
      </c>
      <c r="AI9" s="1101">
        <f t="shared" ref="AI9:AI41" si="4">I9*(1+PTFlosses)*(1+WholesaleRiskPremium)*(1+DistributionLosses)*(1+Inflation1)^(Year1-Real_Year)</f>
        <v>0</v>
      </c>
      <c r="AJ9" s="1101">
        <f t="shared" ref="AJ9:AJ41" si="5">J9*(1+PTFlosses)*(1+WholesaleRiskPremium)*(1+DistributionLosses)*(1+Inflation1)^(Year1-Real_Year)</f>
        <v>0</v>
      </c>
      <c r="AK9" s="1101">
        <f t="shared" ref="AK9:AK41" si="6">K9*(1+PTFlosses)*(1+WholesaleRiskPremium)*(1+DistributionLosses)*(1+Inflation1)^(Year1-Real_Year)</f>
        <v>0</v>
      </c>
      <c r="AL9" s="1101">
        <f t="shared" ref="AL9:AL41" si="7">L9*(1+PTFlosses)*(1+WholesaleRiskPremium)*(1+DistributionLosses)*(1+Inflation1)^(Year1-Real_Year)</f>
        <v>0</v>
      </c>
      <c r="AM9" s="1101">
        <f t="shared" ref="AM9:AM41" si="8">M9*(1+PTFlosses)*(1+WholesaleRiskPremium)*(1+DistributionLosses)*(1+Inflation1)^(Year1-Real_Year)</f>
        <v>0</v>
      </c>
      <c r="AN9" s="1101">
        <f t="shared" ref="AN9:AN41" si="9">N9*(1+PTFlosses)*(1+WholesaleRiskPremium)*(1+DistributionLosses)*(1+Inflation1)^(Year1-Real_Year)</f>
        <v>0</v>
      </c>
      <c r="AO9" s="1101">
        <f t="shared" ref="AO9:AO41" si="10">O9*(1+PTFlosses)*(1+WholesaleRiskPremium)*(1+DistributionLosses)*(1+Inflation1)^(Year1-Real_Year)</f>
        <v>0</v>
      </c>
      <c r="AP9" s="1101">
        <f t="shared" ref="AP9:AP41" si="11">P9*(1+PTFlosses)*(1+WholesaleRiskPremium)*(1+DistributionLosses)*(1+Inflation1)^(Year1-Real_Year)</f>
        <v>0</v>
      </c>
      <c r="AQ9" s="1101">
        <f t="shared" ref="AQ9:AQ41" si="12">Q9*(1+PTFlosses)*(1+WholesaleRiskPremium)*(1+DistributionLosses)*(1+Inflation1)^(Year1-Real_Year)</f>
        <v>0</v>
      </c>
      <c r="AR9" s="1101">
        <f t="shared" ref="AR9:AR41" si="13">R9*(1+PTFlosses)*(1+WholesaleRiskPremium)*(1+DistributionLosses)*(1+Inflation1)^(Year1-Real_Year)</f>
        <v>0</v>
      </c>
      <c r="AS9" s="1101">
        <f t="shared" ref="AS9:AS41" si="14">S9*(1+PTFlosses)*(1+WholesaleRiskPremium)*(1+DistributionLosses)*(1+Inflation1)^(Year1-Real_Year)</f>
        <v>0</v>
      </c>
      <c r="AT9" s="1101">
        <f t="shared" ref="AT9:AT41" si="15">T9*(1+PTFlosses)*(1+WholesaleRiskPremium)*(1+DistributionLosses)*(1+Inflation1)^(Year1-Real_Year)</f>
        <v>0</v>
      </c>
      <c r="AU9" s="1101">
        <f t="shared" ref="AU9:AU41" si="16">U9*(1+PTFlosses)*(1+WholesaleRiskPremium)*(1+DistributionLosses)*(1+Inflation1)^(Year1-Real_Year)</f>
        <v>0</v>
      </c>
      <c r="AV9" s="1101">
        <f t="shared" ref="AV9:AV41" si="17">V9*(1+PTFlosses)*(1+WholesaleRiskPremium)*(1+DistributionLosses)*(1+Inflation1)^(Year1-Real_Year)</f>
        <v>0</v>
      </c>
      <c r="AW9" s="1101">
        <f t="shared" ref="AW9:AW41" si="18">W9*(1+PTFlosses)*(1+WholesaleRiskPremium)*(1+DistributionLosses)*(1+Inflation1)^(Year1-Real_Year)</f>
        <v>0</v>
      </c>
      <c r="AX9" s="1101">
        <f t="shared" ref="AX9:AX41" si="19">X9*(1+PTFlosses)*(1+WholesaleRiskPremium)*(1+DistributionLosses)*(1+Inflation1)^(Year1-Real_Year)</f>
        <v>0</v>
      </c>
      <c r="AY9" s="1101">
        <f t="shared" ref="AY9:AY41" si="20">Y9*(1+PTFlosses)*(1+WholesaleRiskPremium)*(1+DistributionLosses)*(1+Inflation1)^(Year1-Real_Year)</f>
        <v>0</v>
      </c>
      <c r="AZ9" s="1101">
        <f t="shared" ref="AZ9:AZ41" si="21">Z9*(1+PTFlosses)*(1+WholesaleRiskPremium)*(1+DistributionLosses)*(1+Inflation1)^(Year1-Real_Year)</f>
        <v>0</v>
      </c>
      <c r="BA9" s="1101">
        <f t="shared" ref="BA9:BA41" si="22">AA9*(1+PTFlosses)*(1+WholesaleRiskPremium)*(1+DistributionLosses)*(1+Inflation1)^(Year1-Real_Year)</f>
        <v>0</v>
      </c>
      <c r="BB9" s="1102">
        <f t="shared" ref="BB9:BB41" si="23">AB9*(1+PTFlosses)*(1+WholesaleRiskPremium)*(1+DistributionLosses)*(1+Inflation1)^(Year1-Real_Year)</f>
        <v>0</v>
      </c>
      <c r="BC9" s="1103"/>
    </row>
    <row r="10" spans="2:55" s="1099" customFormat="1" ht="15">
      <c r="B10" s="1074">
        <v>2019</v>
      </c>
      <c r="C10" s="1404" t="s">
        <v>31</v>
      </c>
      <c r="D10" s="1097">
        <v>0</v>
      </c>
      <c r="E10" s="1097">
        <v>0</v>
      </c>
      <c r="F10" s="1097">
        <v>0</v>
      </c>
      <c r="G10" s="1097">
        <v>0</v>
      </c>
      <c r="H10" s="1097">
        <v>0</v>
      </c>
      <c r="I10" s="1097">
        <v>0</v>
      </c>
      <c r="J10" s="1097">
        <v>0</v>
      </c>
      <c r="K10" s="1097">
        <v>0</v>
      </c>
      <c r="L10" s="1097">
        <v>0</v>
      </c>
      <c r="M10" s="1097">
        <v>0</v>
      </c>
      <c r="N10" s="1097">
        <v>0</v>
      </c>
      <c r="O10" s="1097">
        <v>0</v>
      </c>
      <c r="P10" s="1097">
        <v>0</v>
      </c>
      <c r="Q10" s="1097">
        <v>0</v>
      </c>
      <c r="R10" s="1097">
        <v>0</v>
      </c>
      <c r="S10" s="1097">
        <v>0</v>
      </c>
      <c r="T10" s="1097">
        <v>0</v>
      </c>
      <c r="U10" s="1097">
        <v>0</v>
      </c>
      <c r="V10" s="1097">
        <v>0</v>
      </c>
      <c r="W10" s="1097">
        <v>0</v>
      </c>
      <c r="X10" s="1097">
        <v>0</v>
      </c>
      <c r="Y10" s="1097">
        <v>0</v>
      </c>
      <c r="Z10" s="1097">
        <v>0</v>
      </c>
      <c r="AA10" s="1097">
        <v>0</v>
      </c>
      <c r="AB10" s="1098">
        <v>0</v>
      </c>
      <c r="AD10" s="1100">
        <f t="shared" ref="AD10:AD41" si="24">D10*(1+PTFlosses)*(1+WholesaleRiskPremium)*(1+DistributionLosses)*(1+Inflation1)^(Year1-Real_Year)</f>
        <v>0</v>
      </c>
      <c r="AE10" s="1101">
        <f t="shared" si="0"/>
        <v>0</v>
      </c>
      <c r="AF10" s="1101">
        <f t="shared" si="1"/>
        <v>0</v>
      </c>
      <c r="AG10" s="1101">
        <f t="shared" si="2"/>
        <v>0</v>
      </c>
      <c r="AH10" s="1101">
        <f t="shared" si="3"/>
        <v>0</v>
      </c>
      <c r="AI10" s="1101">
        <f t="shared" si="4"/>
        <v>0</v>
      </c>
      <c r="AJ10" s="1101">
        <f t="shared" si="5"/>
        <v>0</v>
      </c>
      <c r="AK10" s="1101">
        <f t="shared" si="6"/>
        <v>0</v>
      </c>
      <c r="AL10" s="1101">
        <f t="shared" si="7"/>
        <v>0</v>
      </c>
      <c r="AM10" s="1101">
        <f t="shared" si="8"/>
        <v>0</v>
      </c>
      <c r="AN10" s="1101">
        <f t="shared" si="9"/>
        <v>0</v>
      </c>
      <c r="AO10" s="1101">
        <f t="shared" si="10"/>
        <v>0</v>
      </c>
      <c r="AP10" s="1101">
        <f t="shared" si="11"/>
        <v>0</v>
      </c>
      <c r="AQ10" s="1101">
        <f t="shared" si="12"/>
        <v>0</v>
      </c>
      <c r="AR10" s="1101">
        <f t="shared" si="13"/>
        <v>0</v>
      </c>
      <c r="AS10" s="1101">
        <f t="shared" si="14"/>
        <v>0</v>
      </c>
      <c r="AT10" s="1101">
        <f t="shared" si="15"/>
        <v>0</v>
      </c>
      <c r="AU10" s="1101">
        <f t="shared" si="16"/>
        <v>0</v>
      </c>
      <c r="AV10" s="1101">
        <f t="shared" si="17"/>
        <v>0</v>
      </c>
      <c r="AW10" s="1101">
        <f t="shared" si="18"/>
        <v>0</v>
      </c>
      <c r="AX10" s="1101">
        <f t="shared" si="19"/>
        <v>0</v>
      </c>
      <c r="AY10" s="1101">
        <f t="shared" si="20"/>
        <v>0</v>
      </c>
      <c r="AZ10" s="1101">
        <f t="shared" si="21"/>
        <v>0</v>
      </c>
      <c r="BA10" s="1101">
        <f t="shared" si="22"/>
        <v>0</v>
      </c>
      <c r="BB10" s="1102">
        <f t="shared" si="23"/>
        <v>0</v>
      </c>
      <c r="BC10" s="1103"/>
    </row>
    <row r="11" spans="2:55" s="1099" customFormat="1" ht="15">
      <c r="B11" s="1074">
        <v>2020</v>
      </c>
      <c r="C11" s="1404" t="s">
        <v>31</v>
      </c>
      <c r="D11" s="1097">
        <v>0</v>
      </c>
      <c r="E11" s="1097">
        <v>0</v>
      </c>
      <c r="F11" s="1097">
        <v>0</v>
      </c>
      <c r="G11" s="1097">
        <v>0</v>
      </c>
      <c r="H11" s="1097">
        <v>0</v>
      </c>
      <c r="I11" s="1097">
        <v>0</v>
      </c>
      <c r="J11" s="1097">
        <v>0</v>
      </c>
      <c r="K11" s="1097">
        <v>0</v>
      </c>
      <c r="L11" s="1097">
        <v>0</v>
      </c>
      <c r="M11" s="1097">
        <v>0</v>
      </c>
      <c r="N11" s="1097">
        <v>0</v>
      </c>
      <c r="O11" s="1097">
        <v>0</v>
      </c>
      <c r="P11" s="1097">
        <v>0</v>
      </c>
      <c r="Q11" s="1097">
        <v>0</v>
      </c>
      <c r="R11" s="1097">
        <v>0</v>
      </c>
      <c r="S11" s="1097">
        <v>0</v>
      </c>
      <c r="T11" s="1097">
        <v>0</v>
      </c>
      <c r="U11" s="1097">
        <v>0</v>
      </c>
      <c r="V11" s="1097">
        <v>0</v>
      </c>
      <c r="W11" s="1097">
        <v>0</v>
      </c>
      <c r="X11" s="1097">
        <v>0</v>
      </c>
      <c r="Y11" s="1097">
        <v>0</v>
      </c>
      <c r="Z11" s="1097">
        <v>0</v>
      </c>
      <c r="AA11" s="1097">
        <v>0</v>
      </c>
      <c r="AB11" s="1098">
        <v>0</v>
      </c>
      <c r="AD11" s="1100">
        <f t="shared" si="24"/>
        <v>0</v>
      </c>
      <c r="AE11" s="1101">
        <f t="shared" si="0"/>
        <v>0</v>
      </c>
      <c r="AF11" s="1101">
        <f t="shared" si="1"/>
        <v>0</v>
      </c>
      <c r="AG11" s="1101">
        <f t="shared" si="2"/>
        <v>0</v>
      </c>
      <c r="AH11" s="1101">
        <f t="shared" si="3"/>
        <v>0</v>
      </c>
      <c r="AI11" s="1101">
        <f t="shared" si="4"/>
        <v>0</v>
      </c>
      <c r="AJ11" s="1101">
        <f t="shared" si="5"/>
        <v>0</v>
      </c>
      <c r="AK11" s="1101">
        <f t="shared" si="6"/>
        <v>0</v>
      </c>
      <c r="AL11" s="1101">
        <f t="shared" si="7"/>
        <v>0</v>
      </c>
      <c r="AM11" s="1101">
        <f t="shared" si="8"/>
        <v>0</v>
      </c>
      <c r="AN11" s="1101">
        <f t="shared" si="9"/>
        <v>0</v>
      </c>
      <c r="AO11" s="1101">
        <f t="shared" si="10"/>
        <v>0</v>
      </c>
      <c r="AP11" s="1101">
        <f t="shared" si="11"/>
        <v>0</v>
      </c>
      <c r="AQ11" s="1101">
        <f t="shared" si="12"/>
        <v>0</v>
      </c>
      <c r="AR11" s="1101">
        <f t="shared" si="13"/>
        <v>0</v>
      </c>
      <c r="AS11" s="1101">
        <f t="shared" si="14"/>
        <v>0</v>
      </c>
      <c r="AT11" s="1101">
        <f t="shared" si="15"/>
        <v>0</v>
      </c>
      <c r="AU11" s="1101">
        <f t="shared" si="16"/>
        <v>0</v>
      </c>
      <c r="AV11" s="1101">
        <f t="shared" si="17"/>
        <v>0</v>
      </c>
      <c r="AW11" s="1101">
        <f t="shared" si="18"/>
        <v>0</v>
      </c>
      <c r="AX11" s="1101">
        <f t="shared" si="19"/>
        <v>0</v>
      </c>
      <c r="AY11" s="1101">
        <f t="shared" si="20"/>
        <v>0</v>
      </c>
      <c r="AZ11" s="1101">
        <f t="shared" si="21"/>
        <v>0</v>
      </c>
      <c r="BA11" s="1101">
        <f t="shared" si="22"/>
        <v>0</v>
      </c>
      <c r="BB11" s="1102">
        <f t="shared" si="23"/>
        <v>0</v>
      </c>
      <c r="BC11" s="1103"/>
    </row>
    <row r="12" spans="2:55" s="1099" customFormat="1" ht="15">
      <c r="B12" s="1074">
        <v>2021</v>
      </c>
      <c r="C12" s="1404" t="s">
        <v>850</v>
      </c>
      <c r="D12" s="1097">
        <v>0</v>
      </c>
      <c r="E12" s="1097">
        <v>0</v>
      </c>
      <c r="F12" s="1097">
        <v>0</v>
      </c>
      <c r="G12" s="1097">
        <v>0</v>
      </c>
      <c r="H12" s="1097">
        <v>0</v>
      </c>
      <c r="I12" s="1097">
        <v>0</v>
      </c>
      <c r="J12" s="1097">
        <v>0</v>
      </c>
      <c r="K12" s="1097">
        <v>0</v>
      </c>
      <c r="L12" s="1097">
        <v>0</v>
      </c>
      <c r="M12" s="1097">
        <v>0</v>
      </c>
      <c r="N12" s="1097">
        <v>0</v>
      </c>
      <c r="O12" s="1097">
        <v>0</v>
      </c>
      <c r="P12" s="1097">
        <v>0</v>
      </c>
      <c r="Q12" s="1097">
        <v>0</v>
      </c>
      <c r="R12" s="1097">
        <v>0</v>
      </c>
      <c r="S12" s="1097">
        <v>0</v>
      </c>
      <c r="T12" s="1097">
        <v>0</v>
      </c>
      <c r="U12" s="1097">
        <v>0</v>
      </c>
      <c r="V12" s="1097">
        <v>0</v>
      </c>
      <c r="W12" s="1097">
        <v>0</v>
      </c>
      <c r="X12" s="1097">
        <v>0</v>
      </c>
      <c r="Y12" s="1097">
        <v>0</v>
      </c>
      <c r="Z12" s="1097">
        <v>0</v>
      </c>
      <c r="AA12" s="1097">
        <v>0</v>
      </c>
      <c r="AB12" s="1098">
        <v>0</v>
      </c>
      <c r="AD12" s="1100">
        <f t="shared" si="24"/>
        <v>0</v>
      </c>
      <c r="AE12" s="1101">
        <f t="shared" si="0"/>
        <v>0</v>
      </c>
      <c r="AF12" s="1101">
        <f t="shared" si="1"/>
        <v>0</v>
      </c>
      <c r="AG12" s="1101">
        <f t="shared" si="2"/>
        <v>0</v>
      </c>
      <c r="AH12" s="1101">
        <f t="shared" si="3"/>
        <v>0</v>
      </c>
      <c r="AI12" s="1101">
        <f t="shared" si="4"/>
        <v>0</v>
      </c>
      <c r="AJ12" s="1101">
        <f t="shared" si="5"/>
        <v>0</v>
      </c>
      <c r="AK12" s="1101">
        <f t="shared" si="6"/>
        <v>0</v>
      </c>
      <c r="AL12" s="1101">
        <f t="shared" si="7"/>
        <v>0</v>
      </c>
      <c r="AM12" s="1101">
        <f t="shared" si="8"/>
        <v>0</v>
      </c>
      <c r="AN12" s="1101">
        <f t="shared" si="9"/>
        <v>0</v>
      </c>
      <c r="AO12" s="1101">
        <f t="shared" si="10"/>
        <v>0</v>
      </c>
      <c r="AP12" s="1101">
        <f t="shared" si="11"/>
        <v>0</v>
      </c>
      <c r="AQ12" s="1101">
        <f t="shared" si="12"/>
        <v>0</v>
      </c>
      <c r="AR12" s="1101">
        <f t="shared" si="13"/>
        <v>0</v>
      </c>
      <c r="AS12" s="1101">
        <f t="shared" si="14"/>
        <v>0</v>
      </c>
      <c r="AT12" s="1101">
        <f t="shared" si="15"/>
        <v>0</v>
      </c>
      <c r="AU12" s="1101">
        <f t="shared" si="16"/>
        <v>0</v>
      </c>
      <c r="AV12" s="1101">
        <f t="shared" si="17"/>
        <v>0</v>
      </c>
      <c r="AW12" s="1101">
        <f t="shared" si="18"/>
        <v>0</v>
      </c>
      <c r="AX12" s="1101">
        <f t="shared" si="19"/>
        <v>0</v>
      </c>
      <c r="AY12" s="1101">
        <f t="shared" si="20"/>
        <v>0</v>
      </c>
      <c r="AZ12" s="1101">
        <f t="shared" si="21"/>
        <v>0</v>
      </c>
      <c r="BA12" s="1101">
        <f t="shared" si="22"/>
        <v>0</v>
      </c>
      <c r="BB12" s="1102">
        <f t="shared" si="23"/>
        <v>0</v>
      </c>
      <c r="BC12" s="1103"/>
    </row>
    <row r="13" spans="2:55" s="1099" customFormat="1" ht="15">
      <c r="B13" s="1074">
        <v>2022</v>
      </c>
      <c r="C13" s="1404" t="s">
        <v>851</v>
      </c>
      <c r="D13" s="1097">
        <v>0</v>
      </c>
      <c r="E13" s="1097">
        <v>0</v>
      </c>
      <c r="F13" s="1097">
        <v>0</v>
      </c>
      <c r="G13" s="1097">
        <v>0</v>
      </c>
      <c r="H13" s="1097">
        <v>0</v>
      </c>
      <c r="I13" s="1097">
        <v>0</v>
      </c>
      <c r="J13" s="1097">
        <v>0</v>
      </c>
      <c r="K13" s="1097">
        <v>0</v>
      </c>
      <c r="L13" s="1097">
        <v>0</v>
      </c>
      <c r="M13" s="1097">
        <v>0</v>
      </c>
      <c r="N13" s="1097">
        <v>0</v>
      </c>
      <c r="O13" s="1097">
        <v>0</v>
      </c>
      <c r="P13" s="1097">
        <v>0</v>
      </c>
      <c r="Q13" s="1097">
        <v>0</v>
      </c>
      <c r="R13" s="1097">
        <v>0</v>
      </c>
      <c r="S13" s="1097">
        <v>0</v>
      </c>
      <c r="T13" s="1097">
        <v>0</v>
      </c>
      <c r="U13" s="1097">
        <v>0</v>
      </c>
      <c r="V13" s="1097">
        <v>0</v>
      </c>
      <c r="W13" s="1097">
        <v>0</v>
      </c>
      <c r="X13" s="1097">
        <v>0</v>
      </c>
      <c r="Y13" s="1097">
        <v>0</v>
      </c>
      <c r="Z13" s="1097">
        <v>0</v>
      </c>
      <c r="AA13" s="1097">
        <v>0</v>
      </c>
      <c r="AB13" s="1098">
        <v>0</v>
      </c>
      <c r="AD13" s="1100">
        <f t="shared" si="24"/>
        <v>0</v>
      </c>
      <c r="AE13" s="1101">
        <f t="shared" si="0"/>
        <v>0</v>
      </c>
      <c r="AF13" s="1101">
        <f t="shared" si="1"/>
        <v>0</v>
      </c>
      <c r="AG13" s="1101">
        <f t="shared" si="2"/>
        <v>0</v>
      </c>
      <c r="AH13" s="1101">
        <f t="shared" si="3"/>
        <v>0</v>
      </c>
      <c r="AI13" s="1101">
        <f t="shared" si="4"/>
        <v>0</v>
      </c>
      <c r="AJ13" s="1101">
        <f t="shared" si="5"/>
        <v>0</v>
      </c>
      <c r="AK13" s="1101">
        <f t="shared" si="6"/>
        <v>0</v>
      </c>
      <c r="AL13" s="1101">
        <f t="shared" si="7"/>
        <v>0</v>
      </c>
      <c r="AM13" s="1101">
        <f t="shared" si="8"/>
        <v>0</v>
      </c>
      <c r="AN13" s="1101">
        <f t="shared" si="9"/>
        <v>0</v>
      </c>
      <c r="AO13" s="1101">
        <f t="shared" si="10"/>
        <v>0</v>
      </c>
      <c r="AP13" s="1101">
        <f t="shared" si="11"/>
        <v>0</v>
      </c>
      <c r="AQ13" s="1101">
        <f t="shared" si="12"/>
        <v>0</v>
      </c>
      <c r="AR13" s="1101">
        <f t="shared" si="13"/>
        <v>0</v>
      </c>
      <c r="AS13" s="1101">
        <f t="shared" si="14"/>
        <v>0</v>
      </c>
      <c r="AT13" s="1101">
        <f t="shared" si="15"/>
        <v>0</v>
      </c>
      <c r="AU13" s="1101">
        <f t="shared" si="16"/>
        <v>0</v>
      </c>
      <c r="AV13" s="1101">
        <f t="shared" si="17"/>
        <v>0</v>
      </c>
      <c r="AW13" s="1101">
        <f t="shared" si="18"/>
        <v>0</v>
      </c>
      <c r="AX13" s="1101">
        <f t="shared" si="19"/>
        <v>0</v>
      </c>
      <c r="AY13" s="1101">
        <f t="shared" si="20"/>
        <v>0</v>
      </c>
      <c r="AZ13" s="1101">
        <f t="shared" si="21"/>
        <v>0</v>
      </c>
      <c r="BA13" s="1101">
        <f t="shared" si="22"/>
        <v>0</v>
      </c>
      <c r="BB13" s="1102">
        <f t="shared" si="23"/>
        <v>0</v>
      </c>
      <c r="BC13" s="1103"/>
    </row>
    <row r="14" spans="2:55" s="1099" customFormat="1" ht="15">
      <c r="B14" s="1074">
        <v>2023</v>
      </c>
      <c r="C14" s="1404" t="s">
        <v>852</v>
      </c>
      <c r="D14" s="1097">
        <v>0</v>
      </c>
      <c r="E14" s="1097">
        <v>0</v>
      </c>
      <c r="F14" s="1097">
        <v>0</v>
      </c>
      <c r="G14" s="1097">
        <v>0</v>
      </c>
      <c r="H14" s="1097">
        <v>0</v>
      </c>
      <c r="I14" s="1097">
        <v>0</v>
      </c>
      <c r="J14" s="1097">
        <v>0</v>
      </c>
      <c r="K14" s="1097">
        <v>0</v>
      </c>
      <c r="L14" s="1097">
        <v>0</v>
      </c>
      <c r="M14" s="1097">
        <v>0</v>
      </c>
      <c r="N14" s="1097">
        <v>0</v>
      </c>
      <c r="O14" s="1097">
        <v>0</v>
      </c>
      <c r="P14" s="1097">
        <v>0</v>
      </c>
      <c r="Q14" s="1097">
        <v>0</v>
      </c>
      <c r="R14" s="1097">
        <v>0</v>
      </c>
      <c r="S14" s="1097">
        <v>0</v>
      </c>
      <c r="T14" s="1097">
        <v>0</v>
      </c>
      <c r="U14" s="1097">
        <v>0</v>
      </c>
      <c r="V14" s="1097">
        <v>0</v>
      </c>
      <c r="W14" s="1097">
        <v>0</v>
      </c>
      <c r="X14" s="1097">
        <v>0</v>
      </c>
      <c r="Y14" s="1097">
        <v>0</v>
      </c>
      <c r="Z14" s="1097">
        <v>0</v>
      </c>
      <c r="AA14" s="1097">
        <v>0</v>
      </c>
      <c r="AB14" s="1098">
        <v>0</v>
      </c>
      <c r="AD14" s="1100">
        <f>D14*(1+PTFlosses)*(1+WholesaleRiskPremium)*(1+DistributionLosses)*(1+Inflation1)^(Year1-Real_Year)</f>
        <v>0</v>
      </c>
      <c r="AE14" s="1101">
        <f t="shared" si="0"/>
        <v>0</v>
      </c>
      <c r="AF14" s="1101">
        <f t="shared" si="1"/>
        <v>0</v>
      </c>
      <c r="AG14" s="1101">
        <f t="shared" si="2"/>
        <v>0</v>
      </c>
      <c r="AH14" s="1101">
        <f t="shared" si="3"/>
        <v>0</v>
      </c>
      <c r="AI14" s="1101">
        <f t="shared" si="4"/>
        <v>0</v>
      </c>
      <c r="AJ14" s="1101">
        <f t="shared" si="5"/>
        <v>0</v>
      </c>
      <c r="AK14" s="1101">
        <f t="shared" si="6"/>
        <v>0</v>
      </c>
      <c r="AL14" s="1101">
        <f t="shared" si="7"/>
        <v>0</v>
      </c>
      <c r="AM14" s="1101">
        <f t="shared" si="8"/>
        <v>0</v>
      </c>
      <c r="AN14" s="1101">
        <f t="shared" si="9"/>
        <v>0</v>
      </c>
      <c r="AO14" s="1101">
        <f t="shared" si="10"/>
        <v>0</v>
      </c>
      <c r="AP14" s="1101">
        <f t="shared" si="11"/>
        <v>0</v>
      </c>
      <c r="AQ14" s="1101">
        <f t="shared" si="12"/>
        <v>0</v>
      </c>
      <c r="AR14" s="1101">
        <f t="shared" si="13"/>
        <v>0</v>
      </c>
      <c r="AS14" s="1101">
        <f t="shared" si="14"/>
        <v>0</v>
      </c>
      <c r="AT14" s="1101">
        <f t="shared" si="15"/>
        <v>0</v>
      </c>
      <c r="AU14" s="1101">
        <f t="shared" si="16"/>
        <v>0</v>
      </c>
      <c r="AV14" s="1101">
        <f t="shared" si="17"/>
        <v>0</v>
      </c>
      <c r="AW14" s="1101">
        <f t="shared" si="18"/>
        <v>0</v>
      </c>
      <c r="AX14" s="1101">
        <f t="shared" si="19"/>
        <v>0</v>
      </c>
      <c r="AY14" s="1101">
        <f t="shared" si="20"/>
        <v>0</v>
      </c>
      <c r="AZ14" s="1101">
        <f t="shared" si="21"/>
        <v>0</v>
      </c>
      <c r="BA14" s="1101">
        <f t="shared" si="22"/>
        <v>0</v>
      </c>
      <c r="BB14" s="1102">
        <f t="shared" si="23"/>
        <v>0</v>
      </c>
      <c r="BC14" s="1103"/>
    </row>
    <row r="15" spans="2:55" s="1099" customFormat="1" ht="15">
      <c r="B15" s="1074">
        <v>2024</v>
      </c>
      <c r="C15" s="1404" t="s">
        <v>853</v>
      </c>
      <c r="D15" s="1097">
        <v>0</v>
      </c>
      <c r="E15" s="1097">
        <v>0</v>
      </c>
      <c r="F15" s="1097">
        <v>0</v>
      </c>
      <c r="G15" s="1097">
        <v>0</v>
      </c>
      <c r="H15" s="1097">
        <v>0</v>
      </c>
      <c r="I15" s="1097">
        <v>0</v>
      </c>
      <c r="J15" s="1097">
        <v>0</v>
      </c>
      <c r="K15" s="1097">
        <v>0</v>
      </c>
      <c r="L15" s="1097">
        <v>0</v>
      </c>
      <c r="M15" s="1097">
        <v>0</v>
      </c>
      <c r="N15" s="1097">
        <v>0</v>
      </c>
      <c r="O15" s="1097">
        <v>0</v>
      </c>
      <c r="P15" s="1097">
        <v>0</v>
      </c>
      <c r="Q15" s="1097">
        <v>0</v>
      </c>
      <c r="R15" s="1097">
        <v>0</v>
      </c>
      <c r="S15" s="1097">
        <v>0</v>
      </c>
      <c r="T15" s="1097">
        <v>0</v>
      </c>
      <c r="U15" s="1097">
        <v>0</v>
      </c>
      <c r="V15" s="1097">
        <v>0</v>
      </c>
      <c r="W15" s="1097">
        <v>0</v>
      </c>
      <c r="X15" s="1097">
        <v>0</v>
      </c>
      <c r="Y15" s="1097">
        <v>0</v>
      </c>
      <c r="Z15" s="1097">
        <v>0</v>
      </c>
      <c r="AA15" s="1097">
        <v>0</v>
      </c>
      <c r="AB15" s="1098">
        <v>0</v>
      </c>
      <c r="AD15" s="1100">
        <f t="shared" si="24"/>
        <v>0</v>
      </c>
      <c r="AE15" s="1101">
        <f t="shared" si="0"/>
        <v>0</v>
      </c>
      <c r="AF15" s="1101">
        <f t="shared" si="1"/>
        <v>0</v>
      </c>
      <c r="AG15" s="1101">
        <f t="shared" si="2"/>
        <v>0</v>
      </c>
      <c r="AH15" s="1101">
        <f t="shared" si="3"/>
        <v>0</v>
      </c>
      <c r="AI15" s="1101">
        <f t="shared" si="4"/>
        <v>0</v>
      </c>
      <c r="AJ15" s="1101">
        <f t="shared" si="5"/>
        <v>0</v>
      </c>
      <c r="AK15" s="1101">
        <f t="shared" si="6"/>
        <v>0</v>
      </c>
      <c r="AL15" s="1101">
        <f t="shared" si="7"/>
        <v>0</v>
      </c>
      <c r="AM15" s="1101">
        <f t="shared" si="8"/>
        <v>0</v>
      </c>
      <c r="AN15" s="1101">
        <f t="shared" si="9"/>
        <v>0</v>
      </c>
      <c r="AO15" s="1101">
        <f t="shared" si="10"/>
        <v>0</v>
      </c>
      <c r="AP15" s="1101">
        <f t="shared" si="11"/>
        <v>0</v>
      </c>
      <c r="AQ15" s="1101">
        <f t="shared" si="12"/>
        <v>0</v>
      </c>
      <c r="AR15" s="1101">
        <f t="shared" si="13"/>
        <v>0</v>
      </c>
      <c r="AS15" s="1101">
        <f t="shared" si="14"/>
        <v>0</v>
      </c>
      <c r="AT15" s="1101">
        <f t="shared" si="15"/>
        <v>0</v>
      </c>
      <c r="AU15" s="1101">
        <f t="shared" si="16"/>
        <v>0</v>
      </c>
      <c r="AV15" s="1101">
        <f t="shared" si="17"/>
        <v>0</v>
      </c>
      <c r="AW15" s="1101">
        <f t="shared" si="18"/>
        <v>0</v>
      </c>
      <c r="AX15" s="1101">
        <f t="shared" si="19"/>
        <v>0</v>
      </c>
      <c r="AY15" s="1101">
        <f t="shared" si="20"/>
        <v>0</v>
      </c>
      <c r="AZ15" s="1101">
        <f t="shared" si="21"/>
        <v>0</v>
      </c>
      <c r="BA15" s="1101">
        <f t="shared" si="22"/>
        <v>0</v>
      </c>
      <c r="BB15" s="1102">
        <f t="shared" si="23"/>
        <v>0</v>
      </c>
      <c r="BC15" s="1103"/>
    </row>
    <row r="16" spans="2:55" s="1099" customFormat="1" ht="15">
      <c r="B16" s="1074">
        <v>2025</v>
      </c>
      <c r="C16" s="1404" t="s">
        <v>854</v>
      </c>
      <c r="D16" s="1097">
        <v>0</v>
      </c>
      <c r="E16" s="1097">
        <v>0</v>
      </c>
      <c r="F16" s="1097">
        <v>0</v>
      </c>
      <c r="G16" s="1097">
        <v>0</v>
      </c>
      <c r="H16" s="1097">
        <v>0</v>
      </c>
      <c r="I16" s="1097">
        <v>0</v>
      </c>
      <c r="J16" s="1097">
        <v>0</v>
      </c>
      <c r="K16" s="1097">
        <v>0</v>
      </c>
      <c r="L16" s="1097">
        <v>0</v>
      </c>
      <c r="M16" s="1097">
        <v>0</v>
      </c>
      <c r="N16" s="1097">
        <v>0</v>
      </c>
      <c r="O16" s="1097">
        <v>0</v>
      </c>
      <c r="P16" s="1097">
        <v>0</v>
      </c>
      <c r="Q16" s="1097">
        <v>0</v>
      </c>
      <c r="R16" s="1097">
        <v>0</v>
      </c>
      <c r="S16" s="1097">
        <v>0</v>
      </c>
      <c r="T16" s="1097">
        <v>0</v>
      </c>
      <c r="U16" s="1097">
        <v>0</v>
      </c>
      <c r="V16" s="1097">
        <v>0</v>
      </c>
      <c r="W16" s="1097">
        <v>0</v>
      </c>
      <c r="X16" s="1097">
        <v>0</v>
      </c>
      <c r="Y16" s="1097">
        <v>0</v>
      </c>
      <c r="Z16" s="1097">
        <v>0</v>
      </c>
      <c r="AA16" s="1097">
        <v>0</v>
      </c>
      <c r="AB16" s="1098">
        <v>0</v>
      </c>
      <c r="AD16" s="1100">
        <f t="shared" si="24"/>
        <v>0</v>
      </c>
      <c r="AE16" s="1101">
        <f t="shared" si="0"/>
        <v>0</v>
      </c>
      <c r="AF16" s="1101">
        <f t="shared" si="1"/>
        <v>0</v>
      </c>
      <c r="AG16" s="1101">
        <f t="shared" si="2"/>
        <v>0</v>
      </c>
      <c r="AH16" s="1101">
        <f t="shared" si="3"/>
        <v>0</v>
      </c>
      <c r="AI16" s="1101">
        <f t="shared" si="4"/>
        <v>0</v>
      </c>
      <c r="AJ16" s="1101">
        <f t="shared" si="5"/>
        <v>0</v>
      </c>
      <c r="AK16" s="1101">
        <f t="shared" si="6"/>
        <v>0</v>
      </c>
      <c r="AL16" s="1101">
        <f t="shared" si="7"/>
        <v>0</v>
      </c>
      <c r="AM16" s="1101">
        <f t="shared" si="8"/>
        <v>0</v>
      </c>
      <c r="AN16" s="1101">
        <f t="shared" si="9"/>
        <v>0</v>
      </c>
      <c r="AO16" s="1101">
        <f t="shared" si="10"/>
        <v>0</v>
      </c>
      <c r="AP16" s="1101">
        <f t="shared" si="11"/>
        <v>0</v>
      </c>
      <c r="AQ16" s="1101">
        <f t="shared" si="12"/>
        <v>0</v>
      </c>
      <c r="AR16" s="1101">
        <f t="shared" si="13"/>
        <v>0</v>
      </c>
      <c r="AS16" s="1101">
        <f t="shared" si="14"/>
        <v>0</v>
      </c>
      <c r="AT16" s="1101">
        <f t="shared" si="15"/>
        <v>0</v>
      </c>
      <c r="AU16" s="1101">
        <f t="shared" si="16"/>
        <v>0</v>
      </c>
      <c r="AV16" s="1101">
        <f t="shared" si="17"/>
        <v>0</v>
      </c>
      <c r="AW16" s="1101">
        <f t="shared" si="18"/>
        <v>0</v>
      </c>
      <c r="AX16" s="1101">
        <f t="shared" si="19"/>
        <v>0</v>
      </c>
      <c r="AY16" s="1101">
        <f t="shared" si="20"/>
        <v>0</v>
      </c>
      <c r="AZ16" s="1101">
        <f t="shared" si="21"/>
        <v>0</v>
      </c>
      <c r="BA16" s="1101">
        <f t="shared" si="22"/>
        <v>0</v>
      </c>
      <c r="BB16" s="1102">
        <f t="shared" si="23"/>
        <v>0</v>
      </c>
      <c r="BC16" s="1103"/>
    </row>
    <row r="17" spans="2:55" s="1099" customFormat="1" ht="15">
      <c r="B17" s="1074">
        <v>2026</v>
      </c>
      <c r="C17" s="1404" t="s">
        <v>855</v>
      </c>
      <c r="D17" s="1097">
        <v>24.955812000000002</v>
      </c>
      <c r="E17" s="1097">
        <v>24.955812000000002</v>
      </c>
      <c r="F17" s="1097">
        <v>24.955812000000002</v>
      </c>
      <c r="G17" s="1097">
        <v>24.955812000000002</v>
      </c>
      <c r="H17" s="1097">
        <v>24.955812000000002</v>
      </c>
      <c r="I17" s="1097">
        <v>24.955812000000002</v>
      </c>
      <c r="J17" s="1097">
        <v>24.955812000000002</v>
      </c>
      <c r="K17" s="1097">
        <v>24.955812000000002</v>
      </c>
      <c r="L17" s="1097">
        <v>24.955812000000002</v>
      </c>
      <c r="M17" s="1097">
        <v>24.955812000000002</v>
      </c>
      <c r="N17" s="1097">
        <v>24.955812000000002</v>
      </c>
      <c r="O17" s="1097">
        <v>24.955812000000002</v>
      </c>
      <c r="P17" s="1097">
        <v>24.955812000000002</v>
      </c>
      <c r="Q17" s="1097">
        <v>24.955812000000002</v>
      </c>
      <c r="R17" s="1097">
        <v>24.955812000000002</v>
      </c>
      <c r="S17" s="1097">
        <v>24.955812000000002</v>
      </c>
      <c r="T17" s="1097">
        <v>24.955812000000002</v>
      </c>
      <c r="U17" s="1097">
        <v>24.955812000000002</v>
      </c>
      <c r="V17" s="1097">
        <v>24.955812000000002</v>
      </c>
      <c r="W17" s="1097">
        <v>24.955812000000002</v>
      </c>
      <c r="X17" s="1097">
        <v>24.955812000000002</v>
      </c>
      <c r="Y17" s="1097">
        <v>24.955812000000002</v>
      </c>
      <c r="Z17" s="1097">
        <v>24.955812000000002</v>
      </c>
      <c r="AA17" s="1097">
        <v>24.955812000000002</v>
      </c>
      <c r="AB17" s="1098">
        <v>24.955812000000002</v>
      </c>
      <c r="AD17" s="1100">
        <f t="shared" si="24"/>
        <v>30.8914423421236</v>
      </c>
      <c r="AE17" s="1101">
        <f t="shared" si="0"/>
        <v>30.8914423421236</v>
      </c>
      <c r="AF17" s="1101">
        <f t="shared" si="1"/>
        <v>30.8914423421236</v>
      </c>
      <c r="AG17" s="1101">
        <f t="shared" si="2"/>
        <v>30.8914423421236</v>
      </c>
      <c r="AH17" s="1101">
        <f t="shared" si="3"/>
        <v>30.8914423421236</v>
      </c>
      <c r="AI17" s="1101">
        <f t="shared" si="4"/>
        <v>30.8914423421236</v>
      </c>
      <c r="AJ17" s="1101">
        <f t="shared" si="5"/>
        <v>30.8914423421236</v>
      </c>
      <c r="AK17" s="1101">
        <f t="shared" si="6"/>
        <v>30.8914423421236</v>
      </c>
      <c r="AL17" s="1101">
        <f t="shared" si="7"/>
        <v>30.8914423421236</v>
      </c>
      <c r="AM17" s="1101">
        <f t="shared" si="8"/>
        <v>30.8914423421236</v>
      </c>
      <c r="AN17" s="1101">
        <f t="shared" si="9"/>
        <v>30.8914423421236</v>
      </c>
      <c r="AO17" s="1101">
        <f t="shared" si="10"/>
        <v>30.8914423421236</v>
      </c>
      <c r="AP17" s="1101">
        <f t="shared" si="11"/>
        <v>30.8914423421236</v>
      </c>
      <c r="AQ17" s="1101">
        <f t="shared" si="12"/>
        <v>30.8914423421236</v>
      </c>
      <c r="AR17" s="1101">
        <f t="shared" si="13"/>
        <v>30.8914423421236</v>
      </c>
      <c r="AS17" s="1101">
        <f t="shared" si="14"/>
        <v>30.8914423421236</v>
      </c>
      <c r="AT17" s="1101">
        <f t="shared" si="15"/>
        <v>30.8914423421236</v>
      </c>
      <c r="AU17" s="1101">
        <f t="shared" si="16"/>
        <v>30.8914423421236</v>
      </c>
      <c r="AV17" s="1101">
        <f t="shared" si="17"/>
        <v>30.8914423421236</v>
      </c>
      <c r="AW17" s="1101">
        <f t="shared" si="18"/>
        <v>30.8914423421236</v>
      </c>
      <c r="AX17" s="1101">
        <f t="shared" si="19"/>
        <v>30.8914423421236</v>
      </c>
      <c r="AY17" s="1101">
        <f t="shared" si="20"/>
        <v>30.8914423421236</v>
      </c>
      <c r="AZ17" s="1101">
        <f t="shared" si="21"/>
        <v>30.8914423421236</v>
      </c>
      <c r="BA17" s="1101">
        <f t="shared" si="22"/>
        <v>30.8914423421236</v>
      </c>
      <c r="BB17" s="1102">
        <f t="shared" si="23"/>
        <v>30.8914423421236</v>
      </c>
      <c r="BC17" s="1103"/>
    </row>
    <row r="18" spans="2:55" s="1099" customFormat="1" ht="15">
      <c r="B18" s="1074">
        <v>2027</v>
      </c>
      <c r="C18" s="1404" t="s">
        <v>856</v>
      </c>
      <c r="D18" s="1097">
        <v>17.90605</v>
      </c>
      <c r="E18" s="1097">
        <v>44.765124999999998</v>
      </c>
      <c r="F18" s="1097">
        <v>44.765124999999998</v>
      </c>
      <c r="G18" s="1097">
        <v>44.765124999999998</v>
      </c>
      <c r="H18" s="1097">
        <v>44.765124999999998</v>
      </c>
      <c r="I18" s="1097">
        <v>44.765124999999998</v>
      </c>
      <c r="J18" s="1097">
        <v>44.765124999999998</v>
      </c>
      <c r="K18" s="1097">
        <v>44.765124999999998</v>
      </c>
      <c r="L18" s="1097">
        <v>44.765124999999998</v>
      </c>
      <c r="M18" s="1097">
        <v>44.765124999999998</v>
      </c>
      <c r="N18" s="1097">
        <v>44.765124999999998</v>
      </c>
      <c r="O18" s="1097">
        <v>44.765124999999998</v>
      </c>
      <c r="P18" s="1097">
        <v>44.765124999999998</v>
      </c>
      <c r="Q18" s="1097">
        <v>44.765124999999998</v>
      </c>
      <c r="R18" s="1097">
        <v>44.765124999999998</v>
      </c>
      <c r="S18" s="1097">
        <v>44.765124999999998</v>
      </c>
      <c r="T18" s="1097">
        <v>44.765124999999998</v>
      </c>
      <c r="U18" s="1097">
        <v>44.765124999999998</v>
      </c>
      <c r="V18" s="1097">
        <v>44.765124999999998</v>
      </c>
      <c r="W18" s="1097">
        <v>44.765124999999998</v>
      </c>
      <c r="X18" s="1097">
        <v>44.765124999999998</v>
      </c>
      <c r="Y18" s="1097">
        <v>44.765124999999998</v>
      </c>
      <c r="Z18" s="1097">
        <v>44.765124999999998</v>
      </c>
      <c r="AA18" s="1097">
        <v>44.765124999999998</v>
      </c>
      <c r="AB18" s="1098">
        <v>44.765124999999998</v>
      </c>
      <c r="AD18" s="1100">
        <f t="shared" si="24"/>
        <v>22.16492539494136</v>
      </c>
      <c r="AE18" s="1101">
        <f t="shared" si="0"/>
        <v>55.412313487353394</v>
      </c>
      <c r="AF18" s="1101">
        <f t="shared" si="1"/>
        <v>55.412313487353394</v>
      </c>
      <c r="AG18" s="1101">
        <f t="shared" si="2"/>
        <v>55.412313487353394</v>
      </c>
      <c r="AH18" s="1101">
        <f t="shared" si="3"/>
        <v>55.412313487353394</v>
      </c>
      <c r="AI18" s="1101">
        <f t="shared" si="4"/>
        <v>55.412313487353394</v>
      </c>
      <c r="AJ18" s="1101">
        <f t="shared" si="5"/>
        <v>55.412313487353394</v>
      </c>
      <c r="AK18" s="1101">
        <f t="shared" si="6"/>
        <v>55.412313487353394</v>
      </c>
      <c r="AL18" s="1101">
        <f t="shared" si="7"/>
        <v>55.412313487353394</v>
      </c>
      <c r="AM18" s="1101">
        <f t="shared" si="8"/>
        <v>55.412313487353394</v>
      </c>
      <c r="AN18" s="1101">
        <f t="shared" si="9"/>
        <v>55.412313487353394</v>
      </c>
      <c r="AO18" s="1101">
        <f t="shared" si="10"/>
        <v>55.412313487353394</v>
      </c>
      <c r="AP18" s="1101">
        <f t="shared" si="11"/>
        <v>55.412313487353394</v>
      </c>
      <c r="AQ18" s="1101">
        <f t="shared" si="12"/>
        <v>55.412313487353394</v>
      </c>
      <c r="AR18" s="1101">
        <f t="shared" si="13"/>
        <v>55.412313487353394</v>
      </c>
      <c r="AS18" s="1101">
        <f t="shared" si="14"/>
        <v>55.412313487353394</v>
      </c>
      <c r="AT18" s="1101">
        <f t="shared" si="15"/>
        <v>55.412313487353394</v>
      </c>
      <c r="AU18" s="1101">
        <f t="shared" si="16"/>
        <v>55.412313487353394</v>
      </c>
      <c r="AV18" s="1101">
        <f t="shared" si="17"/>
        <v>55.412313487353394</v>
      </c>
      <c r="AW18" s="1101">
        <f t="shared" si="18"/>
        <v>55.412313487353394</v>
      </c>
      <c r="AX18" s="1101">
        <f t="shared" si="19"/>
        <v>55.412313487353394</v>
      </c>
      <c r="AY18" s="1101">
        <f t="shared" si="20"/>
        <v>55.412313487353394</v>
      </c>
      <c r="AZ18" s="1101">
        <f t="shared" si="21"/>
        <v>55.412313487353394</v>
      </c>
      <c r="BA18" s="1101">
        <f t="shared" si="22"/>
        <v>55.412313487353394</v>
      </c>
      <c r="BB18" s="1102">
        <f t="shared" si="23"/>
        <v>55.412313487353394</v>
      </c>
      <c r="BC18" s="1103"/>
    </row>
    <row r="19" spans="2:55" s="1099" customFormat="1" ht="15">
      <c r="B19" s="1074">
        <v>2028</v>
      </c>
      <c r="C19" s="1404" t="s">
        <v>857</v>
      </c>
      <c r="D19" s="1097">
        <v>18.956202000000001</v>
      </c>
      <c r="E19" s="1097">
        <v>37.912404000000002</v>
      </c>
      <c r="F19" s="1097">
        <v>66.346707000000009</v>
      </c>
      <c r="G19" s="1097">
        <v>66.346707000000009</v>
      </c>
      <c r="H19" s="1097">
        <v>66.346707000000009</v>
      </c>
      <c r="I19" s="1097">
        <v>66.346707000000009</v>
      </c>
      <c r="J19" s="1097">
        <v>66.346707000000009</v>
      </c>
      <c r="K19" s="1097">
        <v>66.346707000000009</v>
      </c>
      <c r="L19" s="1097">
        <v>66.346707000000009</v>
      </c>
      <c r="M19" s="1097">
        <v>66.346707000000009</v>
      </c>
      <c r="N19" s="1097">
        <v>66.346707000000009</v>
      </c>
      <c r="O19" s="1097">
        <v>66.346707000000009</v>
      </c>
      <c r="P19" s="1097">
        <v>66.346707000000009</v>
      </c>
      <c r="Q19" s="1097">
        <v>66.346707000000009</v>
      </c>
      <c r="R19" s="1097">
        <v>66.346707000000009</v>
      </c>
      <c r="S19" s="1097">
        <v>66.346707000000009</v>
      </c>
      <c r="T19" s="1097">
        <v>66.346707000000009</v>
      </c>
      <c r="U19" s="1097">
        <v>66.346707000000009</v>
      </c>
      <c r="V19" s="1097">
        <v>66.346707000000009</v>
      </c>
      <c r="W19" s="1097">
        <v>66.346707000000009</v>
      </c>
      <c r="X19" s="1097">
        <v>66.346707000000009</v>
      </c>
      <c r="Y19" s="1097">
        <v>66.346707000000009</v>
      </c>
      <c r="Z19" s="1097">
        <v>66.346707000000009</v>
      </c>
      <c r="AA19" s="1097">
        <v>66.346707000000009</v>
      </c>
      <c r="AB19" s="1098">
        <v>66.346707000000009</v>
      </c>
      <c r="AD19" s="1100">
        <f t="shared" si="24"/>
        <v>23.464851438560604</v>
      </c>
      <c r="AE19" s="1101">
        <f t="shared" si="0"/>
        <v>46.929702877121208</v>
      </c>
      <c r="AF19" s="1101">
        <f t="shared" si="1"/>
        <v>82.126980034962131</v>
      </c>
      <c r="AG19" s="1101">
        <f t="shared" si="2"/>
        <v>82.126980034962131</v>
      </c>
      <c r="AH19" s="1101">
        <f t="shared" si="3"/>
        <v>82.126980034962131</v>
      </c>
      <c r="AI19" s="1101">
        <f t="shared" si="4"/>
        <v>82.126980034962131</v>
      </c>
      <c r="AJ19" s="1101">
        <f t="shared" si="5"/>
        <v>82.126980034962131</v>
      </c>
      <c r="AK19" s="1101">
        <f t="shared" si="6"/>
        <v>82.126980034962131</v>
      </c>
      <c r="AL19" s="1101">
        <f t="shared" si="7"/>
        <v>82.126980034962131</v>
      </c>
      <c r="AM19" s="1101">
        <f t="shared" si="8"/>
        <v>82.126980034962131</v>
      </c>
      <c r="AN19" s="1101">
        <f t="shared" si="9"/>
        <v>82.126980034962131</v>
      </c>
      <c r="AO19" s="1101">
        <f t="shared" si="10"/>
        <v>82.126980034962131</v>
      </c>
      <c r="AP19" s="1101">
        <f t="shared" si="11"/>
        <v>82.126980034962131</v>
      </c>
      <c r="AQ19" s="1101">
        <f t="shared" si="12"/>
        <v>82.126980034962131</v>
      </c>
      <c r="AR19" s="1101">
        <f t="shared" si="13"/>
        <v>82.126980034962131</v>
      </c>
      <c r="AS19" s="1101">
        <f t="shared" si="14"/>
        <v>82.126980034962131</v>
      </c>
      <c r="AT19" s="1101">
        <f t="shared" si="15"/>
        <v>82.126980034962131</v>
      </c>
      <c r="AU19" s="1101">
        <f t="shared" si="16"/>
        <v>82.126980034962131</v>
      </c>
      <c r="AV19" s="1101">
        <f t="shared" si="17"/>
        <v>82.126980034962131</v>
      </c>
      <c r="AW19" s="1101">
        <f t="shared" si="18"/>
        <v>82.126980034962131</v>
      </c>
      <c r="AX19" s="1101">
        <f t="shared" si="19"/>
        <v>82.126980034962131</v>
      </c>
      <c r="AY19" s="1101">
        <f t="shared" si="20"/>
        <v>82.126980034962131</v>
      </c>
      <c r="AZ19" s="1101">
        <f t="shared" si="21"/>
        <v>82.126980034962131</v>
      </c>
      <c r="BA19" s="1101">
        <f t="shared" si="22"/>
        <v>82.126980034962131</v>
      </c>
      <c r="BB19" s="1102">
        <f t="shared" si="23"/>
        <v>82.126980034962131</v>
      </c>
      <c r="BC19" s="1103"/>
    </row>
    <row r="20" spans="2:55" s="1099" customFormat="1" ht="15">
      <c r="B20" s="1074">
        <v>2029</v>
      </c>
      <c r="C20" s="1404" t="s">
        <v>858</v>
      </c>
      <c r="D20" s="1097">
        <v>20.199396</v>
      </c>
      <c r="E20" s="1097">
        <v>40.398792</v>
      </c>
      <c r="F20" s="1097">
        <v>60.598188000000007</v>
      </c>
      <c r="G20" s="1097">
        <v>90.897282000000004</v>
      </c>
      <c r="H20" s="1097">
        <v>90.897282000000004</v>
      </c>
      <c r="I20" s="1097">
        <v>90.897282000000004</v>
      </c>
      <c r="J20" s="1097">
        <v>90.897282000000004</v>
      </c>
      <c r="K20" s="1097">
        <v>90.897282000000004</v>
      </c>
      <c r="L20" s="1097">
        <v>90.897282000000004</v>
      </c>
      <c r="M20" s="1097">
        <v>90.897282000000004</v>
      </c>
      <c r="N20" s="1097">
        <v>90.897282000000004</v>
      </c>
      <c r="O20" s="1097">
        <v>90.897282000000004</v>
      </c>
      <c r="P20" s="1097">
        <v>90.897282000000004</v>
      </c>
      <c r="Q20" s="1097">
        <v>90.897282000000004</v>
      </c>
      <c r="R20" s="1097">
        <v>90.897282000000004</v>
      </c>
      <c r="S20" s="1097">
        <v>90.897282000000004</v>
      </c>
      <c r="T20" s="1097">
        <v>90.897282000000004</v>
      </c>
      <c r="U20" s="1097">
        <v>90.897282000000004</v>
      </c>
      <c r="V20" s="1097">
        <v>90.897282000000004</v>
      </c>
      <c r="W20" s="1097">
        <v>90.897282000000004</v>
      </c>
      <c r="X20" s="1097">
        <v>90.897282000000004</v>
      </c>
      <c r="Y20" s="1097">
        <v>90.897282000000004</v>
      </c>
      <c r="Z20" s="1097">
        <v>90.897282000000004</v>
      </c>
      <c r="AA20" s="1097">
        <v>90.897282000000004</v>
      </c>
      <c r="AB20" s="1098">
        <v>90.897282000000004</v>
      </c>
      <c r="AD20" s="1100">
        <f t="shared" si="24"/>
        <v>25.003733674533294</v>
      </c>
      <c r="AE20" s="1101">
        <f t="shared" si="0"/>
        <v>50.007467349066587</v>
      </c>
      <c r="AF20" s="1101">
        <f t="shared" si="1"/>
        <v>75.011201023599895</v>
      </c>
      <c r="AG20" s="1101">
        <f t="shared" si="2"/>
        <v>112.51680153539982</v>
      </c>
      <c r="AH20" s="1101">
        <f t="shared" si="3"/>
        <v>112.51680153539982</v>
      </c>
      <c r="AI20" s="1101">
        <f t="shared" si="4"/>
        <v>112.51680153539982</v>
      </c>
      <c r="AJ20" s="1101">
        <f t="shared" si="5"/>
        <v>112.51680153539982</v>
      </c>
      <c r="AK20" s="1101">
        <f t="shared" si="6"/>
        <v>112.51680153539982</v>
      </c>
      <c r="AL20" s="1101">
        <f t="shared" si="7"/>
        <v>112.51680153539982</v>
      </c>
      <c r="AM20" s="1101">
        <f t="shared" si="8"/>
        <v>112.51680153539982</v>
      </c>
      <c r="AN20" s="1101">
        <f t="shared" si="9"/>
        <v>112.51680153539982</v>
      </c>
      <c r="AO20" s="1101">
        <f t="shared" si="10"/>
        <v>112.51680153539982</v>
      </c>
      <c r="AP20" s="1101">
        <f t="shared" si="11"/>
        <v>112.51680153539982</v>
      </c>
      <c r="AQ20" s="1101">
        <f t="shared" si="12"/>
        <v>112.51680153539982</v>
      </c>
      <c r="AR20" s="1101">
        <f t="shared" si="13"/>
        <v>112.51680153539982</v>
      </c>
      <c r="AS20" s="1101">
        <f t="shared" si="14"/>
        <v>112.51680153539982</v>
      </c>
      <c r="AT20" s="1101">
        <f t="shared" si="15"/>
        <v>112.51680153539982</v>
      </c>
      <c r="AU20" s="1101">
        <f t="shared" si="16"/>
        <v>112.51680153539982</v>
      </c>
      <c r="AV20" s="1101">
        <f t="shared" si="17"/>
        <v>112.51680153539982</v>
      </c>
      <c r="AW20" s="1101">
        <f t="shared" si="18"/>
        <v>112.51680153539982</v>
      </c>
      <c r="AX20" s="1101">
        <f t="shared" si="19"/>
        <v>112.51680153539982</v>
      </c>
      <c r="AY20" s="1101">
        <f t="shared" si="20"/>
        <v>112.51680153539982</v>
      </c>
      <c r="AZ20" s="1101">
        <f t="shared" si="21"/>
        <v>112.51680153539982</v>
      </c>
      <c r="BA20" s="1101">
        <f t="shared" si="22"/>
        <v>112.51680153539982</v>
      </c>
      <c r="BB20" s="1102">
        <f t="shared" si="23"/>
        <v>112.51680153539982</v>
      </c>
      <c r="BC20" s="1103"/>
    </row>
    <row r="21" spans="2:55" s="1099" customFormat="1" ht="15">
      <c r="B21" s="1074">
        <v>2030</v>
      </c>
      <c r="C21" s="1404" t="s">
        <v>859</v>
      </c>
      <c r="D21" s="1097">
        <v>9.7743500000000019</v>
      </c>
      <c r="E21" s="1097">
        <v>29.323050000000009</v>
      </c>
      <c r="F21" s="1097">
        <v>48.871750000000006</v>
      </c>
      <c r="G21" s="1097">
        <v>68.420450000000002</v>
      </c>
      <c r="H21" s="1097">
        <v>97.743500000000012</v>
      </c>
      <c r="I21" s="1097">
        <v>97.743500000000012</v>
      </c>
      <c r="J21" s="1097">
        <v>97.743500000000012</v>
      </c>
      <c r="K21" s="1097">
        <v>97.743500000000012</v>
      </c>
      <c r="L21" s="1097">
        <v>97.743500000000012</v>
      </c>
      <c r="M21" s="1097">
        <v>97.743500000000012</v>
      </c>
      <c r="N21" s="1097">
        <v>97.743500000000012</v>
      </c>
      <c r="O21" s="1097">
        <v>97.743500000000012</v>
      </c>
      <c r="P21" s="1097">
        <v>97.743500000000012</v>
      </c>
      <c r="Q21" s="1097">
        <v>97.743500000000012</v>
      </c>
      <c r="R21" s="1097">
        <v>97.743500000000012</v>
      </c>
      <c r="S21" s="1097">
        <v>97.743500000000012</v>
      </c>
      <c r="T21" s="1097">
        <v>97.743500000000012</v>
      </c>
      <c r="U21" s="1097">
        <v>97.743500000000012</v>
      </c>
      <c r="V21" s="1097">
        <v>97.743500000000012</v>
      </c>
      <c r="W21" s="1097">
        <v>97.743500000000012</v>
      </c>
      <c r="X21" s="1097">
        <v>97.743500000000012</v>
      </c>
      <c r="Y21" s="1097">
        <v>97.743500000000012</v>
      </c>
      <c r="Z21" s="1097">
        <v>97.743500000000012</v>
      </c>
      <c r="AA21" s="1097">
        <v>97.743500000000012</v>
      </c>
      <c r="AB21" s="1098">
        <v>97.743500000000012</v>
      </c>
      <c r="AD21" s="1100">
        <f t="shared" si="24"/>
        <v>12.099136243562658</v>
      </c>
      <c r="AE21" s="1101">
        <f t="shared" si="0"/>
        <v>36.297408730687977</v>
      </c>
      <c r="AF21" s="1101">
        <f t="shared" si="1"/>
        <v>60.495681217813271</v>
      </c>
      <c r="AG21" s="1101">
        <f t="shared" si="2"/>
        <v>84.693953704938565</v>
      </c>
      <c r="AH21" s="1101">
        <f t="shared" si="3"/>
        <v>120.99136243562654</v>
      </c>
      <c r="AI21" s="1101">
        <f t="shared" si="4"/>
        <v>120.99136243562654</v>
      </c>
      <c r="AJ21" s="1101">
        <f t="shared" si="5"/>
        <v>120.99136243562654</v>
      </c>
      <c r="AK21" s="1101">
        <f t="shared" si="6"/>
        <v>120.99136243562654</v>
      </c>
      <c r="AL21" s="1101">
        <f t="shared" si="7"/>
        <v>120.99136243562654</v>
      </c>
      <c r="AM21" s="1101">
        <f t="shared" si="8"/>
        <v>120.99136243562654</v>
      </c>
      <c r="AN21" s="1101">
        <f t="shared" si="9"/>
        <v>120.99136243562654</v>
      </c>
      <c r="AO21" s="1101">
        <f t="shared" si="10"/>
        <v>120.99136243562654</v>
      </c>
      <c r="AP21" s="1101">
        <f t="shared" si="11"/>
        <v>120.99136243562654</v>
      </c>
      <c r="AQ21" s="1101">
        <f t="shared" si="12"/>
        <v>120.99136243562654</v>
      </c>
      <c r="AR21" s="1101">
        <f t="shared" si="13"/>
        <v>120.99136243562654</v>
      </c>
      <c r="AS21" s="1101">
        <f t="shared" si="14"/>
        <v>120.99136243562654</v>
      </c>
      <c r="AT21" s="1101">
        <f t="shared" si="15"/>
        <v>120.99136243562654</v>
      </c>
      <c r="AU21" s="1101">
        <f t="shared" si="16"/>
        <v>120.99136243562654</v>
      </c>
      <c r="AV21" s="1101">
        <f t="shared" si="17"/>
        <v>120.99136243562654</v>
      </c>
      <c r="AW21" s="1101">
        <f t="shared" si="18"/>
        <v>120.99136243562654</v>
      </c>
      <c r="AX21" s="1101">
        <f t="shared" si="19"/>
        <v>120.99136243562654</v>
      </c>
      <c r="AY21" s="1101">
        <f t="shared" si="20"/>
        <v>120.99136243562654</v>
      </c>
      <c r="AZ21" s="1101">
        <f t="shared" si="21"/>
        <v>120.99136243562654</v>
      </c>
      <c r="BA21" s="1101">
        <f t="shared" si="22"/>
        <v>120.99136243562654</v>
      </c>
      <c r="BB21" s="1102">
        <f t="shared" si="23"/>
        <v>120.99136243562654</v>
      </c>
      <c r="BC21" s="1103"/>
    </row>
    <row r="22" spans="2:55" s="1099" customFormat="1" ht="15">
      <c r="B22" s="1074">
        <v>2031</v>
      </c>
      <c r="C22" s="1404" t="s">
        <v>860</v>
      </c>
      <c r="D22" s="1097">
        <v>0</v>
      </c>
      <c r="E22" s="1097">
        <v>9.4781010000000006</v>
      </c>
      <c r="F22" s="1097">
        <v>28.434303000000007</v>
      </c>
      <c r="G22" s="1097">
        <v>47.390505000000005</v>
      </c>
      <c r="H22" s="1097">
        <v>66.346707000000009</v>
      </c>
      <c r="I22" s="1097">
        <v>94.781010000000009</v>
      </c>
      <c r="J22" s="1097">
        <v>94.781010000000009</v>
      </c>
      <c r="K22" s="1097">
        <v>94.781010000000009</v>
      </c>
      <c r="L22" s="1097">
        <v>94.781010000000009</v>
      </c>
      <c r="M22" s="1097">
        <v>94.781010000000009</v>
      </c>
      <c r="N22" s="1097">
        <v>94.781010000000009</v>
      </c>
      <c r="O22" s="1097">
        <v>94.781010000000009</v>
      </c>
      <c r="P22" s="1097">
        <v>94.781010000000009</v>
      </c>
      <c r="Q22" s="1097">
        <v>94.781010000000009</v>
      </c>
      <c r="R22" s="1097">
        <v>94.781010000000009</v>
      </c>
      <c r="S22" s="1097">
        <v>94.781010000000009</v>
      </c>
      <c r="T22" s="1097">
        <v>94.781010000000009</v>
      </c>
      <c r="U22" s="1097">
        <v>94.781010000000009</v>
      </c>
      <c r="V22" s="1097">
        <v>94.781010000000009</v>
      </c>
      <c r="W22" s="1097">
        <v>94.781010000000009</v>
      </c>
      <c r="X22" s="1097">
        <v>94.781010000000009</v>
      </c>
      <c r="Y22" s="1097">
        <v>94.781010000000009</v>
      </c>
      <c r="Z22" s="1097">
        <v>94.781010000000009</v>
      </c>
      <c r="AA22" s="1097">
        <v>94.781010000000009</v>
      </c>
      <c r="AB22" s="1098">
        <v>94.781010000000009</v>
      </c>
      <c r="AD22" s="1100">
        <f t="shared" si="24"/>
        <v>0</v>
      </c>
      <c r="AE22" s="1101">
        <f t="shared" si="0"/>
        <v>11.732425719280302</v>
      </c>
      <c r="AF22" s="1101">
        <f t="shared" si="1"/>
        <v>35.197277157840915</v>
      </c>
      <c r="AG22" s="1101">
        <f t="shared" si="2"/>
        <v>58.66212859640153</v>
      </c>
      <c r="AH22" s="1101">
        <f t="shared" si="3"/>
        <v>82.126980034962131</v>
      </c>
      <c r="AI22" s="1101">
        <f t="shared" si="4"/>
        <v>117.32425719280306</v>
      </c>
      <c r="AJ22" s="1101">
        <f t="shared" si="5"/>
        <v>117.32425719280306</v>
      </c>
      <c r="AK22" s="1101">
        <f t="shared" si="6"/>
        <v>117.32425719280306</v>
      </c>
      <c r="AL22" s="1101">
        <f t="shared" si="7"/>
        <v>117.32425719280306</v>
      </c>
      <c r="AM22" s="1101">
        <f t="shared" si="8"/>
        <v>117.32425719280306</v>
      </c>
      <c r="AN22" s="1101">
        <f t="shared" si="9"/>
        <v>117.32425719280306</v>
      </c>
      <c r="AO22" s="1101">
        <f t="shared" si="10"/>
        <v>117.32425719280306</v>
      </c>
      <c r="AP22" s="1101">
        <f t="shared" si="11"/>
        <v>117.32425719280306</v>
      </c>
      <c r="AQ22" s="1101">
        <f t="shared" si="12"/>
        <v>117.32425719280306</v>
      </c>
      <c r="AR22" s="1101">
        <f t="shared" si="13"/>
        <v>117.32425719280306</v>
      </c>
      <c r="AS22" s="1101">
        <f t="shared" si="14"/>
        <v>117.32425719280306</v>
      </c>
      <c r="AT22" s="1101">
        <f t="shared" si="15"/>
        <v>117.32425719280306</v>
      </c>
      <c r="AU22" s="1101">
        <f t="shared" si="16"/>
        <v>117.32425719280306</v>
      </c>
      <c r="AV22" s="1101">
        <f t="shared" si="17"/>
        <v>117.32425719280306</v>
      </c>
      <c r="AW22" s="1101">
        <f t="shared" si="18"/>
        <v>117.32425719280306</v>
      </c>
      <c r="AX22" s="1101">
        <f t="shared" si="19"/>
        <v>117.32425719280306</v>
      </c>
      <c r="AY22" s="1101">
        <f t="shared" si="20"/>
        <v>117.32425719280306</v>
      </c>
      <c r="AZ22" s="1101">
        <f t="shared" si="21"/>
        <v>117.32425719280306</v>
      </c>
      <c r="BA22" s="1101">
        <f t="shared" si="22"/>
        <v>117.32425719280306</v>
      </c>
      <c r="BB22" s="1102">
        <f t="shared" si="23"/>
        <v>117.32425719280306</v>
      </c>
      <c r="BC22" s="1103"/>
    </row>
    <row r="23" spans="2:55" s="1099" customFormat="1" ht="15">
      <c r="B23" s="1074">
        <v>2032</v>
      </c>
      <c r="C23" s="1404" t="s">
        <v>861</v>
      </c>
      <c r="D23" s="1097">
        <v>0</v>
      </c>
      <c r="E23" s="1097">
        <v>0</v>
      </c>
      <c r="F23" s="1097">
        <v>10.099698</v>
      </c>
      <c r="G23" s="1097">
        <v>30.299094000000004</v>
      </c>
      <c r="H23" s="1097">
        <v>50.498489999999997</v>
      </c>
      <c r="I23" s="1097">
        <v>70.697885999999997</v>
      </c>
      <c r="J23" s="1097">
        <v>100.99697999999999</v>
      </c>
      <c r="K23" s="1097">
        <v>100.99697999999999</v>
      </c>
      <c r="L23" s="1097">
        <v>100.99697999999999</v>
      </c>
      <c r="M23" s="1097">
        <v>100.99697999999999</v>
      </c>
      <c r="N23" s="1097">
        <v>100.99697999999999</v>
      </c>
      <c r="O23" s="1097">
        <v>100.99697999999999</v>
      </c>
      <c r="P23" s="1097">
        <v>100.99697999999999</v>
      </c>
      <c r="Q23" s="1097">
        <v>100.99697999999999</v>
      </c>
      <c r="R23" s="1097">
        <v>100.99697999999999</v>
      </c>
      <c r="S23" s="1097">
        <v>100.99697999999999</v>
      </c>
      <c r="T23" s="1097">
        <v>100.99697999999999</v>
      </c>
      <c r="U23" s="1097">
        <v>100.99697999999999</v>
      </c>
      <c r="V23" s="1097">
        <v>100.99697999999999</v>
      </c>
      <c r="W23" s="1097">
        <v>100.99697999999999</v>
      </c>
      <c r="X23" s="1097">
        <v>100.99697999999999</v>
      </c>
      <c r="Y23" s="1097">
        <v>100.99697999999999</v>
      </c>
      <c r="Z23" s="1097">
        <v>100.99697999999999</v>
      </c>
      <c r="AA23" s="1097">
        <v>100.99697999999999</v>
      </c>
      <c r="AB23" s="1098">
        <v>100.99697999999999</v>
      </c>
      <c r="AD23" s="1100">
        <f t="shared" si="24"/>
        <v>0</v>
      </c>
      <c r="AE23" s="1101">
        <f t="shared" si="0"/>
        <v>0</v>
      </c>
      <c r="AF23" s="1101">
        <f t="shared" si="1"/>
        <v>12.501866837266647</v>
      </c>
      <c r="AG23" s="1101">
        <f t="shared" si="2"/>
        <v>37.505600511799948</v>
      </c>
      <c r="AH23" s="1101">
        <f t="shared" si="3"/>
        <v>62.50933418633322</v>
      </c>
      <c r="AI23" s="1101">
        <f t="shared" si="4"/>
        <v>87.513067860866528</v>
      </c>
      <c r="AJ23" s="1101">
        <f t="shared" si="5"/>
        <v>125.01866837266644</v>
      </c>
      <c r="AK23" s="1101">
        <f t="shared" si="6"/>
        <v>125.01866837266644</v>
      </c>
      <c r="AL23" s="1101">
        <f t="shared" si="7"/>
        <v>125.01866837266644</v>
      </c>
      <c r="AM23" s="1101">
        <f t="shared" si="8"/>
        <v>125.01866837266644</v>
      </c>
      <c r="AN23" s="1101">
        <f t="shared" si="9"/>
        <v>125.01866837266644</v>
      </c>
      <c r="AO23" s="1101">
        <f t="shared" si="10"/>
        <v>125.01866837266644</v>
      </c>
      <c r="AP23" s="1101">
        <f t="shared" si="11"/>
        <v>125.01866837266644</v>
      </c>
      <c r="AQ23" s="1101">
        <f t="shared" si="12"/>
        <v>125.01866837266644</v>
      </c>
      <c r="AR23" s="1101">
        <f t="shared" si="13"/>
        <v>125.01866837266644</v>
      </c>
      <c r="AS23" s="1101">
        <f t="shared" si="14"/>
        <v>125.01866837266644</v>
      </c>
      <c r="AT23" s="1101">
        <f t="shared" si="15"/>
        <v>125.01866837266644</v>
      </c>
      <c r="AU23" s="1101">
        <f t="shared" si="16"/>
        <v>125.01866837266644</v>
      </c>
      <c r="AV23" s="1101">
        <f t="shared" si="17"/>
        <v>125.01866837266644</v>
      </c>
      <c r="AW23" s="1101">
        <f t="shared" si="18"/>
        <v>125.01866837266644</v>
      </c>
      <c r="AX23" s="1101">
        <f t="shared" si="19"/>
        <v>125.01866837266644</v>
      </c>
      <c r="AY23" s="1101">
        <f t="shared" si="20"/>
        <v>125.01866837266644</v>
      </c>
      <c r="AZ23" s="1101">
        <f t="shared" si="21"/>
        <v>125.01866837266644</v>
      </c>
      <c r="BA23" s="1101">
        <f t="shared" si="22"/>
        <v>125.01866837266644</v>
      </c>
      <c r="BB23" s="1102">
        <f t="shared" si="23"/>
        <v>125.01866837266644</v>
      </c>
      <c r="BC23" s="1103"/>
    </row>
    <row r="24" spans="2:55" s="1099" customFormat="1" ht="15">
      <c r="B24" s="1074">
        <v>2033</v>
      </c>
      <c r="C24" s="1404" t="s">
        <v>862</v>
      </c>
      <c r="D24" s="1097">
        <v>0</v>
      </c>
      <c r="E24" s="1097">
        <v>0</v>
      </c>
      <c r="F24" s="1097">
        <v>0</v>
      </c>
      <c r="G24" s="1097">
        <v>9.7743500000000019</v>
      </c>
      <c r="H24" s="1097">
        <v>29.323050000000009</v>
      </c>
      <c r="I24" s="1097">
        <v>48.871750000000006</v>
      </c>
      <c r="J24" s="1097">
        <v>68.420450000000002</v>
      </c>
      <c r="K24" s="1097">
        <v>97.743500000000012</v>
      </c>
      <c r="L24" s="1097">
        <v>97.743500000000012</v>
      </c>
      <c r="M24" s="1097">
        <v>97.743500000000012</v>
      </c>
      <c r="N24" s="1097">
        <v>97.743500000000012</v>
      </c>
      <c r="O24" s="1097">
        <v>97.743500000000012</v>
      </c>
      <c r="P24" s="1097">
        <v>97.743500000000012</v>
      </c>
      <c r="Q24" s="1097">
        <v>97.743500000000012</v>
      </c>
      <c r="R24" s="1097">
        <v>97.743500000000012</v>
      </c>
      <c r="S24" s="1097">
        <v>97.743500000000012</v>
      </c>
      <c r="T24" s="1097">
        <v>97.743500000000012</v>
      </c>
      <c r="U24" s="1097">
        <v>97.743500000000012</v>
      </c>
      <c r="V24" s="1097">
        <v>97.743500000000012</v>
      </c>
      <c r="W24" s="1097">
        <v>97.743500000000012</v>
      </c>
      <c r="X24" s="1097">
        <v>97.743500000000012</v>
      </c>
      <c r="Y24" s="1097">
        <v>97.743500000000012</v>
      </c>
      <c r="Z24" s="1097">
        <v>97.743500000000012</v>
      </c>
      <c r="AA24" s="1097">
        <v>97.743500000000012</v>
      </c>
      <c r="AB24" s="1098">
        <v>97.743500000000012</v>
      </c>
      <c r="AD24" s="1100">
        <f t="shared" si="24"/>
        <v>0</v>
      </c>
      <c r="AE24" s="1101">
        <f t="shared" si="0"/>
        <v>0</v>
      </c>
      <c r="AF24" s="1101">
        <f t="shared" si="1"/>
        <v>0</v>
      </c>
      <c r="AG24" s="1101">
        <f t="shared" si="2"/>
        <v>12.099136243562658</v>
      </c>
      <c r="AH24" s="1101">
        <f t="shared" si="3"/>
        <v>36.297408730687977</v>
      </c>
      <c r="AI24" s="1101">
        <f t="shared" si="4"/>
        <v>60.495681217813271</v>
      </c>
      <c r="AJ24" s="1101">
        <f t="shared" si="5"/>
        <v>84.693953704938565</v>
      </c>
      <c r="AK24" s="1101">
        <f t="shared" si="6"/>
        <v>120.99136243562654</v>
      </c>
      <c r="AL24" s="1101">
        <f t="shared" si="7"/>
        <v>120.99136243562654</v>
      </c>
      <c r="AM24" s="1101">
        <f t="shared" si="8"/>
        <v>120.99136243562654</v>
      </c>
      <c r="AN24" s="1101">
        <f t="shared" si="9"/>
        <v>120.99136243562654</v>
      </c>
      <c r="AO24" s="1101">
        <f t="shared" si="10"/>
        <v>120.99136243562654</v>
      </c>
      <c r="AP24" s="1101">
        <f t="shared" si="11"/>
        <v>120.99136243562654</v>
      </c>
      <c r="AQ24" s="1101">
        <f t="shared" si="12"/>
        <v>120.99136243562654</v>
      </c>
      <c r="AR24" s="1101">
        <f t="shared" si="13"/>
        <v>120.99136243562654</v>
      </c>
      <c r="AS24" s="1101">
        <f t="shared" si="14"/>
        <v>120.99136243562654</v>
      </c>
      <c r="AT24" s="1101">
        <f t="shared" si="15"/>
        <v>120.99136243562654</v>
      </c>
      <c r="AU24" s="1101">
        <f t="shared" si="16"/>
        <v>120.99136243562654</v>
      </c>
      <c r="AV24" s="1101">
        <f t="shared" si="17"/>
        <v>120.99136243562654</v>
      </c>
      <c r="AW24" s="1101">
        <f t="shared" si="18"/>
        <v>120.99136243562654</v>
      </c>
      <c r="AX24" s="1101">
        <f t="shared" si="19"/>
        <v>120.99136243562654</v>
      </c>
      <c r="AY24" s="1101">
        <f t="shared" si="20"/>
        <v>120.99136243562654</v>
      </c>
      <c r="AZ24" s="1101">
        <f t="shared" si="21"/>
        <v>120.99136243562654</v>
      </c>
      <c r="BA24" s="1101">
        <f t="shared" si="22"/>
        <v>120.99136243562654</v>
      </c>
      <c r="BB24" s="1102">
        <f t="shared" si="23"/>
        <v>120.99136243562654</v>
      </c>
      <c r="BC24" s="1103"/>
    </row>
    <row r="25" spans="2:55" s="1099" customFormat="1" ht="15">
      <c r="B25" s="1074">
        <v>2034</v>
      </c>
      <c r="C25" s="1404" t="s">
        <v>863</v>
      </c>
      <c r="D25" s="1097">
        <v>0</v>
      </c>
      <c r="E25" s="1097">
        <v>0</v>
      </c>
      <c r="F25" s="1097">
        <v>0</v>
      </c>
      <c r="G25" s="1097">
        <v>0</v>
      </c>
      <c r="H25" s="1097">
        <v>9.4781010000000006</v>
      </c>
      <c r="I25" s="1097">
        <v>28.434303000000007</v>
      </c>
      <c r="J25" s="1097">
        <v>47.390505000000005</v>
      </c>
      <c r="K25" s="1097">
        <v>66.346707000000009</v>
      </c>
      <c r="L25" s="1097">
        <v>94.781010000000009</v>
      </c>
      <c r="M25" s="1097">
        <v>94.781010000000009</v>
      </c>
      <c r="N25" s="1097">
        <v>94.781010000000009</v>
      </c>
      <c r="O25" s="1097">
        <v>94.781010000000009</v>
      </c>
      <c r="P25" s="1097">
        <v>94.781010000000009</v>
      </c>
      <c r="Q25" s="1097">
        <v>94.781010000000009</v>
      </c>
      <c r="R25" s="1097">
        <v>94.781010000000009</v>
      </c>
      <c r="S25" s="1097">
        <v>94.781010000000009</v>
      </c>
      <c r="T25" s="1097">
        <v>94.781010000000009</v>
      </c>
      <c r="U25" s="1097">
        <v>94.781010000000009</v>
      </c>
      <c r="V25" s="1097">
        <v>94.781010000000009</v>
      </c>
      <c r="W25" s="1097">
        <v>94.781010000000009</v>
      </c>
      <c r="X25" s="1097">
        <v>94.781010000000009</v>
      </c>
      <c r="Y25" s="1097">
        <v>94.781010000000009</v>
      </c>
      <c r="Z25" s="1097">
        <v>94.781010000000009</v>
      </c>
      <c r="AA25" s="1097">
        <v>94.781010000000009</v>
      </c>
      <c r="AB25" s="1098">
        <v>94.781010000000009</v>
      </c>
      <c r="AD25" s="1100">
        <f t="shared" si="24"/>
        <v>0</v>
      </c>
      <c r="AE25" s="1101">
        <f t="shared" si="0"/>
        <v>0</v>
      </c>
      <c r="AF25" s="1101">
        <f t="shared" si="1"/>
        <v>0</v>
      </c>
      <c r="AG25" s="1101">
        <f t="shared" si="2"/>
        <v>0</v>
      </c>
      <c r="AH25" s="1101">
        <f t="shared" si="3"/>
        <v>11.732425719280302</v>
      </c>
      <c r="AI25" s="1101">
        <f t="shared" si="4"/>
        <v>35.197277157840915</v>
      </c>
      <c r="AJ25" s="1101">
        <f t="shared" si="5"/>
        <v>58.66212859640153</v>
      </c>
      <c r="AK25" s="1101">
        <f t="shared" si="6"/>
        <v>82.126980034962131</v>
      </c>
      <c r="AL25" s="1101">
        <f t="shared" si="7"/>
        <v>117.32425719280306</v>
      </c>
      <c r="AM25" s="1101">
        <f t="shared" si="8"/>
        <v>117.32425719280306</v>
      </c>
      <c r="AN25" s="1101">
        <f t="shared" si="9"/>
        <v>117.32425719280306</v>
      </c>
      <c r="AO25" s="1101">
        <f t="shared" si="10"/>
        <v>117.32425719280306</v>
      </c>
      <c r="AP25" s="1101">
        <f t="shared" si="11"/>
        <v>117.32425719280306</v>
      </c>
      <c r="AQ25" s="1101">
        <f t="shared" si="12"/>
        <v>117.32425719280306</v>
      </c>
      <c r="AR25" s="1101">
        <f t="shared" si="13"/>
        <v>117.32425719280306</v>
      </c>
      <c r="AS25" s="1101">
        <f t="shared" si="14"/>
        <v>117.32425719280306</v>
      </c>
      <c r="AT25" s="1101">
        <f t="shared" si="15"/>
        <v>117.32425719280306</v>
      </c>
      <c r="AU25" s="1101">
        <f t="shared" si="16"/>
        <v>117.32425719280306</v>
      </c>
      <c r="AV25" s="1101">
        <f t="shared" si="17"/>
        <v>117.32425719280306</v>
      </c>
      <c r="AW25" s="1101">
        <f t="shared" si="18"/>
        <v>117.32425719280306</v>
      </c>
      <c r="AX25" s="1101">
        <f t="shared" si="19"/>
        <v>117.32425719280306</v>
      </c>
      <c r="AY25" s="1101">
        <f t="shared" si="20"/>
        <v>117.32425719280306</v>
      </c>
      <c r="AZ25" s="1101">
        <f t="shared" si="21"/>
        <v>117.32425719280306</v>
      </c>
      <c r="BA25" s="1101">
        <f t="shared" si="22"/>
        <v>117.32425719280306</v>
      </c>
      <c r="BB25" s="1102">
        <f t="shared" si="23"/>
        <v>117.32425719280306</v>
      </c>
      <c r="BC25" s="1103"/>
    </row>
    <row r="26" spans="2:55" s="1099" customFormat="1" ht="15">
      <c r="B26" s="1074">
        <v>2035</v>
      </c>
      <c r="C26" s="1404" t="s">
        <v>864</v>
      </c>
      <c r="D26" s="1097">
        <v>0</v>
      </c>
      <c r="E26" s="1097">
        <v>0</v>
      </c>
      <c r="F26" s="1097">
        <v>0</v>
      </c>
      <c r="G26" s="1097">
        <v>0</v>
      </c>
      <c r="H26" s="1097">
        <v>0</v>
      </c>
      <c r="I26" s="1097">
        <v>10.099698</v>
      </c>
      <c r="J26" s="1097">
        <v>30.299094000000004</v>
      </c>
      <c r="K26" s="1097">
        <v>50.498489999999997</v>
      </c>
      <c r="L26" s="1097">
        <v>70.697885999999997</v>
      </c>
      <c r="M26" s="1097">
        <v>100.99697999999999</v>
      </c>
      <c r="N26" s="1097">
        <v>100.99697999999999</v>
      </c>
      <c r="O26" s="1097">
        <v>100.99697999999999</v>
      </c>
      <c r="P26" s="1097">
        <v>100.99697999999999</v>
      </c>
      <c r="Q26" s="1097">
        <v>100.99697999999999</v>
      </c>
      <c r="R26" s="1097">
        <v>100.99697999999999</v>
      </c>
      <c r="S26" s="1097">
        <v>100.99697999999999</v>
      </c>
      <c r="T26" s="1097">
        <v>100.99697999999999</v>
      </c>
      <c r="U26" s="1097">
        <v>100.99697999999999</v>
      </c>
      <c r="V26" s="1097">
        <v>100.99697999999999</v>
      </c>
      <c r="W26" s="1097">
        <v>100.99697999999999</v>
      </c>
      <c r="X26" s="1097">
        <v>100.99697999999999</v>
      </c>
      <c r="Y26" s="1097">
        <v>100.99697999999999</v>
      </c>
      <c r="Z26" s="1097">
        <v>100.99697999999999</v>
      </c>
      <c r="AA26" s="1097">
        <v>100.99697999999999</v>
      </c>
      <c r="AB26" s="1098">
        <v>100.99697999999999</v>
      </c>
      <c r="AD26" s="1100">
        <f t="shared" si="24"/>
        <v>0</v>
      </c>
      <c r="AE26" s="1101">
        <f t="shared" si="0"/>
        <v>0</v>
      </c>
      <c r="AF26" s="1101">
        <f t="shared" si="1"/>
        <v>0</v>
      </c>
      <c r="AG26" s="1101">
        <f t="shared" si="2"/>
        <v>0</v>
      </c>
      <c r="AH26" s="1101">
        <f t="shared" si="3"/>
        <v>0</v>
      </c>
      <c r="AI26" s="1101">
        <f t="shared" si="4"/>
        <v>12.501866837266647</v>
      </c>
      <c r="AJ26" s="1101">
        <f t="shared" si="5"/>
        <v>37.505600511799948</v>
      </c>
      <c r="AK26" s="1101">
        <f t="shared" si="6"/>
        <v>62.50933418633322</v>
      </c>
      <c r="AL26" s="1101">
        <f t="shared" si="7"/>
        <v>87.513067860866528</v>
      </c>
      <c r="AM26" s="1101">
        <f t="shared" si="8"/>
        <v>125.01866837266644</v>
      </c>
      <c r="AN26" s="1101">
        <f t="shared" si="9"/>
        <v>125.01866837266644</v>
      </c>
      <c r="AO26" s="1101">
        <f t="shared" si="10"/>
        <v>125.01866837266644</v>
      </c>
      <c r="AP26" s="1101">
        <f t="shared" si="11"/>
        <v>125.01866837266644</v>
      </c>
      <c r="AQ26" s="1101">
        <f t="shared" si="12"/>
        <v>125.01866837266644</v>
      </c>
      <c r="AR26" s="1101">
        <f t="shared" si="13"/>
        <v>125.01866837266644</v>
      </c>
      <c r="AS26" s="1101">
        <f t="shared" si="14"/>
        <v>125.01866837266644</v>
      </c>
      <c r="AT26" s="1101">
        <f t="shared" si="15"/>
        <v>125.01866837266644</v>
      </c>
      <c r="AU26" s="1101">
        <f t="shared" si="16"/>
        <v>125.01866837266644</v>
      </c>
      <c r="AV26" s="1101">
        <f t="shared" si="17"/>
        <v>125.01866837266644</v>
      </c>
      <c r="AW26" s="1101">
        <f t="shared" si="18"/>
        <v>125.01866837266644</v>
      </c>
      <c r="AX26" s="1101">
        <f t="shared" si="19"/>
        <v>125.01866837266644</v>
      </c>
      <c r="AY26" s="1101">
        <f t="shared" si="20"/>
        <v>125.01866837266644</v>
      </c>
      <c r="AZ26" s="1101">
        <f t="shared" si="21"/>
        <v>125.01866837266644</v>
      </c>
      <c r="BA26" s="1101">
        <f t="shared" si="22"/>
        <v>125.01866837266644</v>
      </c>
      <c r="BB26" s="1102">
        <f t="shared" si="23"/>
        <v>125.01866837266644</v>
      </c>
      <c r="BC26" s="1103"/>
    </row>
    <row r="27" spans="2:55" s="1099" customFormat="1" ht="15">
      <c r="B27" s="1074">
        <v>2036</v>
      </c>
      <c r="C27" s="1404" t="s">
        <v>865</v>
      </c>
      <c r="D27" s="1097">
        <v>0</v>
      </c>
      <c r="E27" s="1097">
        <v>0</v>
      </c>
      <c r="F27" s="1097">
        <v>0</v>
      </c>
      <c r="G27" s="1097">
        <v>0</v>
      </c>
      <c r="H27" s="1097">
        <v>0</v>
      </c>
      <c r="I27" s="1097">
        <v>0</v>
      </c>
      <c r="J27" s="1097">
        <v>10.261439391310571</v>
      </c>
      <c r="K27" s="1097">
        <v>30.784318173931716</v>
      </c>
      <c r="L27" s="1097">
        <v>51.307196956552851</v>
      </c>
      <c r="M27" s="1097">
        <v>71.830075739173992</v>
      </c>
      <c r="N27" s="1097">
        <v>102.6143939131057</v>
      </c>
      <c r="O27" s="1097">
        <v>102.6143939131057</v>
      </c>
      <c r="P27" s="1097">
        <v>102.6143939131057</v>
      </c>
      <c r="Q27" s="1097">
        <v>102.6143939131057</v>
      </c>
      <c r="R27" s="1097">
        <v>102.6143939131057</v>
      </c>
      <c r="S27" s="1097">
        <v>102.6143939131057</v>
      </c>
      <c r="T27" s="1097">
        <v>102.6143939131057</v>
      </c>
      <c r="U27" s="1097">
        <v>102.6143939131057</v>
      </c>
      <c r="V27" s="1097">
        <v>102.6143939131057</v>
      </c>
      <c r="W27" s="1097">
        <v>102.6143939131057</v>
      </c>
      <c r="X27" s="1097">
        <v>102.6143939131057</v>
      </c>
      <c r="Y27" s="1097">
        <v>102.6143939131057</v>
      </c>
      <c r="Z27" s="1097">
        <v>102.6143939131057</v>
      </c>
      <c r="AA27" s="1097">
        <v>102.6143939131057</v>
      </c>
      <c r="AB27" s="1098">
        <v>102.6143939131057</v>
      </c>
      <c r="AD27" s="1100">
        <f t="shared" si="24"/>
        <v>0</v>
      </c>
      <c r="AE27" s="1101">
        <f t="shared" si="0"/>
        <v>0</v>
      </c>
      <c r="AF27" s="1101">
        <f t="shared" si="1"/>
        <v>0</v>
      </c>
      <c r="AG27" s="1101">
        <f t="shared" si="2"/>
        <v>0</v>
      </c>
      <c r="AH27" s="1101">
        <f t="shared" si="3"/>
        <v>0</v>
      </c>
      <c r="AI27" s="1101">
        <f t="shared" si="4"/>
        <v>0</v>
      </c>
      <c r="AJ27" s="1101">
        <f t="shared" si="5"/>
        <v>12.702077708546064</v>
      </c>
      <c r="AK27" s="1101">
        <f t="shared" si="6"/>
        <v>38.106233125638198</v>
      </c>
      <c r="AL27" s="1101">
        <f t="shared" si="7"/>
        <v>63.510388542730318</v>
      </c>
      <c r="AM27" s="1101">
        <f t="shared" si="8"/>
        <v>88.914543959822453</v>
      </c>
      <c r="AN27" s="1101">
        <f t="shared" si="9"/>
        <v>127.02077708546064</v>
      </c>
      <c r="AO27" s="1101">
        <f t="shared" si="10"/>
        <v>127.02077708546064</v>
      </c>
      <c r="AP27" s="1101">
        <f t="shared" si="11"/>
        <v>127.02077708546064</v>
      </c>
      <c r="AQ27" s="1101">
        <f t="shared" si="12"/>
        <v>127.02077708546064</v>
      </c>
      <c r="AR27" s="1101">
        <f t="shared" si="13"/>
        <v>127.02077708546064</v>
      </c>
      <c r="AS27" s="1101">
        <f t="shared" si="14"/>
        <v>127.02077708546064</v>
      </c>
      <c r="AT27" s="1101">
        <f t="shared" si="15"/>
        <v>127.02077708546064</v>
      </c>
      <c r="AU27" s="1101">
        <f t="shared" si="16"/>
        <v>127.02077708546064</v>
      </c>
      <c r="AV27" s="1101">
        <f t="shared" si="17"/>
        <v>127.02077708546064</v>
      </c>
      <c r="AW27" s="1101">
        <f t="shared" si="18"/>
        <v>127.02077708546064</v>
      </c>
      <c r="AX27" s="1101">
        <f t="shared" si="19"/>
        <v>127.02077708546064</v>
      </c>
      <c r="AY27" s="1101">
        <f t="shared" si="20"/>
        <v>127.02077708546064</v>
      </c>
      <c r="AZ27" s="1101">
        <f t="shared" si="21"/>
        <v>127.02077708546064</v>
      </c>
      <c r="BA27" s="1101">
        <f t="shared" si="22"/>
        <v>127.02077708546064</v>
      </c>
      <c r="BB27" s="1102">
        <f t="shared" si="23"/>
        <v>127.02077708546064</v>
      </c>
      <c r="BC27" s="1103"/>
    </row>
    <row r="28" spans="2:55" s="1099" customFormat="1" ht="15">
      <c r="B28" s="1074">
        <v>2037</v>
      </c>
      <c r="C28" s="1404" t="s">
        <v>866</v>
      </c>
      <c r="D28" s="1097">
        <v>0</v>
      </c>
      <c r="E28" s="1097">
        <v>0</v>
      </c>
      <c r="F28" s="1097">
        <v>0</v>
      </c>
      <c r="G28" s="1097">
        <v>0</v>
      </c>
      <c r="H28" s="1097">
        <v>0</v>
      </c>
      <c r="I28" s="1097">
        <v>0</v>
      </c>
      <c r="J28" s="1097">
        <v>0</v>
      </c>
      <c r="K28" s="1097">
        <v>10.425800841378164</v>
      </c>
      <c r="L28" s="1097">
        <v>31.277402524134498</v>
      </c>
      <c r="M28" s="1097">
        <v>52.129004206890819</v>
      </c>
      <c r="N28" s="1097">
        <v>72.980605889647137</v>
      </c>
      <c r="O28" s="1097">
        <v>104.25800841378164</v>
      </c>
      <c r="P28" s="1097">
        <v>104.25800841378164</v>
      </c>
      <c r="Q28" s="1097">
        <v>104.25800841378164</v>
      </c>
      <c r="R28" s="1097">
        <v>104.25800841378164</v>
      </c>
      <c r="S28" s="1097">
        <v>104.25800841378164</v>
      </c>
      <c r="T28" s="1097">
        <v>104.25800841378164</v>
      </c>
      <c r="U28" s="1097">
        <v>104.25800841378164</v>
      </c>
      <c r="V28" s="1097">
        <v>104.25800841378164</v>
      </c>
      <c r="W28" s="1097">
        <v>104.25800841378164</v>
      </c>
      <c r="X28" s="1097">
        <v>104.25800841378164</v>
      </c>
      <c r="Y28" s="1097">
        <v>104.25800841378164</v>
      </c>
      <c r="Z28" s="1097">
        <v>104.25800841378164</v>
      </c>
      <c r="AA28" s="1097">
        <v>104.25800841378164</v>
      </c>
      <c r="AB28" s="1098">
        <v>104.25800841378164</v>
      </c>
      <c r="AD28" s="1100">
        <f t="shared" si="24"/>
        <v>0</v>
      </c>
      <c r="AE28" s="1101">
        <f t="shared" si="0"/>
        <v>0</v>
      </c>
      <c r="AF28" s="1101">
        <f t="shared" si="1"/>
        <v>0</v>
      </c>
      <c r="AG28" s="1101">
        <f t="shared" si="2"/>
        <v>0</v>
      </c>
      <c r="AH28" s="1101">
        <f t="shared" si="3"/>
        <v>0</v>
      </c>
      <c r="AI28" s="1101">
        <f t="shared" si="4"/>
        <v>0</v>
      </c>
      <c r="AJ28" s="1101">
        <f t="shared" si="5"/>
        <v>0</v>
      </c>
      <c r="AK28" s="1101">
        <f t="shared" si="6"/>
        <v>12.905531808057269</v>
      </c>
      <c r="AL28" s="1101">
        <f t="shared" si="7"/>
        <v>38.716595424171814</v>
      </c>
      <c r="AM28" s="1101">
        <f t="shared" si="8"/>
        <v>64.527659040286338</v>
      </c>
      <c r="AN28" s="1101">
        <f t="shared" si="9"/>
        <v>90.338722656400861</v>
      </c>
      <c r="AO28" s="1101">
        <f t="shared" si="10"/>
        <v>129.05531808057268</v>
      </c>
      <c r="AP28" s="1101">
        <f t="shared" si="11"/>
        <v>129.05531808057268</v>
      </c>
      <c r="AQ28" s="1101">
        <f t="shared" si="12"/>
        <v>129.05531808057268</v>
      </c>
      <c r="AR28" s="1101">
        <f t="shared" si="13"/>
        <v>129.05531808057268</v>
      </c>
      <c r="AS28" s="1101">
        <f t="shared" si="14"/>
        <v>129.05531808057268</v>
      </c>
      <c r="AT28" s="1101">
        <f t="shared" si="15"/>
        <v>129.05531808057268</v>
      </c>
      <c r="AU28" s="1101">
        <f t="shared" si="16"/>
        <v>129.05531808057268</v>
      </c>
      <c r="AV28" s="1101">
        <f t="shared" si="17"/>
        <v>129.05531808057268</v>
      </c>
      <c r="AW28" s="1101">
        <f t="shared" si="18"/>
        <v>129.05531808057268</v>
      </c>
      <c r="AX28" s="1101">
        <f t="shared" si="19"/>
        <v>129.05531808057268</v>
      </c>
      <c r="AY28" s="1101">
        <f t="shared" si="20"/>
        <v>129.05531808057268</v>
      </c>
      <c r="AZ28" s="1101">
        <f t="shared" si="21"/>
        <v>129.05531808057268</v>
      </c>
      <c r="BA28" s="1101">
        <f t="shared" si="22"/>
        <v>129.05531808057268</v>
      </c>
      <c r="BB28" s="1102">
        <f t="shared" si="23"/>
        <v>129.05531808057268</v>
      </c>
      <c r="BC28" s="1103"/>
    </row>
    <row r="29" spans="2:55" s="1099" customFormat="1" ht="15">
      <c r="B29" s="1074">
        <v>2038</v>
      </c>
      <c r="C29" s="1404" t="s">
        <v>867</v>
      </c>
      <c r="D29" s="1097">
        <v>0</v>
      </c>
      <c r="E29" s="1097">
        <v>0</v>
      </c>
      <c r="F29" s="1097">
        <v>0</v>
      </c>
      <c r="G29" s="1097">
        <v>0</v>
      </c>
      <c r="H29" s="1097">
        <v>0</v>
      </c>
      <c r="I29" s="1097">
        <v>0</v>
      </c>
      <c r="J29" s="1097">
        <v>0</v>
      </c>
      <c r="K29" s="1097">
        <v>0</v>
      </c>
      <c r="L29" s="1097">
        <v>10.592825150571835</v>
      </c>
      <c r="M29" s="1097">
        <v>31.778475451715511</v>
      </c>
      <c r="N29" s="1097">
        <v>52.964125752859175</v>
      </c>
      <c r="O29" s="1097">
        <v>74.149776054002842</v>
      </c>
      <c r="P29" s="1097">
        <v>105.92825150571835</v>
      </c>
      <c r="Q29" s="1097">
        <v>105.92825150571835</v>
      </c>
      <c r="R29" s="1097">
        <v>105.92825150571835</v>
      </c>
      <c r="S29" s="1097">
        <v>105.92825150571835</v>
      </c>
      <c r="T29" s="1097">
        <v>105.92825150571835</v>
      </c>
      <c r="U29" s="1097">
        <v>105.92825150571835</v>
      </c>
      <c r="V29" s="1097">
        <v>105.92825150571835</v>
      </c>
      <c r="W29" s="1097">
        <v>105.92825150571835</v>
      </c>
      <c r="X29" s="1097">
        <v>105.92825150571835</v>
      </c>
      <c r="Y29" s="1097">
        <v>105.92825150571835</v>
      </c>
      <c r="Z29" s="1097">
        <v>105.92825150571835</v>
      </c>
      <c r="AA29" s="1097">
        <v>105.92825150571835</v>
      </c>
      <c r="AB29" s="1098">
        <v>105.92825150571835</v>
      </c>
      <c r="AD29" s="1100">
        <f t="shared" si="24"/>
        <v>0</v>
      </c>
      <c r="AE29" s="1101">
        <f t="shared" si="0"/>
        <v>0</v>
      </c>
      <c r="AF29" s="1101">
        <f t="shared" si="1"/>
        <v>0</v>
      </c>
      <c r="AG29" s="1101">
        <f t="shared" si="2"/>
        <v>0</v>
      </c>
      <c r="AH29" s="1101">
        <f t="shared" si="3"/>
        <v>0</v>
      </c>
      <c r="AI29" s="1101">
        <f t="shared" si="4"/>
        <v>0</v>
      </c>
      <c r="AJ29" s="1101">
        <f t="shared" si="5"/>
        <v>0</v>
      </c>
      <c r="AK29" s="1101">
        <f t="shared" si="6"/>
        <v>0</v>
      </c>
      <c r="AL29" s="1101">
        <f t="shared" si="7"/>
        <v>13.11228211604922</v>
      </c>
      <c r="AM29" s="1101">
        <f t="shared" si="8"/>
        <v>39.336846348147674</v>
      </c>
      <c r="AN29" s="1101">
        <f t="shared" si="9"/>
        <v>65.561410580246104</v>
      </c>
      <c r="AO29" s="1101">
        <f t="shared" si="10"/>
        <v>91.785974812344548</v>
      </c>
      <c r="AP29" s="1101">
        <f t="shared" si="11"/>
        <v>131.12282116049221</v>
      </c>
      <c r="AQ29" s="1101">
        <f t="shared" si="12"/>
        <v>131.12282116049221</v>
      </c>
      <c r="AR29" s="1101">
        <f t="shared" si="13"/>
        <v>131.12282116049221</v>
      </c>
      <c r="AS29" s="1101">
        <f t="shared" si="14"/>
        <v>131.12282116049221</v>
      </c>
      <c r="AT29" s="1101">
        <f t="shared" si="15"/>
        <v>131.12282116049221</v>
      </c>
      <c r="AU29" s="1101">
        <f t="shared" si="16"/>
        <v>131.12282116049221</v>
      </c>
      <c r="AV29" s="1101">
        <f t="shared" si="17"/>
        <v>131.12282116049221</v>
      </c>
      <c r="AW29" s="1101">
        <f t="shared" si="18"/>
        <v>131.12282116049221</v>
      </c>
      <c r="AX29" s="1101">
        <f t="shared" si="19"/>
        <v>131.12282116049221</v>
      </c>
      <c r="AY29" s="1101">
        <f t="shared" si="20"/>
        <v>131.12282116049221</v>
      </c>
      <c r="AZ29" s="1101">
        <f t="shared" si="21"/>
        <v>131.12282116049221</v>
      </c>
      <c r="BA29" s="1101">
        <f t="shared" si="22"/>
        <v>131.12282116049221</v>
      </c>
      <c r="BB29" s="1102">
        <f t="shared" si="23"/>
        <v>131.12282116049221</v>
      </c>
      <c r="BC29" s="1103"/>
    </row>
    <row r="30" spans="2:55" s="1099" customFormat="1" ht="15">
      <c r="B30" s="1074">
        <v>2039</v>
      </c>
      <c r="C30" s="1404" t="s">
        <v>868</v>
      </c>
      <c r="D30" s="1097">
        <v>0</v>
      </c>
      <c r="E30" s="1097">
        <v>0</v>
      </c>
      <c r="F30" s="1097">
        <v>0</v>
      </c>
      <c r="G30" s="1097">
        <v>0</v>
      </c>
      <c r="H30" s="1097">
        <v>0</v>
      </c>
      <c r="I30" s="1097">
        <v>0</v>
      </c>
      <c r="J30" s="1097">
        <v>0</v>
      </c>
      <c r="K30" s="1097">
        <v>0</v>
      </c>
      <c r="L30" s="1097">
        <v>0</v>
      </c>
      <c r="M30" s="1097">
        <v>10.762555822673646</v>
      </c>
      <c r="N30" s="1097">
        <v>32.287667468020935</v>
      </c>
      <c r="O30" s="1097">
        <v>53.812779113368222</v>
      </c>
      <c r="P30" s="1097">
        <v>75.337890758715503</v>
      </c>
      <c r="Q30" s="1097">
        <v>107.62555822673644</v>
      </c>
      <c r="R30" s="1097">
        <v>107.62555822673644</v>
      </c>
      <c r="S30" s="1097">
        <v>107.62555822673644</v>
      </c>
      <c r="T30" s="1097">
        <v>107.62555822673644</v>
      </c>
      <c r="U30" s="1097">
        <v>107.62555822673644</v>
      </c>
      <c r="V30" s="1097">
        <v>107.62555822673644</v>
      </c>
      <c r="W30" s="1097">
        <v>107.62555822673644</v>
      </c>
      <c r="X30" s="1097">
        <v>107.62555822673644</v>
      </c>
      <c r="Y30" s="1097">
        <v>107.62555822673644</v>
      </c>
      <c r="Z30" s="1097">
        <v>107.62555822673644</v>
      </c>
      <c r="AA30" s="1097">
        <v>107.62555822673644</v>
      </c>
      <c r="AB30" s="1098">
        <v>107.62555822673644</v>
      </c>
      <c r="AD30" s="1100">
        <f t="shared" si="24"/>
        <v>0</v>
      </c>
      <c r="AE30" s="1101">
        <f t="shared" si="0"/>
        <v>0</v>
      </c>
      <c r="AF30" s="1101">
        <f t="shared" si="1"/>
        <v>0</v>
      </c>
      <c r="AG30" s="1101">
        <f t="shared" si="2"/>
        <v>0</v>
      </c>
      <c r="AH30" s="1101">
        <f t="shared" si="3"/>
        <v>0</v>
      </c>
      <c r="AI30" s="1101">
        <f t="shared" si="4"/>
        <v>0</v>
      </c>
      <c r="AJ30" s="1101">
        <f t="shared" si="5"/>
        <v>0</v>
      </c>
      <c r="AK30" s="1101">
        <f t="shared" si="6"/>
        <v>0</v>
      </c>
      <c r="AL30" s="1101">
        <f t="shared" si="7"/>
        <v>0</v>
      </c>
      <c r="AM30" s="1101">
        <f t="shared" si="8"/>
        <v>13.322382483487594</v>
      </c>
      <c r="AN30" s="1101">
        <f t="shared" si="9"/>
        <v>39.967147450462789</v>
      </c>
      <c r="AO30" s="1101">
        <f t="shared" si="10"/>
        <v>66.611912417437964</v>
      </c>
      <c r="AP30" s="1101">
        <f t="shared" si="11"/>
        <v>93.256677384413166</v>
      </c>
      <c r="AQ30" s="1101">
        <f t="shared" si="12"/>
        <v>133.22382483487593</v>
      </c>
      <c r="AR30" s="1101">
        <f t="shared" si="13"/>
        <v>133.22382483487593</v>
      </c>
      <c r="AS30" s="1101">
        <f t="shared" si="14"/>
        <v>133.22382483487593</v>
      </c>
      <c r="AT30" s="1101">
        <f t="shared" si="15"/>
        <v>133.22382483487593</v>
      </c>
      <c r="AU30" s="1101">
        <f t="shared" si="16"/>
        <v>133.22382483487593</v>
      </c>
      <c r="AV30" s="1101">
        <f t="shared" si="17"/>
        <v>133.22382483487593</v>
      </c>
      <c r="AW30" s="1101">
        <f t="shared" si="18"/>
        <v>133.22382483487593</v>
      </c>
      <c r="AX30" s="1101">
        <f t="shared" si="19"/>
        <v>133.22382483487593</v>
      </c>
      <c r="AY30" s="1101">
        <f t="shared" si="20"/>
        <v>133.22382483487593</v>
      </c>
      <c r="AZ30" s="1101">
        <f t="shared" si="21"/>
        <v>133.22382483487593</v>
      </c>
      <c r="BA30" s="1101">
        <f t="shared" si="22"/>
        <v>133.22382483487593</v>
      </c>
      <c r="BB30" s="1102">
        <f t="shared" si="23"/>
        <v>133.22382483487593</v>
      </c>
      <c r="BC30" s="1103"/>
    </row>
    <row r="31" spans="2:55" s="1099" customFormat="1" ht="15">
      <c r="B31" s="1074">
        <v>2040</v>
      </c>
      <c r="C31" s="1404" t="s">
        <v>869</v>
      </c>
      <c r="D31" s="1097">
        <v>0</v>
      </c>
      <c r="E31" s="1097">
        <v>0</v>
      </c>
      <c r="F31" s="1097">
        <v>0</v>
      </c>
      <c r="G31" s="1097">
        <v>0</v>
      </c>
      <c r="H31" s="1097">
        <v>0</v>
      </c>
      <c r="I31" s="1097">
        <v>0</v>
      </c>
      <c r="J31" s="1097">
        <v>0</v>
      </c>
      <c r="K31" s="1097">
        <v>0</v>
      </c>
      <c r="L31" s="1097">
        <v>0</v>
      </c>
      <c r="M31" s="1097">
        <v>0</v>
      </c>
      <c r="N31" s="1097">
        <v>10.935037076488896</v>
      </c>
      <c r="O31" s="1097">
        <v>32.805111229466696</v>
      </c>
      <c r="P31" s="1097">
        <v>54.675185382444482</v>
      </c>
      <c r="Q31" s="1097">
        <v>76.545259535422275</v>
      </c>
      <c r="R31" s="1097">
        <v>109.35037076488896</v>
      </c>
      <c r="S31" s="1097">
        <v>109.35037076488896</v>
      </c>
      <c r="T31" s="1097">
        <v>109.35037076488896</v>
      </c>
      <c r="U31" s="1097">
        <v>109.35037076488896</v>
      </c>
      <c r="V31" s="1097">
        <v>109.35037076488896</v>
      </c>
      <c r="W31" s="1097">
        <v>109.35037076488896</v>
      </c>
      <c r="X31" s="1097">
        <v>109.35037076488896</v>
      </c>
      <c r="Y31" s="1097">
        <v>109.35037076488896</v>
      </c>
      <c r="Z31" s="1097">
        <v>109.35037076488896</v>
      </c>
      <c r="AA31" s="1097">
        <v>109.35037076488896</v>
      </c>
      <c r="AB31" s="1098">
        <v>109.35037076488896</v>
      </c>
      <c r="AD31" s="1100">
        <f t="shared" si="24"/>
        <v>0</v>
      </c>
      <c r="AE31" s="1101">
        <f t="shared" si="0"/>
        <v>0</v>
      </c>
      <c r="AF31" s="1101">
        <f t="shared" si="1"/>
        <v>0</v>
      </c>
      <c r="AG31" s="1101">
        <f t="shared" si="2"/>
        <v>0</v>
      </c>
      <c r="AH31" s="1101">
        <f t="shared" si="3"/>
        <v>0</v>
      </c>
      <c r="AI31" s="1101">
        <f t="shared" si="4"/>
        <v>0</v>
      </c>
      <c r="AJ31" s="1101">
        <f t="shared" si="5"/>
        <v>0</v>
      </c>
      <c r="AK31" s="1101">
        <f t="shared" si="6"/>
        <v>0</v>
      </c>
      <c r="AL31" s="1101">
        <f t="shared" si="7"/>
        <v>0</v>
      </c>
      <c r="AM31" s="1101">
        <f t="shared" si="8"/>
        <v>0</v>
      </c>
      <c r="AN31" s="1101">
        <f t="shared" si="9"/>
        <v>13.535887646426433</v>
      </c>
      <c r="AO31" s="1101">
        <f t="shared" si="10"/>
        <v>40.607662939279308</v>
      </c>
      <c r="AP31" s="1101">
        <f t="shared" si="11"/>
        <v>67.679438232132171</v>
      </c>
      <c r="AQ31" s="1101">
        <f t="shared" si="12"/>
        <v>94.751213524985033</v>
      </c>
      <c r="AR31" s="1101">
        <f t="shared" si="13"/>
        <v>135.35887646426434</v>
      </c>
      <c r="AS31" s="1101">
        <f t="shared" si="14"/>
        <v>135.35887646426434</v>
      </c>
      <c r="AT31" s="1101">
        <f t="shared" si="15"/>
        <v>135.35887646426434</v>
      </c>
      <c r="AU31" s="1101">
        <f t="shared" si="16"/>
        <v>135.35887646426434</v>
      </c>
      <c r="AV31" s="1101">
        <f t="shared" si="17"/>
        <v>135.35887646426434</v>
      </c>
      <c r="AW31" s="1101">
        <f t="shared" si="18"/>
        <v>135.35887646426434</v>
      </c>
      <c r="AX31" s="1101">
        <f t="shared" si="19"/>
        <v>135.35887646426434</v>
      </c>
      <c r="AY31" s="1101">
        <f t="shared" si="20"/>
        <v>135.35887646426434</v>
      </c>
      <c r="AZ31" s="1101">
        <f t="shared" si="21"/>
        <v>135.35887646426434</v>
      </c>
      <c r="BA31" s="1101">
        <f t="shared" si="22"/>
        <v>135.35887646426434</v>
      </c>
      <c r="BB31" s="1102">
        <f t="shared" si="23"/>
        <v>135.35887646426434</v>
      </c>
      <c r="BC31" s="1103"/>
    </row>
    <row r="32" spans="2:55" s="1099" customFormat="1" ht="15">
      <c r="B32" s="1074">
        <v>2041</v>
      </c>
      <c r="C32" s="1404" t="s">
        <v>870</v>
      </c>
      <c r="D32" s="1097">
        <v>0</v>
      </c>
      <c r="E32" s="1097">
        <v>0</v>
      </c>
      <c r="F32" s="1097">
        <v>0</v>
      </c>
      <c r="G32" s="1097">
        <v>0</v>
      </c>
      <c r="H32" s="1097">
        <v>0</v>
      </c>
      <c r="I32" s="1097">
        <v>0</v>
      </c>
      <c r="J32" s="1097">
        <v>0</v>
      </c>
      <c r="K32" s="1097">
        <v>0</v>
      </c>
      <c r="L32" s="1097">
        <v>0</v>
      </c>
      <c r="M32" s="1097">
        <v>0</v>
      </c>
      <c r="N32" s="1097">
        <v>0</v>
      </c>
      <c r="O32" s="1097">
        <v>11.110313857648622</v>
      </c>
      <c r="P32" s="1097">
        <v>33.330941572945868</v>
      </c>
      <c r="Q32" s="1097">
        <v>55.551569288243108</v>
      </c>
      <c r="R32" s="1097">
        <v>77.772197003540342</v>
      </c>
      <c r="S32" s="1097">
        <v>111.10313857648622</v>
      </c>
      <c r="T32" s="1097">
        <v>111.10313857648622</v>
      </c>
      <c r="U32" s="1097">
        <v>111.10313857648622</v>
      </c>
      <c r="V32" s="1097">
        <v>111.10313857648622</v>
      </c>
      <c r="W32" s="1097">
        <v>111.10313857648622</v>
      </c>
      <c r="X32" s="1097">
        <v>111.10313857648622</v>
      </c>
      <c r="Y32" s="1097">
        <v>111.10313857648622</v>
      </c>
      <c r="Z32" s="1097">
        <v>111.10313857648622</v>
      </c>
      <c r="AA32" s="1097">
        <v>111.10313857648622</v>
      </c>
      <c r="AB32" s="1098">
        <v>111.10313857648622</v>
      </c>
      <c r="AD32" s="1100">
        <f t="shared" si="24"/>
        <v>0</v>
      </c>
      <c r="AE32" s="1101">
        <f t="shared" si="0"/>
        <v>0</v>
      </c>
      <c r="AF32" s="1101">
        <f t="shared" si="1"/>
        <v>0</v>
      </c>
      <c r="AG32" s="1101">
        <f t="shared" si="2"/>
        <v>0</v>
      </c>
      <c r="AH32" s="1101">
        <f t="shared" si="3"/>
        <v>0</v>
      </c>
      <c r="AI32" s="1101">
        <f t="shared" si="4"/>
        <v>0</v>
      </c>
      <c r="AJ32" s="1101">
        <f t="shared" si="5"/>
        <v>0</v>
      </c>
      <c r="AK32" s="1101">
        <f t="shared" si="6"/>
        <v>0</v>
      </c>
      <c r="AL32" s="1101">
        <f t="shared" si="7"/>
        <v>0</v>
      </c>
      <c r="AM32" s="1101">
        <f t="shared" si="8"/>
        <v>0</v>
      </c>
      <c r="AN32" s="1101">
        <f t="shared" si="9"/>
        <v>0</v>
      </c>
      <c r="AO32" s="1101">
        <f t="shared" si="10"/>
        <v>13.752853240617824</v>
      </c>
      <c r="AP32" s="1101">
        <f t="shared" si="11"/>
        <v>41.258559721853473</v>
      </c>
      <c r="AQ32" s="1101">
        <f t="shared" si="12"/>
        <v>68.764266203089122</v>
      </c>
      <c r="AR32" s="1101">
        <f t="shared" si="13"/>
        <v>96.269972684324756</v>
      </c>
      <c r="AS32" s="1101">
        <f t="shared" si="14"/>
        <v>137.52853240617824</v>
      </c>
      <c r="AT32" s="1101">
        <f t="shared" si="15"/>
        <v>137.52853240617824</v>
      </c>
      <c r="AU32" s="1101">
        <f t="shared" si="16"/>
        <v>137.52853240617824</v>
      </c>
      <c r="AV32" s="1101">
        <f t="shared" si="17"/>
        <v>137.52853240617824</v>
      </c>
      <c r="AW32" s="1101">
        <f t="shared" si="18"/>
        <v>137.52853240617824</v>
      </c>
      <c r="AX32" s="1101">
        <f t="shared" si="19"/>
        <v>137.52853240617824</v>
      </c>
      <c r="AY32" s="1101">
        <f t="shared" si="20"/>
        <v>137.52853240617824</v>
      </c>
      <c r="AZ32" s="1101">
        <f t="shared" si="21"/>
        <v>137.52853240617824</v>
      </c>
      <c r="BA32" s="1101">
        <f t="shared" si="22"/>
        <v>137.52853240617824</v>
      </c>
      <c r="BB32" s="1102">
        <f t="shared" si="23"/>
        <v>137.52853240617824</v>
      </c>
      <c r="BC32" s="1103"/>
    </row>
    <row r="33" spans="2:55" s="1099" customFormat="1" ht="15">
      <c r="B33" s="1074">
        <v>2042</v>
      </c>
      <c r="C33" s="1404" t="s">
        <v>871</v>
      </c>
      <c r="D33" s="1097">
        <v>0</v>
      </c>
      <c r="E33" s="1097">
        <v>0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0</v>
      </c>
      <c r="M33" s="1097">
        <v>0</v>
      </c>
      <c r="N33" s="1097">
        <v>0</v>
      </c>
      <c r="O33" s="1097">
        <v>0</v>
      </c>
      <c r="P33" s="1097">
        <v>11.288431850607438</v>
      </c>
      <c r="Q33" s="1097">
        <v>33.865295551822321</v>
      </c>
      <c r="R33" s="1097">
        <v>56.44215925303719</v>
      </c>
      <c r="S33" s="1097">
        <v>79.019022954252065</v>
      </c>
      <c r="T33" s="1097">
        <v>112.88431850607438</v>
      </c>
      <c r="U33" s="1097">
        <v>112.88431850607438</v>
      </c>
      <c r="V33" s="1097">
        <v>112.88431850607438</v>
      </c>
      <c r="W33" s="1097">
        <v>112.88431850607438</v>
      </c>
      <c r="X33" s="1097">
        <v>112.88431850607438</v>
      </c>
      <c r="Y33" s="1097">
        <v>112.88431850607438</v>
      </c>
      <c r="Z33" s="1097">
        <v>112.88431850607438</v>
      </c>
      <c r="AA33" s="1097">
        <v>112.88431850607438</v>
      </c>
      <c r="AB33" s="1098">
        <v>112.88431850607438</v>
      </c>
      <c r="AD33" s="1100">
        <f t="shared" si="24"/>
        <v>0</v>
      </c>
      <c r="AE33" s="1101">
        <f t="shared" si="0"/>
        <v>0</v>
      </c>
      <c r="AF33" s="1101">
        <f t="shared" si="1"/>
        <v>0</v>
      </c>
      <c r="AG33" s="1101">
        <f t="shared" si="2"/>
        <v>0</v>
      </c>
      <c r="AH33" s="1101">
        <f t="shared" si="3"/>
        <v>0</v>
      </c>
      <c r="AI33" s="1101">
        <f t="shared" si="4"/>
        <v>0</v>
      </c>
      <c r="AJ33" s="1101">
        <f t="shared" si="5"/>
        <v>0</v>
      </c>
      <c r="AK33" s="1101">
        <f t="shared" si="6"/>
        <v>0</v>
      </c>
      <c r="AL33" s="1101">
        <f t="shared" si="7"/>
        <v>0</v>
      </c>
      <c r="AM33" s="1101">
        <f t="shared" si="8"/>
        <v>0</v>
      </c>
      <c r="AN33" s="1101">
        <f t="shared" si="9"/>
        <v>0</v>
      </c>
      <c r="AO33" s="1101">
        <f t="shared" si="10"/>
        <v>0</v>
      </c>
      <c r="AP33" s="1101">
        <f t="shared" si="11"/>
        <v>13.973335816363388</v>
      </c>
      <c r="AQ33" s="1101">
        <f t="shared" si="12"/>
        <v>41.920007449090171</v>
      </c>
      <c r="AR33" s="1101">
        <f t="shared" si="13"/>
        <v>69.86667908181694</v>
      </c>
      <c r="AS33" s="1101">
        <f t="shared" si="14"/>
        <v>97.813350714543731</v>
      </c>
      <c r="AT33" s="1101">
        <f t="shared" si="15"/>
        <v>139.73335816363388</v>
      </c>
      <c r="AU33" s="1101">
        <f t="shared" si="16"/>
        <v>139.73335816363388</v>
      </c>
      <c r="AV33" s="1101">
        <f t="shared" si="17"/>
        <v>139.73335816363388</v>
      </c>
      <c r="AW33" s="1101">
        <f t="shared" si="18"/>
        <v>139.73335816363388</v>
      </c>
      <c r="AX33" s="1101">
        <f t="shared" si="19"/>
        <v>139.73335816363388</v>
      </c>
      <c r="AY33" s="1101">
        <f t="shared" si="20"/>
        <v>139.73335816363388</v>
      </c>
      <c r="AZ33" s="1101">
        <f t="shared" si="21"/>
        <v>139.73335816363388</v>
      </c>
      <c r="BA33" s="1101">
        <f t="shared" si="22"/>
        <v>139.73335816363388</v>
      </c>
      <c r="BB33" s="1102">
        <f t="shared" si="23"/>
        <v>139.73335816363388</v>
      </c>
      <c r="BC33" s="1103"/>
    </row>
    <row r="34" spans="2:55" s="1099" customFormat="1" ht="15">
      <c r="B34" s="1074">
        <v>2043</v>
      </c>
      <c r="C34" s="1404" t="s">
        <v>872</v>
      </c>
      <c r="D34" s="1097">
        <v>0</v>
      </c>
      <c r="E34" s="1097">
        <v>0</v>
      </c>
      <c r="F34" s="1097">
        <v>0</v>
      </c>
      <c r="G34" s="1097">
        <v>0</v>
      </c>
      <c r="H34" s="1097">
        <v>0</v>
      </c>
      <c r="I34" s="1097">
        <v>0</v>
      </c>
      <c r="J34" s="1097">
        <v>0</v>
      </c>
      <c r="K34" s="1097">
        <v>0</v>
      </c>
      <c r="L34" s="1097">
        <v>0</v>
      </c>
      <c r="M34" s="1097">
        <v>0</v>
      </c>
      <c r="N34" s="1097">
        <v>0</v>
      </c>
      <c r="O34" s="1097">
        <v>0</v>
      </c>
      <c r="P34" s="1097">
        <v>0</v>
      </c>
      <c r="Q34" s="1097">
        <v>11.46943749084007</v>
      </c>
      <c r="R34" s="1097">
        <v>34.408312472520215</v>
      </c>
      <c r="S34" s="1097">
        <v>57.347187454200345</v>
      </c>
      <c r="T34" s="1097">
        <v>80.286062435880481</v>
      </c>
      <c r="U34" s="1097">
        <v>114.69437490840069</v>
      </c>
      <c r="V34" s="1097">
        <v>114.69437490840069</v>
      </c>
      <c r="W34" s="1097">
        <v>114.69437490840069</v>
      </c>
      <c r="X34" s="1097">
        <v>114.69437490840069</v>
      </c>
      <c r="Y34" s="1097">
        <v>114.69437490840069</v>
      </c>
      <c r="Z34" s="1097">
        <v>114.69437490840069</v>
      </c>
      <c r="AA34" s="1097">
        <v>114.69437490840069</v>
      </c>
      <c r="AB34" s="1098">
        <v>114.69437490840069</v>
      </c>
      <c r="AD34" s="1100">
        <f t="shared" si="24"/>
        <v>0</v>
      </c>
      <c r="AE34" s="1101">
        <f t="shared" si="0"/>
        <v>0</v>
      </c>
      <c r="AF34" s="1101">
        <f t="shared" si="1"/>
        <v>0</v>
      </c>
      <c r="AG34" s="1101">
        <f t="shared" si="2"/>
        <v>0</v>
      </c>
      <c r="AH34" s="1101">
        <f t="shared" si="3"/>
        <v>0</v>
      </c>
      <c r="AI34" s="1101">
        <f t="shared" si="4"/>
        <v>0</v>
      </c>
      <c r="AJ34" s="1101">
        <f t="shared" si="5"/>
        <v>0</v>
      </c>
      <c r="AK34" s="1101">
        <f t="shared" si="6"/>
        <v>0</v>
      </c>
      <c r="AL34" s="1101">
        <f t="shared" si="7"/>
        <v>0</v>
      </c>
      <c r="AM34" s="1101">
        <f t="shared" si="8"/>
        <v>0</v>
      </c>
      <c r="AN34" s="1101">
        <f t="shared" si="9"/>
        <v>0</v>
      </c>
      <c r="AO34" s="1101">
        <f t="shared" si="10"/>
        <v>0</v>
      </c>
      <c r="AP34" s="1101">
        <f t="shared" si="11"/>
        <v>0</v>
      </c>
      <c r="AQ34" s="1101">
        <f t="shared" si="12"/>
        <v>14.197392853611687</v>
      </c>
      <c r="AR34" s="1101">
        <f t="shared" si="13"/>
        <v>42.592178560835073</v>
      </c>
      <c r="AS34" s="1101">
        <f t="shared" si="14"/>
        <v>70.986964268058443</v>
      </c>
      <c r="AT34" s="1101">
        <f t="shared" si="15"/>
        <v>99.381749975281807</v>
      </c>
      <c r="AU34" s="1101">
        <f t="shared" si="16"/>
        <v>141.97392853611689</v>
      </c>
      <c r="AV34" s="1101">
        <f t="shared" si="17"/>
        <v>141.97392853611689</v>
      </c>
      <c r="AW34" s="1101">
        <f t="shared" si="18"/>
        <v>141.97392853611689</v>
      </c>
      <c r="AX34" s="1101">
        <f t="shared" si="19"/>
        <v>141.97392853611689</v>
      </c>
      <c r="AY34" s="1101">
        <f t="shared" si="20"/>
        <v>141.97392853611689</v>
      </c>
      <c r="AZ34" s="1101">
        <f t="shared" si="21"/>
        <v>141.97392853611689</v>
      </c>
      <c r="BA34" s="1101">
        <f t="shared" si="22"/>
        <v>141.97392853611689</v>
      </c>
      <c r="BB34" s="1102">
        <f t="shared" si="23"/>
        <v>141.97392853611689</v>
      </c>
      <c r="BC34" s="1103"/>
    </row>
    <row r="35" spans="2:55" s="1099" customFormat="1" ht="15">
      <c r="B35" s="1074">
        <v>2044</v>
      </c>
      <c r="C35" s="1404" t="s">
        <v>873</v>
      </c>
      <c r="D35" s="1097">
        <v>0</v>
      </c>
      <c r="E35" s="1097">
        <v>0</v>
      </c>
      <c r="F35" s="1097">
        <v>0</v>
      </c>
      <c r="G35" s="1097">
        <v>0</v>
      </c>
      <c r="H35" s="1097">
        <v>0</v>
      </c>
      <c r="I35" s="1097">
        <v>0</v>
      </c>
      <c r="J35" s="1097">
        <v>0</v>
      </c>
      <c r="K35" s="1097">
        <v>0</v>
      </c>
      <c r="L35" s="1097">
        <v>0</v>
      </c>
      <c r="M35" s="1097">
        <v>0</v>
      </c>
      <c r="N35" s="1097">
        <v>0</v>
      </c>
      <c r="O35" s="1097">
        <v>0</v>
      </c>
      <c r="P35" s="1097">
        <v>0</v>
      </c>
      <c r="Q35" s="1097">
        <v>0</v>
      </c>
      <c r="R35" s="1097">
        <v>11.653377977239813</v>
      </c>
      <c r="S35" s="1097">
        <v>34.960133931719447</v>
      </c>
      <c r="T35" s="1097">
        <v>58.266889886199067</v>
      </c>
      <c r="U35" s="1097">
        <v>81.573645840678694</v>
      </c>
      <c r="V35" s="1097">
        <v>116.53377977239813</v>
      </c>
      <c r="W35" s="1097">
        <v>116.53377977239813</v>
      </c>
      <c r="X35" s="1097">
        <v>116.53377977239813</v>
      </c>
      <c r="Y35" s="1097">
        <v>116.53377977239813</v>
      </c>
      <c r="Z35" s="1097">
        <v>116.53377977239813</v>
      </c>
      <c r="AA35" s="1097">
        <v>116.53377977239813</v>
      </c>
      <c r="AB35" s="1098">
        <v>116.53377977239813</v>
      </c>
      <c r="AD35" s="1100">
        <f t="shared" si="24"/>
        <v>0</v>
      </c>
      <c r="AE35" s="1101">
        <f t="shared" si="0"/>
        <v>0</v>
      </c>
      <c r="AF35" s="1101">
        <f t="shared" si="1"/>
        <v>0</v>
      </c>
      <c r="AG35" s="1101">
        <f t="shared" si="2"/>
        <v>0</v>
      </c>
      <c r="AH35" s="1101">
        <f t="shared" si="3"/>
        <v>0</v>
      </c>
      <c r="AI35" s="1101">
        <f t="shared" si="4"/>
        <v>0</v>
      </c>
      <c r="AJ35" s="1101">
        <f t="shared" si="5"/>
        <v>0</v>
      </c>
      <c r="AK35" s="1101">
        <f t="shared" si="6"/>
        <v>0</v>
      </c>
      <c r="AL35" s="1101">
        <f t="shared" si="7"/>
        <v>0</v>
      </c>
      <c r="AM35" s="1101">
        <f t="shared" si="8"/>
        <v>0</v>
      </c>
      <c r="AN35" s="1101">
        <f t="shared" si="9"/>
        <v>0</v>
      </c>
      <c r="AO35" s="1101">
        <f t="shared" si="10"/>
        <v>0</v>
      </c>
      <c r="AP35" s="1101">
        <f t="shared" si="11"/>
        <v>0</v>
      </c>
      <c r="AQ35" s="1101">
        <f t="shared" si="12"/>
        <v>0</v>
      </c>
      <c r="AR35" s="1101">
        <f t="shared" si="13"/>
        <v>14.42508277730561</v>
      </c>
      <c r="AS35" s="1101">
        <f t="shared" si="14"/>
        <v>43.275248331916835</v>
      </c>
      <c r="AT35" s="1101">
        <f t="shared" si="15"/>
        <v>72.125413886528037</v>
      </c>
      <c r="AU35" s="1101">
        <f t="shared" si="16"/>
        <v>100.97557944113926</v>
      </c>
      <c r="AV35" s="1101">
        <f t="shared" si="17"/>
        <v>144.25082777305607</v>
      </c>
      <c r="AW35" s="1101">
        <f t="shared" si="18"/>
        <v>144.25082777305607</v>
      </c>
      <c r="AX35" s="1101">
        <f t="shared" si="19"/>
        <v>144.25082777305607</v>
      </c>
      <c r="AY35" s="1101">
        <f t="shared" si="20"/>
        <v>144.25082777305607</v>
      </c>
      <c r="AZ35" s="1101">
        <f t="shared" si="21"/>
        <v>144.25082777305607</v>
      </c>
      <c r="BA35" s="1101">
        <f t="shared" si="22"/>
        <v>144.25082777305607</v>
      </c>
      <c r="BB35" s="1102">
        <f t="shared" si="23"/>
        <v>144.25082777305607</v>
      </c>
      <c r="BC35" s="1103"/>
    </row>
    <row r="36" spans="2:55" s="1099" customFormat="1" ht="15">
      <c r="B36" s="1074">
        <v>2045</v>
      </c>
      <c r="C36" s="1404" t="s">
        <v>874</v>
      </c>
      <c r="D36" s="1097">
        <v>0</v>
      </c>
      <c r="E36" s="1097">
        <v>0</v>
      </c>
      <c r="F36" s="1097">
        <v>0</v>
      </c>
      <c r="G36" s="1097">
        <v>0</v>
      </c>
      <c r="H36" s="1097">
        <v>0</v>
      </c>
      <c r="I36" s="1097">
        <v>0</v>
      </c>
      <c r="J36" s="1097">
        <v>0</v>
      </c>
      <c r="K36" s="1097">
        <v>0</v>
      </c>
      <c r="L36" s="1097">
        <v>0</v>
      </c>
      <c r="M36" s="1097">
        <v>0</v>
      </c>
      <c r="N36" s="1097">
        <v>0</v>
      </c>
      <c r="O36" s="1097">
        <v>0</v>
      </c>
      <c r="P36" s="1097">
        <v>0</v>
      </c>
      <c r="Q36" s="1097">
        <v>0</v>
      </c>
      <c r="R36" s="1097">
        <v>0</v>
      </c>
      <c r="S36" s="1097">
        <v>11.840301284722292</v>
      </c>
      <c r="T36" s="1097">
        <v>35.520903854166882</v>
      </c>
      <c r="U36" s="1097">
        <v>59.201506423611455</v>
      </c>
      <c r="V36" s="1097">
        <v>82.882108993056036</v>
      </c>
      <c r="W36" s="1097">
        <v>118.40301284722291</v>
      </c>
      <c r="X36" s="1097">
        <v>118.40301284722291</v>
      </c>
      <c r="Y36" s="1097">
        <v>118.40301284722291</v>
      </c>
      <c r="Z36" s="1097">
        <v>118.40301284722291</v>
      </c>
      <c r="AA36" s="1097">
        <v>118.40301284722291</v>
      </c>
      <c r="AB36" s="1098">
        <v>118.40301284722291</v>
      </c>
      <c r="AD36" s="1100">
        <f t="shared" si="24"/>
        <v>0</v>
      </c>
      <c r="AE36" s="1101">
        <f t="shared" si="0"/>
        <v>0</v>
      </c>
      <c r="AF36" s="1101">
        <f t="shared" si="1"/>
        <v>0</v>
      </c>
      <c r="AG36" s="1101">
        <f t="shared" si="2"/>
        <v>0</v>
      </c>
      <c r="AH36" s="1101">
        <f t="shared" si="3"/>
        <v>0</v>
      </c>
      <c r="AI36" s="1101">
        <f t="shared" si="4"/>
        <v>0</v>
      </c>
      <c r="AJ36" s="1101">
        <f t="shared" si="5"/>
        <v>0</v>
      </c>
      <c r="AK36" s="1101">
        <f t="shared" si="6"/>
        <v>0</v>
      </c>
      <c r="AL36" s="1101">
        <f t="shared" si="7"/>
        <v>0</v>
      </c>
      <c r="AM36" s="1101">
        <f t="shared" si="8"/>
        <v>0</v>
      </c>
      <c r="AN36" s="1101">
        <f t="shared" si="9"/>
        <v>0</v>
      </c>
      <c r="AO36" s="1101">
        <f t="shared" si="10"/>
        <v>0</v>
      </c>
      <c r="AP36" s="1101">
        <f t="shared" si="11"/>
        <v>0</v>
      </c>
      <c r="AQ36" s="1101">
        <f t="shared" si="12"/>
        <v>0</v>
      </c>
      <c r="AR36" s="1101">
        <f t="shared" si="13"/>
        <v>0</v>
      </c>
      <c r="AS36" s="1101">
        <f t="shared" si="14"/>
        <v>14.656464972983875</v>
      </c>
      <c r="AT36" s="1101">
        <f t="shared" si="15"/>
        <v>43.969394918951636</v>
      </c>
      <c r="AU36" s="1101">
        <f t="shared" si="16"/>
        <v>73.28232486491936</v>
      </c>
      <c r="AV36" s="1101">
        <f t="shared" si="17"/>
        <v>102.59525481088711</v>
      </c>
      <c r="AW36" s="1101">
        <f t="shared" si="18"/>
        <v>146.56464972983872</v>
      </c>
      <c r="AX36" s="1101">
        <f t="shared" si="19"/>
        <v>146.56464972983872</v>
      </c>
      <c r="AY36" s="1101">
        <f t="shared" si="20"/>
        <v>146.56464972983872</v>
      </c>
      <c r="AZ36" s="1101">
        <f t="shared" si="21"/>
        <v>146.56464972983872</v>
      </c>
      <c r="BA36" s="1101">
        <f t="shared" si="22"/>
        <v>146.56464972983872</v>
      </c>
      <c r="BB36" s="1102">
        <f t="shared" si="23"/>
        <v>146.56464972983872</v>
      </c>
      <c r="BC36" s="1103"/>
    </row>
    <row r="37" spans="2:55" s="1099" customFormat="1" ht="15">
      <c r="B37" s="1074">
        <v>2046</v>
      </c>
      <c r="C37" s="1404" t="s">
        <v>875</v>
      </c>
      <c r="D37" s="1097">
        <v>0</v>
      </c>
      <c r="E37" s="1097">
        <v>0</v>
      </c>
      <c r="F37" s="1097">
        <v>0</v>
      </c>
      <c r="G37" s="1097">
        <v>0</v>
      </c>
      <c r="H37" s="1097">
        <v>0</v>
      </c>
      <c r="I37" s="1097">
        <v>0</v>
      </c>
      <c r="J37" s="1097">
        <v>0</v>
      </c>
      <c r="K37" s="1097">
        <v>0</v>
      </c>
      <c r="L37" s="1097">
        <v>0</v>
      </c>
      <c r="M37" s="1097">
        <v>0</v>
      </c>
      <c r="N37" s="1097">
        <v>0</v>
      </c>
      <c r="O37" s="1097">
        <v>0</v>
      </c>
      <c r="P37" s="1097">
        <v>0</v>
      </c>
      <c r="Q37" s="1097">
        <v>0</v>
      </c>
      <c r="R37" s="1097">
        <v>0</v>
      </c>
      <c r="S37" s="1097">
        <v>0</v>
      </c>
      <c r="T37" s="1097">
        <v>12.030256177037906</v>
      </c>
      <c r="U37" s="1097">
        <v>36.090768531113724</v>
      </c>
      <c r="V37" s="1097">
        <v>60.151280885189529</v>
      </c>
      <c r="W37" s="1097">
        <v>84.211793239265333</v>
      </c>
      <c r="X37" s="1097">
        <v>120.30256177037906</v>
      </c>
      <c r="Y37" s="1097">
        <v>120.30256177037906</v>
      </c>
      <c r="Z37" s="1097">
        <v>120.30256177037906</v>
      </c>
      <c r="AA37" s="1097">
        <v>120.30256177037906</v>
      </c>
      <c r="AB37" s="1098">
        <v>120.30256177037906</v>
      </c>
      <c r="AD37" s="1100">
        <f t="shared" si="24"/>
        <v>0</v>
      </c>
      <c r="AE37" s="1101">
        <f t="shared" si="0"/>
        <v>0</v>
      </c>
      <c r="AF37" s="1101">
        <f t="shared" si="1"/>
        <v>0</v>
      </c>
      <c r="AG37" s="1101">
        <f t="shared" si="2"/>
        <v>0</v>
      </c>
      <c r="AH37" s="1101">
        <f t="shared" si="3"/>
        <v>0</v>
      </c>
      <c r="AI37" s="1101">
        <f t="shared" si="4"/>
        <v>0</v>
      </c>
      <c r="AJ37" s="1101">
        <f t="shared" si="5"/>
        <v>0</v>
      </c>
      <c r="AK37" s="1101">
        <f t="shared" si="6"/>
        <v>0</v>
      </c>
      <c r="AL37" s="1101">
        <f t="shared" si="7"/>
        <v>0</v>
      </c>
      <c r="AM37" s="1101">
        <f t="shared" si="8"/>
        <v>0</v>
      </c>
      <c r="AN37" s="1101">
        <f t="shared" si="9"/>
        <v>0</v>
      </c>
      <c r="AO37" s="1101">
        <f t="shared" si="10"/>
        <v>0</v>
      </c>
      <c r="AP37" s="1101">
        <f t="shared" si="11"/>
        <v>0</v>
      </c>
      <c r="AQ37" s="1101">
        <f t="shared" si="12"/>
        <v>0</v>
      </c>
      <c r="AR37" s="1101">
        <f t="shared" si="13"/>
        <v>0</v>
      </c>
      <c r="AS37" s="1101">
        <f t="shared" si="14"/>
        <v>0</v>
      </c>
      <c r="AT37" s="1101">
        <f t="shared" si="15"/>
        <v>14.891599802640872</v>
      </c>
      <c r="AU37" s="1101">
        <f t="shared" si="16"/>
        <v>44.67479940792262</v>
      </c>
      <c r="AV37" s="1101">
        <f t="shared" si="17"/>
        <v>74.457999013204358</v>
      </c>
      <c r="AW37" s="1101">
        <f t="shared" si="18"/>
        <v>104.2411986184861</v>
      </c>
      <c r="AX37" s="1101">
        <f t="shared" si="19"/>
        <v>148.91599802640872</v>
      </c>
      <c r="AY37" s="1101">
        <f t="shared" si="20"/>
        <v>148.91599802640872</v>
      </c>
      <c r="AZ37" s="1101">
        <f t="shared" si="21"/>
        <v>148.91599802640872</v>
      </c>
      <c r="BA37" s="1101">
        <f t="shared" si="22"/>
        <v>148.91599802640872</v>
      </c>
      <c r="BB37" s="1102">
        <f t="shared" si="23"/>
        <v>148.91599802640872</v>
      </c>
      <c r="BC37" s="1103"/>
    </row>
    <row r="38" spans="2:55" s="1099" customFormat="1" ht="15">
      <c r="B38" s="1074">
        <v>2047</v>
      </c>
      <c r="C38" s="1404" t="s">
        <v>876</v>
      </c>
      <c r="D38" s="1097">
        <v>0</v>
      </c>
      <c r="E38" s="1097">
        <v>0</v>
      </c>
      <c r="F38" s="1097">
        <v>0</v>
      </c>
      <c r="G38" s="1097">
        <v>0</v>
      </c>
      <c r="H38" s="1097">
        <v>0</v>
      </c>
      <c r="I38" s="1097">
        <v>0</v>
      </c>
      <c r="J38" s="1097">
        <v>0</v>
      </c>
      <c r="K38" s="1097">
        <v>0</v>
      </c>
      <c r="L38" s="1097">
        <v>0</v>
      </c>
      <c r="M38" s="1097">
        <v>0</v>
      </c>
      <c r="N38" s="1097">
        <v>0</v>
      </c>
      <c r="O38" s="1097">
        <v>0</v>
      </c>
      <c r="P38" s="1097">
        <v>0</v>
      </c>
      <c r="Q38" s="1097">
        <v>0</v>
      </c>
      <c r="R38" s="1097">
        <v>0</v>
      </c>
      <c r="S38" s="1097">
        <v>0</v>
      </c>
      <c r="T38" s="1097">
        <v>0</v>
      </c>
      <c r="U38" s="1097">
        <v>12.223292219796464</v>
      </c>
      <c r="V38" s="1097">
        <v>36.669876659389395</v>
      </c>
      <c r="W38" s="1097">
        <v>61.11646109898232</v>
      </c>
      <c r="X38" s="1097">
        <v>85.563045538575238</v>
      </c>
      <c r="Y38" s="1097">
        <v>122.23292219796464</v>
      </c>
      <c r="Z38" s="1097">
        <v>122.23292219796464</v>
      </c>
      <c r="AA38" s="1097">
        <v>122.23292219796464</v>
      </c>
      <c r="AB38" s="1098">
        <v>122.23292219796464</v>
      </c>
      <c r="AD38" s="1100">
        <f t="shared" si="24"/>
        <v>0</v>
      </c>
      <c r="AE38" s="1101">
        <f t="shared" si="0"/>
        <v>0</v>
      </c>
      <c r="AF38" s="1101">
        <f t="shared" si="1"/>
        <v>0</v>
      </c>
      <c r="AG38" s="1101">
        <f t="shared" si="2"/>
        <v>0</v>
      </c>
      <c r="AH38" s="1101">
        <f t="shared" si="3"/>
        <v>0</v>
      </c>
      <c r="AI38" s="1101">
        <f t="shared" si="4"/>
        <v>0</v>
      </c>
      <c r="AJ38" s="1101">
        <f t="shared" si="5"/>
        <v>0</v>
      </c>
      <c r="AK38" s="1101">
        <f t="shared" si="6"/>
        <v>0</v>
      </c>
      <c r="AL38" s="1101">
        <f t="shared" si="7"/>
        <v>0</v>
      </c>
      <c r="AM38" s="1101">
        <f t="shared" si="8"/>
        <v>0</v>
      </c>
      <c r="AN38" s="1101">
        <f t="shared" si="9"/>
        <v>0</v>
      </c>
      <c r="AO38" s="1101">
        <f t="shared" si="10"/>
        <v>0</v>
      </c>
      <c r="AP38" s="1101">
        <f t="shared" si="11"/>
        <v>0</v>
      </c>
      <c r="AQ38" s="1101">
        <f t="shared" si="12"/>
        <v>0</v>
      </c>
      <c r="AR38" s="1101">
        <f t="shared" si="13"/>
        <v>0</v>
      </c>
      <c r="AS38" s="1101">
        <f t="shared" si="14"/>
        <v>0</v>
      </c>
      <c r="AT38" s="1101">
        <f t="shared" si="15"/>
        <v>0</v>
      </c>
      <c r="AU38" s="1101">
        <f t="shared" si="16"/>
        <v>15.13054862084914</v>
      </c>
      <c r="AV38" s="1101">
        <f t="shared" si="17"/>
        <v>45.391645862547435</v>
      </c>
      <c r="AW38" s="1101">
        <f t="shared" si="18"/>
        <v>75.652743104245701</v>
      </c>
      <c r="AX38" s="1101">
        <f t="shared" si="19"/>
        <v>105.91384034594398</v>
      </c>
      <c r="AY38" s="1101">
        <f t="shared" si="20"/>
        <v>151.3054862084914</v>
      </c>
      <c r="AZ38" s="1101">
        <f t="shared" si="21"/>
        <v>151.3054862084914</v>
      </c>
      <c r="BA38" s="1101">
        <f t="shared" si="22"/>
        <v>151.3054862084914</v>
      </c>
      <c r="BB38" s="1102">
        <f t="shared" si="23"/>
        <v>151.3054862084914</v>
      </c>
      <c r="BC38" s="1103"/>
    </row>
    <row r="39" spans="2:55" s="1099" customFormat="1" ht="15">
      <c r="B39" s="1074">
        <v>2048</v>
      </c>
      <c r="C39" s="1404" t="s">
        <v>877</v>
      </c>
      <c r="D39" s="1097">
        <v>0</v>
      </c>
      <c r="E39" s="1097">
        <v>0</v>
      </c>
      <c r="F39" s="1097">
        <v>0</v>
      </c>
      <c r="G39" s="1097">
        <v>0</v>
      </c>
      <c r="H39" s="1097">
        <v>0</v>
      </c>
      <c r="I39" s="1097">
        <v>0</v>
      </c>
      <c r="J39" s="1097">
        <v>0</v>
      </c>
      <c r="K39" s="1097">
        <v>0</v>
      </c>
      <c r="L39" s="1097">
        <v>0</v>
      </c>
      <c r="M39" s="1097">
        <v>0</v>
      </c>
      <c r="N39" s="1097">
        <v>0</v>
      </c>
      <c r="O39" s="1097">
        <v>0</v>
      </c>
      <c r="P39" s="1097">
        <v>0</v>
      </c>
      <c r="Q39" s="1097">
        <v>0</v>
      </c>
      <c r="R39" s="1097">
        <v>0</v>
      </c>
      <c r="S39" s="1097">
        <v>0</v>
      </c>
      <c r="T39" s="1097">
        <v>0</v>
      </c>
      <c r="U39" s="1097">
        <v>0</v>
      </c>
      <c r="V39" s="1097">
        <v>12.419459793707473</v>
      </c>
      <c r="W39" s="1097">
        <v>37.258379381122424</v>
      </c>
      <c r="X39" s="1097">
        <v>62.097298968537359</v>
      </c>
      <c r="Y39" s="1097">
        <v>86.936218555952294</v>
      </c>
      <c r="Z39" s="1097">
        <v>124.19459793707472</v>
      </c>
      <c r="AA39" s="1097">
        <v>124.19459793707472</v>
      </c>
      <c r="AB39" s="1098">
        <v>124.19459793707472</v>
      </c>
      <c r="AD39" s="1100">
        <f t="shared" si="24"/>
        <v>0</v>
      </c>
      <c r="AE39" s="1101">
        <f t="shared" si="0"/>
        <v>0</v>
      </c>
      <c r="AF39" s="1101">
        <f t="shared" si="1"/>
        <v>0</v>
      </c>
      <c r="AG39" s="1101">
        <f t="shared" si="2"/>
        <v>0</v>
      </c>
      <c r="AH39" s="1101">
        <f t="shared" si="3"/>
        <v>0</v>
      </c>
      <c r="AI39" s="1101">
        <f t="shared" si="4"/>
        <v>0</v>
      </c>
      <c r="AJ39" s="1101">
        <f t="shared" si="5"/>
        <v>0</v>
      </c>
      <c r="AK39" s="1101">
        <f t="shared" si="6"/>
        <v>0</v>
      </c>
      <c r="AL39" s="1101">
        <f t="shared" si="7"/>
        <v>0</v>
      </c>
      <c r="AM39" s="1101">
        <f t="shared" si="8"/>
        <v>0</v>
      </c>
      <c r="AN39" s="1101">
        <f t="shared" si="9"/>
        <v>0</v>
      </c>
      <c r="AO39" s="1101">
        <f t="shared" si="10"/>
        <v>0</v>
      </c>
      <c r="AP39" s="1101">
        <f t="shared" si="11"/>
        <v>0</v>
      </c>
      <c r="AQ39" s="1101">
        <f t="shared" si="12"/>
        <v>0</v>
      </c>
      <c r="AR39" s="1101">
        <f t="shared" si="13"/>
        <v>0</v>
      </c>
      <c r="AS39" s="1101">
        <f t="shared" si="14"/>
        <v>0</v>
      </c>
      <c r="AT39" s="1101">
        <f t="shared" si="15"/>
        <v>0</v>
      </c>
      <c r="AU39" s="1101">
        <f t="shared" si="16"/>
        <v>0</v>
      </c>
      <c r="AV39" s="1101">
        <f t="shared" si="17"/>
        <v>15.373373791148797</v>
      </c>
      <c r="AW39" s="1101">
        <f t="shared" si="18"/>
        <v>46.120121373446402</v>
      </c>
      <c r="AX39" s="1101">
        <f t="shared" si="19"/>
        <v>76.866868955743982</v>
      </c>
      <c r="AY39" s="1101">
        <f t="shared" si="20"/>
        <v>107.61361653804157</v>
      </c>
      <c r="AZ39" s="1101">
        <f t="shared" si="21"/>
        <v>153.73373791148796</v>
      </c>
      <c r="BA39" s="1101">
        <f t="shared" si="22"/>
        <v>153.73373791148796</v>
      </c>
      <c r="BB39" s="1102">
        <f t="shared" si="23"/>
        <v>153.73373791148796</v>
      </c>
      <c r="BC39" s="1103"/>
    </row>
    <row r="40" spans="2:55" s="1099" customFormat="1" ht="15">
      <c r="B40" s="1074">
        <v>2049</v>
      </c>
      <c r="C40" s="1404" t="s">
        <v>878</v>
      </c>
      <c r="D40" s="1097">
        <v>0</v>
      </c>
      <c r="E40" s="1097">
        <v>0</v>
      </c>
      <c r="F40" s="1097">
        <v>0</v>
      </c>
      <c r="G40" s="1097">
        <v>0</v>
      </c>
      <c r="H40" s="1097">
        <v>0</v>
      </c>
      <c r="I40" s="1097">
        <v>0</v>
      </c>
      <c r="J40" s="1097">
        <v>0</v>
      </c>
      <c r="K40" s="1097">
        <v>0</v>
      </c>
      <c r="L40" s="1097">
        <v>0</v>
      </c>
      <c r="M40" s="1097">
        <v>0</v>
      </c>
      <c r="N40" s="1097">
        <v>0</v>
      </c>
      <c r="O40" s="1097">
        <v>0</v>
      </c>
      <c r="P40" s="1097">
        <v>0</v>
      </c>
      <c r="Q40" s="1097">
        <v>0</v>
      </c>
      <c r="R40" s="1097">
        <v>0</v>
      </c>
      <c r="S40" s="1097">
        <v>0</v>
      </c>
      <c r="T40" s="1097">
        <v>0</v>
      </c>
      <c r="U40" s="1097">
        <v>0</v>
      </c>
      <c r="V40" s="1097">
        <v>0</v>
      </c>
      <c r="W40" s="1097">
        <v>12.618810108039705</v>
      </c>
      <c r="X40" s="1097">
        <v>37.856430324119117</v>
      </c>
      <c r="Y40" s="1097">
        <v>63.094050540198523</v>
      </c>
      <c r="Z40" s="1097">
        <v>88.33167075627793</v>
      </c>
      <c r="AA40" s="1097">
        <v>126.18810108039705</v>
      </c>
      <c r="AB40" s="1098">
        <v>126.18810108039705</v>
      </c>
      <c r="AD40" s="1100">
        <f t="shared" si="24"/>
        <v>0</v>
      </c>
      <c r="AE40" s="1101">
        <f t="shared" si="0"/>
        <v>0</v>
      </c>
      <c r="AF40" s="1101">
        <f t="shared" si="1"/>
        <v>0</v>
      </c>
      <c r="AG40" s="1101">
        <f t="shared" si="2"/>
        <v>0</v>
      </c>
      <c r="AH40" s="1101">
        <f t="shared" si="3"/>
        <v>0</v>
      </c>
      <c r="AI40" s="1101">
        <f t="shared" si="4"/>
        <v>0</v>
      </c>
      <c r="AJ40" s="1101">
        <f t="shared" si="5"/>
        <v>0</v>
      </c>
      <c r="AK40" s="1101">
        <f t="shared" si="6"/>
        <v>0</v>
      </c>
      <c r="AL40" s="1101">
        <f t="shared" si="7"/>
        <v>0</v>
      </c>
      <c r="AM40" s="1101">
        <f t="shared" si="8"/>
        <v>0</v>
      </c>
      <c r="AN40" s="1101">
        <f t="shared" si="9"/>
        <v>0</v>
      </c>
      <c r="AO40" s="1101">
        <f t="shared" si="10"/>
        <v>0</v>
      </c>
      <c r="AP40" s="1101">
        <f t="shared" si="11"/>
        <v>0</v>
      </c>
      <c r="AQ40" s="1101">
        <f t="shared" si="12"/>
        <v>0</v>
      </c>
      <c r="AR40" s="1101">
        <f t="shared" si="13"/>
        <v>0</v>
      </c>
      <c r="AS40" s="1101">
        <f t="shared" si="14"/>
        <v>0</v>
      </c>
      <c r="AT40" s="1101">
        <f t="shared" si="15"/>
        <v>0</v>
      </c>
      <c r="AU40" s="1101">
        <f t="shared" si="16"/>
        <v>0</v>
      </c>
      <c r="AV40" s="1101">
        <f t="shared" si="17"/>
        <v>0</v>
      </c>
      <c r="AW40" s="1101">
        <f t="shared" si="18"/>
        <v>15.620138702708411</v>
      </c>
      <c r="AX40" s="1101">
        <f t="shared" si="19"/>
        <v>46.860416108125236</v>
      </c>
      <c r="AY40" s="1101">
        <f t="shared" si="20"/>
        <v>78.100693513542055</v>
      </c>
      <c r="AZ40" s="1101">
        <f t="shared" si="21"/>
        <v>109.34097091895887</v>
      </c>
      <c r="BA40" s="1101">
        <f t="shared" si="22"/>
        <v>156.20138702708411</v>
      </c>
      <c r="BB40" s="1102">
        <f t="shared" si="23"/>
        <v>156.20138702708411</v>
      </c>
      <c r="BC40" s="1103"/>
    </row>
    <row r="41" spans="2:55" s="1099" customFormat="1" ht="15">
      <c r="B41" s="1081">
        <v>2050</v>
      </c>
      <c r="C41" s="1405" t="s">
        <v>879</v>
      </c>
      <c r="D41" s="1097">
        <v>0</v>
      </c>
      <c r="E41" s="1097">
        <v>0</v>
      </c>
      <c r="F41" s="1097">
        <v>0</v>
      </c>
      <c r="G41" s="1097">
        <v>0</v>
      </c>
      <c r="H41" s="1097">
        <v>0</v>
      </c>
      <c r="I41" s="1097">
        <v>0</v>
      </c>
      <c r="J41" s="1097">
        <v>0</v>
      </c>
      <c r="K41" s="1097">
        <v>0</v>
      </c>
      <c r="L41" s="1097">
        <v>0</v>
      </c>
      <c r="M41" s="1097">
        <v>0</v>
      </c>
      <c r="N41" s="1097">
        <v>0</v>
      </c>
      <c r="O41" s="1097">
        <v>0</v>
      </c>
      <c r="P41" s="1097">
        <v>0</v>
      </c>
      <c r="Q41" s="1097">
        <v>0</v>
      </c>
      <c r="R41" s="1097">
        <v>0</v>
      </c>
      <c r="S41" s="1097">
        <v>0</v>
      </c>
      <c r="T41" s="1097">
        <v>0</v>
      </c>
      <c r="U41" s="1097">
        <v>0</v>
      </c>
      <c r="V41" s="1097">
        <v>0</v>
      </c>
      <c r="W41" s="1097">
        <v>0</v>
      </c>
      <c r="X41" s="1097">
        <v>12.821395214303678</v>
      </c>
      <c r="Y41" s="1097">
        <v>38.46418564291104</v>
      </c>
      <c r="Z41" s="1097">
        <v>64.106976071518389</v>
      </c>
      <c r="AA41" s="1097">
        <v>89.749766500125745</v>
      </c>
      <c r="AB41" s="1098">
        <v>128.21395214303678</v>
      </c>
      <c r="AD41" s="1100">
        <f t="shared" si="24"/>
        <v>0</v>
      </c>
      <c r="AE41" s="1101">
        <f t="shared" si="0"/>
        <v>0</v>
      </c>
      <c r="AF41" s="1101">
        <f t="shared" si="1"/>
        <v>0</v>
      </c>
      <c r="AG41" s="1101">
        <f t="shared" si="2"/>
        <v>0</v>
      </c>
      <c r="AH41" s="1101">
        <f t="shared" si="3"/>
        <v>0</v>
      </c>
      <c r="AI41" s="1101">
        <f t="shared" si="4"/>
        <v>0</v>
      </c>
      <c r="AJ41" s="1101">
        <f t="shared" si="5"/>
        <v>0</v>
      </c>
      <c r="AK41" s="1101">
        <f t="shared" si="6"/>
        <v>0</v>
      </c>
      <c r="AL41" s="1101">
        <f t="shared" si="7"/>
        <v>0</v>
      </c>
      <c r="AM41" s="1101">
        <f t="shared" si="8"/>
        <v>0</v>
      </c>
      <c r="AN41" s="1101">
        <f t="shared" si="9"/>
        <v>0</v>
      </c>
      <c r="AO41" s="1101">
        <f t="shared" si="10"/>
        <v>0</v>
      </c>
      <c r="AP41" s="1101">
        <f t="shared" si="11"/>
        <v>0</v>
      </c>
      <c r="AQ41" s="1101">
        <f t="shared" si="12"/>
        <v>0</v>
      </c>
      <c r="AR41" s="1101">
        <f t="shared" si="13"/>
        <v>0</v>
      </c>
      <c r="AS41" s="1101">
        <f t="shared" si="14"/>
        <v>0</v>
      </c>
      <c r="AT41" s="1101">
        <f t="shared" si="15"/>
        <v>0</v>
      </c>
      <c r="AU41" s="1101">
        <f t="shared" si="16"/>
        <v>0</v>
      </c>
      <c r="AV41" s="1101">
        <f t="shared" si="17"/>
        <v>0</v>
      </c>
      <c r="AW41" s="1101">
        <f t="shared" si="18"/>
        <v>0</v>
      </c>
      <c r="AX41" s="1101">
        <f t="shared" si="19"/>
        <v>15.870907787261801</v>
      </c>
      <c r="AY41" s="1101">
        <f t="shared" si="20"/>
        <v>47.612723361785413</v>
      </c>
      <c r="AZ41" s="1101">
        <f t="shared" si="21"/>
        <v>79.354538936309012</v>
      </c>
      <c r="BA41" s="1101">
        <f t="shared" si="22"/>
        <v>111.09635451083263</v>
      </c>
      <c r="BB41" s="1102">
        <f t="shared" si="23"/>
        <v>158.70907787261802</v>
      </c>
      <c r="BC41" s="1103"/>
    </row>
    <row r="42" spans="2:55" s="1099" customFormat="1" ht="15">
      <c r="B42" s="1074" t="s">
        <v>880</v>
      </c>
      <c r="C42" s="1096"/>
      <c r="D42" s="1105">
        <f>NPV(realdiscrt1,D9:D41)/(1+realdiscrt1)^-Half_Year</f>
        <v>79.561259820169298</v>
      </c>
      <c r="E42" s="1105">
        <f t="shared" ref="E42:AB42" si="25">NPV(realdiscrt1,E9:E41)/(1+realdiscrt1)^-Half_Year</f>
        <v>160.85136014296214</v>
      </c>
      <c r="F42" s="1105">
        <f t="shared" si="25"/>
        <v>242.89572440837787</v>
      </c>
      <c r="G42" s="1105">
        <f t="shared" si="25"/>
        <v>325.09884237186725</v>
      </c>
      <c r="H42" s="1105">
        <f t="shared" si="25"/>
        <v>405.10220468926235</v>
      </c>
      <c r="I42" s="1105">
        <f t="shared" si="25"/>
        <v>483.76146996257802</v>
      </c>
      <c r="J42" s="1105">
        <f t="shared" si="25"/>
        <v>562.94857350691564</v>
      </c>
      <c r="K42" s="1105">
        <f t="shared" si="25"/>
        <v>641.12297285090153</v>
      </c>
      <c r="L42" s="1105">
        <f t="shared" si="25"/>
        <v>719.09914521371047</v>
      </c>
      <c r="M42" s="1105">
        <f t="shared" si="25"/>
        <v>798.3216420615471</v>
      </c>
      <c r="N42" s="1105">
        <f t="shared" si="25"/>
        <v>877.69061986272061</v>
      </c>
      <c r="O42" s="1105">
        <f t="shared" si="25"/>
        <v>957.20657577582165</v>
      </c>
      <c r="P42" s="1105">
        <f>NPV(realdiscrt1,P9:P41)/(1+realdiscrt1)^-Half_Year</f>
        <v>1036.87000785598</v>
      </c>
      <c r="Q42" s="1105">
        <f t="shared" si="25"/>
        <v>1116.6814150579864</v>
      </c>
      <c r="R42" s="1105">
        <f t="shared" si="25"/>
        <v>1196.6412972394201</v>
      </c>
      <c r="S42" s="1105">
        <f t="shared" si="25"/>
        <v>1276.7501551637824</v>
      </c>
      <c r="T42" s="1105">
        <f t="shared" si="25"/>
        <v>1357.0084905036344</v>
      </c>
      <c r="U42" s="1105">
        <f t="shared" si="25"/>
        <v>1437.4168058437422</v>
      </c>
      <c r="V42" s="1105">
        <f>NPV(realdiscrt1,V9:V41)/(1+realdiscrt1)^-Half_Year</f>
        <v>1517.9756046842269</v>
      </c>
      <c r="W42" s="1105">
        <f t="shared" si="25"/>
        <v>1598.6853914437186</v>
      </c>
      <c r="X42" s="1105">
        <f t="shared" si="25"/>
        <v>1679.5466714625184</v>
      </c>
      <c r="Y42" s="1105">
        <f t="shared" si="25"/>
        <v>1752.4219829315612</v>
      </c>
      <c r="Z42" s="1105">
        <f t="shared" si="25"/>
        <v>1809.1584922775546</v>
      </c>
      <c r="AA42" s="1105">
        <f t="shared" si="25"/>
        <v>1849.7259112034342</v>
      </c>
      <c r="AB42" s="1105">
        <f t="shared" si="25"/>
        <v>1874.0938501784567</v>
      </c>
      <c r="AD42" s="1105">
        <f t="shared" ref="AD42:BB42" si="26">NPV(realdiscrt1,AD9:AD41)/(1+realdiscrt1)^-Half_Year</f>
        <v>98.484556238902371</v>
      </c>
      <c r="AE42" s="1105">
        <f t="shared" si="26"/>
        <v>199.1091501053331</v>
      </c>
      <c r="AF42" s="1105">
        <f>NPV(realdiscrt1,AF9:AF41)/(1+realdiscrt1)^-Half_Year</f>
        <v>300.6674062823422</v>
      </c>
      <c r="AG42" s="1105">
        <f t="shared" si="26"/>
        <v>402.42217502767147</v>
      </c>
      <c r="AH42" s="1105">
        <f t="shared" si="26"/>
        <v>501.4539859021819</v>
      </c>
      <c r="AI42" s="1105">
        <f t="shared" si="26"/>
        <v>598.82201215051361</v>
      </c>
      <c r="AJ42" s="1105">
        <f t="shared" si="26"/>
        <v>696.84342068571482</v>
      </c>
      <c r="AK42" s="1105">
        <f t="shared" si="26"/>
        <v>793.61125777171685</v>
      </c>
      <c r="AL42" s="1105">
        <f t="shared" si="26"/>
        <v>890.13372045917413</v>
      </c>
      <c r="AM42" s="1105">
        <f t="shared" si="26"/>
        <v>988.19894043975478</v>
      </c>
      <c r="AN42" s="1105">
        <f t="shared" si="26"/>
        <v>1086.4454812254535</v>
      </c>
      <c r="AO42" s="1105">
        <f t="shared" si="26"/>
        <v>1184.8739582218504</v>
      </c>
      <c r="AP42" s="1105">
        <f t="shared" si="26"/>
        <v>1283.4849879443011</v>
      </c>
      <c r="AQ42" s="1105">
        <f t="shared" si="26"/>
        <v>1382.279188021804</v>
      </c>
      <c r="AR42" s="1105">
        <f t="shared" si="26"/>
        <v>1481.2571772008678</v>
      </c>
      <c r="AS42" s="1105">
        <f t="shared" si="26"/>
        <v>1580.4195753493955</v>
      </c>
      <c r="AT42" s="1105">
        <f t="shared" si="26"/>
        <v>1679.7670034605651</v>
      </c>
      <c r="AU42" s="1105">
        <f t="shared" si="26"/>
        <v>1779.3000836567223</v>
      </c>
      <c r="AV42" s="1105">
        <f t="shared" si="26"/>
        <v>1879.0194391932832</v>
      </c>
      <c r="AW42" s="1105">
        <f t="shared" si="26"/>
        <v>1978.9256944626336</v>
      </c>
      <c r="AX42" s="1105">
        <f t="shared" si="26"/>
        <v>2079.0194749980483</v>
      </c>
      <c r="AY42" s="1105">
        <f t="shared" si="26"/>
        <v>2169.227859418088</v>
      </c>
      <c r="AZ42" s="1105">
        <f t="shared" si="26"/>
        <v>2239.4588984704378</v>
      </c>
      <c r="BA42" s="1105">
        <f t="shared" si="26"/>
        <v>2289.6750999195265</v>
      </c>
      <c r="BB42" s="1105">
        <f t="shared" si="26"/>
        <v>2319.8388462181156</v>
      </c>
      <c r="BC42" s="1103"/>
    </row>
    <row r="43" spans="2:55" s="1099" customFormat="1" ht="15" hidden="1">
      <c r="B43" s="1106"/>
      <c r="C43" s="1096"/>
      <c r="D43" s="1105"/>
      <c r="E43" s="1105"/>
      <c r="F43" s="1105"/>
      <c r="G43" s="1105"/>
      <c r="H43" s="1105"/>
      <c r="I43" s="1105"/>
      <c r="J43" s="1105"/>
      <c r="K43" s="1105"/>
      <c r="L43" s="1105"/>
      <c r="M43" s="1105"/>
      <c r="N43" s="1105"/>
      <c r="O43" s="1105"/>
      <c r="P43" s="1105"/>
      <c r="Q43" s="1105"/>
      <c r="R43" s="1105"/>
      <c r="S43" s="1105"/>
      <c r="T43" s="1105"/>
      <c r="U43" s="1105"/>
      <c r="V43" s="1105"/>
      <c r="W43" s="1105"/>
      <c r="X43" s="1105"/>
      <c r="Y43" s="1105"/>
      <c r="Z43" s="1105"/>
      <c r="AA43" s="1105"/>
      <c r="AB43" s="1105"/>
      <c r="AD43" s="1105"/>
      <c r="AE43" s="1105"/>
      <c r="AF43" s="1105"/>
      <c r="AG43" s="1105"/>
      <c r="AH43" s="1105"/>
      <c r="AI43" s="1105"/>
      <c r="AJ43" s="1105"/>
      <c r="AK43" s="1105"/>
      <c r="AL43" s="1105"/>
      <c r="AM43" s="1105"/>
      <c r="AN43" s="1105"/>
      <c r="AO43" s="1105"/>
      <c r="AP43" s="1105"/>
      <c r="AQ43" s="1105"/>
      <c r="AR43" s="1105"/>
      <c r="AS43" s="1105"/>
      <c r="AT43" s="1105"/>
      <c r="AU43" s="1105"/>
      <c r="AV43" s="1105"/>
      <c r="AW43" s="1105"/>
      <c r="AX43" s="1105"/>
      <c r="AY43" s="1105"/>
      <c r="AZ43" s="1105"/>
      <c r="BA43" s="1105"/>
      <c r="BB43" s="1105"/>
    </row>
    <row r="44" spans="2:55" s="1099" customFormat="1" ht="15" hidden="1">
      <c r="B44" s="1106"/>
      <c r="C44" s="1096"/>
      <c r="D44" s="1105"/>
      <c r="E44" s="1105"/>
      <c r="F44" s="1105"/>
      <c r="G44" s="1105"/>
      <c r="H44" s="1105"/>
      <c r="I44" s="1105"/>
      <c r="J44" s="1105"/>
      <c r="K44" s="1105"/>
      <c r="L44" s="1105"/>
      <c r="M44" s="1105"/>
      <c r="N44" s="1105"/>
      <c r="O44" s="1105"/>
      <c r="P44" s="1105"/>
      <c r="Q44" s="1105"/>
      <c r="R44" s="1105"/>
      <c r="S44" s="1105"/>
      <c r="T44" s="1105"/>
      <c r="U44" s="1105"/>
      <c r="V44" s="1105"/>
      <c r="W44" s="1105"/>
      <c r="X44" s="1105"/>
      <c r="Y44" s="1105"/>
      <c r="Z44" s="1105"/>
      <c r="AA44" s="1105"/>
      <c r="AB44" s="1105"/>
      <c r="AD44" s="1105"/>
      <c r="AE44" s="1105"/>
      <c r="AF44" s="1105"/>
      <c r="AG44" s="1105"/>
      <c r="AH44" s="1105"/>
      <c r="AI44" s="1105"/>
      <c r="AJ44" s="1105"/>
      <c r="AK44" s="1105"/>
      <c r="AL44" s="1105"/>
      <c r="AM44" s="1105"/>
      <c r="AN44" s="1105"/>
      <c r="AO44" s="1105"/>
      <c r="AP44" s="1105"/>
      <c r="AQ44" s="1105"/>
      <c r="AR44" s="1105"/>
      <c r="AS44" s="1105"/>
      <c r="AT44" s="1105"/>
      <c r="AU44" s="1105"/>
      <c r="AV44" s="1105"/>
      <c r="AW44" s="1105"/>
      <c r="AX44" s="1105"/>
      <c r="AY44" s="1105"/>
      <c r="AZ44" s="1105"/>
      <c r="BA44" s="1105"/>
      <c r="BB44" s="1105"/>
    </row>
    <row r="45" spans="2:55" s="1099" customFormat="1" ht="15" hidden="1">
      <c r="B45" s="1107"/>
      <c r="C45" s="1104"/>
      <c r="D45" s="1105"/>
      <c r="E45" s="1105"/>
      <c r="F45" s="1105"/>
      <c r="G45" s="1105"/>
      <c r="H45" s="1105"/>
      <c r="I45" s="1105"/>
      <c r="J45" s="1105"/>
      <c r="K45" s="1105"/>
      <c r="L45" s="1105"/>
      <c r="M45" s="1105"/>
      <c r="N45" s="1105"/>
      <c r="O45" s="1105"/>
      <c r="P45" s="1105"/>
      <c r="Q45" s="1105"/>
      <c r="R45" s="1105"/>
      <c r="S45" s="1105"/>
      <c r="T45" s="1105"/>
      <c r="U45" s="1105"/>
      <c r="V45" s="1105"/>
      <c r="W45" s="1105"/>
      <c r="X45" s="1105"/>
      <c r="Y45" s="1105"/>
      <c r="Z45" s="1105"/>
      <c r="AA45" s="1105"/>
      <c r="AB45" s="1105"/>
      <c r="AD45" s="1105"/>
      <c r="AE45" s="1105"/>
      <c r="AF45" s="1105"/>
      <c r="AG45" s="1105"/>
      <c r="AH45" s="1105"/>
      <c r="AI45" s="1105"/>
      <c r="AJ45" s="1105"/>
      <c r="AK45" s="1105"/>
      <c r="AL45" s="1105"/>
      <c r="AM45" s="1105"/>
      <c r="AN45" s="1105"/>
      <c r="AO45" s="1105"/>
      <c r="AP45" s="1105"/>
      <c r="AQ45" s="1105"/>
      <c r="AR45" s="1105"/>
      <c r="AS45" s="1105"/>
      <c r="AT45" s="1105"/>
      <c r="AU45" s="1105"/>
      <c r="AV45" s="1105"/>
      <c r="AW45" s="1105"/>
      <c r="AX45" s="1105"/>
      <c r="AY45" s="1105"/>
      <c r="AZ45" s="1105"/>
      <c r="BA45" s="1105"/>
      <c r="BB45" s="1105"/>
    </row>
    <row r="47" spans="2:55" s="1093" customFormat="1" ht="31.5" customHeight="1" thickBot="1">
      <c r="B47" s="1089"/>
      <c r="C47" s="1090"/>
      <c r="D47" s="1091" t="s">
        <v>883</v>
      </c>
      <c r="E47" s="1090"/>
      <c r="F47" s="1090"/>
      <c r="G47" s="1090"/>
      <c r="H47" s="1090"/>
      <c r="I47" s="1090"/>
      <c r="J47" s="1090"/>
      <c r="K47" s="1090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2"/>
      <c r="AD47" s="1091" t="s">
        <v>882</v>
      </c>
      <c r="AE47" s="1094"/>
      <c r="AF47" s="1094"/>
      <c r="AG47" s="1094"/>
      <c r="AH47" s="1094"/>
      <c r="AI47" s="1094"/>
      <c r="AJ47" s="1094"/>
      <c r="AK47" s="1094"/>
      <c r="AL47" s="1094"/>
      <c r="AM47" s="1094"/>
      <c r="AN47" s="1094"/>
      <c r="AO47" s="1094"/>
      <c r="AP47" s="1094"/>
      <c r="AQ47" s="1094"/>
      <c r="AR47" s="1094"/>
      <c r="AS47" s="1094"/>
      <c r="AT47" s="1094"/>
      <c r="AU47" s="1094"/>
      <c r="AV47" s="1094"/>
      <c r="AW47" s="1094"/>
      <c r="AX47" s="1094"/>
      <c r="AY47" s="1094"/>
      <c r="AZ47" s="1094"/>
      <c r="BA47" s="1094"/>
      <c r="BB47" s="1095"/>
    </row>
    <row r="48" spans="2:55" s="1099" customFormat="1" ht="15.75" thickTop="1">
      <c r="B48" s="1074">
        <v>2018</v>
      </c>
      <c r="C48" s="1404" t="s">
        <v>31</v>
      </c>
      <c r="D48" s="1097">
        <v>0</v>
      </c>
      <c r="E48" s="1097">
        <v>0</v>
      </c>
      <c r="F48" s="1097">
        <v>0</v>
      </c>
      <c r="G48" s="1097">
        <v>0</v>
      </c>
      <c r="H48" s="1097">
        <v>0</v>
      </c>
      <c r="I48" s="1097">
        <v>0</v>
      </c>
      <c r="J48" s="1097">
        <v>0</v>
      </c>
      <c r="K48" s="1097">
        <v>0</v>
      </c>
      <c r="L48" s="1097">
        <v>0</v>
      </c>
      <c r="M48" s="1097">
        <v>0</v>
      </c>
      <c r="N48" s="1097">
        <v>0</v>
      </c>
      <c r="O48" s="1097">
        <v>0</v>
      </c>
      <c r="P48" s="1097">
        <v>0</v>
      </c>
      <c r="Q48" s="1097">
        <v>0</v>
      </c>
      <c r="R48" s="1097">
        <v>0</v>
      </c>
      <c r="S48" s="1097">
        <v>0</v>
      </c>
      <c r="T48" s="1097">
        <v>0</v>
      </c>
      <c r="U48" s="1097">
        <v>0</v>
      </c>
      <c r="V48" s="1097">
        <v>0</v>
      </c>
      <c r="W48" s="1097">
        <v>0</v>
      </c>
      <c r="X48" s="1097">
        <v>0</v>
      </c>
      <c r="Y48" s="1097">
        <v>0</v>
      </c>
      <c r="Z48" s="1097">
        <v>0</v>
      </c>
      <c r="AA48" s="1097">
        <v>0</v>
      </c>
      <c r="AB48" s="1098">
        <v>0</v>
      </c>
      <c r="AD48" s="1100">
        <f t="shared" ref="AD48:AD80" si="27">D48*(1+PTFlosses)*(1+WholesaleRiskPremium)*(1+DistributionLosses)*(1+Inflation1)^(Year1-Real_Year)</f>
        <v>0</v>
      </c>
      <c r="AE48" s="1101">
        <f t="shared" ref="AE48:AE80" si="28">E48*(1+PTFlosses)*(1+WholesaleRiskPremium)*(1+DistributionLosses)*(1+Inflation1)^(Year1-Real_Year)</f>
        <v>0</v>
      </c>
      <c r="AF48" s="1101">
        <f t="shared" ref="AF48:AF80" si="29">F48*(1+PTFlosses)*(1+WholesaleRiskPremium)*(1+DistributionLosses)*(1+Inflation1)^(Year1-Real_Year)</f>
        <v>0</v>
      </c>
      <c r="AG48" s="1101">
        <f t="shared" ref="AG48:AG80" si="30">G48*(1+PTFlosses)*(1+WholesaleRiskPremium)*(1+DistributionLosses)*(1+Inflation1)^(Year1-Real_Year)</f>
        <v>0</v>
      </c>
      <c r="AH48" s="1101">
        <f t="shared" ref="AH48:AH80" si="31">H48*(1+PTFlosses)*(1+WholesaleRiskPremium)*(1+DistributionLosses)*(1+Inflation1)^(Year1-Real_Year)</f>
        <v>0</v>
      </c>
      <c r="AI48" s="1101">
        <f t="shared" ref="AI48:AI80" si="32">I48*(1+PTFlosses)*(1+WholesaleRiskPremium)*(1+DistributionLosses)*(1+Inflation1)^(Year1-Real_Year)</f>
        <v>0</v>
      </c>
      <c r="AJ48" s="1101">
        <f t="shared" ref="AJ48:AJ80" si="33">J48*(1+PTFlosses)*(1+WholesaleRiskPremium)*(1+DistributionLosses)*(1+Inflation1)^(Year1-Real_Year)</f>
        <v>0</v>
      </c>
      <c r="AK48" s="1101">
        <f t="shared" ref="AK48:AK80" si="34">K48*(1+PTFlosses)*(1+WholesaleRiskPremium)*(1+DistributionLosses)*(1+Inflation1)^(Year1-Real_Year)</f>
        <v>0</v>
      </c>
      <c r="AL48" s="1101">
        <f t="shared" ref="AL48:AL80" si="35">L48*(1+PTFlosses)*(1+WholesaleRiskPremium)*(1+DistributionLosses)*(1+Inflation1)^(Year1-Real_Year)</f>
        <v>0</v>
      </c>
      <c r="AM48" s="1101">
        <f t="shared" ref="AM48:AM80" si="36">M48*(1+PTFlosses)*(1+WholesaleRiskPremium)*(1+DistributionLosses)*(1+Inflation1)^(Year1-Real_Year)</f>
        <v>0</v>
      </c>
      <c r="AN48" s="1101">
        <f t="shared" ref="AN48:AN80" si="37">N48*(1+PTFlosses)*(1+WholesaleRiskPremium)*(1+DistributionLosses)*(1+Inflation1)^(Year1-Real_Year)</f>
        <v>0</v>
      </c>
      <c r="AO48" s="1101">
        <f t="shared" ref="AO48:AO80" si="38">O48*(1+PTFlosses)*(1+WholesaleRiskPremium)*(1+DistributionLosses)*(1+Inflation1)^(Year1-Real_Year)</f>
        <v>0</v>
      </c>
      <c r="AP48" s="1101">
        <f t="shared" ref="AP48:AP80" si="39">P48*(1+PTFlosses)*(1+WholesaleRiskPremium)*(1+DistributionLosses)*(1+Inflation1)^(Year1-Real_Year)</f>
        <v>0</v>
      </c>
      <c r="AQ48" s="1101">
        <f t="shared" ref="AQ48:AQ80" si="40">Q48*(1+PTFlosses)*(1+WholesaleRiskPremium)*(1+DistributionLosses)*(1+Inflation1)^(Year1-Real_Year)</f>
        <v>0</v>
      </c>
      <c r="AR48" s="1101">
        <f t="shared" ref="AR48:AR80" si="41">R48*(1+PTFlosses)*(1+WholesaleRiskPremium)*(1+DistributionLosses)*(1+Inflation1)^(Year1-Real_Year)</f>
        <v>0</v>
      </c>
      <c r="AS48" s="1101">
        <f t="shared" ref="AS48:AS80" si="42">S48*(1+PTFlosses)*(1+WholesaleRiskPremium)*(1+DistributionLosses)*(1+Inflation1)^(Year1-Real_Year)</f>
        <v>0</v>
      </c>
      <c r="AT48" s="1101">
        <f t="shared" ref="AT48:AT80" si="43">T48*(1+PTFlosses)*(1+WholesaleRiskPremium)*(1+DistributionLosses)*(1+Inflation1)^(Year1-Real_Year)</f>
        <v>0</v>
      </c>
      <c r="AU48" s="1101">
        <f t="shared" ref="AU48:AU80" si="44">U48*(1+PTFlosses)*(1+WholesaleRiskPremium)*(1+DistributionLosses)*(1+Inflation1)^(Year1-Real_Year)</f>
        <v>0</v>
      </c>
      <c r="AV48" s="1101">
        <f t="shared" ref="AV48:AV80" si="45">V48*(1+PTFlosses)*(1+WholesaleRiskPremium)*(1+DistributionLosses)*(1+Inflation1)^(Year1-Real_Year)</f>
        <v>0</v>
      </c>
      <c r="AW48" s="1101">
        <f t="shared" ref="AW48:AW80" si="46">W48*(1+PTFlosses)*(1+WholesaleRiskPremium)*(1+DistributionLosses)*(1+Inflation1)^(Year1-Real_Year)</f>
        <v>0</v>
      </c>
      <c r="AX48" s="1101">
        <f t="shared" ref="AX48:AX80" si="47">X48*(1+PTFlosses)*(1+WholesaleRiskPremium)*(1+DistributionLosses)*(1+Inflation1)^(Year1-Real_Year)</f>
        <v>0</v>
      </c>
      <c r="AY48" s="1101">
        <f t="shared" ref="AY48:AY80" si="48">Y48*(1+PTFlosses)*(1+WholesaleRiskPremium)*(1+DistributionLosses)*(1+Inflation1)^(Year1-Real_Year)</f>
        <v>0</v>
      </c>
      <c r="AZ48" s="1101">
        <f t="shared" ref="AZ48:AZ80" si="49">Z48*(1+PTFlosses)*(1+WholesaleRiskPremium)*(1+DistributionLosses)*(1+Inflation1)^(Year1-Real_Year)</f>
        <v>0</v>
      </c>
      <c r="BA48" s="1101">
        <f t="shared" ref="BA48:BA80" si="50">AA48*(1+PTFlosses)*(1+WholesaleRiskPremium)*(1+DistributionLosses)*(1+Inflation1)^(Year1-Real_Year)</f>
        <v>0</v>
      </c>
      <c r="BB48" s="1102">
        <f t="shared" ref="BB48:BB80" si="51">AB48*(1+PTFlosses)*(1+WholesaleRiskPremium)*(1+DistributionLosses)*(1+Inflation1)^(Year1-Real_Year)</f>
        <v>0</v>
      </c>
      <c r="BC48" s="1103"/>
    </row>
    <row r="49" spans="2:55" s="1099" customFormat="1" ht="15">
      <c r="B49" s="1074">
        <v>2019</v>
      </c>
      <c r="C49" s="1404" t="s">
        <v>31</v>
      </c>
      <c r="D49" s="1097">
        <v>0</v>
      </c>
      <c r="E49" s="1097">
        <v>0</v>
      </c>
      <c r="F49" s="1097">
        <v>0</v>
      </c>
      <c r="G49" s="1097">
        <v>0</v>
      </c>
      <c r="H49" s="1097">
        <v>0</v>
      </c>
      <c r="I49" s="1097">
        <v>0</v>
      </c>
      <c r="J49" s="1097">
        <v>0</v>
      </c>
      <c r="K49" s="1097">
        <v>0</v>
      </c>
      <c r="L49" s="1097">
        <v>0</v>
      </c>
      <c r="M49" s="1097">
        <v>0</v>
      </c>
      <c r="N49" s="1097">
        <v>0</v>
      </c>
      <c r="O49" s="1097">
        <v>0</v>
      </c>
      <c r="P49" s="1097">
        <v>0</v>
      </c>
      <c r="Q49" s="1097">
        <v>0</v>
      </c>
      <c r="R49" s="1097">
        <v>0</v>
      </c>
      <c r="S49" s="1097">
        <v>0</v>
      </c>
      <c r="T49" s="1097">
        <v>0</v>
      </c>
      <c r="U49" s="1097">
        <v>0</v>
      </c>
      <c r="V49" s="1097">
        <v>0</v>
      </c>
      <c r="W49" s="1097">
        <v>0</v>
      </c>
      <c r="X49" s="1097">
        <v>0</v>
      </c>
      <c r="Y49" s="1097">
        <v>0</v>
      </c>
      <c r="Z49" s="1097">
        <v>0</v>
      </c>
      <c r="AA49" s="1097">
        <v>0</v>
      </c>
      <c r="AB49" s="1098">
        <v>0</v>
      </c>
      <c r="AD49" s="1100">
        <f t="shared" si="27"/>
        <v>0</v>
      </c>
      <c r="AE49" s="1101">
        <f t="shared" si="28"/>
        <v>0</v>
      </c>
      <c r="AF49" s="1101">
        <f t="shared" si="29"/>
        <v>0</v>
      </c>
      <c r="AG49" s="1101">
        <f t="shared" si="30"/>
        <v>0</v>
      </c>
      <c r="AH49" s="1101">
        <f t="shared" si="31"/>
        <v>0</v>
      </c>
      <c r="AI49" s="1101">
        <f t="shared" si="32"/>
        <v>0</v>
      </c>
      <c r="AJ49" s="1101">
        <f t="shared" si="33"/>
        <v>0</v>
      </c>
      <c r="AK49" s="1101">
        <f t="shared" si="34"/>
        <v>0</v>
      </c>
      <c r="AL49" s="1101">
        <f t="shared" si="35"/>
        <v>0</v>
      </c>
      <c r="AM49" s="1101">
        <f t="shared" si="36"/>
        <v>0</v>
      </c>
      <c r="AN49" s="1101">
        <f t="shared" si="37"/>
        <v>0</v>
      </c>
      <c r="AO49" s="1101">
        <f t="shared" si="38"/>
        <v>0</v>
      </c>
      <c r="AP49" s="1101">
        <f t="shared" si="39"/>
        <v>0</v>
      </c>
      <c r="AQ49" s="1101">
        <f t="shared" si="40"/>
        <v>0</v>
      </c>
      <c r="AR49" s="1101">
        <f t="shared" si="41"/>
        <v>0</v>
      </c>
      <c r="AS49" s="1101">
        <f t="shared" si="42"/>
        <v>0</v>
      </c>
      <c r="AT49" s="1101">
        <f t="shared" si="43"/>
        <v>0</v>
      </c>
      <c r="AU49" s="1101">
        <f t="shared" si="44"/>
        <v>0</v>
      </c>
      <c r="AV49" s="1101">
        <f t="shared" si="45"/>
        <v>0</v>
      </c>
      <c r="AW49" s="1101">
        <f t="shared" si="46"/>
        <v>0</v>
      </c>
      <c r="AX49" s="1101">
        <f t="shared" si="47"/>
        <v>0</v>
      </c>
      <c r="AY49" s="1101">
        <f t="shared" si="48"/>
        <v>0</v>
      </c>
      <c r="AZ49" s="1101">
        <f t="shared" si="49"/>
        <v>0</v>
      </c>
      <c r="BA49" s="1101">
        <f t="shared" si="50"/>
        <v>0</v>
      </c>
      <c r="BB49" s="1102">
        <f t="shared" si="51"/>
        <v>0</v>
      </c>
      <c r="BC49" s="1103"/>
    </row>
    <row r="50" spans="2:55" s="1099" customFormat="1" ht="15">
      <c r="B50" s="1074">
        <v>2020</v>
      </c>
      <c r="C50" s="1404" t="s">
        <v>31</v>
      </c>
      <c r="D50" s="1097">
        <v>0</v>
      </c>
      <c r="E50" s="1097">
        <v>0</v>
      </c>
      <c r="F50" s="1097">
        <v>0</v>
      </c>
      <c r="G50" s="1097">
        <v>0</v>
      </c>
      <c r="H50" s="1097">
        <v>0</v>
      </c>
      <c r="I50" s="1097">
        <v>0</v>
      </c>
      <c r="J50" s="1097">
        <v>0</v>
      </c>
      <c r="K50" s="1097">
        <v>0</v>
      </c>
      <c r="L50" s="1097">
        <v>0</v>
      </c>
      <c r="M50" s="1097">
        <v>0</v>
      </c>
      <c r="N50" s="1097">
        <v>0</v>
      </c>
      <c r="O50" s="1097">
        <v>0</v>
      </c>
      <c r="P50" s="1097">
        <v>0</v>
      </c>
      <c r="Q50" s="1097">
        <v>0</v>
      </c>
      <c r="R50" s="1097">
        <v>0</v>
      </c>
      <c r="S50" s="1097">
        <v>0</v>
      </c>
      <c r="T50" s="1097">
        <v>0</v>
      </c>
      <c r="U50" s="1097">
        <v>0</v>
      </c>
      <c r="V50" s="1097">
        <v>0</v>
      </c>
      <c r="W50" s="1097">
        <v>0</v>
      </c>
      <c r="X50" s="1097">
        <v>0</v>
      </c>
      <c r="Y50" s="1097">
        <v>0</v>
      </c>
      <c r="Z50" s="1097">
        <v>0</v>
      </c>
      <c r="AA50" s="1097">
        <v>0</v>
      </c>
      <c r="AB50" s="1098">
        <v>0</v>
      </c>
      <c r="AD50" s="1100">
        <f t="shared" si="27"/>
        <v>0</v>
      </c>
      <c r="AE50" s="1101">
        <f t="shared" si="28"/>
        <v>0</v>
      </c>
      <c r="AF50" s="1101">
        <f t="shared" si="29"/>
        <v>0</v>
      </c>
      <c r="AG50" s="1101">
        <f t="shared" si="30"/>
        <v>0</v>
      </c>
      <c r="AH50" s="1101">
        <f t="shared" si="31"/>
        <v>0</v>
      </c>
      <c r="AI50" s="1101">
        <f t="shared" si="32"/>
        <v>0</v>
      </c>
      <c r="AJ50" s="1101">
        <f t="shared" si="33"/>
        <v>0</v>
      </c>
      <c r="AK50" s="1101">
        <f t="shared" si="34"/>
        <v>0</v>
      </c>
      <c r="AL50" s="1101">
        <f t="shared" si="35"/>
        <v>0</v>
      </c>
      <c r="AM50" s="1101">
        <f t="shared" si="36"/>
        <v>0</v>
      </c>
      <c r="AN50" s="1101">
        <f t="shared" si="37"/>
        <v>0</v>
      </c>
      <c r="AO50" s="1101">
        <f t="shared" si="38"/>
        <v>0</v>
      </c>
      <c r="AP50" s="1101">
        <f t="shared" si="39"/>
        <v>0</v>
      </c>
      <c r="AQ50" s="1101">
        <f t="shared" si="40"/>
        <v>0</v>
      </c>
      <c r="AR50" s="1101">
        <f t="shared" si="41"/>
        <v>0</v>
      </c>
      <c r="AS50" s="1101">
        <f t="shared" si="42"/>
        <v>0</v>
      </c>
      <c r="AT50" s="1101">
        <f t="shared" si="43"/>
        <v>0</v>
      </c>
      <c r="AU50" s="1101">
        <f t="shared" si="44"/>
        <v>0</v>
      </c>
      <c r="AV50" s="1101">
        <f t="shared" si="45"/>
        <v>0</v>
      </c>
      <c r="AW50" s="1101">
        <f t="shared" si="46"/>
        <v>0</v>
      </c>
      <c r="AX50" s="1101">
        <f t="shared" si="47"/>
        <v>0</v>
      </c>
      <c r="AY50" s="1101">
        <f t="shared" si="48"/>
        <v>0</v>
      </c>
      <c r="AZ50" s="1101">
        <f t="shared" si="49"/>
        <v>0</v>
      </c>
      <c r="BA50" s="1101">
        <f t="shared" si="50"/>
        <v>0</v>
      </c>
      <c r="BB50" s="1102">
        <f t="shared" si="51"/>
        <v>0</v>
      </c>
      <c r="BC50" s="1103"/>
    </row>
    <row r="51" spans="2:55" s="1099" customFormat="1" ht="15">
      <c r="B51" s="1074">
        <v>2021</v>
      </c>
      <c r="C51" s="1404" t="s">
        <v>850</v>
      </c>
      <c r="D51" s="1097">
        <v>0</v>
      </c>
      <c r="E51" s="1097">
        <v>0</v>
      </c>
      <c r="F51" s="1097">
        <v>0</v>
      </c>
      <c r="G51" s="1097">
        <v>0</v>
      </c>
      <c r="H51" s="1097">
        <v>0</v>
      </c>
      <c r="I51" s="1097">
        <v>0</v>
      </c>
      <c r="J51" s="1097">
        <v>0</v>
      </c>
      <c r="K51" s="1097">
        <v>0</v>
      </c>
      <c r="L51" s="1097">
        <v>0</v>
      </c>
      <c r="M51" s="1097">
        <v>0</v>
      </c>
      <c r="N51" s="1097">
        <v>0</v>
      </c>
      <c r="O51" s="1097">
        <v>0</v>
      </c>
      <c r="P51" s="1097">
        <v>0</v>
      </c>
      <c r="Q51" s="1097">
        <v>0</v>
      </c>
      <c r="R51" s="1097">
        <v>0</v>
      </c>
      <c r="S51" s="1097">
        <v>0</v>
      </c>
      <c r="T51" s="1097">
        <v>0</v>
      </c>
      <c r="U51" s="1097">
        <v>0</v>
      </c>
      <c r="V51" s="1097">
        <v>0</v>
      </c>
      <c r="W51" s="1097">
        <v>0</v>
      </c>
      <c r="X51" s="1097">
        <v>0</v>
      </c>
      <c r="Y51" s="1097">
        <v>0</v>
      </c>
      <c r="Z51" s="1097">
        <v>0</v>
      </c>
      <c r="AA51" s="1097">
        <v>0</v>
      </c>
      <c r="AB51" s="1098">
        <v>0</v>
      </c>
      <c r="AD51" s="1100">
        <f t="shared" si="27"/>
        <v>0</v>
      </c>
      <c r="AE51" s="1101">
        <f t="shared" si="28"/>
        <v>0</v>
      </c>
      <c r="AF51" s="1101">
        <f t="shared" si="29"/>
        <v>0</v>
      </c>
      <c r="AG51" s="1101">
        <f t="shared" si="30"/>
        <v>0</v>
      </c>
      <c r="AH51" s="1101">
        <f t="shared" si="31"/>
        <v>0</v>
      </c>
      <c r="AI51" s="1101">
        <f t="shared" si="32"/>
        <v>0</v>
      </c>
      <c r="AJ51" s="1101">
        <f t="shared" si="33"/>
        <v>0</v>
      </c>
      <c r="AK51" s="1101">
        <f t="shared" si="34"/>
        <v>0</v>
      </c>
      <c r="AL51" s="1101">
        <f t="shared" si="35"/>
        <v>0</v>
      </c>
      <c r="AM51" s="1101">
        <f t="shared" si="36"/>
        <v>0</v>
      </c>
      <c r="AN51" s="1101">
        <f t="shared" si="37"/>
        <v>0</v>
      </c>
      <c r="AO51" s="1101">
        <f t="shared" si="38"/>
        <v>0</v>
      </c>
      <c r="AP51" s="1101">
        <f t="shared" si="39"/>
        <v>0</v>
      </c>
      <c r="AQ51" s="1101">
        <f t="shared" si="40"/>
        <v>0</v>
      </c>
      <c r="AR51" s="1101">
        <f t="shared" si="41"/>
        <v>0</v>
      </c>
      <c r="AS51" s="1101">
        <f t="shared" si="42"/>
        <v>0</v>
      </c>
      <c r="AT51" s="1101">
        <f t="shared" si="43"/>
        <v>0</v>
      </c>
      <c r="AU51" s="1101">
        <f t="shared" si="44"/>
        <v>0</v>
      </c>
      <c r="AV51" s="1101">
        <f t="shared" si="45"/>
        <v>0</v>
      </c>
      <c r="AW51" s="1101">
        <f t="shared" si="46"/>
        <v>0</v>
      </c>
      <c r="AX51" s="1101">
        <f t="shared" si="47"/>
        <v>0</v>
      </c>
      <c r="AY51" s="1101">
        <f t="shared" si="48"/>
        <v>0</v>
      </c>
      <c r="AZ51" s="1101">
        <f t="shared" si="49"/>
        <v>0</v>
      </c>
      <c r="BA51" s="1101">
        <f t="shared" si="50"/>
        <v>0</v>
      </c>
      <c r="BB51" s="1102">
        <f t="shared" si="51"/>
        <v>0</v>
      </c>
      <c r="BC51" s="1103"/>
    </row>
    <row r="52" spans="2:55" s="1099" customFormat="1" ht="15">
      <c r="B52" s="1074">
        <v>2022</v>
      </c>
      <c r="C52" s="1404" t="s">
        <v>851</v>
      </c>
      <c r="D52" s="1097">
        <v>0</v>
      </c>
      <c r="E52" s="1097">
        <v>0</v>
      </c>
      <c r="F52" s="1097">
        <v>0</v>
      </c>
      <c r="G52" s="1097">
        <v>0</v>
      </c>
      <c r="H52" s="1097">
        <v>0</v>
      </c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7">
        <v>0</v>
      </c>
      <c r="Y52" s="1097">
        <v>0</v>
      </c>
      <c r="Z52" s="1097">
        <v>0</v>
      </c>
      <c r="AA52" s="1097">
        <v>0</v>
      </c>
      <c r="AB52" s="1098">
        <v>0</v>
      </c>
      <c r="AD52" s="1100">
        <f t="shared" si="27"/>
        <v>0</v>
      </c>
      <c r="AE52" s="1101">
        <f t="shared" si="28"/>
        <v>0</v>
      </c>
      <c r="AF52" s="1101">
        <f t="shared" si="29"/>
        <v>0</v>
      </c>
      <c r="AG52" s="1101">
        <f t="shared" si="30"/>
        <v>0</v>
      </c>
      <c r="AH52" s="1101">
        <f t="shared" si="31"/>
        <v>0</v>
      </c>
      <c r="AI52" s="1101">
        <f t="shared" si="32"/>
        <v>0</v>
      </c>
      <c r="AJ52" s="1101">
        <f t="shared" si="33"/>
        <v>0</v>
      </c>
      <c r="AK52" s="1101">
        <f t="shared" si="34"/>
        <v>0</v>
      </c>
      <c r="AL52" s="1101">
        <f t="shared" si="35"/>
        <v>0</v>
      </c>
      <c r="AM52" s="1101">
        <f t="shared" si="36"/>
        <v>0</v>
      </c>
      <c r="AN52" s="1101">
        <f t="shared" si="37"/>
        <v>0</v>
      </c>
      <c r="AO52" s="1101">
        <f t="shared" si="38"/>
        <v>0</v>
      </c>
      <c r="AP52" s="1101">
        <f t="shared" si="39"/>
        <v>0</v>
      </c>
      <c r="AQ52" s="1101">
        <f t="shared" si="40"/>
        <v>0</v>
      </c>
      <c r="AR52" s="1101">
        <f t="shared" si="41"/>
        <v>0</v>
      </c>
      <c r="AS52" s="1101">
        <f t="shared" si="42"/>
        <v>0</v>
      </c>
      <c r="AT52" s="1101">
        <f t="shared" si="43"/>
        <v>0</v>
      </c>
      <c r="AU52" s="1101">
        <f t="shared" si="44"/>
        <v>0</v>
      </c>
      <c r="AV52" s="1101">
        <f t="shared" si="45"/>
        <v>0</v>
      </c>
      <c r="AW52" s="1101">
        <f t="shared" si="46"/>
        <v>0</v>
      </c>
      <c r="AX52" s="1101">
        <f t="shared" si="47"/>
        <v>0</v>
      </c>
      <c r="AY52" s="1101">
        <f t="shared" si="48"/>
        <v>0</v>
      </c>
      <c r="AZ52" s="1101">
        <f t="shared" si="49"/>
        <v>0</v>
      </c>
      <c r="BA52" s="1101">
        <f t="shared" si="50"/>
        <v>0</v>
      </c>
      <c r="BB52" s="1102">
        <f t="shared" si="51"/>
        <v>0</v>
      </c>
      <c r="BC52" s="1103"/>
    </row>
    <row r="53" spans="2:55" s="1099" customFormat="1" ht="15">
      <c r="B53" s="1074">
        <v>2023</v>
      </c>
      <c r="C53" s="1404" t="s">
        <v>852</v>
      </c>
      <c r="D53" s="1097">
        <v>0</v>
      </c>
      <c r="E53" s="1097">
        <v>0</v>
      </c>
      <c r="F53" s="1097">
        <v>0</v>
      </c>
      <c r="G53" s="1097">
        <v>0</v>
      </c>
      <c r="H53" s="1097">
        <v>0</v>
      </c>
      <c r="I53" s="1097">
        <v>0</v>
      </c>
      <c r="J53" s="1097">
        <v>0</v>
      </c>
      <c r="K53" s="1097">
        <v>0</v>
      </c>
      <c r="L53" s="1097">
        <v>0</v>
      </c>
      <c r="M53" s="1097">
        <v>0</v>
      </c>
      <c r="N53" s="1097">
        <v>0</v>
      </c>
      <c r="O53" s="1097">
        <v>0</v>
      </c>
      <c r="P53" s="1097">
        <v>0</v>
      </c>
      <c r="Q53" s="1097">
        <v>0</v>
      </c>
      <c r="R53" s="1097">
        <v>0</v>
      </c>
      <c r="S53" s="1097">
        <v>0</v>
      </c>
      <c r="T53" s="1097">
        <v>0</v>
      </c>
      <c r="U53" s="1097">
        <v>0</v>
      </c>
      <c r="V53" s="1097">
        <v>0</v>
      </c>
      <c r="W53" s="1097">
        <v>0</v>
      </c>
      <c r="X53" s="1097">
        <v>0</v>
      </c>
      <c r="Y53" s="1097">
        <v>0</v>
      </c>
      <c r="Z53" s="1097">
        <v>0</v>
      </c>
      <c r="AA53" s="1097">
        <v>0</v>
      </c>
      <c r="AB53" s="1098">
        <v>0</v>
      </c>
      <c r="AD53" s="1100">
        <f t="shared" si="27"/>
        <v>0</v>
      </c>
      <c r="AE53" s="1101">
        <f t="shared" si="28"/>
        <v>0</v>
      </c>
      <c r="AF53" s="1101">
        <f t="shared" si="29"/>
        <v>0</v>
      </c>
      <c r="AG53" s="1101">
        <f t="shared" si="30"/>
        <v>0</v>
      </c>
      <c r="AH53" s="1101">
        <f t="shared" si="31"/>
        <v>0</v>
      </c>
      <c r="AI53" s="1101">
        <f t="shared" si="32"/>
        <v>0</v>
      </c>
      <c r="AJ53" s="1101">
        <f t="shared" si="33"/>
        <v>0</v>
      </c>
      <c r="AK53" s="1101">
        <f t="shared" si="34"/>
        <v>0</v>
      </c>
      <c r="AL53" s="1101">
        <f t="shared" si="35"/>
        <v>0</v>
      </c>
      <c r="AM53" s="1101">
        <f t="shared" si="36"/>
        <v>0</v>
      </c>
      <c r="AN53" s="1101">
        <f t="shared" si="37"/>
        <v>0</v>
      </c>
      <c r="AO53" s="1101">
        <f t="shared" si="38"/>
        <v>0</v>
      </c>
      <c r="AP53" s="1101">
        <f t="shared" si="39"/>
        <v>0</v>
      </c>
      <c r="AQ53" s="1101">
        <f t="shared" si="40"/>
        <v>0</v>
      </c>
      <c r="AR53" s="1101">
        <f t="shared" si="41"/>
        <v>0</v>
      </c>
      <c r="AS53" s="1101">
        <f t="shared" si="42"/>
        <v>0</v>
      </c>
      <c r="AT53" s="1101">
        <f t="shared" si="43"/>
        <v>0</v>
      </c>
      <c r="AU53" s="1101">
        <f t="shared" si="44"/>
        <v>0</v>
      </c>
      <c r="AV53" s="1101">
        <f t="shared" si="45"/>
        <v>0</v>
      </c>
      <c r="AW53" s="1101">
        <f t="shared" si="46"/>
        <v>0</v>
      </c>
      <c r="AX53" s="1101">
        <f t="shared" si="47"/>
        <v>0</v>
      </c>
      <c r="AY53" s="1101">
        <f t="shared" si="48"/>
        <v>0</v>
      </c>
      <c r="AZ53" s="1101">
        <f t="shared" si="49"/>
        <v>0</v>
      </c>
      <c r="BA53" s="1101">
        <f t="shared" si="50"/>
        <v>0</v>
      </c>
      <c r="BB53" s="1102">
        <f t="shared" si="51"/>
        <v>0</v>
      </c>
      <c r="BC53" s="1103"/>
    </row>
    <row r="54" spans="2:55" s="1099" customFormat="1" ht="15">
      <c r="B54" s="1074">
        <v>2024</v>
      </c>
      <c r="C54" s="1404" t="s">
        <v>853</v>
      </c>
      <c r="D54" s="1097">
        <v>0</v>
      </c>
      <c r="E54" s="1097">
        <v>0</v>
      </c>
      <c r="F54" s="1097">
        <v>0</v>
      </c>
      <c r="G54" s="1097">
        <v>0</v>
      </c>
      <c r="H54" s="1097">
        <v>0</v>
      </c>
      <c r="I54" s="1097">
        <v>0</v>
      </c>
      <c r="J54" s="1097">
        <v>0</v>
      </c>
      <c r="K54" s="1097">
        <v>0</v>
      </c>
      <c r="L54" s="1097">
        <v>0</v>
      </c>
      <c r="M54" s="1097">
        <v>0</v>
      </c>
      <c r="N54" s="1097">
        <v>0</v>
      </c>
      <c r="O54" s="1097">
        <v>0</v>
      </c>
      <c r="P54" s="1097">
        <v>0</v>
      </c>
      <c r="Q54" s="1097">
        <v>0</v>
      </c>
      <c r="R54" s="1097">
        <v>0</v>
      </c>
      <c r="S54" s="1097">
        <v>0</v>
      </c>
      <c r="T54" s="1097">
        <v>0</v>
      </c>
      <c r="U54" s="1097">
        <v>0</v>
      </c>
      <c r="V54" s="1097">
        <v>0</v>
      </c>
      <c r="W54" s="1097">
        <v>0</v>
      </c>
      <c r="X54" s="1097">
        <v>0</v>
      </c>
      <c r="Y54" s="1097">
        <v>0</v>
      </c>
      <c r="Z54" s="1097">
        <v>0</v>
      </c>
      <c r="AA54" s="1097">
        <v>0</v>
      </c>
      <c r="AB54" s="1098">
        <v>0</v>
      </c>
      <c r="AD54" s="1100">
        <f t="shared" si="27"/>
        <v>0</v>
      </c>
      <c r="AE54" s="1101">
        <f t="shared" si="28"/>
        <v>0</v>
      </c>
      <c r="AF54" s="1101">
        <f t="shared" si="29"/>
        <v>0</v>
      </c>
      <c r="AG54" s="1101">
        <f t="shared" si="30"/>
        <v>0</v>
      </c>
      <c r="AH54" s="1101">
        <f t="shared" si="31"/>
        <v>0</v>
      </c>
      <c r="AI54" s="1101">
        <f t="shared" si="32"/>
        <v>0</v>
      </c>
      <c r="AJ54" s="1101">
        <f t="shared" si="33"/>
        <v>0</v>
      </c>
      <c r="AK54" s="1101">
        <f t="shared" si="34"/>
        <v>0</v>
      </c>
      <c r="AL54" s="1101">
        <f t="shared" si="35"/>
        <v>0</v>
      </c>
      <c r="AM54" s="1101">
        <f t="shared" si="36"/>
        <v>0</v>
      </c>
      <c r="AN54" s="1101">
        <f t="shared" si="37"/>
        <v>0</v>
      </c>
      <c r="AO54" s="1101">
        <f t="shared" si="38"/>
        <v>0</v>
      </c>
      <c r="AP54" s="1101">
        <f t="shared" si="39"/>
        <v>0</v>
      </c>
      <c r="AQ54" s="1101">
        <f t="shared" si="40"/>
        <v>0</v>
      </c>
      <c r="AR54" s="1101">
        <f t="shared" si="41"/>
        <v>0</v>
      </c>
      <c r="AS54" s="1101">
        <f t="shared" si="42"/>
        <v>0</v>
      </c>
      <c r="AT54" s="1101">
        <f t="shared" si="43"/>
        <v>0</v>
      </c>
      <c r="AU54" s="1101">
        <f t="shared" si="44"/>
        <v>0</v>
      </c>
      <c r="AV54" s="1101">
        <f t="shared" si="45"/>
        <v>0</v>
      </c>
      <c r="AW54" s="1101">
        <f t="shared" si="46"/>
        <v>0</v>
      </c>
      <c r="AX54" s="1101">
        <f t="shared" si="47"/>
        <v>0</v>
      </c>
      <c r="AY54" s="1101">
        <f t="shared" si="48"/>
        <v>0</v>
      </c>
      <c r="AZ54" s="1101">
        <f t="shared" si="49"/>
        <v>0</v>
      </c>
      <c r="BA54" s="1101">
        <f t="shared" si="50"/>
        <v>0</v>
      </c>
      <c r="BB54" s="1102">
        <f t="shared" si="51"/>
        <v>0</v>
      </c>
      <c r="BC54" s="1103"/>
    </row>
    <row r="55" spans="2:55" s="1099" customFormat="1" ht="15">
      <c r="B55" s="1074">
        <v>2025</v>
      </c>
      <c r="C55" s="1404" t="s">
        <v>854</v>
      </c>
      <c r="D55" s="1097">
        <v>0</v>
      </c>
      <c r="E55" s="1097">
        <v>0</v>
      </c>
      <c r="F55" s="1097">
        <v>0</v>
      </c>
      <c r="G55" s="1097">
        <v>0</v>
      </c>
      <c r="H55" s="1097">
        <v>0</v>
      </c>
      <c r="I55" s="1097">
        <v>0</v>
      </c>
      <c r="J55" s="1097">
        <v>0</v>
      </c>
      <c r="K55" s="1097">
        <v>0</v>
      </c>
      <c r="L55" s="1097">
        <v>0</v>
      </c>
      <c r="M55" s="1097">
        <v>0</v>
      </c>
      <c r="N55" s="1097">
        <v>0</v>
      </c>
      <c r="O55" s="1097">
        <v>0</v>
      </c>
      <c r="P55" s="1097">
        <v>0</v>
      </c>
      <c r="Q55" s="1097">
        <v>0</v>
      </c>
      <c r="R55" s="1097">
        <v>0</v>
      </c>
      <c r="S55" s="1097">
        <v>0</v>
      </c>
      <c r="T55" s="1097">
        <v>0</v>
      </c>
      <c r="U55" s="1097">
        <v>0</v>
      </c>
      <c r="V55" s="1097">
        <v>0</v>
      </c>
      <c r="W55" s="1097">
        <v>0</v>
      </c>
      <c r="X55" s="1097">
        <v>0</v>
      </c>
      <c r="Y55" s="1097">
        <v>0</v>
      </c>
      <c r="Z55" s="1097">
        <v>0</v>
      </c>
      <c r="AA55" s="1097">
        <v>0</v>
      </c>
      <c r="AB55" s="1098">
        <v>0</v>
      </c>
      <c r="AD55" s="1100">
        <f t="shared" si="27"/>
        <v>0</v>
      </c>
      <c r="AE55" s="1101">
        <f t="shared" si="28"/>
        <v>0</v>
      </c>
      <c r="AF55" s="1101">
        <f t="shared" si="29"/>
        <v>0</v>
      </c>
      <c r="AG55" s="1101">
        <f t="shared" si="30"/>
        <v>0</v>
      </c>
      <c r="AH55" s="1101">
        <f t="shared" si="31"/>
        <v>0</v>
      </c>
      <c r="AI55" s="1101">
        <f t="shared" si="32"/>
        <v>0</v>
      </c>
      <c r="AJ55" s="1101">
        <f t="shared" si="33"/>
        <v>0</v>
      </c>
      <c r="AK55" s="1101">
        <f t="shared" si="34"/>
        <v>0</v>
      </c>
      <c r="AL55" s="1101">
        <f t="shared" si="35"/>
        <v>0</v>
      </c>
      <c r="AM55" s="1101">
        <f t="shared" si="36"/>
        <v>0</v>
      </c>
      <c r="AN55" s="1101">
        <f t="shared" si="37"/>
        <v>0</v>
      </c>
      <c r="AO55" s="1101">
        <f t="shared" si="38"/>
        <v>0</v>
      </c>
      <c r="AP55" s="1101">
        <f t="shared" si="39"/>
        <v>0</v>
      </c>
      <c r="AQ55" s="1101">
        <f t="shared" si="40"/>
        <v>0</v>
      </c>
      <c r="AR55" s="1101">
        <f t="shared" si="41"/>
        <v>0</v>
      </c>
      <c r="AS55" s="1101">
        <f t="shared" si="42"/>
        <v>0</v>
      </c>
      <c r="AT55" s="1101">
        <f t="shared" si="43"/>
        <v>0</v>
      </c>
      <c r="AU55" s="1101">
        <f t="shared" si="44"/>
        <v>0</v>
      </c>
      <c r="AV55" s="1101">
        <f t="shared" si="45"/>
        <v>0</v>
      </c>
      <c r="AW55" s="1101">
        <f t="shared" si="46"/>
        <v>0</v>
      </c>
      <c r="AX55" s="1101">
        <f t="shared" si="47"/>
        <v>0</v>
      </c>
      <c r="AY55" s="1101">
        <f t="shared" si="48"/>
        <v>0</v>
      </c>
      <c r="AZ55" s="1101">
        <f t="shared" si="49"/>
        <v>0</v>
      </c>
      <c r="BA55" s="1101">
        <f t="shared" si="50"/>
        <v>0</v>
      </c>
      <c r="BB55" s="1102">
        <f t="shared" si="51"/>
        <v>0</v>
      </c>
      <c r="BC55" s="1103"/>
    </row>
    <row r="56" spans="2:55" s="1099" customFormat="1" ht="15">
      <c r="B56" s="1074">
        <v>2026</v>
      </c>
      <c r="C56" s="1404" t="s">
        <v>855</v>
      </c>
      <c r="D56" s="1097">
        <v>52.26</v>
      </c>
      <c r="E56" s="1097">
        <v>52.26</v>
      </c>
      <c r="F56" s="1097">
        <v>52.26</v>
      </c>
      <c r="G56" s="1097">
        <v>52.26</v>
      </c>
      <c r="H56" s="1097">
        <v>52.26</v>
      </c>
      <c r="I56" s="1097">
        <v>52.26</v>
      </c>
      <c r="J56" s="1097">
        <v>52.26</v>
      </c>
      <c r="K56" s="1097">
        <v>52.26</v>
      </c>
      <c r="L56" s="1097">
        <v>52.26</v>
      </c>
      <c r="M56" s="1097">
        <v>52.26</v>
      </c>
      <c r="N56" s="1097">
        <v>52.26</v>
      </c>
      <c r="O56" s="1097">
        <v>52.26</v>
      </c>
      <c r="P56" s="1097">
        <v>52.26</v>
      </c>
      <c r="Q56" s="1097">
        <v>52.26</v>
      </c>
      <c r="R56" s="1097">
        <v>52.26</v>
      </c>
      <c r="S56" s="1097">
        <v>52.26</v>
      </c>
      <c r="T56" s="1097">
        <v>52.26</v>
      </c>
      <c r="U56" s="1097">
        <v>52.26</v>
      </c>
      <c r="V56" s="1097">
        <v>52.26</v>
      </c>
      <c r="W56" s="1097">
        <v>52.26</v>
      </c>
      <c r="X56" s="1097">
        <v>52.26</v>
      </c>
      <c r="Y56" s="1097">
        <v>52.26</v>
      </c>
      <c r="Z56" s="1097">
        <v>52.26</v>
      </c>
      <c r="AA56" s="1097">
        <v>52.26</v>
      </c>
      <c r="AB56" s="1098">
        <v>52.26</v>
      </c>
      <c r="AD56" s="1100">
        <f t="shared" si="27"/>
        <v>64.689811607788172</v>
      </c>
      <c r="AE56" s="1101">
        <f t="shared" si="28"/>
        <v>64.689811607788172</v>
      </c>
      <c r="AF56" s="1101">
        <f t="shared" si="29"/>
        <v>64.689811607788172</v>
      </c>
      <c r="AG56" s="1101">
        <f t="shared" si="30"/>
        <v>64.689811607788172</v>
      </c>
      <c r="AH56" s="1101">
        <f t="shared" si="31"/>
        <v>64.689811607788172</v>
      </c>
      <c r="AI56" s="1101">
        <f t="shared" si="32"/>
        <v>64.689811607788172</v>
      </c>
      <c r="AJ56" s="1101">
        <f t="shared" si="33"/>
        <v>64.689811607788172</v>
      </c>
      <c r="AK56" s="1101">
        <f t="shared" si="34"/>
        <v>64.689811607788172</v>
      </c>
      <c r="AL56" s="1101">
        <f t="shared" si="35"/>
        <v>64.689811607788172</v>
      </c>
      <c r="AM56" s="1101">
        <f t="shared" si="36"/>
        <v>64.689811607788172</v>
      </c>
      <c r="AN56" s="1101">
        <f t="shared" si="37"/>
        <v>64.689811607788172</v>
      </c>
      <c r="AO56" s="1101">
        <f t="shared" si="38"/>
        <v>64.689811607788172</v>
      </c>
      <c r="AP56" s="1101">
        <f t="shared" si="39"/>
        <v>64.689811607788172</v>
      </c>
      <c r="AQ56" s="1101">
        <f t="shared" si="40"/>
        <v>64.689811607788172</v>
      </c>
      <c r="AR56" s="1101">
        <f t="shared" si="41"/>
        <v>64.689811607788172</v>
      </c>
      <c r="AS56" s="1101">
        <f t="shared" si="42"/>
        <v>64.689811607788172</v>
      </c>
      <c r="AT56" s="1101">
        <f t="shared" si="43"/>
        <v>64.689811607788172</v>
      </c>
      <c r="AU56" s="1101">
        <f t="shared" si="44"/>
        <v>64.689811607788172</v>
      </c>
      <c r="AV56" s="1101">
        <f t="shared" si="45"/>
        <v>64.689811607788172</v>
      </c>
      <c r="AW56" s="1101">
        <f t="shared" si="46"/>
        <v>64.689811607788172</v>
      </c>
      <c r="AX56" s="1101">
        <f t="shared" si="47"/>
        <v>64.689811607788172</v>
      </c>
      <c r="AY56" s="1101">
        <f t="shared" si="48"/>
        <v>64.689811607788172</v>
      </c>
      <c r="AZ56" s="1101">
        <f t="shared" si="49"/>
        <v>64.689811607788172</v>
      </c>
      <c r="BA56" s="1101">
        <f t="shared" si="50"/>
        <v>64.689811607788172</v>
      </c>
      <c r="BB56" s="1102">
        <f t="shared" si="51"/>
        <v>64.689811607788172</v>
      </c>
      <c r="BC56" s="1103"/>
    </row>
    <row r="57" spans="2:55" s="1099" customFormat="1" ht="15">
      <c r="B57" s="1074">
        <v>2027</v>
      </c>
      <c r="C57" s="1404" t="s">
        <v>856</v>
      </c>
      <c r="D57" s="1097">
        <v>46.024999999999999</v>
      </c>
      <c r="E57" s="1097">
        <v>82.844999999999999</v>
      </c>
      <c r="F57" s="1097">
        <v>82.844999999999999</v>
      </c>
      <c r="G57" s="1097">
        <v>82.844999999999999</v>
      </c>
      <c r="H57" s="1097">
        <v>82.844999999999999</v>
      </c>
      <c r="I57" s="1097">
        <v>82.844999999999999</v>
      </c>
      <c r="J57" s="1097">
        <v>82.844999999999999</v>
      </c>
      <c r="K57" s="1097">
        <v>82.844999999999999</v>
      </c>
      <c r="L57" s="1097">
        <v>82.844999999999999</v>
      </c>
      <c r="M57" s="1097">
        <v>82.844999999999999</v>
      </c>
      <c r="N57" s="1097">
        <v>82.844999999999999</v>
      </c>
      <c r="O57" s="1097">
        <v>82.844999999999999</v>
      </c>
      <c r="P57" s="1097">
        <v>82.844999999999999</v>
      </c>
      <c r="Q57" s="1097">
        <v>82.844999999999999</v>
      </c>
      <c r="R57" s="1097">
        <v>82.844999999999999</v>
      </c>
      <c r="S57" s="1097">
        <v>82.844999999999999</v>
      </c>
      <c r="T57" s="1097">
        <v>82.844999999999999</v>
      </c>
      <c r="U57" s="1097">
        <v>82.844999999999999</v>
      </c>
      <c r="V57" s="1097">
        <v>82.844999999999999</v>
      </c>
      <c r="W57" s="1097">
        <v>82.844999999999999</v>
      </c>
      <c r="X57" s="1097">
        <v>82.844999999999999</v>
      </c>
      <c r="Y57" s="1097">
        <v>82.844999999999999</v>
      </c>
      <c r="Z57" s="1097">
        <v>82.844999999999999</v>
      </c>
      <c r="AA57" s="1097">
        <v>82.844999999999999</v>
      </c>
      <c r="AB57" s="1098">
        <v>82.844999999999999</v>
      </c>
      <c r="AD57" s="1100">
        <f t="shared" si="27"/>
        <v>56.971844225955806</v>
      </c>
      <c r="AE57" s="1101">
        <f t="shared" si="28"/>
        <v>102.54931960672046</v>
      </c>
      <c r="AF57" s="1101">
        <f t="shared" si="29"/>
        <v>102.54931960672046</v>
      </c>
      <c r="AG57" s="1101">
        <f t="shared" si="30"/>
        <v>102.54931960672046</v>
      </c>
      <c r="AH57" s="1101">
        <f t="shared" si="31"/>
        <v>102.54931960672046</v>
      </c>
      <c r="AI57" s="1101">
        <f t="shared" si="32"/>
        <v>102.54931960672046</v>
      </c>
      <c r="AJ57" s="1101">
        <f t="shared" si="33"/>
        <v>102.54931960672046</v>
      </c>
      <c r="AK57" s="1101">
        <f t="shared" si="34"/>
        <v>102.54931960672046</v>
      </c>
      <c r="AL57" s="1101">
        <f t="shared" si="35"/>
        <v>102.54931960672046</v>
      </c>
      <c r="AM57" s="1101">
        <f t="shared" si="36"/>
        <v>102.54931960672046</v>
      </c>
      <c r="AN57" s="1101">
        <f t="shared" si="37"/>
        <v>102.54931960672046</v>
      </c>
      <c r="AO57" s="1101">
        <f t="shared" si="38"/>
        <v>102.54931960672046</v>
      </c>
      <c r="AP57" s="1101">
        <f t="shared" si="39"/>
        <v>102.54931960672046</v>
      </c>
      <c r="AQ57" s="1101">
        <f t="shared" si="40"/>
        <v>102.54931960672046</v>
      </c>
      <c r="AR57" s="1101">
        <f t="shared" si="41"/>
        <v>102.54931960672046</v>
      </c>
      <c r="AS57" s="1101">
        <f t="shared" si="42"/>
        <v>102.54931960672046</v>
      </c>
      <c r="AT57" s="1101">
        <f t="shared" si="43"/>
        <v>102.54931960672046</v>
      </c>
      <c r="AU57" s="1101">
        <f t="shared" si="44"/>
        <v>102.54931960672046</v>
      </c>
      <c r="AV57" s="1101">
        <f t="shared" si="45"/>
        <v>102.54931960672046</v>
      </c>
      <c r="AW57" s="1101">
        <f t="shared" si="46"/>
        <v>102.54931960672046</v>
      </c>
      <c r="AX57" s="1101">
        <f t="shared" si="47"/>
        <v>102.54931960672046</v>
      </c>
      <c r="AY57" s="1101">
        <f t="shared" si="48"/>
        <v>102.54931960672046</v>
      </c>
      <c r="AZ57" s="1101">
        <f t="shared" si="49"/>
        <v>102.54931960672046</v>
      </c>
      <c r="BA57" s="1101">
        <f t="shared" si="50"/>
        <v>102.54931960672046</v>
      </c>
      <c r="BB57" s="1102">
        <f t="shared" si="51"/>
        <v>102.54931960672046</v>
      </c>
      <c r="BC57" s="1103"/>
    </row>
    <row r="58" spans="2:55" s="1099" customFormat="1" ht="15">
      <c r="B58" s="1074">
        <v>2028</v>
      </c>
      <c r="C58" s="1404" t="s">
        <v>857</v>
      </c>
      <c r="D58" s="1097">
        <v>38.760000000000005</v>
      </c>
      <c r="E58" s="1097">
        <v>71.706000000000003</v>
      </c>
      <c r="F58" s="1097">
        <v>110.46599999999999</v>
      </c>
      <c r="G58" s="1097">
        <v>110.46599999999999</v>
      </c>
      <c r="H58" s="1097">
        <v>110.46599999999999</v>
      </c>
      <c r="I58" s="1097">
        <v>110.46599999999999</v>
      </c>
      <c r="J58" s="1097">
        <v>110.46599999999999</v>
      </c>
      <c r="K58" s="1097">
        <v>110.46599999999999</v>
      </c>
      <c r="L58" s="1097">
        <v>110.46599999999999</v>
      </c>
      <c r="M58" s="1097">
        <v>110.46599999999999</v>
      </c>
      <c r="N58" s="1097">
        <v>110.46599999999999</v>
      </c>
      <c r="O58" s="1097">
        <v>110.46599999999999</v>
      </c>
      <c r="P58" s="1097">
        <v>110.46599999999999</v>
      </c>
      <c r="Q58" s="1097">
        <v>110.46599999999999</v>
      </c>
      <c r="R58" s="1097">
        <v>110.46599999999999</v>
      </c>
      <c r="S58" s="1097">
        <v>110.46599999999999</v>
      </c>
      <c r="T58" s="1097">
        <v>110.46599999999999</v>
      </c>
      <c r="U58" s="1097">
        <v>110.46599999999999</v>
      </c>
      <c r="V58" s="1097">
        <v>110.46599999999999</v>
      </c>
      <c r="W58" s="1097">
        <v>110.46599999999999</v>
      </c>
      <c r="X58" s="1097">
        <v>110.46599999999999</v>
      </c>
      <c r="Y58" s="1097">
        <v>110.46599999999999</v>
      </c>
      <c r="Z58" s="1097">
        <v>110.46599999999999</v>
      </c>
      <c r="AA58" s="1097">
        <v>110.46599999999999</v>
      </c>
      <c r="AB58" s="1098">
        <v>110.46599999999999</v>
      </c>
      <c r="AD58" s="1100">
        <f t="shared" si="27"/>
        <v>47.978895865248177</v>
      </c>
      <c r="AE58" s="1101">
        <f t="shared" si="28"/>
        <v>88.76095735070912</v>
      </c>
      <c r="AF58" s="1101">
        <f t="shared" si="29"/>
        <v>136.73985321595725</v>
      </c>
      <c r="AG58" s="1101">
        <f t="shared" si="30"/>
        <v>136.73985321595725</v>
      </c>
      <c r="AH58" s="1101">
        <f t="shared" si="31"/>
        <v>136.73985321595725</v>
      </c>
      <c r="AI58" s="1101">
        <f t="shared" si="32"/>
        <v>136.73985321595725</v>
      </c>
      <c r="AJ58" s="1101">
        <f t="shared" si="33"/>
        <v>136.73985321595725</v>
      </c>
      <c r="AK58" s="1101">
        <f t="shared" si="34"/>
        <v>136.73985321595725</v>
      </c>
      <c r="AL58" s="1101">
        <f t="shared" si="35"/>
        <v>136.73985321595725</v>
      </c>
      <c r="AM58" s="1101">
        <f t="shared" si="36"/>
        <v>136.73985321595725</v>
      </c>
      <c r="AN58" s="1101">
        <f t="shared" si="37"/>
        <v>136.73985321595725</v>
      </c>
      <c r="AO58" s="1101">
        <f t="shared" si="38"/>
        <v>136.73985321595725</v>
      </c>
      <c r="AP58" s="1101">
        <f t="shared" si="39"/>
        <v>136.73985321595725</v>
      </c>
      <c r="AQ58" s="1101">
        <f t="shared" si="40"/>
        <v>136.73985321595725</v>
      </c>
      <c r="AR58" s="1101">
        <f t="shared" si="41"/>
        <v>136.73985321595725</v>
      </c>
      <c r="AS58" s="1101">
        <f t="shared" si="42"/>
        <v>136.73985321595725</v>
      </c>
      <c r="AT58" s="1101">
        <f t="shared" si="43"/>
        <v>136.73985321595725</v>
      </c>
      <c r="AU58" s="1101">
        <f t="shared" si="44"/>
        <v>136.73985321595725</v>
      </c>
      <c r="AV58" s="1101">
        <f t="shared" si="45"/>
        <v>136.73985321595725</v>
      </c>
      <c r="AW58" s="1101">
        <f t="shared" si="46"/>
        <v>136.73985321595725</v>
      </c>
      <c r="AX58" s="1101">
        <f t="shared" si="47"/>
        <v>136.73985321595725</v>
      </c>
      <c r="AY58" s="1101">
        <f t="shared" si="48"/>
        <v>136.73985321595725</v>
      </c>
      <c r="AZ58" s="1101">
        <f t="shared" si="49"/>
        <v>136.73985321595725</v>
      </c>
      <c r="BA58" s="1101">
        <f t="shared" si="50"/>
        <v>136.73985321595725</v>
      </c>
      <c r="BB58" s="1102">
        <f t="shared" si="51"/>
        <v>136.73985321595725</v>
      </c>
      <c r="BC58" s="1103"/>
    </row>
    <row r="59" spans="2:55" s="1099" customFormat="1" ht="15">
      <c r="B59" s="1074">
        <v>2029</v>
      </c>
      <c r="C59" s="1404" t="s">
        <v>858</v>
      </c>
      <c r="D59" s="1097">
        <v>30.974999999999998</v>
      </c>
      <c r="E59" s="1097">
        <v>57.820000000000007</v>
      </c>
      <c r="F59" s="1097">
        <v>92.924999999999997</v>
      </c>
      <c r="G59" s="1097">
        <v>134.22499999999999</v>
      </c>
      <c r="H59" s="1097">
        <v>134.22499999999999</v>
      </c>
      <c r="I59" s="1097">
        <v>134.22499999999999</v>
      </c>
      <c r="J59" s="1097">
        <v>134.22499999999999</v>
      </c>
      <c r="K59" s="1097">
        <v>134.22499999999999</v>
      </c>
      <c r="L59" s="1097">
        <v>134.22499999999999</v>
      </c>
      <c r="M59" s="1097">
        <v>134.22499999999999</v>
      </c>
      <c r="N59" s="1097">
        <v>134.22499999999999</v>
      </c>
      <c r="O59" s="1097">
        <v>134.22499999999999</v>
      </c>
      <c r="P59" s="1097">
        <v>134.22499999999999</v>
      </c>
      <c r="Q59" s="1097">
        <v>134.22499999999999</v>
      </c>
      <c r="R59" s="1097">
        <v>134.22499999999999</v>
      </c>
      <c r="S59" s="1097">
        <v>134.22499999999999</v>
      </c>
      <c r="T59" s="1097">
        <v>134.22499999999999</v>
      </c>
      <c r="U59" s="1097">
        <v>134.22499999999999</v>
      </c>
      <c r="V59" s="1097">
        <v>134.22499999999999</v>
      </c>
      <c r="W59" s="1097">
        <v>134.22499999999999</v>
      </c>
      <c r="X59" s="1097">
        <v>134.22499999999999</v>
      </c>
      <c r="Y59" s="1097">
        <v>134.22499999999999</v>
      </c>
      <c r="Z59" s="1097">
        <v>134.22499999999999</v>
      </c>
      <c r="AA59" s="1097">
        <v>134.22499999999999</v>
      </c>
      <c r="AB59" s="1098">
        <v>134.22499999999999</v>
      </c>
      <c r="AD59" s="1100">
        <f t="shared" si="27"/>
        <v>38.342267787050105</v>
      </c>
      <c r="AE59" s="1101">
        <f t="shared" si="28"/>
        <v>71.57223320249355</v>
      </c>
      <c r="AF59" s="1101">
        <f t="shared" si="29"/>
        <v>115.02680336115033</v>
      </c>
      <c r="AG59" s="1101">
        <f t="shared" si="30"/>
        <v>166.14982707721711</v>
      </c>
      <c r="AH59" s="1101">
        <f t="shared" si="31"/>
        <v>166.14982707721711</v>
      </c>
      <c r="AI59" s="1101">
        <f t="shared" si="32"/>
        <v>166.14982707721711</v>
      </c>
      <c r="AJ59" s="1101">
        <f t="shared" si="33"/>
        <v>166.14982707721711</v>
      </c>
      <c r="AK59" s="1101">
        <f t="shared" si="34"/>
        <v>166.14982707721711</v>
      </c>
      <c r="AL59" s="1101">
        <f t="shared" si="35"/>
        <v>166.14982707721711</v>
      </c>
      <c r="AM59" s="1101">
        <f t="shared" si="36"/>
        <v>166.14982707721711</v>
      </c>
      <c r="AN59" s="1101">
        <f t="shared" si="37"/>
        <v>166.14982707721711</v>
      </c>
      <c r="AO59" s="1101">
        <f t="shared" si="38"/>
        <v>166.14982707721711</v>
      </c>
      <c r="AP59" s="1101">
        <f t="shared" si="39"/>
        <v>166.14982707721711</v>
      </c>
      <c r="AQ59" s="1101">
        <f t="shared" si="40"/>
        <v>166.14982707721711</v>
      </c>
      <c r="AR59" s="1101">
        <f t="shared" si="41"/>
        <v>166.14982707721711</v>
      </c>
      <c r="AS59" s="1101">
        <f t="shared" si="42"/>
        <v>166.14982707721711</v>
      </c>
      <c r="AT59" s="1101">
        <f t="shared" si="43"/>
        <v>166.14982707721711</v>
      </c>
      <c r="AU59" s="1101">
        <f t="shared" si="44"/>
        <v>166.14982707721711</v>
      </c>
      <c r="AV59" s="1101">
        <f t="shared" si="45"/>
        <v>166.14982707721711</v>
      </c>
      <c r="AW59" s="1101">
        <f t="shared" si="46"/>
        <v>166.14982707721711</v>
      </c>
      <c r="AX59" s="1101">
        <f t="shared" si="47"/>
        <v>166.14982707721711</v>
      </c>
      <c r="AY59" s="1101">
        <f t="shared" si="48"/>
        <v>166.14982707721711</v>
      </c>
      <c r="AZ59" s="1101">
        <f t="shared" si="49"/>
        <v>166.14982707721711</v>
      </c>
      <c r="BA59" s="1101">
        <f t="shared" si="50"/>
        <v>166.14982707721711</v>
      </c>
      <c r="BB59" s="1102">
        <f t="shared" si="51"/>
        <v>166.14982707721711</v>
      </c>
      <c r="BC59" s="1103"/>
    </row>
    <row r="60" spans="2:55" s="1099" customFormat="1" ht="15">
      <c r="B60" s="1074">
        <v>2030</v>
      </c>
      <c r="C60" s="1404" t="s">
        <v>859</v>
      </c>
      <c r="D60" s="1097">
        <v>18.41</v>
      </c>
      <c r="E60" s="1097">
        <v>36.82</v>
      </c>
      <c r="F60" s="1097">
        <v>60.753</v>
      </c>
      <c r="G60" s="1097">
        <v>92.05</v>
      </c>
      <c r="H60" s="1097">
        <v>110.46</v>
      </c>
      <c r="I60" s="1097">
        <v>110.46</v>
      </c>
      <c r="J60" s="1097">
        <v>110.46</v>
      </c>
      <c r="K60" s="1097">
        <v>110.46</v>
      </c>
      <c r="L60" s="1097">
        <v>110.46</v>
      </c>
      <c r="M60" s="1097">
        <v>110.46</v>
      </c>
      <c r="N60" s="1097">
        <v>110.46</v>
      </c>
      <c r="O60" s="1097">
        <v>110.46</v>
      </c>
      <c r="P60" s="1097">
        <v>110.46</v>
      </c>
      <c r="Q60" s="1097">
        <v>110.46</v>
      </c>
      <c r="R60" s="1097">
        <v>110.46</v>
      </c>
      <c r="S60" s="1097">
        <v>110.46</v>
      </c>
      <c r="T60" s="1097">
        <v>110.46</v>
      </c>
      <c r="U60" s="1097">
        <v>110.46</v>
      </c>
      <c r="V60" s="1097">
        <v>110.46</v>
      </c>
      <c r="W60" s="1097">
        <v>110.46</v>
      </c>
      <c r="X60" s="1097">
        <v>110.46</v>
      </c>
      <c r="Y60" s="1097">
        <v>110.46</v>
      </c>
      <c r="Z60" s="1097">
        <v>110.46</v>
      </c>
      <c r="AA60" s="1097">
        <v>110.46</v>
      </c>
      <c r="AB60" s="1098">
        <v>110.46</v>
      </c>
      <c r="AD60" s="1100">
        <f t="shared" si="27"/>
        <v>22.788737690382323</v>
      </c>
      <c r="AE60" s="1101">
        <f t="shared" si="28"/>
        <v>45.577475380764646</v>
      </c>
      <c r="AF60" s="1101">
        <f t="shared" si="29"/>
        <v>75.20283437826167</v>
      </c>
      <c r="AG60" s="1101">
        <f t="shared" si="30"/>
        <v>113.94368845191161</v>
      </c>
      <c r="AH60" s="1101">
        <f t="shared" si="31"/>
        <v>136.73242614229392</v>
      </c>
      <c r="AI60" s="1101">
        <f t="shared" si="32"/>
        <v>136.73242614229392</v>
      </c>
      <c r="AJ60" s="1101">
        <f t="shared" si="33"/>
        <v>136.73242614229392</v>
      </c>
      <c r="AK60" s="1101">
        <f t="shared" si="34"/>
        <v>136.73242614229392</v>
      </c>
      <c r="AL60" s="1101">
        <f t="shared" si="35"/>
        <v>136.73242614229392</v>
      </c>
      <c r="AM60" s="1101">
        <f t="shared" si="36"/>
        <v>136.73242614229392</v>
      </c>
      <c r="AN60" s="1101">
        <f t="shared" si="37"/>
        <v>136.73242614229392</v>
      </c>
      <c r="AO60" s="1101">
        <f t="shared" si="38"/>
        <v>136.73242614229392</v>
      </c>
      <c r="AP60" s="1101">
        <f t="shared" si="39"/>
        <v>136.73242614229392</v>
      </c>
      <c r="AQ60" s="1101">
        <f t="shared" si="40"/>
        <v>136.73242614229392</v>
      </c>
      <c r="AR60" s="1101">
        <f t="shared" si="41"/>
        <v>136.73242614229392</v>
      </c>
      <c r="AS60" s="1101">
        <f t="shared" si="42"/>
        <v>136.73242614229392</v>
      </c>
      <c r="AT60" s="1101">
        <f t="shared" si="43"/>
        <v>136.73242614229392</v>
      </c>
      <c r="AU60" s="1101">
        <f t="shared" si="44"/>
        <v>136.73242614229392</v>
      </c>
      <c r="AV60" s="1101">
        <f t="shared" si="45"/>
        <v>136.73242614229392</v>
      </c>
      <c r="AW60" s="1101">
        <f t="shared" si="46"/>
        <v>136.73242614229392</v>
      </c>
      <c r="AX60" s="1101">
        <f t="shared" si="47"/>
        <v>136.73242614229392</v>
      </c>
      <c r="AY60" s="1101">
        <f t="shared" si="48"/>
        <v>136.73242614229392</v>
      </c>
      <c r="AZ60" s="1101">
        <f t="shared" si="49"/>
        <v>136.73242614229392</v>
      </c>
      <c r="BA60" s="1101">
        <f t="shared" si="50"/>
        <v>136.73242614229392</v>
      </c>
      <c r="BB60" s="1102">
        <f t="shared" si="51"/>
        <v>136.73242614229392</v>
      </c>
      <c r="BC60" s="1103"/>
    </row>
    <row r="61" spans="2:55" s="1099" customFormat="1" ht="15">
      <c r="B61" s="1074">
        <v>2031</v>
      </c>
      <c r="C61" s="1404" t="s">
        <v>860</v>
      </c>
      <c r="D61" s="1097">
        <v>9.6900000000000013</v>
      </c>
      <c r="E61" s="1097">
        <v>23.256</v>
      </c>
      <c r="F61" s="1097">
        <v>42.636000000000003</v>
      </c>
      <c r="G61" s="1097">
        <v>67.83</v>
      </c>
      <c r="H61" s="1097">
        <v>83.334000000000003</v>
      </c>
      <c r="I61" s="1097">
        <v>83.334000000000003</v>
      </c>
      <c r="J61" s="1097">
        <v>83.334000000000003</v>
      </c>
      <c r="K61" s="1097">
        <v>83.334000000000003</v>
      </c>
      <c r="L61" s="1097">
        <v>83.334000000000003</v>
      </c>
      <c r="M61" s="1097">
        <v>83.334000000000003</v>
      </c>
      <c r="N61" s="1097">
        <v>83.334000000000003</v>
      </c>
      <c r="O61" s="1097">
        <v>83.334000000000003</v>
      </c>
      <c r="P61" s="1097">
        <v>83.334000000000003</v>
      </c>
      <c r="Q61" s="1097">
        <v>83.334000000000003</v>
      </c>
      <c r="R61" s="1097">
        <v>83.334000000000003</v>
      </c>
      <c r="S61" s="1097">
        <v>83.334000000000003</v>
      </c>
      <c r="T61" s="1097">
        <v>83.334000000000003</v>
      </c>
      <c r="U61" s="1097">
        <v>83.334000000000003</v>
      </c>
      <c r="V61" s="1097">
        <v>83.334000000000003</v>
      </c>
      <c r="W61" s="1097">
        <v>83.334000000000003</v>
      </c>
      <c r="X61" s="1097">
        <v>83.334000000000003</v>
      </c>
      <c r="Y61" s="1097">
        <v>83.334000000000003</v>
      </c>
      <c r="Z61" s="1097">
        <v>83.334000000000003</v>
      </c>
      <c r="AA61" s="1097">
        <v>83.334000000000003</v>
      </c>
      <c r="AB61" s="1098">
        <v>83.334000000000003</v>
      </c>
      <c r="AD61" s="1100">
        <f t="shared" si="27"/>
        <v>11.994723966312044</v>
      </c>
      <c r="AE61" s="1101">
        <f t="shared" si="28"/>
        <v>28.787337519148902</v>
      </c>
      <c r="AF61" s="1101">
        <f t="shared" si="29"/>
        <v>52.776785451772987</v>
      </c>
      <c r="AG61" s="1101">
        <f t="shared" si="30"/>
        <v>83.963067764184288</v>
      </c>
      <c r="AH61" s="1101">
        <f t="shared" si="31"/>
        <v>103.15462611028356</v>
      </c>
      <c r="AI61" s="1101">
        <f t="shared" si="32"/>
        <v>103.15462611028356</v>
      </c>
      <c r="AJ61" s="1101">
        <f t="shared" si="33"/>
        <v>103.15462611028356</v>
      </c>
      <c r="AK61" s="1101">
        <f t="shared" si="34"/>
        <v>103.15462611028356</v>
      </c>
      <c r="AL61" s="1101">
        <f t="shared" si="35"/>
        <v>103.15462611028356</v>
      </c>
      <c r="AM61" s="1101">
        <f t="shared" si="36"/>
        <v>103.15462611028356</v>
      </c>
      <c r="AN61" s="1101">
        <f t="shared" si="37"/>
        <v>103.15462611028356</v>
      </c>
      <c r="AO61" s="1101">
        <f t="shared" si="38"/>
        <v>103.15462611028356</v>
      </c>
      <c r="AP61" s="1101">
        <f t="shared" si="39"/>
        <v>103.15462611028356</v>
      </c>
      <c r="AQ61" s="1101">
        <f t="shared" si="40"/>
        <v>103.15462611028356</v>
      </c>
      <c r="AR61" s="1101">
        <f t="shared" si="41"/>
        <v>103.15462611028356</v>
      </c>
      <c r="AS61" s="1101">
        <f t="shared" si="42"/>
        <v>103.15462611028356</v>
      </c>
      <c r="AT61" s="1101">
        <f t="shared" si="43"/>
        <v>103.15462611028356</v>
      </c>
      <c r="AU61" s="1101">
        <f t="shared" si="44"/>
        <v>103.15462611028356</v>
      </c>
      <c r="AV61" s="1101">
        <f t="shared" si="45"/>
        <v>103.15462611028356</v>
      </c>
      <c r="AW61" s="1101">
        <f t="shared" si="46"/>
        <v>103.15462611028356</v>
      </c>
      <c r="AX61" s="1101">
        <f t="shared" si="47"/>
        <v>103.15462611028356</v>
      </c>
      <c r="AY61" s="1101">
        <f t="shared" si="48"/>
        <v>103.15462611028356</v>
      </c>
      <c r="AZ61" s="1101">
        <f t="shared" si="49"/>
        <v>103.15462611028356</v>
      </c>
      <c r="BA61" s="1101">
        <f t="shared" si="50"/>
        <v>103.15462611028356</v>
      </c>
      <c r="BB61" s="1102">
        <f t="shared" si="51"/>
        <v>103.15462611028356</v>
      </c>
      <c r="BC61" s="1103"/>
    </row>
    <row r="62" spans="2:55" s="1099" customFormat="1" ht="15">
      <c r="B62" s="1074">
        <v>2032</v>
      </c>
      <c r="C62" s="1404" t="s">
        <v>861</v>
      </c>
      <c r="D62" s="1097">
        <v>0</v>
      </c>
      <c r="E62" s="1097">
        <v>6.1949999999999994</v>
      </c>
      <c r="F62" s="1097">
        <v>20.650000000000002</v>
      </c>
      <c r="G62" s="1097">
        <v>41.300000000000004</v>
      </c>
      <c r="H62" s="1097">
        <v>55.755000000000003</v>
      </c>
      <c r="I62" s="1097">
        <v>55.755000000000003</v>
      </c>
      <c r="J62" s="1097">
        <v>55.755000000000003</v>
      </c>
      <c r="K62" s="1097">
        <v>55.755000000000003</v>
      </c>
      <c r="L62" s="1097">
        <v>55.755000000000003</v>
      </c>
      <c r="M62" s="1097">
        <v>55.755000000000003</v>
      </c>
      <c r="N62" s="1097">
        <v>55.755000000000003</v>
      </c>
      <c r="O62" s="1097">
        <v>55.755000000000003</v>
      </c>
      <c r="P62" s="1097">
        <v>55.755000000000003</v>
      </c>
      <c r="Q62" s="1097">
        <v>55.755000000000003</v>
      </c>
      <c r="R62" s="1097">
        <v>55.755000000000003</v>
      </c>
      <c r="S62" s="1097">
        <v>55.755000000000003</v>
      </c>
      <c r="T62" s="1097">
        <v>55.755000000000003</v>
      </c>
      <c r="U62" s="1097">
        <v>55.755000000000003</v>
      </c>
      <c r="V62" s="1097">
        <v>55.755000000000003</v>
      </c>
      <c r="W62" s="1097">
        <v>55.755000000000003</v>
      </c>
      <c r="X62" s="1097">
        <v>55.755000000000003</v>
      </c>
      <c r="Y62" s="1097">
        <v>55.755000000000003</v>
      </c>
      <c r="Z62" s="1097">
        <v>55.755000000000003</v>
      </c>
      <c r="AA62" s="1097">
        <v>55.755000000000003</v>
      </c>
      <c r="AB62" s="1098">
        <v>55.755000000000003</v>
      </c>
      <c r="AD62" s="1100">
        <f t="shared" si="27"/>
        <v>0</v>
      </c>
      <c r="AE62" s="1101">
        <f t="shared" si="28"/>
        <v>7.6684535574100208</v>
      </c>
      <c r="AF62" s="1101">
        <f t="shared" si="29"/>
        <v>25.561511858033409</v>
      </c>
      <c r="AG62" s="1101">
        <f t="shared" si="30"/>
        <v>51.123023716066818</v>
      </c>
      <c r="AH62" s="1101">
        <f t="shared" si="31"/>
        <v>69.016082016690191</v>
      </c>
      <c r="AI62" s="1101">
        <f t="shared" si="32"/>
        <v>69.016082016690191</v>
      </c>
      <c r="AJ62" s="1101">
        <f t="shared" si="33"/>
        <v>69.016082016690191</v>
      </c>
      <c r="AK62" s="1101">
        <f t="shared" si="34"/>
        <v>69.016082016690191</v>
      </c>
      <c r="AL62" s="1101">
        <f t="shared" si="35"/>
        <v>69.016082016690191</v>
      </c>
      <c r="AM62" s="1101">
        <f t="shared" si="36"/>
        <v>69.016082016690191</v>
      </c>
      <c r="AN62" s="1101">
        <f t="shared" si="37"/>
        <v>69.016082016690191</v>
      </c>
      <c r="AO62" s="1101">
        <f t="shared" si="38"/>
        <v>69.016082016690191</v>
      </c>
      <c r="AP62" s="1101">
        <f t="shared" si="39"/>
        <v>69.016082016690191</v>
      </c>
      <c r="AQ62" s="1101">
        <f t="shared" si="40"/>
        <v>69.016082016690191</v>
      </c>
      <c r="AR62" s="1101">
        <f t="shared" si="41"/>
        <v>69.016082016690191</v>
      </c>
      <c r="AS62" s="1101">
        <f t="shared" si="42"/>
        <v>69.016082016690191</v>
      </c>
      <c r="AT62" s="1101">
        <f t="shared" si="43"/>
        <v>69.016082016690191</v>
      </c>
      <c r="AU62" s="1101">
        <f t="shared" si="44"/>
        <v>69.016082016690191</v>
      </c>
      <c r="AV62" s="1101">
        <f t="shared" si="45"/>
        <v>69.016082016690191</v>
      </c>
      <c r="AW62" s="1101">
        <f t="shared" si="46"/>
        <v>69.016082016690191</v>
      </c>
      <c r="AX62" s="1101">
        <f t="shared" si="47"/>
        <v>69.016082016690191</v>
      </c>
      <c r="AY62" s="1101">
        <f t="shared" si="48"/>
        <v>69.016082016690191</v>
      </c>
      <c r="AZ62" s="1101">
        <f t="shared" si="49"/>
        <v>69.016082016690191</v>
      </c>
      <c r="BA62" s="1101">
        <f t="shared" si="50"/>
        <v>69.016082016690191</v>
      </c>
      <c r="BB62" s="1102">
        <f t="shared" si="51"/>
        <v>69.016082016690191</v>
      </c>
      <c r="BC62" s="1103"/>
    </row>
    <row r="63" spans="2:55" s="1099" customFormat="1" ht="15">
      <c r="B63" s="1074">
        <v>2033</v>
      </c>
      <c r="C63" s="1404" t="s">
        <v>862</v>
      </c>
      <c r="D63" s="1097">
        <v>0</v>
      </c>
      <c r="E63" s="1097">
        <v>0</v>
      </c>
      <c r="F63" s="1097">
        <v>5.5229999999999997</v>
      </c>
      <c r="G63" s="1097">
        <v>18.41</v>
      </c>
      <c r="H63" s="1097">
        <v>27.614999999999998</v>
      </c>
      <c r="I63" s="1097">
        <v>27.614999999999998</v>
      </c>
      <c r="J63" s="1097">
        <v>27.614999999999998</v>
      </c>
      <c r="K63" s="1097">
        <v>27.614999999999998</v>
      </c>
      <c r="L63" s="1097">
        <v>27.614999999999998</v>
      </c>
      <c r="M63" s="1097">
        <v>27.614999999999998</v>
      </c>
      <c r="N63" s="1097">
        <v>27.614999999999998</v>
      </c>
      <c r="O63" s="1097">
        <v>27.614999999999998</v>
      </c>
      <c r="P63" s="1097">
        <v>27.614999999999998</v>
      </c>
      <c r="Q63" s="1097">
        <v>27.614999999999998</v>
      </c>
      <c r="R63" s="1097">
        <v>27.614999999999998</v>
      </c>
      <c r="S63" s="1097">
        <v>27.614999999999998</v>
      </c>
      <c r="T63" s="1097">
        <v>27.614999999999998</v>
      </c>
      <c r="U63" s="1097">
        <v>27.614999999999998</v>
      </c>
      <c r="V63" s="1097">
        <v>27.614999999999998</v>
      </c>
      <c r="W63" s="1097">
        <v>27.614999999999998</v>
      </c>
      <c r="X63" s="1097">
        <v>27.614999999999998</v>
      </c>
      <c r="Y63" s="1097">
        <v>27.614999999999998</v>
      </c>
      <c r="Z63" s="1097">
        <v>27.614999999999998</v>
      </c>
      <c r="AA63" s="1097">
        <v>27.614999999999998</v>
      </c>
      <c r="AB63" s="1098">
        <v>27.614999999999998</v>
      </c>
      <c r="AD63" s="1100">
        <f t="shared" si="27"/>
        <v>0</v>
      </c>
      <c r="AE63" s="1101">
        <f t="shared" si="28"/>
        <v>0</v>
      </c>
      <c r="AF63" s="1101">
        <f t="shared" si="29"/>
        <v>6.8366213071146964</v>
      </c>
      <c r="AG63" s="1101">
        <f t="shared" si="30"/>
        <v>22.788737690382323</v>
      </c>
      <c r="AH63" s="1101">
        <f t="shared" si="31"/>
        <v>34.183106535573479</v>
      </c>
      <c r="AI63" s="1101">
        <f t="shared" si="32"/>
        <v>34.183106535573479</v>
      </c>
      <c r="AJ63" s="1101">
        <f t="shared" si="33"/>
        <v>34.183106535573479</v>
      </c>
      <c r="AK63" s="1101">
        <f t="shared" si="34"/>
        <v>34.183106535573479</v>
      </c>
      <c r="AL63" s="1101">
        <f t="shared" si="35"/>
        <v>34.183106535573479</v>
      </c>
      <c r="AM63" s="1101">
        <f t="shared" si="36"/>
        <v>34.183106535573479</v>
      </c>
      <c r="AN63" s="1101">
        <f t="shared" si="37"/>
        <v>34.183106535573479</v>
      </c>
      <c r="AO63" s="1101">
        <f t="shared" si="38"/>
        <v>34.183106535573479</v>
      </c>
      <c r="AP63" s="1101">
        <f t="shared" si="39"/>
        <v>34.183106535573479</v>
      </c>
      <c r="AQ63" s="1101">
        <f t="shared" si="40"/>
        <v>34.183106535573479</v>
      </c>
      <c r="AR63" s="1101">
        <f t="shared" si="41"/>
        <v>34.183106535573479</v>
      </c>
      <c r="AS63" s="1101">
        <f t="shared" si="42"/>
        <v>34.183106535573479</v>
      </c>
      <c r="AT63" s="1101">
        <f t="shared" si="43"/>
        <v>34.183106535573479</v>
      </c>
      <c r="AU63" s="1101">
        <f t="shared" si="44"/>
        <v>34.183106535573479</v>
      </c>
      <c r="AV63" s="1101">
        <f t="shared" si="45"/>
        <v>34.183106535573479</v>
      </c>
      <c r="AW63" s="1101">
        <f t="shared" si="46"/>
        <v>34.183106535573479</v>
      </c>
      <c r="AX63" s="1101">
        <f t="shared" si="47"/>
        <v>34.183106535573479</v>
      </c>
      <c r="AY63" s="1101">
        <f t="shared" si="48"/>
        <v>34.183106535573479</v>
      </c>
      <c r="AZ63" s="1101">
        <f t="shared" si="49"/>
        <v>34.183106535573479</v>
      </c>
      <c r="BA63" s="1101">
        <f t="shared" si="50"/>
        <v>34.183106535573479</v>
      </c>
      <c r="BB63" s="1102">
        <f t="shared" si="51"/>
        <v>34.183106535573479</v>
      </c>
      <c r="BC63" s="1103"/>
    </row>
    <row r="64" spans="2:55" s="1099" customFormat="1" ht="15">
      <c r="B64" s="1074">
        <v>2034</v>
      </c>
      <c r="C64" s="1404" t="s">
        <v>863</v>
      </c>
      <c r="D64" s="1097">
        <v>0</v>
      </c>
      <c r="E64" s="1097">
        <v>0</v>
      </c>
      <c r="F64" s="1097">
        <v>0</v>
      </c>
      <c r="G64" s="1097">
        <v>5.8140000000000001</v>
      </c>
      <c r="H64" s="1097">
        <v>13.566000000000003</v>
      </c>
      <c r="I64" s="1097">
        <v>13.566000000000003</v>
      </c>
      <c r="J64" s="1097">
        <v>13.566000000000003</v>
      </c>
      <c r="K64" s="1097">
        <v>13.566000000000003</v>
      </c>
      <c r="L64" s="1097">
        <v>13.566000000000003</v>
      </c>
      <c r="M64" s="1097">
        <v>13.566000000000003</v>
      </c>
      <c r="N64" s="1097">
        <v>13.566000000000003</v>
      </c>
      <c r="O64" s="1097">
        <v>13.566000000000003</v>
      </c>
      <c r="P64" s="1097">
        <v>13.566000000000003</v>
      </c>
      <c r="Q64" s="1097">
        <v>13.566000000000003</v>
      </c>
      <c r="R64" s="1097">
        <v>13.566000000000003</v>
      </c>
      <c r="S64" s="1097">
        <v>13.566000000000003</v>
      </c>
      <c r="T64" s="1097">
        <v>13.566000000000003</v>
      </c>
      <c r="U64" s="1097">
        <v>13.566000000000003</v>
      </c>
      <c r="V64" s="1097">
        <v>13.566000000000003</v>
      </c>
      <c r="W64" s="1097">
        <v>13.566000000000003</v>
      </c>
      <c r="X64" s="1097">
        <v>13.566000000000003</v>
      </c>
      <c r="Y64" s="1097">
        <v>13.566000000000003</v>
      </c>
      <c r="Z64" s="1097">
        <v>13.566000000000003</v>
      </c>
      <c r="AA64" s="1097">
        <v>13.566000000000003</v>
      </c>
      <c r="AB64" s="1098">
        <v>13.566000000000003</v>
      </c>
      <c r="AD64" s="1100">
        <f t="shared" si="27"/>
        <v>0</v>
      </c>
      <c r="AE64" s="1101">
        <f t="shared" si="28"/>
        <v>0</v>
      </c>
      <c r="AF64" s="1101">
        <f t="shared" si="29"/>
        <v>0</v>
      </c>
      <c r="AG64" s="1101">
        <f t="shared" si="30"/>
        <v>7.1968343797872256</v>
      </c>
      <c r="AH64" s="1101">
        <f t="shared" si="31"/>
        <v>16.792613552836862</v>
      </c>
      <c r="AI64" s="1101">
        <f t="shared" si="32"/>
        <v>16.792613552836862</v>
      </c>
      <c r="AJ64" s="1101">
        <f t="shared" si="33"/>
        <v>16.792613552836862</v>
      </c>
      <c r="AK64" s="1101">
        <f t="shared" si="34"/>
        <v>16.792613552836862</v>
      </c>
      <c r="AL64" s="1101">
        <f t="shared" si="35"/>
        <v>16.792613552836862</v>
      </c>
      <c r="AM64" s="1101">
        <f t="shared" si="36"/>
        <v>16.792613552836862</v>
      </c>
      <c r="AN64" s="1101">
        <f t="shared" si="37"/>
        <v>16.792613552836862</v>
      </c>
      <c r="AO64" s="1101">
        <f t="shared" si="38"/>
        <v>16.792613552836862</v>
      </c>
      <c r="AP64" s="1101">
        <f t="shared" si="39"/>
        <v>16.792613552836862</v>
      </c>
      <c r="AQ64" s="1101">
        <f t="shared" si="40"/>
        <v>16.792613552836862</v>
      </c>
      <c r="AR64" s="1101">
        <f t="shared" si="41"/>
        <v>16.792613552836862</v>
      </c>
      <c r="AS64" s="1101">
        <f t="shared" si="42"/>
        <v>16.792613552836862</v>
      </c>
      <c r="AT64" s="1101">
        <f t="shared" si="43"/>
        <v>16.792613552836862</v>
      </c>
      <c r="AU64" s="1101">
        <f t="shared" si="44"/>
        <v>16.792613552836862</v>
      </c>
      <c r="AV64" s="1101">
        <f t="shared" si="45"/>
        <v>16.792613552836862</v>
      </c>
      <c r="AW64" s="1101">
        <f t="shared" si="46"/>
        <v>16.792613552836862</v>
      </c>
      <c r="AX64" s="1101">
        <f t="shared" si="47"/>
        <v>16.792613552836862</v>
      </c>
      <c r="AY64" s="1101">
        <f t="shared" si="48"/>
        <v>16.792613552836862</v>
      </c>
      <c r="AZ64" s="1101">
        <f t="shared" si="49"/>
        <v>16.792613552836862</v>
      </c>
      <c r="BA64" s="1101">
        <f t="shared" si="50"/>
        <v>16.792613552836862</v>
      </c>
      <c r="BB64" s="1102">
        <f t="shared" si="51"/>
        <v>16.792613552836862</v>
      </c>
      <c r="BC64" s="1103"/>
    </row>
    <row r="65" spans="2:55" s="1099" customFormat="1" ht="15">
      <c r="B65" s="1074">
        <v>2035</v>
      </c>
      <c r="C65" s="1404" t="s">
        <v>864</v>
      </c>
      <c r="D65" s="1097">
        <v>0</v>
      </c>
      <c r="E65" s="1097">
        <v>0</v>
      </c>
      <c r="F65" s="1097">
        <v>0</v>
      </c>
      <c r="G65" s="1097">
        <v>0</v>
      </c>
      <c r="H65" s="1097">
        <v>4.13</v>
      </c>
      <c r="I65" s="1097">
        <v>4.13</v>
      </c>
      <c r="J65" s="1097">
        <v>4.13</v>
      </c>
      <c r="K65" s="1097">
        <v>4.13</v>
      </c>
      <c r="L65" s="1097">
        <v>4.13</v>
      </c>
      <c r="M65" s="1097">
        <v>4.13</v>
      </c>
      <c r="N65" s="1097">
        <v>4.13</v>
      </c>
      <c r="O65" s="1097">
        <v>4.13</v>
      </c>
      <c r="P65" s="1097">
        <v>4.13</v>
      </c>
      <c r="Q65" s="1097">
        <v>4.13</v>
      </c>
      <c r="R65" s="1097">
        <v>4.13</v>
      </c>
      <c r="S65" s="1097">
        <v>4.13</v>
      </c>
      <c r="T65" s="1097">
        <v>4.13</v>
      </c>
      <c r="U65" s="1097">
        <v>4.13</v>
      </c>
      <c r="V65" s="1097">
        <v>4.13</v>
      </c>
      <c r="W65" s="1097">
        <v>4.13</v>
      </c>
      <c r="X65" s="1097">
        <v>4.13</v>
      </c>
      <c r="Y65" s="1097">
        <v>4.13</v>
      </c>
      <c r="Z65" s="1097">
        <v>4.13</v>
      </c>
      <c r="AA65" s="1097">
        <v>4.13</v>
      </c>
      <c r="AB65" s="1098">
        <v>4.13</v>
      </c>
      <c r="AD65" s="1100">
        <f t="shared" si="27"/>
        <v>0</v>
      </c>
      <c r="AE65" s="1101">
        <f t="shared" si="28"/>
        <v>0</v>
      </c>
      <c r="AF65" s="1101">
        <f t="shared" si="29"/>
        <v>0</v>
      </c>
      <c r="AG65" s="1101">
        <f t="shared" si="30"/>
        <v>0</v>
      </c>
      <c r="AH65" s="1101">
        <f t="shared" si="31"/>
        <v>5.1123023716066811</v>
      </c>
      <c r="AI65" s="1101">
        <f t="shared" si="32"/>
        <v>5.1123023716066811</v>
      </c>
      <c r="AJ65" s="1101">
        <f t="shared" si="33"/>
        <v>5.1123023716066811</v>
      </c>
      <c r="AK65" s="1101">
        <f t="shared" si="34"/>
        <v>5.1123023716066811</v>
      </c>
      <c r="AL65" s="1101">
        <f t="shared" si="35"/>
        <v>5.1123023716066811</v>
      </c>
      <c r="AM65" s="1101">
        <f t="shared" si="36"/>
        <v>5.1123023716066811</v>
      </c>
      <c r="AN65" s="1101">
        <f t="shared" si="37"/>
        <v>5.1123023716066811</v>
      </c>
      <c r="AO65" s="1101">
        <f t="shared" si="38"/>
        <v>5.1123023716066811</v>
      </c>
      <c r="AP65" s="1101">
        <f t="shared" si="39"/>
        <v>5.1123023716066811</v>
      </c>
      <c r="AQ65" s="1101">
        <f t="shared" si="40"/>
        <v>5.1123023716066811</v>
      </c>
      <c r="AR65" s="1101">
        <f t="shared" si="41"/>
        <v>5.1123023716066811</v>
      </c>
      <c r="AS65" s="1101">
        <f t="shared" si="42"/>
        <v>5.1123023716066811</v>
      </c>
      <c r="AT65" s="1101">
        <f t="shared" si="43"/>
        <v>5.1123023716066811</v>
      </c>
      <c r="AU65" s="1101">
        <f t="shared" si="44"/>
        <v>5.1123023716066811</v>
      </c>
      <c r="AV65" s="1101">
        <f t="shared" si="45"/>
        <v>5.1123023716066811</v>
      </c>
      <c r="AW65" s="1101">
        <f t="shared" si="46"/>
        <v>5.1123023716066811</v>
      </c>
      <c r="AX65" s="1101">
        <f t="shared" si="47"/>
        <v>5.1123023716066811</v>
      </c>
      <c r="AY65" s="1101">
        <f t="shared" si="48"/>
        <v>5.1123023716066811</v>
      </c>
      <c r="AZ65" s="1101">
        <f t="shared" si="49"/>
        <v>5.1123023716066811</v>
      </c>
      <c r="BA65" s="1101">
        <f t="shared" si="50"/>
        <v>5.1123023716066811</v>
      </c>
      <c r="BB65" s="1102">
        <f t="shared" si="51"/>
        <v>5.1123023716066811</v>
      </c>
      <c r="BC65" s="1103"/>
    </row>
    <row r="66" spans="2:55" s="1099" customFormat="1" ht="15">
      <c r="B66" s="1074">
        <v>2036</v>
      </c>
      <c r="C66" s="1404" t="s">
        <v>865</v>
      </c>
      <c r="D66" s="1097">
        <v>0</v>
      </c>
      <c r="E66" s="1097">
        <v>0</v>
      </c>
      <c r="F66" s="1097">
        <v>0</v>
      </c>
      <c r="G66" s="1097">
        <v>0</v>
      </c>
      <c r="H66" s="1097">
        <v>0</v>
      </c>
      <c r="I66" s="1097">
        <v>0</v>
      </c>
      <c r="J66" s="1097">
        <v>0</v>
      </c>
      <c r="K66" s="1097">
        <v>0</v>
      </c>
      <c r="L66" s="1097">
        <v>0</v>
      </c>
      <c r="M66" s="1097">
        <v>0</v>
      </c>
      <c r="N66" s="1097">
        <v>0</v>
      </c>
      <c r="O66" s="1097">
        <v>0</v>
      </c>
      <c r="P66" s="1097">
        <v>0</v>
      </c>
      <c r="Q66" s="1097">
        <v>0</v>
      </c>
      <c r="R66" s="1097">
        <v>0</v>
      </c>
      <c r="S66" s="1097">
        <v>0</v>
      </c>
      <c r="T66" s="1097">
        <v>0</v>
      </c>
      <c r="U66" s="1097">
        <v>0</v>
      </c>
      <c r="V66" s="1097">
        <v>0</v>
      </c>
      <c r="W66" s="1097">
        <v>0</v>
      </c>
      <c r="X66" s="1097">
        <v>0</v>
      </c>
      <c r="Y66" s="1097">
        <v>0</v>
      </c>
      <c r="Z66" s="1097">
        <v>0</v>
      </c>
      <c r="AA66" s="1097">
        <v>0</v>
      </c>
      <c r="AB66" s="1098">
        <v>0</v>
      </c>
      <c r="AD66" s="1100">
        <f t="shared" si="27"/>
        <v>0</v>
      </c>
      <c r="AE66" s="1101">
        <f t="shared" si="28"/>
        <v>0</v>
      </c>
      <c r="AF66" s="1101">
        <f t="shared" si="29"/>
        <v>0</v>
      </c>
      <c r="AG66" s="1101">
        <f t="shared" si="30"/>
        <v>0</v>
      </c>
      <c r="AH66" s="1101">
        <f t="shared" si="31"/>
        <v>0</v>
      </c>
      <c r="AI66" s="1101">
        <f t="shared" si="32"/>
        <v>0</v>
      </c>
      <c r="AJ66" s="1101">
        <f t="shared" si="33"/>
        <v>0</v>
      </c>
      <c r="AK66" s="1101">
        <f t="shared" si="34"/>
        <v>0</v>
      </c>
      <c r="AL66" s="1101">
        <f t="shared" si="35"/>
        <v>0</v>
      </c>
      <c r="AM66" s="1101">
        <f t="shared" si="36"/>
        <v>0</v>
      </c>
      <c r="AN66" s="1101">
        <f t="shared" si="37"/>
        <v>0</v>
      </c>
      <c r="AO66" s="1101">
        <f t="shared" si="38"/>
        <v>0</v>
      </c>
      <c r="AP66" s="1101">
        <f t="shared" si="39"/>
        <v>0</v>
      </c>
      <c r="AQ66" s="1101">
        <f t="shared" si="40"/>
        <v>0</v>
      </c>
      <c r="AR66" s="1101">
        <f t="shared" si="41"/>
        <v>0</v>
      </c>
      <c r="AS66" s="1101">
        <f t="shared" si="42"/>
        <v>0</v>
      </c>
      <c r="AT66" s="1101">
        <f t="shared" si="43"/>
        <v>0</v>
      </c>
      <c r="AU66" s="1101">
        <f t="shared" si="44"/>
        <v>0</v>
      </c>
      <c r="AV66" s="1101">
        <f t="shared" si="45"/>
        <v>0</v>
      </c>
      <c r="AW66" s="1101">
        <f t="shared" si="46"/>
        <v>0</v>
      </c>
      <c r="AX66" s="1101">
        <f t="shared" si="47"/>
        <v>0</v>
      </c>
      <c r="AY66" s="1101">
        <f t="shared" si="48"/>
        <v>0</v>
      </c>
      <c r="AZ66" s="1101">
        <f t="shared" si="49"/>
        <v>0</v>
      </c>
      <c r="BA66" s="1101">
        <f t="shared" si="50"/>
        <v>0</v>
      </c>
      <c r="BB66" s="1102">
        <f t="shared" si="51"/>
        <v>0</v>
      </c>
      <c r="BC66" s="1103"/>
    </row>
    <row r="67" spans="2:55" s="1099" customFormat="1" ht="15">
      <c r="B67" s="1074">
        <v>2037</v>
      </c>
      <c r="C67" s="1404" t="s">
        <v>866</v>
      </c>
      <c r="D67" s="1097">
        <v>0</v>
      </c>
      <c r="E67" s="1097">
        <v>0</v>
      </c>
      <c r="F67" s="1097">
        <v>0</v>
      </c>
      <c r="G67" s="1097">
        <v>0</v>
      </c>
      <c r="H67" s="1097">
        <v>0</v>
      </c>
      <c r="I67" s="1097">
        <v>0</v>
      </c>
      <c r="J67" s="1097">
        <v>0</v>
      </c>
      <c r="K67" s="1097">
        <v>0</v>
      </c>
      <c r="L67" s="1097">
        <v>0</v>
      </c>
      <c r="M67" s="1097">
        <v>0</v>
      </c>
      <c r="N67" s="1097">
        <v>0</v>
      </c>
      <c r="O67" s="1097">
        <v>0</v>
      </c>
      <c r="P67" s="1097">
        <v>0</v>
      </c>
      <c r="Q67" s="1097">
        <v>0</v>
      </c>
      <c r="R67" s="1097">
        <v>0</v>
      </c>
      <c r="S67" s="1097">
        <v>0</v>
      </c>
      <c r="T67" s="1097">
        <v>0</v>
      </c>
      <c r="U67" s="1097">
        <v>0</v>
      </c>
      <c r="V67" s="1097">
        <v>0</v>
      </c>
      <c r="W67" s="1097">
        <v>0</v>
      </c>
      <c r="X67" s="1097">
        <v>0</v>
      </c>
      <c r="Y67" s="1097">
        <v>0</v>
      </c>
      <c r="Z67" s="1097">
        <v>0</v>
      </c>
      <c r="AA67" s="1097">
        <v>0</v>
      </c>
      <c r="AB67" s="1098">
        <v>0</v>
      </c>
      <c r="AD67" s="1100">
        <f t="shared" si="27"/>
        <v>0</v>
      </c>
      <c r="AE67" s="1101">
        <f t="shared" si="28"/>
        <v>0</v>
      </c>
      <c r="AF67" s="1101">
        <f t="shared" si="29"/>
        <v>0</v>
      </c>
      <c r="AG67" s="1101">
        <f t="shared" si="30"/>
        <v>0</v>
      </c>
      <c r="AH67" s="1101">
        <f t="shared" si="31"/>
        <v>0</v>
      </c>
      <c r="AI67" s="1101">
        <f t="shared" si="32"/>
        <v>0</v>
      </c>
      <c r="AJ67" s="1101">
        <f t="shared" si="33"/>
        <v>0</v>
      </c>
      <c r="AK67" s="1101">
        <f t="shared" si="34"/>
        <v>0</v>
      </c>
      <c r="AL67" s="1101">
        <f t="shared" si="35"/>
        <v>0</v>
      </c>
      <c r="AM67" s="1101">
        <f t="shared" si="36"/>
        <v>0</v>
      </c>
      <c r="AN67" s="1101">
        <f t="shared" si="37"/>
        <v>0</v>
      </c>
      <c r="AO67" s="1101">
        <f t="shared" si="38"/>
        <v>0</v>
      </c>
      <c r="AP67" s="1101">
        <f t="shared" si="39"/>
        <v>0</v>
      </c>
      <c r="AQ67" s="1101">
        <f t="shared" si="40"/>
        <v>0</v>
      </c>
      <c r="AR67" s="1101">
        <f t="shared" si="41"/>
        <v>0</v>
      </c>
      <c r="AS67" s="1101">
        <f t="shared" si="42"/>
        <v>0</v>
      </c>
      <c r="AT67" s="1101">
        <f t="shared" si="43"/>
        <v>0</v>
      </c>
      <c r="AU67" s="1101">
        <f t="shared" si="44"/>
        <v>0</v>
      </c>
      <c r="AV67" s="1101">
        <f t="shared" si="45"/>
        <v>0</v>
      </c>
      <c r="AW67" s="1101">
        <f t="shared" si="46"/>
        <v>0</v>
      </c>
      <c r="AX67" s="1101">
        <f t="shared" si="47"/>
        <v>0</v>
      </c>
      <c r="AY67" s="1101">
        <f t="shared" si="48"/>
        <v>0</v>
      </c>
      <c r="AZ67" s="1101">
        <f t="shared" si="49"/>
        <v>0</v>
      </c>
      <c r="BA67" s="1101">
        <f t="shared" si="50"/>
        <v>0</v>
      </c>
      <c r="BB67" s="1102">
        <f t="shared" si="51"/>
        <v>0</v>
      </c>
      <c r="BC67" s="1103"/>
    </row>
    <row r="68" spans="2:55" s="1099" customFormat="1" ht="15">
      <c r="B68" s="1074">
        <v>2038</v>
      </c>
      <c r="C68" s="1404" t="s">
        <v>867</v>
      </c>
      <c r="D68" s="1097">
        <v>0</v>
      </c>
      <c r="E68" s="1097">
        <v>0</v>
      </c>
      <c r="F68" s="1097">
        <v>0</v>
      </c>
      <c r="G68" s="1097">
        <v>0</v>
      </c>
      <c r="H68" s="1097">
        <v>0</v>
      </c>
      <c r="I68" s="1097">
        <v>0</v>
      </c>
      <c r="J68" s="1097">
        <v>0</v>
      </c>
      <c r="K68" s="1097">
        <v>0</v>
      </c>
      <c r="L68" s="1097">
        <v>0</v>
      </c>
      <c r="M68" s="1097">
        <v>0</v>
      </c>
      <c r="N68" s="1097">
        <v>0</v>
      </c>
      <c r="O68" s="1097">
        <v>0</v>
      </c>
      <c r="P68" s="1097">
        <v>0</v>
      </c>
      <c r="Q68" s="1097">
        <v>0</v>
      </c>
      <c r="R68" s="1097">
        <v>0</v>
      </c>
      <c r="S68" s="1097">
        <v>0</v>
      </c>
      <c r="T68" s="1097">
        <v>0</v>
      </c>
      <c r="U68" s="1097">
        <v>0</v>
      </c>
      <c r="V68" s="1097">
        <v>0</v>
      </c>
      <c r="W68" s="1097">
        <v>0</v>
      </c>
      <c r="X68" s="1097">
        <v>0</v>
      </c>
      <c r="Y68" s="1097">
        <v>0</v>
      </c>
      <c r="Z68" s="1097">
        <v>0</v>
      </c>
      <c r="AA68" s="1097">
        <v>0</v>
      </c>
      <c r="AB68" s="1098">
        <v>0</v>
      </c>
      <c r="AD68" s="1100">
        <f t="shared" si="27"/>
        <v>0</v>
      </c>
      <c r="AE68" s="1101">
        <f t="shared" si="28"/>
        <v>0</v>
      </c>
      <c r="AF68" s="1101">
        <f t="shared" si="29"/>
        <v>0</v>
      </c>
      <c r="AG68" s="1101">
        <f t="shared" si="30"/>
        <v>0</v>
      </c>
      <c r="AH68" s="1101">
        <f t="shared" si="31"/>
        <v>0</v>
      </c>
      <c r="AI68" s="1101">
        <f t="shared" si="32"/>
        <v>0</v>
      </c>
      <c r="AJ68" s="1101">
        <f t="shared" si="33"/>
        <v>0</v>
      </c>
      <c r="AK68" s="1101">
        <f t="shared" si="34"/>
        <v>0</v>
      </c>
      <c r="AL68" s="1101">
        <f t="shared" si="35"/>
        <v>0</v>
      </c>
      <c r="AM68" s="1101">
        <f t="shared" si="36"/>
        <v>0</v>
      </c>
      <c r="AN68" s="1101">
        <f t="shared" si="37"/>
        <v>0</v>
      </c>
      <c r="AO68" s="1101">
        <f t="shared" si="38"/>
        <v>0</v>
      </c>
      <c r="AP68" s="1101">
        <f t="shared" si="39"/>
        <v>0</v>
      </c>
      <c r="AQ68" s="1101">
        <f t="shared" si="40"/>
        <v>0</v>
      </c>
      <c r="AR68" s="1101">
        <f t="shared" si="41"/>
        <v>0</v>
      </c>
      <c r="AS68" s="1101">
        <f t="shared" si="42"/>
        <v>0</v>
      </c>
      <c r="AT68" s="1101">
        <f t="shared" si="43"/>
        <v>0</v>
      </c>
      <c r="AU68" s="1101">
        <f t="shared" si="44"/>
        <v>0</v>
      </c>
      <c r="AV68" s="1101">
        <f t="shared" si="45"/>
        <v>0</v>
      </c>
      <c r="AW68" s="1101">
        <f t="shared" si="46"/>
        <v>0</v>
      </c>
      <c r="AX68" s="1101">
        <f t="shared" si="47"/>
        <v>0</v>
      </c>
      <c r="AY68" s="1101">
        <f t="shared" si="48"/>
        <v>0</v>
      </c>
      <c r="AZ68" s="1101">
        <f t="shared" si="49"/>
        <v>0</v>
      </c>
      <c r="BA68" s="1101">
        <f t="shared" si="50"/>
        <v>0</v>
      </c>
      <c r="BB68" s="1102">
        <f t="shared" si="51"/>
        <v>0</v>
      </c>
      <c r="BC68" s="1103"/>
    </row>
    <row r="69" spans="2:55" s="1099" customFormat="1" ht="15">
      <c r="B69" s="1074">
        <v>2039</v>
      </c>
      <c r="C69" s="1404" t="s">
        <v>868</v>
      </c>
      <c r="D69" s="1097">
        <v>0</v>
      </c>
      <c r="E69" s="1097">
        <v>0</v>
      </c>
      <c r="F69" s="1097">
        <v>0</v>
      </c>
      <c r="G69" s="1097">
        <v>0</v>
      </c>
      <c r="H69" s="1097">
        <v>0</v>
      </c>
      <c r="I69" s="1097">
        <v>0</v>
      </c>
      <c r="J69" s="1097">
        <v>0</v>
      </c>
      <c r="K69" s="1097">
        <v>0</v>
      </c>
      <c r="L69" s="1097">
        <v>0</v>
      </c>
      <c r="M69" s="1097">
        <v>0</v>
      </c>
      <c r="N69" s="1097">
        <v>0</v>
      </c>
      <c r="O69" s="1097">
        <v>0</v>
      </c>
      <c r="P69" s="1097">
        <v>0</v>
      </c>
      <c r="Q69" s="1097">
        <v>0</v>
      </c>
      <c r="R69" s="1097">
        <v>0</v>
      </c>
      <c r="S69" s="1097">
        <v>0</v>
      </c>
      <c r="T69" s="1097">
        <v>0</v>
      </c>
      <c r="U69" s="1097">
        <v>0</v>
      </c>
      <c r="V69" s="1097">
        <v>0</v>
      </c>
      <c r="W69" s="1097">
        <v>0</v>
      </c>
      <c r="X69" s="1097">
        <v>0</v>
      </c>
      <c r="Y69" s="1097">
        <v>0</v>
      </c>
      <c r="Z69" s="1097">
        <v>0</v>
      </c>
      <c r="AA69" s="1097">
        <v>0</v>
      </c>
      <c r="AB69" s="1098">
        <v>0</v>
      </c>
      <c r="AD69" s="1100">
        <f t="shared" si="27"/>
        <v>0</v>
      </c>
      <c r="AE69" s="1101">
        <f t="shared" si="28"/>
        <v>0</v>
      </c>
      <c r="AF69" s="1101">
        <f t="shared" si="29"/>
        <v>0</v>
      </c>
      <c r="AG69" s="1101">
        <f t="shared" si="30"/>
        <v>0</v>
      </c>
      <c r="AH69" s="1101">
        <f t="shared" si="31"/>
        <v>0</v>
      </c>
      <c r="AI69" s="1101">
        <f t="shared" si="32"/>
        <v>0</v>
      </c>
      <c r="AJ69" s="1101">
        <f t="shared" si="33"/>
        <v>0</v>
      </c>
      <c r="AK69" s="1101">
        <f t="shared" si="34"/>
        <v>0</v>
      </c>
      <c r="AL69" s="1101">
        <f t="shared" si="35"/>
        <v>0</v>
      </c>
      <c r="AM69" s="1101">
        <f t="shared" si="36"/>
        <v>0</v>
      </c>
      <c r="AN69" s="1101">
        <f t="shared" si="37"/>
        <v>0</v>
      </c>
      <c r="AO69" s="1101">
        <f t="shared" si="38"/>
        <v>0</v>
      </c>
      <c r="AP69" s="1101">
        <f t="shared" si="39"/>
        <v>0</v>
      </c>
      <c r="AQ69" s="1101">
        <f t="shared" si="40"/>
        <v>0</v>
      </c>
      <c r="AR69" s="1101">
        <f t="shared" si="41"/>
        <v>0</v>
      </c>
      <c r="AS69" s="1101">
        <f t="shared" si="42"/>
        <v>0</v>
      </c>
      <c r="AT69" s="1101">
        <f t="shared" si="43"/>
        <v>0</v>
      </c>
      <c r="AU69" s="1101">
        <f t="shared" si="44"/>
        <v>0</v>
      </c>
      <c r="AV69" s="1101">
        <f t="shared" si="45"/>
        <v>0</v>
      </c>
      <c r="AW69" s="1101">
        <f t="shared" si="46"/>
        <v>0</v>
      </c>
      <c r="AX69" s="1101">
        <f t="shared" si="47"/>
        <v>0</v>
      </c>
      <c r="AY69" s="1101">
        <f t="shared" si="48"/>
        <v>0</v>
      </c>
      <c r="AZ69" s="1101">
        <f t="shared" si="49"/>
        <v>0</v>
      </c>
      <c r="BA69" s="1101">
        <f t="shared" si="50"/>
        <v>0</v>
      </c>
      <c r="BB69" s="1102">
        <f t="shared" si="51"/>
        <v>0</v>
      </c>
      <c r="BC69" s="1103"/>
    </row>
    <row r="70" spans="2:55" s="1099" customFormat="1" ht="15">
      <c r="B70" s="1074">
        <v>2040</v>
      </c>
      <c r="C70" s="1404" t="s">
        <v>869</v>
      </c>
      <c r="D70" s="1097">
        <v>0</v>
      </c>
      <c r="E70" s="1097">
        <v>0</v>
      </c>
      <c r="F70" s="1097">
        <v>0</v>
      </c>
      <c r="G70" s="1097">
        <v>0</v>
      </c>
      <c r="H70" s="1097">
        <v>0</v>
      </c>
      <c r="I70" s="1097">
        <v>0</v>
      </c>
      <c r="J70" s="1097">
        <v>0</v>
      </c>
      <c r="K70" s="1097">
        <v>0</v>
      </c>
      <c r="L70" s="1097">
        <v>0</v>
      </c>
      <c r="M70" s="1097">
        <v>0</v>
      </c>
      <c r="N70" s="1097">
        <v>0</v>
      </c>
      <c r="O70" s="1097">
        <v>0</v>
      </c>
      <c r="P70" s="1097">
        <v>0</v>
      </c>
      <c r="Q70" s="1097">
        <v>0</v>
      </c>
      <c r="R70" s="1097">
        <v>0</v>
      </c>
      <c r="S70" s="1097">
        <v>0</v>
      </c>
      <c r="T70" s="1097">
        <v>0</v>
      </c>
      <c r="U70" s="1097">
        <v>0</v>
      </c>
      <c r="V70" s="1097">
        <v>0</v>
      </c>
      <c r="W70" s="1097">
        <v>0</v>
      </c>
      <c r="X70" s="1097">
        <v>0</v>
      </c>
      <c r="Y70" s="1097">
        <v>0</v>
      </c>
      <c r="Z70" s="1097">
        <v>0</v>
      </c>
      <c r="AA70" s="1097">
        <v>0</v>
      </c>
      <c r="AB70" s="1098">
        <v>0</v>
      </c>
      <c r="AD70" s="1100">
        <f t="shared" si="27"/>
        <v>0</v>
      </c>
      <c r="AE70" s="1101">
        <f t="shared" si="28"/>
        <v>0</v>
      </c>
      <c r="AF70" s="1101">
        <f t="shared" si="29"/>
        <v>0</v>
      </c>
      <c r="AG70" s="1101">
        <f t="shared" si="30"/>
        <v>0</v>
      </c>
      <c r="AH70" s="1101">
        <f t="shared" si="31"/>
        <v>0</v>
      </c>
      <c r="AI70" s="1101">
        <f t="shared" si="32"/>
        <v>0</v>
      </c>
      <c r="AJ70" s="1101">
        <f t="shared" si="33"/>
        <v>0</v>
      </c>
      <c r="AK70" s="1101">
        <f t="shared" si="34"/>
        <v>0</v>
      </c>
      <c r="AL70" s="1101">
        <f t="shared" si="35"/>
        <v>0</v>
      </c>
      <c r="AM70" s="1101">
        <f t="shared" si="36"/>
        <v>0</v>
      </c>
      <c r="AN70" s="1101">
        <f t="shared" si="37"/>
        <v>0</v>
      </c>
      <c r="AO70" s="1101">
        <f t="shared" si="38"/>
        <v>0</v>
      </c>
      <c r="AP70" s="1101">
        <f t="shared" si="39"/>
        <v>0</v>
      </c>
      <c r="AQ70" s="1101">
        <f t="shared" si="40"/>
        <v>0</v>
      </c>
      <c r="AR70" s="1101">
        <f t="shared" si="41"/>
        <v>0</v>
      </c>
      <c r="AS70" s="1101">
        <f t="shared" si="42"/>
        <v>0</v>
      </c>
      <c r="AT70" s="1101">
        <f t="shared" si="43"/>
        <v>0</v>
      </c>
      <c r="AU70" s="1101">
        <f t="shared" si="44"/>
        <v>0</v>
      </c>
      <c r="AV70" s="1101">
        <f t="shared" si="45"/>
        <v>0</v>
      </c>
      <c r="AW70" s="1101">
        <f t="shared" si="46"/>
        <v>0</v>
      </c>
      <c r="AX70" s="1101">
        <f t="shared" si="47"/>
        <v>0</v>
      </c>
      <c r="AY70" s="1101">
        <f t="shared" si="48"/>
        <v>0</v>
      </c>
      <c r="AZ70" s="1101">
        <f t="shared" si="49"/>
        <v>0</v>
      </c>
      <c r="BA70" s="1101">
        <f t="shared" si="50"/>
        <v>0</v>
      </c>
      <c r="BB70" s="1102">
        <f t="shared" si="51"/>
        <v>0</v>
      </c>
      <c r="BC70" s="1103"/>
    </row>
    <row r="71" spans="2:55" s="1099" customFormat="1" ht="15">
      <c r="B71" s="1074">
        <v>2041</v>
      </c>
      <c r="C71" s="1404" t="s">
        <v>870</v>
      </c>
      <c r="D71" s="1097">
        <v>0</v>
      </c>
      <c r="E71" s="1097">
        <v>0</v>
      </c>
      <c r="F71" s="1097">
        <v>0</v>
      </c>
      <c r="G71" s="1097">
        <v>0</v>
      </c>
      <c r="H71" s="1097">
        <v>0</v>
      </c>
      <c r="I71" s="1097">
        <v>0</v>
      </c>
      <c r="J71" s="1097">
        <v>0</v>
      </c>
      <c r="K71" s="1097">
        <v>0</v>
      </c>
      <c r="L71" s="1097">
        <v>0</v>
      </c>
      <c r="M71" s="1097">
        <v>0</v>
      </c>
      <c r="N71" s="1097">
        <v>0</v>
      </c>
      <c r="O71" s="1097">
        <v>0</v>
      </c>
      <c r="P71" s="1097">
        <v>0</v>
      </c>
      <c r="Q71" s="1097">
        <v>0</v>
      </c>
      <c r="R71" s="1097">
        <v>0</v>
      </c>
      <c r="S71" s="1097">
        <v>0</v>
      </c>
      <c r="T71" s="1097">
        <v>0</v>
      </c>
      <c r="U71" s="1097">
        <v>0</v>
      </c>
      <c r="V71" s="1097">
        <v>0</v>
      </c>
      <c r="W71" s="1097">
        <v>0</v>
      </c>
      <c r="X71" s="1097">
        <v>0</v>
      </c>
      <c r="Y71" s="1097">
        <v>0</v>
      </c>
      <c r="Z71" s="1097">
        <v>0</v>
      </c>
      <c r="AA71" s="1097">
        <v>0</v>
      </c>
      <c r="AB71" s="1098">
        <v>0</v>
      </c>
      <c r="AD71" s="1100">
        <f t="shared" si="27"/>
        <v>0</v>
      </c>
      <c r="AE71" s="1101">
        <f t="shared" si="28"/>
        <v>0</v>
      </c>
      <c r="AF71" s="1101">
        <f t="shared" si="29"/>
        <v>0</v>
      </c>
      <c r="AG71" s="1101">
        <f t="shared" si="30"/>
        <v>0</v>
      </c>
      <c r="AH71" s="1101">
        <f t="shared" si="31"/>
        <v>0</v>
      </c>
      <c r="AI71" s="1101">
        <f t="shared" si="32"/>
        <v>0</v>
      </c>
      <c r="AJ71" s="1101">
        <f t="shared" si="33"/>
        <v>0</v>
      </c>
      <c r="AK71" s="1101">
        <f t="shared" si="34"/>
        <v>0</v>
      </c>
      <c r="AL71" s="1101">
        <f t="shared" si="35"/>
        <v>0</v>
      </c>
      <c r="AM71" s="1101">
        <f t="shared" si="36"/>
        <v>0</v>
      </c>
      <c r="AN71" s="1101">
        <f t="shared" si="37"/>
        <v>0</v>
      </c>
      <c r="AO71" s="1101">
        <f t="shared" si="38"/>
        <v>0</v>
      </c>
      <c r="AP71" s="1101">
        <f t="shared" si="39"/>
        <v>0</v>
      </c>
      <c r="AQ71" s="1101">
        <f t="shared" si="40"/>
        <v>0</v>
      </c>
      <c r="AR71" s="1101">
        <f t="shared" si="41"/>
        <v>0</v>
      </c>
      <c r="AS71" s="1101">
        <f t="shared" si="42"/>
        <v>0</v>
      </c>
      <c r="AT71" s="1101">
        <f t="shared" si="43"/>
        <v>0</v>
      </c>
      <c r="AU71" s="1101">
        <f t="shared" si="44"/>
        <v>0</v>
      </c>
      <c r="AV71" s="1101">
        <f t="shared" si="45"/>
        <v>0</v>
      </c>
      <c r="AW71" s="1101">
        <f t="shared" si="46"/>
        <v>0</v>
      </c>
      <c r="AX71" s="1101">
        <f t="shared" si="47"/>
        <v>0</v>
      </c>
      <c r="AY71" s="1101">
        <f t="shared" si="48"/>
        <v>0</v>
      </c>
      <c r="AZ71" s="1101">
        <f t="shared" si="49"/>
        <v>0</v>
      </c>
      <c r="BA71" s="1101">
        <f t="shared" si="50"/>
        <v>0</v>
      </c>
      <c r="BB71" s="1102">
        <f t="shared" si="51"/>
        <v>0</v>
      </c>
      <c r="BC71" s="1103"/>
    </row>
    <row r="72" spans="2:55" s="1099" customFormat="1" ht="15">
      <c r="B72" s="1074">
        <v>2042</v>
      </c>
      <c r="C72" s="1404" t="s">
        <v>871</v>
      </c>
      <c r="D72" s="1097">
        <v>0</v>
      </c>
      <c r="E72" s="1097">
        <v>0</v>
      </c>
      <c r="F72" s="1097">
        <v>0</v>
      </c>
      <c r="G72" s="1097">
        <v>0</v>
      </c>
      <c r="H72" s="1097">
        <v>0</v>
      </c>
      <c r="I72" s="1097">
        <v>0</v>
      </c>
      <c r="J72" s="1097">
        <v>0</v>
      </c>
      <c r="K72" s="1097">
        <v>0</v>
      </c>
      <c r="L72" s="1097">
        <v>0</v>
      </c>
      <c r="M72" s="1097">
        <v>0</v>
      </c>
      <c r="N72" s="1097">
        <v>0</v>
      </c>
      <c r="O72" s="1097">
        <v>0</v>
      </c>
      <c r="P72" s="1097">
        <v>0</v>
      </c>
      <c r="Q72" s="1097">
        <v>0</v>
      </c>
      <c r="R72" s="1097">
        <v>0</v>
      </c>
      <c r="S72" s="1097">
        <v>0</v>
      </c>
      <c r="T72" s="1097">
        <v>0</v>
      </c>
      <c r="U72" s="1097">
        <v>0</v>
      </c>
      <c r="V72" s="1097">
        <v>0</v>
      </c>
      <c r="W72" s="1097">
        <v>0</v>
      </c>
      <c r="X72" s="1097">
        <v>0</v>
      </c>
      <c r="Y72" s="1097">
        <v>0</v>
      </c>
      <c r="Z72" s="1097">
        <v>0</v>
      </c>
      <c r="AA72" s="1097">
        <v>0</v>
      </c>
      <c r="AB72" s="1098">
        <v>0</v>
      </c>
      <c r="AD72" s="1100">
        <f t="shared" si="27"/>
        <v>0</v>
      </c>
      <c r="AE72" s="1101">
        <f t="shared" si="28"/>
        <v>0</v>
      </c>
      <c r="AF72" s="1101">
        <f t="shared" si="29"/>
        <v>0</v>
      </c>
      <c r="AG72" s="1101">
        <f t="shared" si="30"/>
        <v>0</v>
      </c>
      <c r="AH72" s="1101">
        <f t="shared" si="31"/>
        <v>0</v>
      </c>
      <c r="AI72" s="1101">
        <f t="shared" si="32"/>
        <v>0</v>
      </c>
      <c r="AJ72" s="1101">
        <f t="shared" si="33"/>
        <v>0</v>
      </c>
      <c r="AK72" s="1101">
        <f t="shared" si="34"/>
        <v>0</v>
      </c>
      <c r="AL72" s="1101">
        <f t="shared" si="35"/>
        <v>0</v>
      </c>
      <c r="AM72" s="1101">
        <f t="shared" si="36"/>
        <v>0</v>
      </c>
      <c r="AN72" s="1101">
        <f t="shared" si="37"/>
        <v>0</v>
      </c>
      <c r="AO72" s="1101">
        <f t="shared" si="38"/>
        <v>0</v>
      </c>
      <c r="AP72" s="1101">
        <f t="shared" si="39"/>
        <v>0</v>
      </c>
      <c r="AQ72" s="1101">
        <f t="shared" si="40"/>
        <v>0</v>
      </c>
      <c r="AR72" s="1101">
        <f t="shared" si="41"/>
        <v>0</v>
      </c>
      <c r="AS72" s="1101">
        <f t="shared" si="42"/>
        <v>0</v>
      </c>
      <c r="AT72" s="1101">
        <f t="shared" si="43"/>
        <v>0</v>
      </c>
      <c r="AU72" s="1101">
        <f t="shared" si="44"/>
        <v>0</v>
      </c>
      <c r="AV72" s="1101">
        <f t="shared" si="45"/>
        <v>0</v>
      </c>
      <c r="AW72" s="1101">
        <f t="shared" si="46"/>
        <v>0</v>
      </c>
      <c r="AX72" s="1101">
        <f t="shared" si="47"/>
        <v>0</v>
      </c>
      <c r="AY72" s="1101">
        <f t="shared" si="48"/>
        <v>0</v>
      </c>
      <c r="AZ72" s="1101">
        <f t="shared" si="49"/>
        <v>0</v>
      </c>
      <c r="BA72" s="1101">
        <f t="shared" si="50"/>
        <v>0</v>
      </c>
      <c r="BB72" s="1102">
        <f t="shared" si="51"/>
        <v>0</v>
      </c>
      <c r="BC72" s="1103"/>
    </row>
    <row r="73" spans="2:55" s="1099" customFormat="1" ht="15">
      <c r="B73" s="1074">
        <v>2043</v>
      </c>
      <c r="C73" s="1404" t="s">
        <v>872</v>
      </c>
      <c r="D73" s="1097">
        <v>0</v>
      </c>
      <c r="E73" s="1097">
        <v>0</v>
      </c>
      <c r="F73" s="1097">
        <v>0</v>
      </c>
      <c r="G73" s="1097">
        <v>0</v>
      </c>
      <c r="H73" s="1097">
        <v>0</v>
      </c>
      <c r="I73" s="1097">
        <v>0</v>
      </c>
      <c r="J73" s="1097">
        <v>0</v>
      </c>
      <c r="K73" s="1097">
        <v>0</v>
      </c>
      <c r="L73" s="1097">
        <v>0</v>
      </c>
      <c r="M73" s="1097">
        <v>0</v>
      </c>
      <c r="N73" s="1097">
        <v>0</v>
      </c>
      <c r="O73" s="1097">
        <v>0</v>
      </c>
      <c r="P73" s="1097">
        <v>0</v>
      </c>
      <c r="Q73" s="1097">
        <v>0</v>
      </c>
      <c r="R73" s="1097">
        <v>0</v>
      </c>
      <c r="S73" s="1097">
        <v>0</v>
      </c>
      <c r="T73" s="1097">
        <v>0</v>
      </c>
      <c r="U73" s="1097">
        <v>0</v>
      </c>
      <c r="V73" s="1097">
        <v>0</v>
      </c>
      <c r="W73" s="1097">
        <v>0</v>
      </c>
      <c r="X73" s="1097">
        <v>0</v>
      </c>
      <c r="Y73" s="1097">
        <v>0</v>
      </c>
      <c r="Z73" s="1097">
        <v>0</v>
      </c>
      <c r="AA73" s="1097">
        <v>0</v>
      </c>
      <c r="AB73" s="1098">
        <v>0</v>
      </c>
      <c r="AD73" s="1100">
        <f t="shared" si="27"/>
        <v>0</v>
      </c>
      <c r="AE73" s="1101">
        <f t="shared" si="28"/>
        <v>0</v>
      </c>
      <c r="AF73" s="1101">
        <f t="shared" si="29"/>
        <v>0</v>
      </c>
      <c r="AG73" s="1101">
        <f t="shared" si="30"/>
        <v>0</v>
      </c>
      <c r="AH73" s="1101">
        <f t="shared" si="31"/>
        <v>0</v>
      </c>
      <c r="AI73" s="1101">
        <f t="shared" si="32"/>
        <v>0</v>
      </c>
      <c r="AJ73" s="1101">
        <f t="shared" si="33"/>
        <v>0</v>
      </c>
      <c r="AK73" s="1101">
        <f t="shared" si="34"/>
        <v>0</v>
      </c>
      <c r="AL73" s="1101">
        <f t="shared" si="35"/>
        <v>0</v>
      </c>
      <c r="AM73" s="1101">
        <f t="shared" si="36"/>
        <v>0</v>
      </c>
      <c r="AN73" s="1101">
        <f t="shared" si="37"/>
        <v>0</v>
      </c>
      <c r="AO73" s="1101">
        <f t="shared" si="38"/>
        <v>0</v>
      </c>
      <c r="AP73" s="1101">
        <f t="shared" si="39"/>
        <v>0</v>
      </c>
      <c r="AQ73" s="1101">
        <f t="shared" si="40"/>
        <v>0</v>
      </c>
      <c r="AR73" s="1101">
        <f t="shared" si="41"/>
        <v>0</v>
      </c>
      <c r="AS73" s="1101">
        <f t="shared" si="42"/>
        <v>0</v>
      </c>
      <c r="AT73" s="1101">
        <f t="shared" si="43"/>
        <v>0</v>
      </c>
      <c r="AU73" s="1101">
        <f t="shared" si="44"/>
        <v>0</v>
      </c>
      <c r="AV73" s="1101">
        <f t="shared" si="45"/>
        <v>0</v>
      </c>
      <c r="AW73" s="1101">
        <f t="shared" si="46"/>
        <v>0</v>
      </c>
      <c r="AX73" s="1101">
        <f t="shared" si="47"/>
        <v>0</v>
      </c>
      <c r="AY73" s="1101">
        <f t="shared" si="48"/>
        <v>0</v>
      </c>
      <c r="AZ73" s="1101">
        <f t="shared" si="49"/>
        <v>0</v>
      </c>
      <c r="BA73" s="1101">
        <f t="shared" si="50"/>
        <v>0</v>
      </c>
      <c r="BB73" s="1102">
        <f t="shared" si="51"/>
        <v>0</v>
      </c>
      <c r="BC73" s="1103"/>
    </row>
    <row r="74" spans="2:55" s="1099" customFormat="1" ht="15">
      <c r="B74" s="1074">
        <v>2044</v>
      </c>
      <c r="C74" s="1404" t="s">
        <v>873</v>
      </c>
      <c r="D74" s="1097">
        <v>0</v>
      </c>
      <c r="E74" s="1097">
        <v>0</v>
      </c>
      <c r="F74" s="1097">
        <v>0</v>
      </c>
      <c r="G74" s="1097">
        <v>0</v>
      </c>
      <c r="H74" s="1097">
        <v>0</v>
      </c>
      <c r="I74" s="1097">
        <v>0</v>
      </c>
      <c r="J74" s="1097">
        <v>0</v>
      </c>
      <c r="K74" s="1097">
        <v>0</v>
      </c>
      <c r="L74" s="1097">
        <v>0</v>
      </c>
      <c r="M74" s="1097">
        <v>0</v>
      </c>
      <c r="N74" s="1097">
        <v>0</v>
      </c>
      <c r="O74" s="1097">
        <v>0</v>
      </c>
      <c r="P74" s="1097">
        <v>0</v>
      </c>
      <c r="Q74" s="1097">
        <v>0</v>
      </c>
      <c r="R74" s="1097">
        <v>0</v>
      </c>
      <c r="S74" s="1097">
        <v>0</v>
      </c>
      <c r="T74" s="1097">
        <v>0</v>
      </c>
      <c r="U74" s="1097">
        <v>0</v>
      </c>
      <c r="V74" s="1097">
        <v>0</v>
      </c>
      <c r="W74" s="1097">
        <v>0</v>
      </c>
      <c r="X74" s="1097">
        <v>0</v>
      </c>
      <c r="Y74" s="1097">
        <v>0</v>
      </c>
      <c r="Z74" s="1097">
        <v>0</v>
      </c>
      <c r="AA74" s="1097">
        <v>0</v>
      </c>
      <c r="AB74" s="1098">
        <v>0</v>
      </c>
      <c r="AD74" s="1100">
        <f t="shared" si="27"/>
        <v>0</v>
      </c>
      <c r="AE74" s="1101">
        <f t="shared" si="28"/>
        <v>0</v>
      </c>
      <c r="AF74" s="1101">
        <f t="shared" si="29"/>
        <v>0</v>
      </c>
      <c r="AG74" s="1101">
        <f t="shared" si="30"/>
        <v>0</v>
      </c>
      <c r="AH74" s="1101">
        <f t="shared" si="31"/>
        <v>0</v>
      </c>
      <c r="AI74" s="1101">
        <f t="shared" si="32"/>
        <v>0</v>
      </c>
      <c r="AJ74" s="1101">
        <f t="shared" si="33"/>
        <v>0</v>
      </c>
      <c r="AK74" s="1101">
        <f t="shared" si="34"/>
        <v>0</v>
      </c>
      <c r="AL74" s="1101">
        <f t="shared" si="35"/>
        <v>0</v>
      </c>
      <c r="AM74" s="1101">
        <f t="shared" si="36"/>
        <v>0</v>
      </c>
      <c r="AN74" s="1101">
        <f t="shared" si="37"/>
        <v>0</v>
      </c>
      <c r="AO74" s="1101">
        <f t="shared" si="38"/>
        <v>0</v>
      </c>
      <c r="AP74" s="1101">
        <f t="shared" si="39"/>
        <v>0</v>
      </c>
      <c r="AQ74" s="1101">
        <f t="shared" si="40"/>
        <v>0</v>
      </c>
      <c r="AR74" s="1101">
        <f t="shared" si="41"/>
        <v>0</v>
      </c>
      <c r="AS74" s="1101">
        <f t="shared" si="42"/>
        <v>0</v>
      </c>
      <c r="AT74" s="1101">
        <f t="shared" si="43"/>
        <v>0</v>
      </c>
      <c r="AU74" s="1101">
        <f t="shared" si="44"/>
        <v>0</v>
      </c>
      <c r="AV74" s="1101">
        <f t="shared" si="45"/>
        <v>0</v>
      </c>
      <c r="AW74" s="1101">
        <f t="shared" si="46"/>
        <v>0</v>
      </c>
      <c r="AX74" s="1101">
        <f t="shared" si="47"/>
        <v>0</v>
      </c>
      <c r="AY74" s="1101">
        <f t="shared" si="48"/>
        <v>0</v>
      </c>
      <c r="AZ74" s="1101">
        <f t="shared" si="49"/>
        <v>0</v>
      </c>
      <c r="BA74" s="1101">
        <f t="shared" si="50"/>
        <v>0</v>
      </c>
      <c r="BB74" s="1102">
        <f t="shared" si="51"/>
        <v>0</v>
      </c>
      <c r="BC74" s="1103"/>
    </row>
    <row r="75" spans="2:55" s="1099" customFormat="1" ht="15">
      <c r="B75" s="1074">
        <v>2045</v>
      </c>
      <c r="C75" s="1404" t="s">
        <v>874</v>
      </c>
      <c r="D75" s="1097">
        <v>0</v>
      </c>
      <c r="E75" s="1097">
        <v>0</v>
      </c>
      <c r="F75" s="1097">
        <v>0</v>
      </c>
      <c r="G75" s="1097">
        <v>0</v>
      </c>
      <c r="H75" s="1097">
        <v>0</v>
      </c>
      <c r="I75" s="1097">
        <v>0</v>
      </c>
      <c r="J75" s="1097">
        <v>0</v>
      </c>
      <c r="K75" s="1097">
        <v>0</v>
      </c>
      <c r="L75" s="1097">
        <v>0</v>
      </c>
      <c r="M75" s="1097">
        <v>0</v>
      </c>
      <c r="N75" s="1097">
        <v>0</v>
      </c>
      <c r="O75" s="1097">
        <v>0</v>
      </c>
      <c r="P75" s="1097">
        <v>0</v>
      </c>
      <c r="Q75" s="1097">
        <v>0</v>
      </c>
      <c r="R75" s="1097">
        <v>0</v>
      </c>
      <c r="S75" s="1097">
        <v>0</v>
      </c>
      <c r="T75" s="1097">
        <v>0</v>
      </c>
      <c r="U75" s="1097">
        <v>0</v>
      </c>
      <c r="V75" s="1097">
        <v>0</v>
      </c>
      <c r="W75" s="1097">
        <v>0</v>
      </c>
      <c r="X75" s="1097">
        <v>0</v>
      </c>
      <c r="Y75" s="1097">
        <v>0</v>
      </c>
      <c r="Z75" s="1097">
        <v>0</v>
      </c>
      <c r="AA75" s="1097">
        <v>0</v>
      </c>
      <c r="AB75" s="1098">
        <v>0</v>
      </c>
      <c r="AD75" s="1100">
        <f t="shared" si="27"/>
        <v>0</v>
      </c>
      <c r="AE75" s="1101">
        <f t="shared" si="28"/>
        <v>0</v>
      </c>
      <c r="AF75" s="1101">
        <f t="shared" si="29"/>
        <v>0</v>
      </c>
      <c r="AG75" s="1101">
        <f t="shared" si="30"/>
        <v>0</v>
      </c>
      <c r="AH75" s="1101">
        <f t="shared" si="31"/>
        <v>0</v>
      </c>
      <c r="AI75" s="1101">
        <f t="shared" si="32"/>
        <v>0</v>
      </c>
      <c r="AJ75" s="1101">
        <f t="shared" si="33"/>
        <v>0</v>
      </c>
      <c r="AK75" s="1101">
        <f t="shared" si="34"/>
        <v>0</v>
      </c>
      <c r="AL75" s="1101">
        <f t="shared" si="35"/>
        <v>0</v>
      </c>
      <c r="AM75" s="1101">
        <f t="shared" si="36"/>
        <v>0</v>
      </c>
      <c r="AN75" s="1101">
        <f t="shared" si="37"/>
        <v>0</v>
      </c>
      <c r="AO75" s="1101">
        <f t="shared" si="38"/>
        <v>0</v>
      </c>
      <c r="AP75" s="1101">
        <f t="shared" si="39"/>
        <v>0</v>
      </c>
      <c r="AQ75" s="1101">
        <f t="shared" si="40"/>
        <v>0</v>
      </c>
      <c r="AR75" s="1101">
        <f t="shared" si="41"/>
        <v>0</v>
      </c>
      <c r="AS75" s="1101">
        <f t="shared" si="42"/>
        <v>0</v>
      </c>
      <c r="AT75" s="1101">
        <f t="shared" si="43"/>
        <v>0</v>
      </c>
      <c r="AU75" s="1101">
        <f t="shared" si="44"/>
        <v>0</v>
      </c>
      <c r="AV75" s="1101">
        <f t="shared" si="45"/>
        <v>0</v>
      </c>
      <c r="AW75" s="1101">
        <f t="shared" si="46"/>
        <v>0</v>
      </c>
      <c r="AX75" s="1101">
        <f t="shared" si="47"/>
        <v>0</v>
      </c>
      <c r="AY75" s="1101">
        <f t="shared" si="48"/>
        <v>0</v>
      </c>
      <c r="AZ75" s="1101">
        <f t="shared" si="49"/>
        <v>0</v>
      </c>
      <c r="BA75" s="1101">
        <f t="shared" si="50"/>
        <v>0</v>
      </c>
      <c r="BB75" s="1102">
        <f t="shared" si="51"/>
        <v>0</v>
      </c>
      <c r="BC75" s="1103"/>
    </row>
    <row r="76" spans="2:55" s="1099" customFormat="1" ht="15">
      <c r="B76" s="1074">
        <v>2046</v>
      </c>
      <c r="C76" s="1404" t="s">
        <v>875</v>
      </c>
      <c r="D76" s="1097">
        <v>0</v>
      </c>
      <c r="E76" s="1097">
        <v>0</v>
      </c>
      <c r="F76" s="1097">
        <v>0</v>
      </c>
      <c r="G76" s="1097">
        <v>0</v>
      </c>
      <c r="H76" s="1097">
        <v>0</v>
      </c>
      <c r="I76" s="1097">
        <v>0</v>
      </c>
      <c r="J76" s="1097">
        <v>0</v>
      </c>
      <c r="K76" s="1097">
        <v>0</v>
      </c>
      <c r="L76" s="1097">
        <v>0</v>
      </c>
      <c r="M76" s="1097">
        <v>0</v>
      </c>
      <c r="N76" s="1097">
        <v>0</v>
      </c>
      <c r="O76" s="1097">
        <v>0</v>
      </c>
      <c r="P76" s="1097">
        <v>0</v>
      </c>
      <c r="Q76" s="1097">
        <v>0</v>
      </c>
      <c r="R76" s="1097">
        <v>0</v>
      </c>
      <c r="S76" s="1097">
        <v>0</v>
      </c>
      <c r="T76" s="1097">
        <v>0</v>
      </c>
      <c r="U76" s="1097">
        <v>0</v>
      </c>
      <c r="V76" s="1097">
        <v>0</v>
      </c>
      <c r="W76" s="1097">
        <v>0</v>
      </c>
      <c r="X76" s="1097">
        <v>0</v>
      </c>
      <c r="Y76" s="1097">
        <v>0</v>
      </c>
      <c r="Z76" s="1097">
        <v>0</v>
      </c>
      <c r="AA76" s="1097">
        <v>0</v>
      </c>
      <c r="AB76" s="1098">
        <v>0</v>
      </c>
      <c r="AD76" s="1100">
        <f t="shared" si="27"/>
        <v>0</v>
      </c>
      <c r="AE76" s="1101">
        <f t="shared" si="28"/>
        <v>0</v>
      </c>
      <c r="AF76" s="1101">
        <f t="shared" si="29"/>
        <v>0</v>
      </c>
      <c r="AG76" s="1101">
        <f t="shared" si="30"/>
        <v>0</v>
      </c>
      <c r="AH76" s="1101">
        <f t="shared" si="31"/>
        <v>0</v>
      </c>
      <c r="AI76" s="1101">
        <f t="shared" si="32"/>
        <v>0</v>
      </c>
      <c r="AJ76" s="1101">
        <f t="shared" si="33"/>
        <v>0</v>
      </c>
      <c r="AK76" s="1101">
        <f t="shared" si="34"/>
        <v>0</v>
      </c>
      <c r="AL76" s="1101">
        <f t="shared" si="35"/>
        <v>0</v>
      </c>
      <c r="AM76" s="1101">
        <f t="shared" si="36"/>
        <v>0</v>
      </c>
      <c r="AN76" s="1101">
        <f t="shared" si="37"/>
        <v>0</v>
      </c>
      <c r="AO76" s="1101">
        <f t="shared" si="38"/>
        <v>0</v>
      </c>
      <c r="AP76" s="1101">
        <f t="shared" si="39"/>
        <v>0</v>
      </c>
      <c r="AQ76" s="1101">
        <f t="shared" si="40"/>
        <v>0</v>
      </c>
      <c r="AR76" s="1101">
        <f t="shared" si="41"/>
        <v>0</v>
      </c>
      <c r="AS76" s="1101">
        <f t="shared" si="42"/>
        <v>0</v>
      </c>
      <c r="AT76" s="1101">
        <f t="shared" si="43"/>
        <v>0</v>
      </c>
      <c r="AU76" s="1101">
        <f t="shared" si="44"/>
        <v>0</v>
      </c>
      <c r="AV76" s="1101">
        <f t="shared" si="45"/>
        <v>0</v>
      </c>
      <c r="AW76" s="1101">
        <f t="shared" si="46"/>
        <v>0</v>
      </c>
      <c r="AX76" s="1101">
        <f t="shared" si="47"/>
        <v>0</v>
      </c>
      <c r="AY76" s="1101">
        <f t="shared" si="48"/>
        <v>0</v>
      </c>
      <c r="AZ76" s="1101">
        <f t="shared" si="49"/>
        <v>0</v>
      </c>
      <c r="BA76" s="1101">
        <f t="shared" si="50"/>
        <v>0</v>
      </c>
      <c r="BB76" s="1102">
        <f t="shared" si="51"/>
        <v>0</v>
      </c>
      <c r="BC76" s="1103"/>
    </row>
    <row r="77" spans="2:55" s="1099" customFormat="1" ht="15">
      <c r="B77" s="1074">
        <v>2047</v>
      </c>
      <c r="C77" s="1404" t="s">
        <v>876</v>
      </c>
      <c r="D77" s="1097">
        <v>0</v>
      </c>
      <c r="E77" s="1097">
        <v>0</v>
      </c>
      <c r="F77" s="1097">
        <v>0</v>
      </c>
      <c r="G77" s="1097">
        <v>0</v>
      </c>
      <c r="H77" s="1097">
        <v>0</v>
      </c>
      <c r="I77" s="1097">
        <v>0</v>
      </c>
      <c r="J77" s="1097">
        <v>0</v>
      </c>
      <c r="K77" s="1097">
        <v>0</v>
      </c>
      <c r="L77" s="1097">
        <v>0</v>
      </c>
      <c r="M77" s="1097">
        <v>0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7">
        <v>0</v>
      </c>
      <c r="Y77" s="1097">
        <v>0</v>
      </c>
      <c r="Z77" s="1097">
        <v>0</v>
      </c>
      <c r="AA77" s="1097">
        <v>0</v>
      </c>
      <c r="AB77" s="1098">
        <v>0</v>
      </c>
      <c r="AD77" s="1100">
        <f t="shared" si="27"/>
        <v>0</v>
      </c>
      <c r="AE77" s="1101">
        <f t="shared" si="28"/>
        <v>0</v>
      </c>
      <c r="AF77" s="1101">
        <f t="shared" si="29"/>
        <v>0</v>
      </c>
      <c r="AG77" s="1101">
        <f t="shared" si="30"/>
        <v>0</v>
      </c>
      <c r="AH77" s="1101">
        <f t="shared" si="31"/>
        <v>0</v>
      </c>
      <c r="AI77" s="1101">
        <f t="shared" si="32"/>
        <v>0</v>
      </c>
      <c r="AJ77" s="1101">
        <f t="shared" si="33"/>
        <v>0</v>
      </c>
      <c r="AK77" s="1101">
        <f t="shared" si="34"/>
        <v>0</v>
      </c>
      <c r="AL77" s="1101">
        <f t="shared" si="35"/>
        <v>0</v>
      </c>
      <c r="AM77" s="1101">
        <f t="shared" si="36"/>
        <v>0</v>
      </c>
      <c r="AN77" s="1101">
        <f t="shared" si="37"/>
        <v>0</v>
      </c>
      <c r="AO77" s="1101">
        <f t="shared" si="38"/>
        <v>0</v>
      </c>
      <c r="AP77" s="1101">
        <f t="shared" si="39"/>
        <v>0</v>
      </c>
      <c r="AQ77" s="1101">
        <f t="shared" si="40"/>
        <v>0</v>
      </c>
      <c r="AR77" s="1101">
        <f t="shared" si="41"/>
        <v>0</v>
      </c>
      <c r="AS77" s="1101">
        <f t="shared" si="42"/>
        <v>0</v>
      </c>
      <c r="AT77" s="1101">
        <f t="shared" si="43"/>
        <v>0</v>
      </c>
      <c r="AU77" s="1101">
        <f t="shared" si="44"/>
        <v>0</v>
      </c>
      <c r="AV77" s="1101">
        <f t="shared" si="45"/>
        <v>0</v>
      </c>
      <c r="AW77" s="1101">
        <f t="shared" si="46"/>
        <v>0</v>
      </c>
      <c r="AX77" s="1101">
        <f t="shared" si="47"/>
        <v>0</v>
      </c>
      <c r="AY77" s="1101">
        <f t="shared" si="48"/>
        <v>0</v>
      </c>
      <c r="AZ77" s="1101">
        <f t="shared" si="49"/>
        <v>0</v>
      </c>
      <c r="BA77" s="1101">
        <f t="shared" si="50"/>
        <v>0</v>
      </c>
      <c r="BB77" s="1102">
        <f t="shared" si="51"/>
        <v>0</v>
      </c>
      <c r="BC77" s="1103"/>
    </row>
    <row r="78" spans="2:55" s="1099" customFormat="1" ht="15">
      <c r="B78" s="1074">
        <v>2048</v>
      </c>
      <c r="C78" s="1404" t="s">
        <v>877</v>
      </c>
      <c r="D78" s="1097">
        <v>0</v>
      </c>
      <c r="E78" s="1097">
        <v>0</v>
      </c>
      <c r="F78" s="1097">
        <v>0</v>
      </c>
      <c r="G78" s="1097">
        <v>0</v>
      </c>
      <c r="H78" s="1097">
        <v>0</v>
      </c>
      <c r="I78" s="1097">
        <v>0</v>
      </c>
      <c r="J78" s="1097">
        <v>0</v>
      </c>
      <c r="K78" s="1097">
        <v>0</v>
      </c>
      <c r="L78" s="1097">
        <v>0</v>
      </c>
      <c r="M78" s="1097">
        <v>0</v>
      </c>
      <c r="N78" s="1097">
        <v>0</v>
      </c>
      <c r="O78" s="1097">
        <v>0</v>
      </c>
      <c r="P78" s="1097">
        <v>0</v>
      </c>
      <c r="Q78" s="1097">
        <v>0</v>
      </c>
      <c r="R78" s="1097">
        <v>0</v>
      </c>
      <c r="S78" s="1097">
        <v>0</v>
      </c>
      <c r="T78" s="1097">
        <v>0</v>
      </c>
      <c r="U78" s="1097">
        <v>0</v>
      </c>
      <c r="V78" s="1097">
        <v>0</v>
      </c>
      <c r="W78" s="1097">
        <v>0</v>
      </c>
      <c r="X78" s="1097">
        <v>0</v>
      </c>
      <c r="Y78" s="1097">
        <v>0</v>
      </c>
      <c r="Z78" s="1097">
        <v>0</v>
      </c>
      <c r="AA78" s="1097">
        <v>0</v>
      </c>
      <c r="AB78" s="1098">
        <v>0</v>
      </c>
      <c r="AD78" s="1100">
        <f t="shared" si="27"/>
        <v>0</v>
      </c>
      <c r="AE78" s="1101">
        <f t="shared" si="28"/>
        <v>0</v>
      </c>
      <c r="AF78" s="1101">
        <f t="shared" si="29"/>
        <v>0</v>
      </c>
      <c r="AG78" s="1101">
        <f t="shared" si="30"/>
        <v>0</v>
      </c>
      <c r="AH78" s="1101">
        <f t="shared" si="31"/>
        <v>0</v>
      </c>
      <c r="AI78" s="1101">
        <f t="shared" si="32"/>
        <v>0</v>
      </c>
      <c r="AJ78" s="1101">
        <f t="shared" si="33"/>
        <v>0</v>
      </c>
      <c r="AK78" s="1101">
        <f t="shared" si="34"/>
        <v>0</v>
      </c>
      <c r="AL78" s="1101">
        <f t="shared" si="35"/>
        <v>0</v>
      </c>
      <c r="AM78" s="1101">
        <f t="shared" si="36"/>
        <v>0</v>
      </c>
      <c r="AN78" s="1101">
        <f t="shared" si="37"/>
        <v>0</v>
      </c>
      <c r="AO78" s="1101">
        <f t="shared" si="38"/>
        <v>0</v>
      </c>
      <c r="AP78" s="1101">
        <f t="shared" si="39"/>
        <v>0</v>
      </c>
      <c r="AQ78" s="1101">
        <f t="shared" si="40"/>
        <v>0</v>
      </c>
      <c r="AR78" s="1101">
        <f t="shared" si="41"/>
        <v>0</v>
      </c>
      <c r="AS78" s="1101">
        <f t="shared" si="42"/>
        <v>0</v>
      </c>
      <c r="AT78" s="1101">
        <f t="shared" si="43"/>
        <v>0</v>
      </c>
      <c r="AU78" s="1101">
        <f t="shared" si="44"/>
        <v>0</v>
      </c>
      <c r="AV78" s="1101">
        <f t="shared" si="45"/>
        <v>0</v>
      </c>
      <c r="AW78" s="1101">
        <f t="shared" si="46"/>
        <v>0</v>
      </c>
      <c r="AX78" s="1101">
        <f t="shared" si="47"/>
        <v>0</v>
      </c>
      <c r="AY78" s="1101">
        <f t="shared" si="48"/>
        <v>0</v>
      </c>
      <c r="AZ78" s="1101">
        <f t="shared" si="49"/>
        <v>0</v>
      </c>
      <c r="BA78" s="1101">
        <f t="shared" si="50"/>
        <v>0</v>
      </c>
      <c r="BB78" s="1102">
        <f t="shared" si="51"/>
        <v>0</v>
      </c>
      <c r="BC78" s="1103"/>
    </row>
    <row r="79" spans="2:55" s="1099" customFormat="1" ht="15">
      <c r="B79" s="1074">
        <v>2049</v>
      </c>
      <c r="C79" s="1404" t="s">
        <v>878</v>
      </c>
      <c r="D79" s="1097">
        <v>0</v>
      </c>
      <c r="E79" s="1097">
        <v>0</v>
      </c>
      <c r="F79" s="1097">
        <v>0</v>
      </c>
      <c r="G79" s="1097">
        <v>0</v>
      </c>
      <c r="H79" s="1097">
        <v>0</v>
      </c>
      <c r="I79" s="1097">
        <v>0</v>
      </c>
      <c r="J79" s="1097">
        <v>0</v>
      </c>
      <c r="K79" s="1097">
        <v>0</v>
      </c>
      <c r="L79" s="1097">
        <v>0</v>
      </c>
      <c r="M79" s="1097">
        <v>0</v>
      </c>
      <c r="N79" s="1097">
        <v>0</v>
      </c>
      <c r="O79" s="1097">
        <v>0</v>
      </c>
      <c r="P79" s="1097">
        <v>0</v>
      </c>
      <c r="Q79" s="1097">
        <v>0</v>
      </c>
      <c r="R79" s="1097">
        <v>0</v>
      </c>
      <c r="S79" s="1097">
        <v>0</v>
      </c>
      <c r="T79" s="1097">
        <v>0</v>
      </c>
      <c r="U79" s="1097">
        <v>0</v>
      </c>
      <c r="V79" s="1097">
        <v>0</v>
      </c>
      <c r="W79" s="1097">
        <v>0</v>
      </c>
      <c r="X79" s="1097">
        <v>0</v>
      </c>
      <c r="Y79" s="1097">
        <v>0</v>
      </c>
      <c r="Z79" s="1097">
        <v>0</v>
      </c>
      <c r="AA79" s="1097">
        <v>0</v>
      </c>
      <c r="AB79" s="1098">
        <v>0</v>
      </c>
      <c r="AD79" s="1100">
        <f t="shared" si="27"/>
        <v>0</v>
      </c>
      <c r="AE79" s="1101">
        <f t="shared" si="28"/>
        <v>0</v>
      </c>
      <c r="AF79" s="1101">
        <f t="shared" si="29"/>
        <v>0</v>
      </c>
      <c r="AG79" s="1101">
        <f t="shared" si="30"/>
        <v>0</v>
      </c>
      <c r="AH79" s="1101">
        <f t="shared" si="31"/>
        <v>0</v>
      </c>
      <c r="AI79" s="1101">
        <f t="shared" si="32"/>
        <v>0</v>
      </c>
      <c r="AJ79" s="1101">
        <f t="shared" si="33"/>
        <v>0</v>
      </c>
      <c r="AK79" s="1101">
        <f t="shared" si="34"/>
        <v>0</v>
      </c>
      <c r="AL79" s="1101">
        <f t="shared" si="35"/>
        <v>0</v>
      </c>
      <c r="AM79" s="1101">
        <f t="shared" si="36"/>
        <v>0</v>
      </c>
      <c r="AN79" s="1101">
        <f t="shared" si="37"/>
        <v>0</v>
      </c>
      <c r="AO79" s="1101">
        <f t="shared" si="38"/>
        <v>0</v>
      </c>
      <c r="AP79" s="1101">
        <f t="shared" si="39"/>
        <v>0</v>
      </c>
      <c r="AQ79" s="1101">
        <f t="shared" si="40"/>
        <v>0</v>
      </c>
      <c r="AR79" s="1101">
        <f t="shared" si="41"/>
        <v>0</v>
      </c>
      <c r="AS79" s="1101">
        <f t="shared" si="42"/>
        <v>0</v>
      </c>
      <c r="AT79" s="1101">
        <f t="shared" si="43"/>
        <v>0</v>
      </c>
      <c r="AU79" s="1101">
        <f t="shared" si="44"/>
        <v>0</v>
      </c>
      <c r="AV79" s="1101">
        <f t="shared" si="45"/>
        <v>0</v>
      </c>
      <c r="AW79" s="1101">
        <f t="shared" si="46"/>
        <v>0</v>
      </c>
      <c r="AX79" s="1101">
        <f t="shared" si="47"/>
        <v>0</v>
      </c>
      <c r="AY79" s="1101">
        <f t="shared" si="48"/>
        <v>0</v>
      </c>
      <c r="AZ79" s="1101">
        <f t="shared" si="49"/>
        <v>0</v>
      </c>
      <c r="BA79" s="1101">
        <f t="shared" si="50"/>
        <v>0</v>
      </c>
      <c r="BB79" s="1102">
        <f t="shared" si="51"/>
        <v>0</v>
      </c>
      <c r="BC79" s="1103"/>
    </row>
    <row r="80" spans="2:55" s="1099" customFormat="1" ht="15">
      <c r="B80" s="1081">
        <v>2050</v>
      </c>
      <c r="C80" s="1405" t="s">
        <v>879</v>
      </c>
      <c r="D80" s="1097">
        <v>0</v>
      </c>
      <c r="E80" s="1097">
        <v>0</v>
      </c>
      <c r="F80" s="1097">
        <v>0</v>
      </c>
      <c r="G80" s="1097">
        <v>0</v>
      </c>
      <c r="H80" s="1097">
        <v>0</v>
      </c>
      <c r="I80" s="1097">
        <v>0</v>
      </c>
      <c r="J80" s="1097">
        <v>0</v>
      </c>
      <c r="K80" s="1097">
        <v>0</v>
      </c>
      <c r="L80" s="1097">
        <v>0</v>
      </c>
      <c r="M80" s="1097">
        <v>0</v>
      </c>
      <c r="N80" s="1097">
        <v>0</v>
      </c>
      <c r="O80" s="1097">
        <v>0</v>
      </c>
      <c r="P80" s="1097">
        <v>0</v>
      </c>
      <c r="Q80" s="1097">
        <v>0</v>
      </c>
      <c r="R80" s="1097">
        <v>0</v>
      </c>
      <c r="S80" s="1097">
        <v>0</v>
      </c>
      <c r="T80" s="1097">
        <v>0</v>
      </c>
      <c r="U80" s="1097">
        <v>0</v>
      </c>
      <c r="V80" s="1097">
        <v>0</v>
      </c>
      <c r="W80" s="1097">
        <v>0</v>
      </c>
      <c r="X80" s="1097">
        <v>0</v>
      </c>
      <c r="Y80" s="1097">
        <v>0</v>
      </c>
      <c r="Z80" s="1097">
        <v>0</v>
      </c>
      <c r="AA80" s="1097">
        <v>0</v>
      </c>
      <c r="AB80" s="1098">
        <v>0</v>
      </c>
      <c r="AD80" s="1100">
        <f t="shared" si="27"/>
        <v>0</v>
      </c>
      <c r="AE80" s="1101">
        <f t="shared" si="28"/>
        <v>0</v>
      </c>
      <c r="AF80" s="1101">
        <f t="shared" si="29"/>
        <v>0</v>
      </c>
      <c r="AG80" s="1101">
        <f t="shared" si="30"/>
        <v>0</v>
      </c>
      <c r="AH80" s="1101">
        <f t="shared" si="31"/>
        <v>0</v>
      </c>
      <c r="AI80" s="1101">
        <f t="shared" si="32"/>
        <v>0</v>
      </c>
      <c r="AJ80" s="1101">
        <f t="shared" si="33"/>
        <v>0</v>
      </c>
      <c r="AK80" s="1101">
        <f t="shared" si="34"/>
        <v>0</v>
      </c>
      <c r="AL80" s="1101">
        <f t="shared" si="35"/>
        <v>0</v>
      </c>
      <c r="AM80" s="1101">
        <f t="shared" si="36"/>
        <v>0</v>
      </c>
      <c r="AN80" s="1101">
        <f t="shared" si="37"/>
        <v>0</v>
      </c>
      <c r="AO80" s="1101">
        <f t="shared" si="38"/>
        <v>0</v>
      </c>
      <c r="AP80" s="1101">
        <f t="shared" si="39"/>
        <v>0</v>
      </c>
      <c r="AQ80" s="1101">
        <f t="shared" si="40"/>
        <v>0</v>
      </c>
      <c r="AR80" s="1101">
        <f t="shared" si="41"/>
        <v>0</v>
      </c>
      <c r="AS80" s="1101">
        <f t="shared" si="42"/>
        <v>0</v>
      </c>
      <c r="AT80" s="1101">
        <f t="shared" si="43"/>
        <v>0</v>
      </c>
      <c r="AU80" s="1101">
        <f t="shared" si="44"/>
        <v>0</v>
      </c>
      <c r="AV80" s="1101">
        <f t="shared" si="45"/>
        <v>0</v>
      </c>
      <c r="AW80" s="1101">
        <f t="shared" si="46"/>
        <v>0</v>
      </c>
      <c r="AX80" s="1101">
        <f t="shared" si="47"/>
        <v>0</v>
      </c>
      <c r="AY80" s="1101">
        <f t="shared" si="48"/>
        <v>0</v>
      </c>
      <c r="AZ80" s="1101">
        <f t="shared" si="49"/>
        <v>0</v>
      </c>
      <c r="BA80" s="1101">
        <f t="shared" si="50"/>
        <v>0</v>
      </c>
      <c r="BB80" s="1102">
        <f t="shared" si="51"/>
        <v>0</v>
      </c>
      <c r="BC80" s="1103"/>
    </row>
    <row r="81" spans="2:55" s="1099" customFormat="1" ht="15">
      <c r="B81" s="1074" t="s">
        <v>880</v>
      </c>
      <c r="C81" s="1096"/>
      <c r="D81" s="1105">
        <f>NPV(realdiscrt1,D48:D80)/(1+realdiscrt1)^-Half_Year</f>
        <v>169.91801378376812</v>
      </c>
      <c r="E81" s="1105">
        <f t="shared" ref="E81:AB81" si="52">NPV(realdiscrt1,E48:E80)/(1+realdiscrt1)^-Half_Year</f>
        <v>285.13093872107993</v>
      </c>
      <c r="F81" s="1105">
        <f t="shared" si="52"/>
        <v>400.79201320772358</v>
      </c>
      <c r="G81" s="1105">
        <f t="shared" si="52"/>
        <v>514.85506063634659</v>
      </c>
      <c r="H81" s="1105">
        <f t="shared" si="52"/>
        <v>571.70140790473056</v>
      </c>
      <c r="I81" s="1105">
        <f t="shared" si="52"/>
        <v>571.70140790473056</v>
      </c>
      <c r="J81" s="1105">
        <f t="shared" si="52"/>
        <v>571.70140790473056</v>
      </c>
      <c r="K81" s="1105">
        <f t="shared" si="52"/>
        <v>571.70140790473056</v>
      </c>
      <c r="L81" s="1105">
        <f t="shared" si="52"/>
        <v>571.70140790473056</v>
      </c>
      <c r="M81" s="1105">
        <f t="shared" si="52"/>
        <v>571.70140790473056</v>
      </c>
      <c r="N81" s="1105">
        <f t="shared" si="52"/>
        <v>571.70140790473056</v>
      </c>
      <c r="O81" s="1105">
        <f t="shared" si="52"/>
        <v>571.70140790473056</v>
      </c>
      <c r="P81" s="1105">
        <f t="shared" si="52"/>
        <v>571.70140790473056</v>
      </c>
      <c r="Q81" s="1105">
        <f t="shared" si="52"/>
        <v>571.70140790473056</v>
      </c>
      <c r="R81" s="1105">
        <f t="shared" si="52"/>
        <v>571.70140790473056</v>
      </c>
      <c r="S81" s="1105">
        <f t="shared" si="52"/>
        <v>571.70140790473056</v>
      </c>
      <c r="T81" s="1105">
        <f t="shared" si="52"/>
        <v>571.70140790473056</v>
      </c>
      <c r="U81" s="1105">
        <f t="shared" si="52"/>
        <v>571.70140790473056</v>
      </c>
      <c r="V81" s="1105">
        <f t="shared" si="52"/>
        <v>571.70140790473056</v>
      </c>
      <c r="W81" s="1105">
        <f t="shared" si="52"/>
        <v>571.70140790473056</v>
      </c>
      <c r="X81" s="1105">
        <f t="shared" si="52"/>
        <v>571.70140790473056</v>
      </c>
      <c r="Y81" s="1105">
        <f t="shared" si="52"/>
        <v>571.70140790473056</v>
      </c>
      <c r="Z81" s="1105">
        <f t="shared" si="52"/>
        <v>571.70140790473056</v>
      </c>
      <c r="AA81" s="1105">
        <f t="shared" si="52"/>
        <v>571.70140790473056</v>
      </c>
      <c r="AB81" s="1105">
        <f t="shared" si="52"/>
        <v>571.70140790473056</v>
      </c>
      <c r="AD81" s="1105">
        <f t="shared" ref="AD81:BB81" si="53">NPV(realdiscrt1,AD48:AD80)/(1+realdiscrt1)^-Half_Year</f>
        <v>210.33226751705919</v>
      </c>
      <c r="AE81" s="1105">
        <f t="shared" si="53"/>
        <v>352.94808093031889</v>
      </c>
      <c r="AF81" s="1105">
        <f t="shared" si="53"/>
        <v>496.1186342960923</v>
      </c>
      <c r="AG81" s="1105">
        <f t="shared" si="53"/>
        <v>637.31107688254156</v>
      </c>
      <c r="AH81" s="1105">
        <f t="shared" si="53"/>
        <v>707.67807832499557</v>
      </c>
      <c r="AI81" s="1105">
        <f t="shared" si="53"/>
        <v>707.67807832499557</v>
      </c>
      <c r="AJ81" s="1105">
        <f t="shared" si="53"/>
        <v>707.67807832499557</v>
      </c>
      <c r="AK81" s="1105">
        <f t="shared" si="53"/>
        <v>707.67807832499557</v>
      </c>
      <c r="AL81" s="1105">
        <f t="shared" si="53"/>
        <v>707.67807832499557</v>
      </c>
      <c r="AM81" s="1105">
        <f t="shared" si="53"/>
        <v>707.67807832499557</v>
      </c>
      <c r="AN81" s="1105">
        <f t="shared" si="53"/>
        <v>707.67807832499557</v>
      </c>
      <c r="AO81" s="1105">
        <f t="shared" si="53"/>
        <v>707.67807832499557</v>
      </c>
      <c r="AP81" s="1105">
        <f t="shared" si="53"/>
        <v>707.67807832499557</v>
      </c>
      <c r="AQ81" s="1105">
        <f t="shared" si="53"/>
        <v>707.67807832499557</v>
      </c>
      <c r="AR81" s="1105">
        <f t="shared" si="53"/>
        <v>707.67807832499557</v>
      </c>
      <c r="AS81" s="1105">
        <f t="shared" si="53"/>
        <v>707.67807832499557</v>
      </c>
      <c r="AT81" s="1105">
        <f t="shared" si="53"/>
        <v>707.67807832499557</v>
      </c>
      <c r="AU81" s="1105">
        <f t="shared" si="53"/>
        <v>707.67807832499557</v>
      </c>
      <c r="AV81" s="1105">
        <f t="shared" si="53"/>
        <v>707.67807832499557</v>
      </c>
      <c r="AW81" s="1105">
        <f t="shared" si="53"/>
        <v>707.67807832499557</v>
      </c>
      <c r="AX81" s="1105">
        <f t="shared" si="53"/>
        <v>707.67807832499557</v>
      </c>
      <c r="AY81" s="1105">
        <f t="shared" si="53"/>
        <v>707.67807832499557</v>
      </c>
      <c r="AZ81" s="1105">
        <f t="shared" si="53"/>
        <v>707.67807832499557</v>
      </c>
      <c r="BA81" s="1105">
        <f t="shared" si="53"/>
        <v>707.67807832499557</v>
      </c>
      <c r="BB81" s="1105">
        <f t="shared" si="53"/>
        <v>707.67807832499557</v>
      </c>
      <c r="BC81" s="1103"/>
    </row>
    <row r="82" spans="2:55" s="1099" customFormat="1" ht="15" hidden="1">
      <c r="B82" s="1106"/>
      <c r="C82" s="1096"/>
      <c r="D82" s="1105"/>
      <c r="E82" s="1105"/>
      <c r="F82" s="1105"/>
      <c r="G82" s="1105"/>
      <c r="H82" s="1105"/>
      <c r="I82" s="1105"/>
      <c r="J82" s="1105"/>
      <c r="K82" s="1105"/>
      <c r="L82" s="1105"/>
      <c r="M82" s="1105"/>
      <c r="N82" s="1105"/>
      <c r="O82" s="1105"/>
      <c r="P82" s="1105"/>
      <c r="Q82" s="1105"/>
      <c r="R82" s="1105"/>
      <c r="S82" s="1105"/>
      <c r="T82" s="1105"/>
      <c r="U82" s="1105"/>
      <c r="V82" s="1105"/>
      <c r="W82" s="1105"/>
      <c r="X82" s="1105"/>
      <c r="Y82" s="1105"/>
      <c r="Z82" s="1105"/>
      <c r="AA82" s="1105"/>
      <c r="AB82" s="1105"/>
      <c r="AD82" s="1105"/>
      <c r="AE82" s="1105"/>
      <c r="AF82" s="1105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</row>
    <row r="83" spans="2:55" s="1099" customFormat="1" ht="15" hidden="1">
      <c r="B83" s="1106"/>
      <c r="C83" s="1096"/>
      <c r="D83" s="1105"/>
      <c r="E83" s="1105"/>
      <c r="F83" s="1105"/>
      <c r="G83" s="1105"/>
      <c r="H83" s="1105"/>
      <c r="I83" s="1105"/>
      <c r="J83" s="1105"/>
      <c r="K83" s="1105"/>
      <c r="L83" s="1105"/>
      <c r="M83" s="1105"/>
      <c r="N83" s="1105"/>
      <c r="O83" s="1105"/>
      <c r="P83" s="1105"/>
      <c r="Q83" s="1105"/>
      <c r="R83" s="1105"/>
      <c r="S83" s="1105"/>
      <c r="T83" s="1105"/>
      <c r="U83" s="1105"/>
      <c r="V83" s="1105"/>
      <c r="W83" s="1105"/>
      <c r="X83" s="1105"/>
      <c r="Y83" s="1105"/>
      <c r="Z83" s="1105"/>
      <c r="AA83" s="1105"/>
      <c r="AB83" s="1105"/>
      <c r="AD83" s="1105"/>
      <c r="AE83" s="1105"/>
      <c r="AF83" s="1105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</row>
    <row r="84" spans="2:55" s="1099" customFormat="1" ht="15" hidden="1">
      <c r="B84" s="1107"/>
      <c r="C84" s="1104"/>
      <c r="D84" s="1105"/>
      <c r="E84" s="1105"/>
      <c r="F84" s="1105"/>
      <c r="G84" s="1105"/>
      <c r="H84" s="1105"/>
      <c r="I84" s="1105"/>
      <c r="J84" s="1105"/>
      <c r="K84" s="1105"/>
      <c r="L84" s="1105"/>
      <c r="M84" s="1105"/>
      <c r="N84" s="1105"/>
      <c r="O84" s="1105"/>
      <c r="P84" s="1105"/>
      <c r="Q84" s="1105"/>
      <c r="R84" s="1105"/>
      <c r="S84" s="1105"/>
      <c r="T84" s="1105"/>
      <c r="U84" s="1105"/>
      <c r="V84" s="1105"/>
      <c r="W84" s="1105"/>
      <c r="X84" s="1105"/>
      <c r="Y84" s="1105"/>
      <c r="Z84" s="1105"/>
      <c r="AA84" s="1105"/>
      <c r="AB84" s="1105"/>
      <c r="AD84" s="1105"/>
      <c r="AE84" s="1105"/>
      <c r="AF84" s="1105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</row>
    <row r="87" spans="2:55" s="1073" customFormat="1" ht="33.75">
      <c r="B87" s="1629">
        <f>Year2</f>
        <v>2022</v>
      </c>
      <c r="C87" s="1630"/>
      <c r="D87" s="1087"/>
      <c r="E87" s="1087"/>
      <c r="F87" s="1087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 t="str">
        <f>Year2&amp;"$"</f>
        <v>2022$</v>
      </c>
      <c r="AE87" s="1087"/>
      <c r="AF87" s="1087"/>
      <c r="AG87" s="1087"/>
      <c r="AH87" s="1087"/>
      <c r="AI87" s="1087"/>
      <c r="AJ87" s="1087"/>
      <c r="AK87" s="1087"/>
      <c r="AL87" s="1087"/>
      <c r="AM87" s="1087"/>
      <c r="AN87" s="1087"/>
      <c r="AO87" s="1087"/>
      <c r="AP87" s="1087"/>
      <c r="AQ87" s="1087"/>
      <c r="AR87" s="1087"/>
      <c r="AS87" s="1087"/>
      <c r="AT87" s="1087"/>
      <c r="AU87" s="1087"/>
      <c r="AV87" s="1087"/>
      <c r="AW87" s="1087"/>
      <c r="AX87" s="1087"/>
      <c r="AY87" s="1087"/>
      <c r="AZ87" s="1087"/>
      <c r="BA87" s="1087"/>
      <c r="BB87" s="1088"/>
    </row>
    <row r="88" spans="2:55" s="1093" customFormat="1" ht="31.5" customHeight="1" thickBot="1">
      <c r="B88" s="1089"/>
      <c r="C88" s="1090"/>
      <c r="D88" s="1091" t="s">
        <v>884</v>
      </c>
      <c r="E88" s="1090"/>
      <c r="F88" s="1090"/>
      <c r="G88" s="1090"/>
      <c r="H88" s="1090"/>
      <c r="I88" s="1090"/>
      <c r="J88" s="1090"/>
      <c r="K88" s="1090"/>
      <c r="L88" s="1090"/>
      <c r="M88" s="1090"/>
      <c r="N88" s="1090"/>
      <c r="O88" s="1090"/>
      <c r="P88" s="1090"/>
      <c r="Q88" s="1090"/>
      <c r="R88" s="1090"/>
      <c r="S88" s="1090"/>
      <c r="T88" s="1090"/>
      <c r="U88" s="1090"/>
      <c r="V88" s="1090"/>
      <c r="W88" s="1090"/>
      <c r="X88" s="1090"/>
      <c r="Y88" s="1090"/>
      <c r="Z88" s="1090"/>
      <c r="AA88" s="1090"/>
      <c r="AB88" s="1092"/>
      <c r="AD88" s="1091" t="s">
        <v>881</v>
      </c>
      <c r="AE88" s="1094"/>
      <c r="AF88" s="1094"/>
      <c r="AG88" s="1094"/>
      <c r="AH88" s="1094"/>
      <c r="AI88" s="1094"/>
      <c r="AJ88" s="1094"/>
      <c r="AK88" s="1094"/>
      <c r="AL88" s="1094"/>
      <c r="AM88" s="1094"/>
      <c r="AN88" s="1094"/>
      <c r="AO88" s="1094"/>
      <c r="AP88" s="1094"/>
      <c r="AQ88" s="1094"/>
      <c r="AR88" s="1094"/>
      <c r="AS88" s="1094"/>
      <c r="AT88" s="1094"/>
      <c r="AU88" s="1094"/>
      <c r="AV88" s="1094"/>
      <c r="AW88" s="1094"/>
      <c r="AX88" s="1094"/>
      <c r="AY88" s="1094"/>
      <c r="AZ88" s="1094"/>
      <c r="BA88" s="1094"/>
      <c r="BB88" s="1095"/>
    </row>
    <row r="89" spans="2:55" s="1099" customFormat="1" ht="15.75" thickTop="1">
      <c r="B89" s="1074">
        <v>2018</v>
      </c>
      <c r="C89" s="1404" t="s">
        <v>31</v>
      </c>
      <c r="D89" s="1097">
        <v>0</v>
      </c>
      <c r="E89" s="1097">
        <v>0</v>
      </c>
      <c r="F89" s="1097">
        <v>0</v>
      </c>
      <c r="G89" s="1097">
        <v>0</v>
      </c>
      <c r="H89" s="1097">
        <v>0</v>
      </c>
      <c r="I89" s="1097">
        <v>0</v>
      </c>
      <c r="J89" s="1097">
        <v>0</v>
      </c>
      <c r="K89" s="1097">
        <v>0</v>
      </c>
      <c r="L89" s="1097">
        <v>0</v>
      </c>
      <c r="M89" s="1097">
        <v>0</v>
      </c>
      <c r="N89" s="1097">
        <v>0</v>
      </c>
      <c r="O89" s="1097">
        <v>0</v>
      </c>
      <c r="P89" s="1097">
        <v>0</v>
      </c>
      <c r="Q89" s="1097">
        <v>0</v>
      </c>
      <c r="R89" s="1097">
        <v>0</v>
      </c>
      <c r="S89" s="1097">
        <v>0</v>
      </c>
      <c r="T89" s="1097">
        <v>0</v>
      </c>
      <c r="U89" s="1097">
        <v>0</v>
      </c>
      <c r="V89" s="1097">
        <v>0</v>
      </c>
      <c r="W89" s="1097">
        <v>0</v>
      </c>
      <c r="X89" s="1097">
        <v>0</v>
      </c>
      <c r="Y89" s="1097">
        <v>0</v>
      </c>
      <c r="Z89" s="1097">
        <v>0</v>
      </c>
      <c r="AA89" s="1097">
        <v>0</v>
      </c>
      <c r="AB89" s="1098">
        <v>0</v>
      </c>
      <c r="AD89" s="1100">
        <f t="shared" ref="AD89:AD121" si="54">D89*(1+PTFlosses)*(1+WholesaleRiskPremium)*(1+DistributionLosses)*(1+Inflation2)^(Year2-Real_Year)</f>
        <v>0</v>
      </c>
      <c r="AE89" s="1101">
        <f t="shared" ref="AE89:AE121" si="55">E89*(1+PTFlosses)*(1+WholesaleRiskPremium)*(1+DistributionLosses)*(1+Inflation2)^(Year2-Real_Year)</f>
        <v>0</v>
      </c>
      <c r="AF89" s="1101">
        <f t="shared" ref="AF89:AF121" si="56">F89*(1+PTFlosses)*(1+WholesaleRiskPremium)*(1+DistributionLosses)*(1+Inflation2)^(Year2-Real_Year)</f>
        <v>0</v>
      </c>
      <c r="AG89" s="1101">
        <f t="shared" ref="AG89:AG121" si="57">G89*(1+PTFlosses)*(1+WholesaleRiskPremium)*(1+DistributionLosses)*(1+Inflation2)^(Year2-Real_Year)</f>
        <v>0</v>
      </c>
      <c r="AH89" s="1101">
        <f t="shared" ref="AH89:AH121" si="58">H89*(1+PTFlosses)*(1+WholesaleRiskPremium)*(1+DistributionLosses)*(1+Inflation2)^(Year2-Real_Year)</f>
        <v>0</v>
      </c>
      <c r="AI89" s="1101">
        <f t="shared" ref="AI89:AI121" si="59">I89*(1+PTFlosses)*(1+WholesaleRiskPremium)*(1+DistributionLosses)*(1+Inflation2)^(Year2-Real_Year)</f>
        <v>0</v>
      </c>
      <c r="AJ89" s="1101">
        <f t="shared" ref="AJ89:AJ121" si="60">J89*(1+PTFlosses)*(1+WholesaleRiskPremium)*(1+DistributionLosses)*(1+Inflation2)^(Year2-Real_Year)</f>
        <v>0</v>
      </c>
      <c r="AK89" s="1101">
        <f t="shared" ref="AK89:AK121" si="61">K89*(1+PTFlosses)*(1+WholesaleRiskPremium)*(1+DistributionLosses)*(1+Inflation2)^(Year2-Real_Year)</f>
        <v>0</v>
      </c>
      <c r="AL89" s="1101">
        <f t="shared" ref="AL89:AL121" si="62">L89*(1+PTFlosses)*(1+WholesaleRiskPremium)*(1+DistributionLosses)*(1+Inflation2)^(Year2-Real_Year)</f>
        <v>0</v>
      </c>
      <c r="AM89" s="1101">
        <f t="shared" ref="AM89:AM121" si="63">M89*(1+PTFlosses)*(1+WholesaleRiskPremium)*(1+DistributionLosses)*(1+Inflation2)^(Year2-Real_Year)</f>
        <v>0</v>
      </c>
      <c r="AN89" s="1101">
        <f t="shared" ref="AN89:AN121" si="64">N89*(1+PTFlosses)*(1+WholesaleRiskPremium)*(1+DistributionLosses)*(1+Inflation2)^(Year2-Real_Year)</f>
        <v>0</v>
      </c>
      <c r="AO89" s="1101">
        <f t="shared" ref="AO89:AO121" si="65">O89*(1+PTFlosses)*(1+WholesaleRiskPremium)*(1+DistributionLosses)*(1+Inflation2)^(Year2-Real_Year)</f>
        <v>0</v>
      </c>
      <c r="AP89" s="1101">
        <f t="shared" ref="AP89:AP121" si="66">P89*(1+PTFlosses)*(1+WholesaleRiskPremium)*(1+DistributionLosses)*(1+Inflation2)^(Year2-Real_Year)</f>
        <v>0</v>
      </c>
      <c r="AQ89" s="1101">
        <f t="shared" ref="AQ89:AQ121" si="67">Q89*(1+PTFlosses)*(1+WholesaleRiskPremium)*(1+DistributionLosses)*(1+Inflation2)^(Year2-Real_Year)</f>
        <v>0</v>
      </c>
      <c r="AR89" s="1101">
        <f t="shared" ref="AR89:AR121" si="68">R89*(1+PTFlosses)*(1+WholesaleRiskPremium)*(1+DistributionLosses)*(1+Inflation2)^(Year2-Real_Year)</f>
        <v>0</v>
      </c>
      <c r="AS89" s="1101">
        <f t="shared" ref="AS89:AS121" si="69">S89*(1+PTFlosses)*(1+WholesaleRiskPremium)*(1+DistributionLosses)*(1+Inflation2)^(Year2-Real_Year)</f>
        <v>0</v>
      </c>
      <c r="AT89" s="1101">
        <f t="shared" ref="AT89:AT121" si="70">T89*(1+PTFlosses)*(1+WholesaleRiskPremium)*(1+DistributionLosses)*(1+Inflation2)^(Year2-Real_Year)</f>
        <v>0</v>
      </c>
      <c r="AU89" s="1101">
        <f t="shared" ref="AU89:AU121" si="71">U89*(1+PTFlosses)*(1+WholesaleRiskPremium)*(1+DistributionLosses)*(1+Inflation2)^(Year2-Real_Year)</f>
        <v>0</v>
      </c>
      <c r="AV89" s="1101">
        <f t="shared" ref="AV89:AV121" si="72">V89*(1+PTFlosses)*(1+WholesaleRiskPremium)*(1+DistributionLosses)*(1+Inflation2)^(Year2-Real_Year)</f>
        <v>0</v>
      </c>
      <c r="AW89" s="1101">
        <f t="shared" ref="AW89:AW121" si="73">W89*(1+PTFlosses)*(1+WholesaleRiskPremium)*(1+DistributionLosses)*(1+Inflation2)^(Year2-Real_Year)</f>
        <v>0</v>
      </c>
      <c r="AX89" s="1101">
        <f t="shared" ref="AX89:AX121" si="74">X89*(1+PTFlosses)*(1+WholesaleRiskPremium)*(1+DistributionLosses)*(1+Inflation2)^(Year2-Real_Year)</f>
        <v>0</v>
      </c>
      <c r="AY89" s="1101">
        <f t="shared" ref="AY89:AY121" si="75">Y89*(1+PTFlosses)*(1+WholesaleRiskPremium)*(1+DistributionLosses)*(1+Inflation2)^(Year2-Real_Year)</f>
        <v>0</v>
      </c>
      <c r="AZ89" s="1101">
        <f t="shared" ref="AZ89:AZ121" si="76">Z89*(1+PTFlosses)*(1+WholesaleRiskPremium)*(1+DistributionLosses)*(1+Inflation2)^(Year2-Real_Year)</f>
        <v>0</v>
      </c>
      <c r="BA89" s="1101">
        <f t="shared" ref="BA89:BA121" si="77">AA89*(1+PTFlosses)*(1+WholesaleRiskPremium)*(1+DistributionLosses)*(1+Inflation2)^(Year2-Real_Year)</f>
        <v>0</v>
      </c>
      <c r="BB89" s="1102">
        <f t="shared" ref="BB89:BB121" si="78">AB89*(1+PTFlosses)*(1+WholesaleRiskPremium)*(1+DistributionLosses)*(1+Inflation2)^(Year2-Real_Year)</f>
        <v>0</v>
      </c>
      <c r="BC89" s="1103"/>
    </row>
    <row r="90" spans="2:55" s="1099" customFormat="1" ht="15">
      <c r="B90" s="1074">
        <v>2019</v>
      </c>
      <c r="C90" s="1404" t="s">
        <v>31</v>
      </c>
      <c r="D90" s="1097">
        <v>0</v>
      </c>
      <c r="E90" s="1097">
        <v>0</v>
      </c>
      <c r="F90" s="1097">
        <v>0</v>
      </c>
      <c r="G90" s="1097">
        <v>0</v>
      </c>
      <c r="H90" s="1097">
        <v>0</v>
      </c>
      <c r="I90" s="1097">
        <v>0</v>
      </c>
      <c r="J90" s="1097">
        <v>0</v>
      </c>
      <c r="K90" s="1097">
        <v>0</v>
      </c>
      <c r="L90" s="1097">
        <v>0</v>
      </c>
      <c r="M90" s="1097">
        <v>0</v>
      </c>
      <c r="N90" s="1097">
        <v>0</v>
      </c>
      <c r="O90" s="1097">
        <v>0</v>
      </c>
      <c r="P90" s="1097">
        <v>0</v>
      </c>
      <c r="Q90" s="1097">
        <v>0</v>
      </c>
      <c r="R90" s="1097">
        <v>0</v>
      </c>
      <c r="S90" s="1097">
        <v>0</v>
      </c>
      <c r="T90" s="1097">
        <v>0</v>
      </c>
      <c r="U90" s="1097">
        <v>0</v>
      </c>
      <c r="V90" s="1097">
        <v>0</v>
      </c>
      <c r="W90" s="1097">
        <v>0</v>
      </c>
      <c r="X90" s="1097">
        <v>0</v>
      </c>
      <c r="Y90" s="1097">
        <v>0</v>
      </c>
      <c r="Z90" s="1097">
        <v>0</v>
      </c>
      <c r="AA90" s="1097">
        <v>0</v>
      </c>
      <c r="AB90" s="1098">
        <v>0</v>
      </c>
      <c r="AD90" s="1100">
        <f t="shared" si="54"/>
        <v>0</v>
      </c>
      <c r="AE90" s="1101">
        <f t="shared" si="55"/>
        <v>0</v>
      </c>
      <c r="AF90" s="1101">
        <f t="shared" si="56"/>
        <v>0</v>
      </c>
      <c r="AG90" s="1101">
        <f t="shared" si="57"/>
        <v>0</v>
      </c>
      <c r="AH90" s="1101">
        <f t="shared" si="58"/>
        <v>0</v>
      </c>
      <c r="AI90" s="1101">
        <f t="shared" si="59"/>
        <v>0</v>
      </c>
      <c r="AJ90" s="1101">
        <f t="shared" si="60"/>
        <v>0</v>
      </c>
      <c r="AK90" s="1101">
        <f t="shared" si="61"/>
        <v>0</v>
      </c>
      <c r="AL90" s="1101">
        <f t="shared" si="62"/>
        <v>0</v>
      </c>
      <c r="AM90" s="1101">
        <f t="shared" si="63"/>
        <v>0</v>
      </c>
      <c r="AN90" s="1101">
        <f t="shared" si="64"/>
        <v>0</v>
      </c>
      <c r="AO90" s="1101">
        <f t="shared" si="65"/>
        <v>0</v>
      </c>
      <c r="AP90" s="1101">
        <f t="shared" si="66"/>
        <v>0</v>
      </c>
      <c r="AQ90" s="1101">
        <f t="shared" si="67"/>
        <v>0</v>
      </c>
      <c r="AR90" s="1101">
        <f t="shared" si="68"/>
        <v>0</v>
      </c>
      <c r="AS90" s="1101">
        <f t="shared" si="69"/>
        <v>0</v>
      </c>
      <c r="AT90" s="1101">
        <f t="shared" si="70"/>
        <v>0</v>
      </c>
      <c r="AU90" s="1101">
        <f t="shared" si="71"/>
        <v>0</v>
      </c>
      <c r="AV90" s="1101">
        <f t="shared" si="72"/>
        <v>0</v>
      </c>
      <c r="AW90" s="1101">
        <f t="shared" si="73"/>
        <v>0</v>
      </c>
      <c r="AX90" s="1101">
        <f t="shared" si="74"/>
        <v>0</v>
      </c>
      <c r="AY90" s="1101">
        <f t="shared" si="75"/>
        <v>0</v>
      </c>
      <c r="AZ90" s="1101">
        <f t="shared" si="76"/>
        <v>0</v>
      </c>
      <c r="BA90" s="1101">
        <f t="shared" si="77"/>
        <v>0</v>
      </c>
      <c r="BB90" s="1102">
        <f t="shared" si="78"/>
        <v>0</v>
      </c>
      <c r="BC90" s="1103"/>
    </row>
    <row r="91" spans="2:55" s="1099" customFormat="1" ht="15">
      <c r="B91" s="1074">
        <v>2020</v>
      </c>
      <c r="C91" s="1404" t="s">
        <v>31</v>
      </c>
      <c r="D91" s="1097">
        <v>0</v>
      </c>
      <c r="E91" s="1097">
        <v>0</v>
      </c>
      <c r="F91" s="1097">
        <v>0</v>
      </c>
      <c r="G91" s="1097">
        <v>0</v>
      </c>
      <c r="H91" s="1097">
        <v>0</v>
      </c>
      <c r="I91" s="1097">
        <v>0</v>
      </c>
      <c r="J91" s="1097">
        <v>0</v>
      </c>
      <c r="K91" s="1097">
        <v>0</v>
      </c>
      <c r="L91" s="1097">
        <v>0</v>
      </c>
      <c r="M91" s="1097">
        <v>0</v>
      </c>
      <c r="N91" s="1097">
        <v>0</v>
      </c>
      <c r="O91" s="1097">
        <v>0</v>
      </c>
      <c r="P91" s="1097">
        <v>0</v>
      </c>
      <c r="Q91" s="1097">
        <v>0</v>
      </c>
      <c r="R91" s="1097">
        <v>0</v>
      </c>
      <c r="S91" s="1097">
        <v>0</v>
      </c>
      <c r="T91" s="1097">
        <v>0</v>
      </c>
      <c r="U91" s="1097">
        <v>0</v>
      </c>
      <c r="V91" s="1097">
        <v>0</v>
      </c>
      <c r="W91" s="1097">
        <v>0</v>
      </c>
      <c r="X91" s="1097">
        <v>0</v>
      </c>
      <c r="Y91" s="1097">
        <v>0</v>
      </c>
      <c r="Z91" s="1097">
        <v>0</v>
      </c>
      <c r="AA91" s="1097">
        <v>0</v>
      </c>
      <c r="AB91" s="1098">
        <v>0</v>
      </c>
      <c r="AD91" s="1100">
        <f t="shared" si="54"/>
        <v>0</v>
      </c>
      <c r="AE91" s="1101">
        <f t="shared" si="55"/>
        <v>0</v>
      </c>
      <c r="AF91" s="1101">
        <f t="shared" si="56"/>
        <v>0</v>
      </c>
      <c r="AG91" s="1101">
        <f t="shared" si="57"/>
        <v>0</v>
      </c>
      <c r="AH91" s="1101">
        <f t="shared" si="58"/>
        <v>0</v>
      </c>
      <c r="AI91" s="1101">
        <f t="shared" si="59"/>
        <v>0</v>
      </c>
      <c r="AJ91" s="1101">
        <f t="shared" si="60"/>
        <v>0</v>
      </c>
      <c r="AK91" s="1101">
        <f t="shared" si="61"/>
        <v>0</v>
      </c>
      <c r="AL91" s="1101">
        <f t="shared" si="62"/>
        <v>0</v>
      </c>
      <c r="AM91" s="1101">
        <f t="shared" si="63"/>
        <v>0</v>
      </c>
      <c r="AN91" s="1101">
        <f t="shared" si="64"/>
        <v>0</v>
      </c>
      <c r="AO91" s="1101">
        <f t="shared" si="65"/>
        <v>0</v>
      </c>
      <c r="AP91" s="1101">
        <f t="shared" si="66"/>
        <v>0</v>
      </c>
      <c r="AQ91" s="1101">
        <f t="shared" si="67"/>
        <v>0</v>
      </c>
      <c r="AR91" s="1101">
        <f t="shared" si="68"/>
        <v>0</v>
      </c>
      <c r="AS91" s="1101">
        <f t="shared" si="69"/>
        <v>0</v>
      </c>
      <c r="AT91" s="1101">
        <f t="shared" si="70"/>
        <v>0</v>
      </c>
      <c r="AU91" s="1101">
        <f t="shared" si="71"/>
        <v>0</v>
      </c>
      <c r="AV91" s="1101">
        <f t="shared" si="72"/>
        <v>0</v>
      </c>
      <c r="AW91" s="1101">
        <f t="shared" si="73"/>
        <v>0</v>
      </c>
      <c r="AX91" s="1101">
        <f t="shared" si="74"/>
        <v>0</v>
      </c>
      <c r="AY91" s="1101">
        <f t="shared" si="75"/>
        <v>0</v>
      </c>
      <c r="AZ91" s="1101">
        <f t="shared" si="76"/>
        <v>0</v>
      </c>
      <c r="BA91" s="1101">
        <f t="shared" si="77"/>
        <v>0</v>
      </c>
      <c r="BB91" s="1102">
        <f t="shared" si="78"/>
        <v>0</v>
      </c>
      <c r="BC91" s="1103"/>
    </row>
    <row r="92" spans="2:55" s="1099" customFormat="1" ht="15">
      <c r="B92" s="1074">
        <v>2021</v>
      </c>
      <c r="C92" s="1404" t="s">
        <v>31</v>
      </c>
      <c r="D92" s="1097">
        <v>0</v>
      </c>
      <c r="E92" s="1097">
        <v>0</v>
      </c>
      <c r="F92" s="1097">
        <v>0</v>
      </c>
      <c r="G92" s="1097">
        <v>0</v>
      </c>
      <c r="H92" s="1097">
        <v>0</v>
      </c>
      <c r="I92" s="1097">
        <v>0</v>
      </c>
      <c r="J92" s="1097">
        <v>0</v>
      </c>
      <c r="K92" s="1097">
        <v>0</v>
      </c>
      <c r="L92" s="1097">
        <v>0</v>
      </c>
      <c r="M92" s="1097">
        <v>0</v>
      </c>
      <c r="N92" s="1097">
        <v>0</v>
      </c>
      <c r="O92" s="1097">
        <v>0</v>
      </c>
      <c r="P92" s="1097">
        <v>0</v>
      </c>
      <c r="Q92" s="1097">
        <v>0</v>
      </c>
      <c r="R92" s="1097">
        <v>0</v>
      </c>
      <c r="S92" s="1097">
        <v>0</v>
      </c>
      <c r="T92" s="1097">
        <v>0</v>
      </c>
      <c r="U92" s="1097">
        <v>0</v>
      </c>
      <c r="V92" s="1097">
        <v>0</v>
      </c>
      <c r="W92" s="1097">
        <v>0</v>
      </c>
      <c r="X92" s="1097">
        <v>0</v>
      </c>
      <c r="Y92" s="1097">
        <v>0</v>
      </c>
      <c r="Z92" s="1097">
        <v>0</v>
      </c>
      <c r="AA92" s="1097">
        <v>0</v>
      </c>
      <c r="AB92" s="1098">
        <v>0</v>
      </c>
      <c r="AD92" s="1100">
        <f t="shared" si="54"/>
        <v>0</v>
      </c>
      <c r="AE92" s="1101">
        <f t="shared" si="55"/>
        <v>0</v>
      </c>
      <c r="AF92" s="1101">
        <f t="shared" si="56"/>
        <v>0</v>
      </c>
      <c r="AG92" s="1101">
        <f t="shared" si="57"/>
        <v>0</v>
      </c>
      <c r="AH92" s="1101">
        <f t="shared" si="58"/>
        <v>0</v>
      </c>
      <c r="AI92" s="1101">
        <f t="shared" si="59"/>
        <v>0</v>
      </c>
      <c r="AJ92" s="1101">
        <f t="shared" si="60"/>
        <v>0</v>
      </c>
      <c r="AK92" s="1101">
        <f t="shared" si="61"/>
        <v>0</v>
      </c>
      <c r="AL92" s="1101">
        <f t="shared" si="62"/>
        <v>0</v>
      </c>
      <c r="AM92" s="1101">
        <f t="shared" si="63"/>
        <v>0</v>
      </c>
      <c r="AN92" s="1101">
        <f t="shared" si="64"/>
        <v>0</v>
      </c>
      <c r="AO92" s="1101">
        <f t="shared" si="65"/>
        <v>0</v>
      </c>
      <c r="AP92" s="1101">
        <f t="shared" si="66"/>
        <v>0</v>
      </c>
      <c r="AQ92" s="1101">
        <f t="shared" si="67"/>
        <v>0</v>
      </c>
      <c r="AR92" s="1101">
        <f t="shared" si="68"/>
        <v>0</v>
      </c>
      <c r="AS92" s="1101">
        <f t="shared" si="69"/>
        <v>0</v>
      </c>
      <c r="AT92" s="1101">
        <f t="shared" si="70"/>
        <v>0</v>
      </c>
      <c r="AU92" s="1101">
        <f t="shared" si="71"/>
        <v>0</v>
      </c>
      <c r="AV92" s="1101">
        <f t="shared" si="72"/>
        <v>0</v>
      </c>
      <c r="AW92" s="1101">
        <f t="shared" si="73"/>
        <v>0</v>
      </c>
      <c r="AX92" s="1101">
        <f t="shared" si="74"/>
        <v>0</v>
      </c>
      <c r="AY92" s="1101">
        <f t="shared" si="75"/>
        <v>0</v>
      </c>
      <c r="AZ92" s="1101">
        <f t="shared" si="76"/>
        <v>0</v>
      </c>
      <c r="BA92" s="1101">
        <f t="shared" si="77"/>
        <v>0</v>
      </c>
      <c r="BB92" s="1102">
        <f t="shared" si="78"/>
        <v>0</v>
      </c>
      <c r="BC92" s="1103"/>
    </row>
    <row r="93" spans="2:55" s="1099" customFormat="1" ht="15">
      <c r="B93" s="1074">
        <v>2022</v>
      </c>
      <c r="C93" s="1404" t="s">
        <v>850</v>
      </c>
      <c r="D93" s="1097">
        <v>0</v>
      </c>
      <c r="E93" s="1097">
        <v>0</v>
      </c>
      <c r="F93" s="1097">
        <v>0</v>
      </c>
      <c r="G93" s="1097">
        <v>0</v>
      </c>
      <c r="H93" s="1097">
        <v>0</v>
      </c>
      <c r="I93" s="1097">
        <v>0</v>
      </c>
      <c r="J93" s="1097">
        <v>0</v>
      </c>
      <c r="K93" s="1097">
        <v>0</v>
      </c>
      <c r="L93" s="1097">
        <v>0</v>
      </c>
      <c r="M93" s="1097">
        <v>0</v>
      </c>
      <c r="N93" s="1097">
        <v>0</v>
      </c>
      <c r="O93" s="1097">
        <v>0</v>
      </c>
      <c r="P93" s="1097">
        <v>0</v>
      </c>
      <c r="Q93" s="1097">
        <v>0</v>
      </c>
      <c r="R93" s="1097">
        <v>0</v>
      </c>
      <c r="S93" s="1097">
        <v>0</v>
      </c>
      <c r="T93" s="1097">
        <v>0</v>
      </c>
      <c r="U93" s="1097">
        <v>0</v>
      </c>
      <c r="V93" s="1097">
        <v>0</v>
      </c>
      <c r="W93" s="1097">
        <v>0</v>
      </c>
      <c r="X93" s="1097">
        <v>0</v>
      </c>
      <c r="Y93" s="1097">
        <v>0</v>
      </c>
      <c r="Z93" s="1097">
        <v>0</v>
      </c>
      <c r="AA93" s="1097">
        <v>0</v>
      </c>
      <c r="AB93" s="1098">
        <v>0</v>
      </c>
      <c r="AD93" s="1100">
        <f t="shared" si="54"/>
        <v>0</v>
      </c>
      <c r="AE93" s="1101">
        <f t="shared" si="55"/>
        <v>0</v>
      </c>
      <c r="AF93" s="1101">
        <f t="shared" si="56"/>
        <v>0</v>
      </c>
      <c r="AG93" s="1101">
        <f t="shared" si="57"/>
        <v>0</v>
      </c>
      <c r="AH93" s="1101">
        <f t="shared" si="58"/>
        <v>0</v>
      </c>
      <c r="AI93" s="1101">
        <f t="shared" si="59"/>
        <v>0</v>
      </c>
      <c r="AJ93" s="1101">
        <f t="shared" si="60"/>
        <v>0</v>
      </c>
      <c r="AK93" s="1101">
        <f t="shared" si="61"/>
        <v>0</v>
      </c>
      <c r="AL93" s="1101">
        <f t="shared" si="62"/>
        <v>0</v>
      </c>
      <c r="AM93" s="1101">
        <f t="shared" si="63"/>
        <v>0</v>
      </c>
      <c r="AN93" s="1101">
        <f t="shared" si="64"/>
        <v>0</v>
      </c>
      <c r="AO93" s="1101">
        <f t="shared" si="65"/>
        <v>0</v>
      </c>
      <c r="AP93" s="1101">
        <f t="shared" si="66"/>
        <v>0</v>
      </c>
      <c r="AQ93" s="1101">
        <f t="shared" si="67"/>
        <v>0</v>
      </c>
      <c r="AR93" s="1101">
        <f t="shared" si="68"/>
        <v>0</v>
      </c>
      <c r="AS93" s="1101">
        <f t="shared" si="69"/>
        <v>0</v>
      </c>
      <c r="AT93" s="1101">
        <f t="shared" si="70"/>
        <v>0</v>
      </c>
      <c r="AU93" s="1101">
        <f t="shared" si="71"/>
        <v>0</v>
      </c>
      <c r="AV93" s="1101">
        <f t="shared" si="72"/>
        <v>0</v>
      </c>
      <c r="AW93" s="1101">
        <f t="shared" si="73"/>
        <v>0</v>
      </c>
      <c r="AX93" s="1101">
        <f t="shared" si="74"/>
        <v>0</v>
      </c>
      <c r="AY93" s="1101">
        <f t="shared" si="75"/>
        <v>0</v>
      </c>
      <c r="AZ93" s="1101">
        <f t="shared" si="76"/>
        <v>0</v>
      </c>
      <c r="BA93" s="1101">
        <f t="shared" si="77"/>
        <v>0</v>
      </c>
      <c r="BB93" s="1102">
        <f t="shared" si="78"/>
        <v>0</v>
      </c>
      <c r="BC93" s="1103"/>
    </row>
    <row r="94" spans="2:55" s="1099" customFormat="1" ht="15">
      <c r="B94" s="1074">
        <v>2023</v>
      </c>
      <c r="C94" s="1404" t="s">
        <v>851</v>
      </c>
      <c r="D94" s="1097">
        <v>0</v>
      </c>
      <c r="E94" s="1097">
        <v>0</v>
      </c>
      <c r="F94" s="1097">
        <v>0</v>
      </c>
      <c r="G94" s="1097">
        <v>0</v>
      </c>
      <c r="H94" s="1097">
        <v>0</v>
      </c>
      <c r="I94" s="1097">
        <v>0</v>
      </c>
      <c r="J94" s="1097">
        <v>0</v>
      </c>
      <c r="K94" s="1097">
        <v>0</v>
      </c>
      <c r="L94" s="1097">
        <v>0</v>
      </c>
      <c r="M94" s="1097">
        <v>0</v>
      </c>
      <c r="N94" s="1097">
        <v>0</v>
      </c>
      <c r="O94" s="1097">
        <v>0</v>
      </c>
      <c r="P94" s="1097">
        <v>0</v>
      </c>
      <c r="Q94" s="1097">
        <v>0</v>
      </c>
      <c r="R94" s="1097">
        <v>0</v>
      </c>
      <c r="S94" s="1097">
        <v>0</v>
      </c>
      <c r="T94" s="1097">
        <v>0</v>
      </c>
      <c r="U94" s="1097">
        <v>0</v>
      </c>
      <c r="V94" s="1097">
        <v>0</v>
      </c>
      <c r="W94" s="1097">
        <v>0</v>
      </c>
      <c r="X94" s="1097">
        <v>0</v>
      </c>
      <c r="Y94" s="1097">
        <v>0</v>
      </c>
      <c r="Z94" s="1097">
        <v>0</v>
      </c>
      <c r="AA94" s="1097">
        <v>0</v>
      </c>
      <c r="AB94" s="1098">
        <v>0</v>
      </c>
      <c r="AD94" s="1100">
        <f t="shared" si="54"/>
        <v>0</v>
      </c>
      <c r="AE94" s="1101">
        <f t="shared" si="55"/>
        <v>0</v>
      </c>
      <c r="AF94" s="1101">
        <f t="shared" si="56"/>
        <v>0</v>
      </c>
      <c r="AG94" s="1101">
        <f t="shared" si="57"/>
        <v>0</v>
      </c>
      <c r="AH94" s="1101">
        <f t="shared" si="58"/>
        <v>0</v>
      </c>
      <c r="AI94" s="1101">
        <f t="shared" si="59"/>
        <v>0</v>
      </c>
      <c r="AJ94" s="1101">
        <f t="shared" si="60"/>
        <v>0</v>
      </c>
      <c r="AK94" s="1101">
        <f t="shared" si="61"/>
        <v>0</v>
      </c>
      <c r="AL94" s="1101">
        <f t="shared" si="62"/>
        <v>0</v>
      </c>
      <c r="AM94" s="1101">
        <f t="shared" si="63"/>
        <v>0</v>
      </c>
      <c r="AN94" s="1101">
        <f t="shared" si="64"/>
        <v>0</v>
      </c>
      <c r="AO94" s="1101">
        <f t="shared" si="65"/>
        <v>0</v>
      </c>
      <c r="AP94" s="1101">
        <f t="shared" si="66"/>
        <v>0</v>
      </c>
      <c r="AQ94" s="1101">
        <f t="shared" si="67"/>
        <v>0</v>
      </c>
      <c r="AR94" s="1101">
        <f t="shared" si="68"/>
        <v>0</v>
      </c>
      <c r="AS94" s="1101">
        <f t="shared" si="69"/>
        <v>0</v>
      </c>
      <c r="AT94" s="1101">
        <f t="shared" si="70"/>
        <v>0</v>
      </c>
      <c r="AU94" s="1101">
        <f t="shared" si="71"/>
        <v>0</v>
      </c>
      <c r="AV94" s="1101">
        <f t="shared" si="72"/>
        <v>0</v>
      </c>
      <c r="AW94" s="1101">
        <f t="shared" si="73"/>
        <v>0</v>
      </c>
      <c r="AX94" s="1101">
        <f t="shared" si="74"/>
        <v>0</v>
      </c>
      <c r="AY94" s="1101">
        <f t="shared" si="75"/>
        <v>0</v>
      </c>
      <c r="AZ94" s="1101">
        <f t="shared" si="76"/>
        <v>0</v>
      </c>
      <c r="BA94" s="1101">
        <f t="shared" si="77"/>
        <v>0</v>
      </c>
      <c r="BB94" s="1102">
        <f t="shared" si="78"/>
        <v>0</v>
      </c>
      <c r="BC94" s="1103"/>
    </row>
    <row r="95" spans="2:55" s="1099" customFormat="1" ht="15">
      <c r="B95" s="1074">
        <v>2024</v>
      </c>
      <c r="C95" s="1404" t="s">
        <v>852</v>
      </c>
      <c r="D95" s="1097">
        <v>0</v>
      </c>
      <c r="E95" s="1097">
        <v>0</v>
      </c>
      <c r="F95" s="1097">
        <v>0</v>
      </c>
      <c r="G95" s="1097">
        <v>0</v>
      </c>
      <c r="H95" s="1097">
        <v>0</v>
      </c>
      <c r="I95" s="1097">
        <v>0</v>
      </c>
      <c r="J95" s="1097">
        <v>0</v>
      </c>
      <c r="K95" s="1097">
        <v>0</v>
      </c>
      <c r="L95" s="1097">
        <v>0</v>
      </c>
      <c r="M95" s="1097">
        <v>0</v>
      </c>
      <c r="N95" s="1097">
        <v>0</v>
      </c>
      <c r="O95" s="1097">
        <v>0</v>
      </c>
      <c r="P95" s="1097">
        <v>0</v>
      </c>
      <c r="Q95" s="1097">
        <v>0</v>
      </c>
      <c r="R95" s="1097">
        <v>0</v>
      </c>
      <c r="S95" s="1097">
        <v>0</v>
      </c>
      <c r="T95" s="1097">
        <v>0</v>
      </c>
      <c r="U95" s="1097">
        <v>0</v>
      </c>
      <c r="V95" s="1097">
        <v>0</v>
      </c>
      <c r="W95" s="1097">
        <v>0</v>
      </c>
      <c r="X95" s="1097">
        <v>0</v>
      </c>
      <c r="Y95" s="1097">
        <v>0</v>
      </c>
      <c r="Z95" s="1097">
        <v>0</v>
      </c>
      <c r="AA95" s="1097">
        <v>0</v>
      </c>
      <c r="AB95" s="1098">
        <v>0</v>
      </c>
      <c r="AD95" s="1100">
        <f t="shared" si="54"/>
        <v>0</v>
      </c>
      <c r="AE95" s="1101">
        <f t="shared" si="55"/>
        <v>0</v>
      </c>
      <c r="AF95" s="1101">
        <f t="shared" si="56"/>
        <v>0</v>
      </c>
      <c r="AG95" s="1101">
        <f t="shared" si="57"/>
        <v>0</v>
      </c>
      <c r="AH95" s="1101">
        <f t="shared" si="58"/>
        <v>0</v>
      </c>
      <c r="AI95" s="1101">
        <f t="shared" si="59"/>
        <v>0</v>
      </c>
      <c r="AJ95" s="1101">
        <f t="shared" si="60"/>
        <v>0</v>
      </c>
      <c r="AK95" s="1101">
        <f t="shared" si="61"/>
        <v>0</v>
      </c>
      <c r="AL95" s="1101">
        <f t="shared" si="62"/>
        <v>0</v>
      </c>
      <c r="AM95" s="1101">
        <f t="shared" si="63"/>
        <v>0</v>
      </c>
      <c r="AN95" s="1101">
        <f t="shared" si="64"/>
        <v>0</v>
      </c>
      <c r="AO95" s="1101">
        <f t="shared" si="65"/>
        <v>0</v>
      </c>
      <c r="AP95" s="1101">
        <f t="shared" si="66"/>
        <v>0</v>
      </c>
      <c r="AQ95" s="1101">
        <f t="shared" si="67"/>
        <v>0</v>
      </c>
      <c r="AR95" s="1101">
        <f t="shared" si="68"/>
        <v>0</v>
      </c>
      <c r="AS95" s="1101">
        <f t="shared" si="69"/>
        <v>0</v>
      </c>
      <c r="AT95" s="1101">
        <f t="shared" si="70"/>
        <v>0</v>
      </c>
      <c r="AU95" s="1101">
        <f t="shared" si="71"/>
        <v>0</v>
      </c>
      <c r="AV95" s="1101">
        <f t="shared" si="72"/>
        <v>0</v>
      </c>
      <c r="AW95" s="1101">
        <f t="shared" si="73"/>
        <v>0</v>
      </c>
      <c r="AX95" s="1101">
        <f t="shared" si="74"/>
        <v>0</v>
      </c>
      <c r="AY95" s="1101">
        <f t="shared" si="75"/>
        <v>0</v>
      </c>
      <c r="AZ95" s="1101">
        <f t="shared" si="76"/>
        <v>0</v>
      </c>
      <c r="BA95" s="1101">
        <f t="shared" si="77"/>
        <v>0</v>
      </c>
      <c r="BB95" s="1102">
        <f t="shared" si="78"/>
        <v>0</v>
      </c>
      <c r="BC95" s="1103"/>
    </row>
    <row r="96" spans="2:55" s="1099" customFormat="1" ht="15">
      <c r="B96" s="1074">
        <v>2025</v>
      </c>
      <c r="C96" s="1404" t="s">
        <v>853</v>
      </c>
      <c r="D96" s="1097">
        <v>0</v>
      </c>
      <c r="E96" s="1097">
        <v>0</v>
      </c>
      <c r="F96" s="1097">
        <v>0</v>
      </c>
      <c r="G96" s="1097">
        <v>0</v>
      </c>
      <c r="H96" s="1097">
        <v>0</v>
      </c>
      <c r="I96" s="1097">
        <v>0</v>
      </c>
      <c r="J96" s="1097">
        <v>0</v>
      </c>
      <c r="K96" s="1097">
        <v>0</v>
      </c>
      <c r="L96" s="1097">
        <v>0</v>
      </c>
      <c r="M96" s="1097">
        <v>0</v>
      </c>
      <c r="N96" s="1097">
        <v>0</v>
      </c>
      <c r="O96" s="1097">
        <v>0</v>
      </c>
      <c r="P96" s="1097">
        <v>0</v>
      </c>
      <c r="Q96" s="1097">
        <v>0</v>
      </c>
      <c r="R96" s="1097">
        <v>0</v>
      </c>
      <c r="S96" s="1097">
        <v>0</v>
      </c>
      <c r="T96" s="1097">
        <v>0</v>
      </c>
      <c r="U96" s="1097">
        <v>0</v>
      </c>
      <c r="V96" s="1097">
        <v>0</v>
      </c>
      <c r="W96" s="1097">
        <v>0</v>
      </c>
      <c r="X96" s="1097">
        <v>0</v>
      </c>
      <c r="Y96" s="1097">
        <v>0</v>
      </c>
      <c r="Z96" s="1097">
        <v>0</v>
      </c>
      <c r="AA96" s="1097">
        <v>0</v>
      </c>
      <c r="AB96" s="1098">
        <v>0</v>
      </c>
      <c r="AD96" s="1100">
        <f t="shared" si="54"/>
        <v>0</v>
      </c>
      <c r="AE96" s="1101">
        <f t="shared" si="55"/>
        <v>0</v>
      </c>
      <c r="AF96" s="1101">
        <f t="shared" si="56"/>
        <v>0</v>
      </c>
      <c r="AG96" s="1101">
        <f t="shared" si="57"/>
        <v>0</v>
      </c>
      <c r="AH96" s="1101">
        <f t="shared" si="58"/>
        <v>0</v>
      </c>
      <c r="AI96" s="1101">
        <f t="shared" si="59"/>
        <v>0</v>
      </c>
      <c r="AJ96" s="1101">
        <f t="shared" si="60"/>
        <v>0</v>
      </c>
      <c r="AK96" s="1101">
        <f t="shared" si="61"/>
        <v>0</v>
      </c>
      <c r="AL96" s="1101">
        <f t="shared" si="62"/>
        <v>0</v>
      </c>
      <c r="AM96" s="1101">
        <f t="shared" si="63"/>
        <v>0</v>
      </c>
      <c r="AN96" s="1101">
        <f t="shared" si="64"/>
        <v>0</v>
      </c>
      <c r="AO96" s="1101">
        <f t="shared" si="65"/>
        <v>0</v>
      </c>
      <c r="AP96" s="1101">
        <f t="shared" si="66"/>
        <v>0</v>
      </c>
      <c r="AQ96" s="1101">
        <f t="shared" si="67"/>
        <v>0</v>
      </c>
      <c r="AR96" s="1101">
        <f t="shared" si="68"/>
        <v>0</v>
      </c>
      <c r="AS96" s="1101">
        <f t="shared" si="69"/>
        <v>0</v>
      </c>
      <c r="AT96" s="1101">
        <f t="shared" si="70"/>
        <v>0</v>
      </c>
      <c r="AU96" s="1101">
        <f t="shared" si="71"/>
        <v>0</v>
      </c>
      <c r="AV96" s="1101">
        <f t="shared" si="72"/>
        <v>0</v>
      </c>
      <c r="AW96" s="1101">
        <f t="shared" si="73"/>
        <v>0</v>
      </c>
      <c r="AX96" s="1101">
        <f t="shared" si="74"/>
        <v>0</v>
      </c>
      <c r="AY96" s="1101">
        <f t="shared" si="75"/>
        <v>0</v>
      </c>
      <c r="AZ96" s="1101">
        <f t="shared" si="76"/>
        <v>0</v>
      </c>
      <c r="BA96" s="1101">
        <f t="shared" si="77"/>
        <v>0</v>
      </c>
      <c r="BB96" s="1102">
        <f t="shared" si="78"/>
        <v>0</v>
      </c>
      <c r="BC96" s="1103"/>
    </row>
    <row r="97" spans="2:55" s="1099" customFormat="1" ht="15">
      <c r="B97" s="1074">
        <v>2026</v>
      </c>
      <c r="C97" s="1404" t="s">
        <v>854</v>
      </c>
      <c r="D97" s="1097">
        <v>0</v>
      </c>
      <c r="E97" s="1097">
        <v>0</v>
      </c>
      <c r="F97" s="1097">
        <v>0</v>
      </c>
      <c r="G97" s="1097">
        <v>0</v>
      </c>
      <c r="H97" s="1097">
        <v>0</v>
      </c>
      <c r="I97" s="1097">
        <v>0</v>
      </c>
      <c r="J97" s="1097">
        <v>0</v>
      </c>
      <c r="K97" s="1097">
        <v>0</v>
      </c>
      <c r="L97" s="1097">
        <v>0</v>
      </c>
      <c r="M97" s="1097">
        <v>0</v>
      </c>
      <c r="N97" s="1097">
        <v>0</v>
      </c>
      <c r="O97" s="1097">
        <v>0</v>
      </c>
      <c r="P97" s="1097">
        <v>0</v>
      </c>
      <c r="Q97" s="1097">
        <v>0</v>
      </c>
      <c r="R97" s="1097">
        <v>0</v>
      </c>
      <c r="S97" s="1097">
        <v>0</v>
      </c>
      <c r="T97" s="1097">
        <v>0</v>
      </c>
      <c r="U97" s="1097">
        <v>0</v>
      </c>
      <c r="V97" s="1097">
        <v>0</v>
      </c>
      <c r="W97" s="1097">
        <v>0</v>
      </c>
      <c r="X97" s="1097">
        <v>0</v>
      </c>
      <c r="Y97" s="1097">
        <v>0</v>
      </c>
      <c r="Z97" s="1097">
        <v>0</v>
      </c>
      <c r="AA97" s="1097">
        <v>0</v>
      </c>
      <c r="AB97" s="1098">
        <v>0</v>
      </c>
      <c r="AD97" s="1100">
        <f t="shared" si="54"/>
        <v>0</v>
      </c>
      <c r="AE97" s="1101">
        <f t="shared" si="55"/>
        <v>0</v>
      </c>
      <c r="AF97" s="1101">
        <f t="shared" si="56"/>
        <v>0</v>
      </c>
      <c r="AG97" s="1101">
        <f t="shared" si="57"/>
        <v>0</v>
      </c>
      <c r="AH97" s="1101">
        <f t="shared" si="58"/>
        <v>0</v>
      </c>
      <c r="AI97" s="1101">
        <f t="shared" si="59"/>
        <v>0</v>
      </c>
      <c r="AJ97" s="1101">
        <f t="shared" si="60"/>
        <v>0</v>
      </c>
      <c r="AK97" s="1101">
        <f t="shared" si="61"/>
        <v>0</v>
      </c>
      <c r="AL97" s="1101">
        <f t="shared" si="62"/>
        <v>0</v>
      </c>
      <c r="AM97" s="1101">
        <f t="shared" si="63"/>
        <v>0</v>
      </c>
      <c r="AN97" s="1101">
        <f t="shared" si="64"/>
        <v>0</v>
      </c>
      <c r="AO97" s="1101">
        <f t="shared" si="65"/>
        <v>0</v>
      </c>
      <c r="AP97" s="1101">
        <f t="shared" si="66"/>
        <v>0</v>
      </c>
      <c r="AQ97" s="1101">
        <f t="shared" si="67"/>
        <v>0</v>
      </c>
      <c r="AR97" s="1101">
        <f t="shared" si="68"/>
        <v>0</v>
      </c>
      <c r="AS97" s="1101">
        <f t="shared" si="69"/>
        <v>0</v>
      </c>
      <c r="AT97" s="1101">
        <f t="shared" si="70"/>
        <v>0</v>
      </c>
      <c r="AU97" s="1101">
        <f t="shared" si="71"/>
        <v>0</v>
      </c>
      <c r="AV97" s="1101">
        <f t="shared" si="72"/>
        <v>0</v>
      </c>
      <c r="AW97" s="1101">
        <f t="shared" si="73"/>
        <v>0</v>
      </c>
      <c r="AX97" s="1101">
        <f t="shared" si="74"/>
        <v>0</v>
      </c>
      <c r="AY97" s="1101">
        <f t="shared" si="75"/>
        <v>0</v>
      </c>
      <c r="AZ97" s="1101">
        <f t="shared" si="76"/>
        <v>0</v>
      </c>
      <c r="BA97" s="1101">
        <f t="shared" si="77"/>
        <v>0</v>
      </c>
      <c r="BB97" s="1102">
        <f t="shared" si="78"/>
        <v>0</v>
      </c>
      <c r="BC97" s="1103"/>
    </row>
    <row r="98" spans="2:55" s="1099" customFormat="1" ht="15">
      <c r="B98" s="1074">
        <v>2027</v>
      </c>
      <c r="C98" s="1404" t="s">
        <v>855</v>
      </c>
      <c r="D98" s="1097">
        <v>26.859074999999997</v>
      </c>
      <c r="E98" s="1097">
        <v>26.859074999999997</v>
      </c>
      <c r="F98" s="1097">
        <v>26.859074999999997</v>
      </c>
      <c r="G98" s="1097">
        <v>26.859074999999997</v>
      </c>
      <c r="H98" s="1097">
        <v>26.859074999999997</v>
      </c>
      <c r="I98" s="1097">
        <v>26.859074999999997</v>
      </c>
      <c r="J98" s="1097">
        <v>26.859074999999997</v>
      </c>
      <c r="K98" s="1097">
        <v>26.859074999999997</v>
      </c>
      <c r="L98" s="1097">
        <v>26.859074999999997</v>
      </c>
      <c r="M98" s="1097">
        <v>26.859074999999997</v>
      </c>
      <c r="N98" s="1097">
        <v>26.859074999999997</v>
      </c>
      <c r="O98" s="1097">
        <v>26.859074999999997</v>
      </c>
      <c r="P98" s="1097">
        <v>26.859074999999997</v>
      </c>
      <c r="Q98" s="1097">
        <v>26.859074999999997</v>
      </c>
      <c r="R98" s="1097">
        <v>26.859074999999997</v>
      </c>
      <c r="S98" s="1097">
        <v>26.859074999999997</v>
      </c>
      <c r="T98" s="1097">
        <v>26.859074999999997</v>
      </c>
      <c r="U98" s="1097">
        <v>26.859074999999997</v>
      </c>
      <c r="V98" s="1097">
        <v>26.859074999999997</v>
      </c>
      <c r="W98" s="1097">
        <v>26.859074999999997</v>
      </c>
      <c r="X98" s="1097">
        <v>26.859074999999997</v>
      </c>
      <c r="Y98" s="1097">
        <v>26.859074999999997</v>
      </c>
      <c r="Z98" s="1097">
        <v>26.859074999999997</v>
      </c>
      <c r="AA98" s="1097">
        <v>26.859074999999997</v>
      </c>
      <c r="AB98" s="1098">
        <v>26.859074999999997</v>
      </c>
      <c r="AD98" s="1100">
        <f t="shared" si="54"/>
        <v>33.849165816884693</v>
      </c>
      <c r="AE98" s="1101">
        <f t="shared" si="55"/>
        <v>33.849165816884693</v>
      </c>
      <c r="AF98" s="1101">
        <f t="shared" si="56"/>
        <v>33.849165816884693</v>
      </c>
      <c r="AG98" s="1101">
        <f t="shared" si="57"/>
        <v>33.849165816884693</v>
      </c>
      <c r="AH98" s="1101">
        <f t="shared" si="58"/>
        <v>33.849165816884693</v>
      </c>
      <c r="AI98" s="1101">
        <f t="shared" si="59"/>
        <v>33.849165816884693</v>
      </c>
      <c r="AJ98" s="1101">
        <f t="shared" si="60"/>
        <v>33.849165816884693</v>
      </c>
      <c r="AK98" s="1101">
        <f t="shared" si="61"/>
        <v>33.849165816884693</v>
      </c>
      <c r="AL98" s="1101">
        <f t="shared" si="62"/>
        <v>33.849165816884693</v>
      </c>
      <c r="AM98" s="1101">
        <f t="shared" si="63"/>
        <v>33.849165816884693</v>
      </c>
      <c r="AN98" s="1101">
        <f t="shared" si="64"/>
        <v>33.849165816884693</v>
      </c>
      <c r="AO98" s="1101">
        <f t="shared" si="65"/>
        <v>33.849165816884693</v>
      </c>
      <c r="AP98" s="1101">
        <f t="shared" si="66"/>
        <v>33.849165816884693</v>
      </c>
      <c r="AQ98" s="1101">
        <f t="shared" si="67"/>
        <v>33.849165816884693</v>
      </c>
      <c r="AR98" s="1101">
        <f t="shared" si="68"/>
        <v>33.849165816884693</v>
      </c>
      <c r="AS98" s="1101">
        <f t="shared" si="69"/>
        <v>33.849165816884693</v>
      </c>
      <c r="AT98" s="1101">
        <f t="shared" si="70"/>
        <v>33.849165816884693</v>
      </c>
      <c r="AU98" s="1101">
        <f t="shared" si="71"/>
        <v>33.849165816884693</v>
      </c>
      <c r="AV98" s="1101">
        <f t="shared" si="72"/>
        <v>33.849165816884693</v>
      </c>
      <c r="AW98" s="1101">
        <f t="shared" si="73"/>
        <v>33.849165816884693</v>
      </c>
      <c r="AX98" s="1101">
        <f t="shared" si="74"/>
        <v>33.849165816884693</v>
      </c>
      <c r="AY98" s="1101">
        <f t="shared" si="75"/>
        <v>33.849165816884693</v>
      </c>
      <c r="AZ98" s="1101">
        <f t="shared" si="76"/>
        <v>33.849165816884693</v>
      </c>
      <c r="BA98" s="1101">
        <f t="shared" si="77"/>
        <v>33.849165816884693</v>
      </c>
      <c r="BB98" s="1102">
        <f t="shared" si="78"/>
        <v>33.849165816884693</v>
      </c>
      <c r="BC98" s="1103"/>
    </row>
    <row r="99" spans="2:55" s="1099" customFormat="1" ht="15">
      <c r="B99" s="1074">
        <v>2028</v>
      </c>
      <c r="C99" s="1404" t="s">
        <v>856</v>
      </c>
      <c r="D99" s="1097">
        <v>18.956202000000001</v>
      </c>
      <c r="E99" s="1097">
        <v>47.390505000000005</v>
      </c>
      <c r="F99" s="1097">
        <v>47.390505000000005</v>
      </c>
      <c r="G99" s="1097">
        <v>47.390505000000005</v>
      </c>
      <c r="H99" s="1097">
        <v>47.390505000000005</v>
      </c>
      <c r="I99" s="1097">
        <v>47.390505000000005</v>
      </c>
      <c r="J99" s="1097">
        <v>47.390505000000005</v>
      </c>
      <c r="K99" s="1097">
        <v>47.390505000000005</v>
      </c>
      <c r="L99" s="1097">
        <v>47.390505000000005</v>
      </c>
      <c r="M99" s="1097">
        <v>47.390505000000005</v>
      </c>
      <c r="N99" s="1097">
        <v>47.390505000000005</v>
      </c>
      <c r="O99" s="1097">
        <v>47.390505000000005</v>
      </c>
      <c r="P99" s="1097">
        <v>47.390505000000005</v>
      </c>
      <c r="Q99" s="1097">
        <v>47.390505000000005</v>
      </c>
      <c r="R99" s="1097">
        <v>47.390505000000005</v>
      </c>
      <c r="S99" s="1097">
        <v>47.390505000000005</v>
      </c>
      <c r="T99" s="1097">
        <v>47.390505000000005</v>
      </c>
      <c r="U99" s="1097">
        <v>47.390505000000005</v>
      </c>
      <c r="V99" s="1097">
        <v>47.390505000000005</v>
      </c>
      <c r="W99" s="1097">
        <v>47.390505000000005</v>
      </c>
      <c r="X99" s="1097">
        <v>47.390505000000005</v>
      </c>
      <c r="Y99" s="1097">
        <v>47.390505000000005</v>
      </c>
      <c r="Z99" s="1097">
        <v>47.390505000000005</v>
      </c>
      <c r="AA99" s="1097">
        <v>47.390505000000005</v>
      </c>
      <c r="AB99" s="1098">
        <v>47.390505000000005</v>
      </c>
      <c r="AD99" s="1100">
        <f t="shared" si="54"/>
        <v>23.889565249598554</v>
      </c>
      <c r="AE99" s="1101">
        <f t="shared" si="55"/>
        <v>59.723913123996397</v>
      </c>
      <c r="AF99" s="1101">
        <f t="shared" si="56"/>
        <v>59.723913123996397</v>
      </c>
      <c r="AG99" s="1101">
        <f t="shared" si="57"/>
        <v>59.723913123996397</v>
      </c>
      <c r="AH99" s="1101">
        <f t="shared" si="58"/>
        <v>59.723913123996397</v>
      </c>
      <c r="AI99" s="1101">
        <f t="shared" si="59"/>
        <v>59.723913123996397</v>
      </c>
      <c r="AJ99" s="1101">
        <f t="shared" si="60"/>
        <v>59.723913123996397</v>
      </c>
      <c r="AK99" s="1101">
        <f t="shared" si="61"/>
        <v>59.723913123996397</v>
      </c>
      <c r="AL99" s="1101">
        <f t="shared" si="62"/>
        <v>59.723913123996397</v>
      </c>
      <c r="AM99" s="1101">
        <f t="shared" si="63"/>
        <v>59.723913123996397</v>
      </c>
      <c r="AN99" s="1101">
        <f t="shared" si="64"/>
        <v>59.723913123996397</v>
      </c>
      <c r="AO99" s="1101">
        <f t="shared" si="65"/>
        <v>59.723913123996397</v>
      </c>
      <c r="AP99" s="1101">
        <f t="shared" si="66"/>
        <v>59.723913123996397</v>
      </c>
      <c r="AQ99" s="1101">
        <f t="shared" si="67"/>
        <v>59.723913123996397</v>
      </c>
      <c r="AR99" s="1101">
        <f t="shared" si="68"/>
        <v>59.723913123996397</v>
      </c>
      <c r="AS99" s="1101">
        <f t="shared" si="69"/>
        <v>59.723913123996397</v>
      </c>
      <c r="AT99" s="1101">
        <f t="shared" si="70"/>
        <v>59.723913123996397</v>
      </c>
      <c r="AU99" s="1101">
        <f t="shared" si="71"/>
        <v>59.723913123996397</v>
      </c>
      <c r="AV99" s="1101">
        <f t="shared" si="72"/>
        <v>59.723913123996397</v>
      </c>
      <c r="AW99" s="1101">
        <f t="shared" si="73"/>
        <v>59.723913123996397</v>
      </c>
      <c r="AX99" s="1101">
        <f t="shared" si="74"/>
        <v>59.723913123996397</v>
      </c>
      <c r="AY99" s="1101">
        <f t="shared" si="75"/>
        <v>59.723913123996397</v>
      </c>
      <c r="AZ99" s="1101">
        <f t="shared" si="76"/>
        <v>59.723913123996397</v>
      </c>
      <c r="BA99" s="1101">
        <f t="shared" si="77"/>
        <v>59.723913123996397</v>
      </c>
      <c r="BB99" s="1102">
        <f t="shared" si="78"/>
        <v>59.723913123996397</v>
      </c>
      <c r="BC99" s="1103"/>
    </row>
    <row r="100" spans="2:55" s="1099" customFormat="1" ht="15">
      <c r="B100" s="1074">
        <v>2029</v>
      </c>
      <c r="C100" s="1404" t="s">
        <v>857</v>
      </c>
      <c r="D100" s="1097">
        <v>20.199396</v>
      </c>
      <c r="E100" s="1097">
        <v>40.398792</v>
      </c>
      <c r="F100" s="1097">
        <v>70.697885999999997</v>
      </c>
      <c r="G100" s="1097">
        <v>70.697885999999997</v>
      </c>
      <c r="H100" s="1097">
        <v>70.697885999999997</v>
      </c>
      <c r="I100" s="1097">
        <v>70.697885999999997</v>
      </c>
      <c r="J100" s="1097">
        <v>70.697885999999997</v>
      </c>
      <c r="K100" s="1097">
        <v>70.697885999999997</v>
      </c>
      <c r="L100" s="1097">
        <v>70.697885999999997</v>
      </c>
      <c r="M100" s="1097">
        <v>70.697885999999997</v>
      </c>
      <c r="N100" s="1097">
        <v>70.697885999999997</v>
      </c>
      <c r="O100" s="1097">
        <v>70.697885999999997</v>
      </c>
      <c r="P100" s="1097">
        <v>70.697885999999997</v>
      </c>
      <c r="Q100" s="1097">
        <v>70.697885999999997</v>
      </c>
      <c r="R100" s="1097">
        <v>70.697885999999997</v>
      </c>
      <c r="S100" s="1097">
        <v>70.697885999999997</v>
      </c>
      <c r="T100" s="1097">
        <v>70.697885999999997</v>
      </c>
      <c r="U100" s="1097">
        <v>70.697885999999997</v>
      </c>
      <c r="V100" s="1097">
        <v>70.697885999999997</v>
      </c>
      <c r="W100" s="1097">
        <v>70.697885999999997</v>
      </c>
      <c r="X100" s="1097">
        <v>70.697885999999997</v>
      </c>
      <c r="Y100" s="1097">
        <v>70.697885999999997</v>
      </c>
      <c r="Z100" s="1097">
        <v>70.697885999999997</v>
      </c>
      <c r="AA100" s="1097">
        <v>70.697885999999997</v>
      </c>
      <c r="AB100" s="1098">
        <v>70.697885999999997</v>
      </c>
      <c r="AD100" s="1100">
        <f t="shared" si="54"/>
        <v>25.456301254042348</v>
      </c>
      <c r="AE100" s="1101">
        <f t="shared" si="55"/>
        <v>50.912602508084696</v>
      </c>
      <c r="AF100" s="1101">
        <f t="shared" si="56"/>
        <v>89.097054389148212</v>
      </c>
      <c r="AG100" s="1101">
        <f t="shared" si="57"/>
        <v>89.097054389148212</v>
      </c>
      <c r="AH100" s="1101">
        <f t="shared" si="58"/>
        <v>89.097054389148212</v>
      </c>
      <c r="AI100" s="1101">
        <f t="shared" si="59"/>
        <v>89.097054389148212</v>
      </c>
      <c r="AJ100" s="1101">
        <f t="shared" si="60"/>
        <v>89.097054389148212</v>
      </c>
      <c r="AK100" s="1101">
        <f t="shared" si="61"/>
        <v>89.097054389148212</v>
      </c>
      <c r="AL100" s="1101">
        <f t="shared" si="62"/>
        <v>89.097054389148212</v>
      </c>
      <c r="AM100" s="1101">
        <f t="shared" si="63"/>
        <v>89.097054389148212</v>
      </c>
      <c r="AN100" s="1101">
        <f t="shared" si="64"/>
        <v>89.097054389148212</v>
      </c>
      <c r="AO100" s="1101">
        <f t="shared" si="65"/>
        <v>89.097054389148212</v>
      </c>
      <c r="AP100" s="1101">
        <f t="shared" si="66"/>
        <v>89.097054389148212</v>
      </c>
      <c r="AQ100" s="1101">
        <f t="shared" si="67"/>
        <v>89.097054389148212</v>
      </c>
      <c r="AR100" s="1101">
        <f t="shared" si="68"/>
        <v>89.097054389148212</v>
      </c>
      <c r="AS100" s="1101">
        <f t="shared" si="69"/>
        <v>89.097054389148212</v>
      </c>
      <c r="AT100" s="1101">
        <f t="shared" si="70"/>
        <v>89.097054389148212</v>
      </c>
      <c r="AU100" s="1101">
        <f t="shared" si="71"/>
        <v>89.097054389148212</v>
      </c>
      <c r="AV100" s="1101">
        <f t="shared" si="72"/>
        <v>89.097054389148212</v>
      </c>
      <c r="AW100" s="1101">
        <f t="shared" si="73"/>
        <v>89.097054389148212</v>
      </c>
      <c r="AX100" s="1101">
        <f t="shared" si="74"/>
        <v>89.097054389148212</v>
      </c>
      <c r="AY100" s="1101">
        <f t="shared" si="75"/>
        <v>89.097054389148212</v>
      </c>
      <c r="AZ100" s="1101">
        <f t="shared" si="76"/>
        <v>89.097054389148212</v>
      </c>
      <c r="BA100" s="1101">
        <f t="shared" si="77"/>
        <v>89.097054389148212</v>
      </c>
      <c r="BB100" s="1102">
        <f t="shared" si="78"/>
        <v>89.097054389148212</v>
      </c>
      <c r="BC100" s="1103"/>
    </row>
    <row r="101" spans="2:55" s="1099" customFormat="1" ht="15">
      <c r="B101" s="1074">
        <v>2030</v>
      </c>
      <c r="C101" s="1404" t="s">
        <v>858</v>
      </c>
      <c r="D101" s="1097">
        <v>19.548700000000004</v>
      </c>
      <c r="E101" s="1097">
        <v>39.097400000000007</v>
      </c>
      <c r="F101" s="1097">
        <v>58.646100000000018</v>
      </c>
      <c r="G101" s="1097">
        <v>87.969150000000027</v>
      </c>
      <c r="H101" s="1097">
        <v>87.969150000000027</v>
      </c>
      <c r="I101" s="1097">
        <v>87.969150000000027</v>
      </c>
      <c r="J101" s="1097">
        <v>87.969150000000027</v>
      </c>
      <c r="K101" s="1097">
        <v>87.969150000000027</v>
      </c>
      <c r="L101" s="1097">
        <v>87.969150000000027</v>
      </c>
      <c r="M101" s="1097">
        <v>87.969150000000027</v>
      </c>
      <c r="N101" s="1097">
        <v>87.969150000000027</v>
      </c>
      <c r="O101" s="1097">
        <v>87.969150000000027</v>
      </c>
      <c r="P101" s="1097">
        <v>87.969150000000027</v>
      </c>
      <c r="Q101" s="1097">
        <v>87.969150000000027</v>
      </c>
      <c r="R101" s="1097">
        <v>87.969150000000027</v>
      </c>
      <c r="S101" s="1097">
        <v>87.969150000000027</v>
      </c>
      <c r="T101" s="1097">
        <v>87.969150000000027</v>
      </c>
      <c r="U101" s="1097">
        <v>87.969150000000027</v>
      </c>
      <c r="V101" s="1097">
        <v>87.969150000000027</v>
      </c>
      <c r="W101" s="1097">
        <v>87.969150000000027</v>
      </c>
      <c r="X101" s="1097">
        <v>87.969150000000027</v>
      </c>
      <c r="Y101" s="1097">
        <v>87.969150000000027</v>
      </c>
      <c r="Z101" s="1097">
        <v>87.969150000000027</v>
      </c>
      <c r="AA101" s="1097">
        <v>87.969150000000027</v>
      </c>
      <c r="AB101" s="1098">
        <v>87.969150000000027</v>
      </c>
      <c r="AD101" s="1100">
        <f t="shared" si="54"/>
        <v>24.636261219142284</v>
      </c>
      <c r="AE101" s="1101">
        <f t="shared" si="55"/>
        <v>49.272522438284568</v>
      </c>
      <c r="AF101" s="1101">
        <f t="shared" si="56"/>
        <v>73.908783657426852</v>
      </c>
      <c r="AG101" s="1101">
        <f t="shared" si="57"/>
        <v>110.86317548614028</v>
      </c>
      <c r="AH101" s="1101">
        <f t="shared" si="58"/>
        <v>110.86317548614028</v>
      </c>
      <c r="AI101" s="1101">
        <f t="shared" si="59"/>
        <v>110.86317548614028</v>
      </c>
      <c r="AJ101" s="1101">
        <f t="shared" si="60"/>
        <v>110.86317548614028</v>
      </c>
      <c r="AK101" s="1101">
        <f t="shared" si="61"/>
        <v>110.86317548614028</v>
      </c>
      <c r="AL101" s="1101">
        <f t="shared" si="62"/>
        <v>110.86317548614028</v>
      </c>
      <c r="AM101" s="1101">
        <f t="shared" si="63"/>
        <v>110.86317548614028</v>
      </c>
      <c r="AN101" s="1101">
        <f t="shared" si="64"/>
        <v>110.86317548614028</v>
      </c>
      <c r="AO101" s="1101">
        <f t="shared" si="65"/>
        <v>110.86317548614028</v>
      </c>
      <c r="AP101" s="1101">
        <f t="shared" si="66"/>
        <v>110.86317548614028</v>
      </c>
      <c r="AQ101" s="1101">
        <f t="shared" si="67"/>
        <v>110.86317548614028</v>
      </c>
      <c r="AR101" s="1101">
        <f t="shared" si="68"/>
        <v>110.86317548614028</v>
      </c>
      <c r="AS101" s="1101">
        <f t="shared" si="69"/>
        <v>110.86317548614028</v>
      </c>
      <c r="AT101" s="1101">
        <f t="shared" si="70"/>
        <v>110.86317548614028</v>
      </c>
      <c r="AU101" s="1101">
        <f t="shared" si="71"/>
        <v>110.86317548614028</v>
      </c>
      <c r="AV101" s="1101">
        <f t="shared" si="72"/>
        <v>110.86317548614028</v>
      </c>
      <c r="AW101" s="1101">
        <f t="shared" si="73"/>
        <v>110.86317548614028</v>
      </c>
      <c r="AX101" s="1101">
        <f t="shared" si="74"/>
        <v>110.86317548614028</v>
      </c>
      <c r="AY101" s="1101">
        <f t="shared" si="75"/>
        <v>110.86317548614028</v>
      </c>
      <c r="AZ101" s="1101">
        <f t="shared" si="76"/>
        <v>110.86317548614028</v>
      </c>
      <c r="BA101" s="1101">
        <f t="shared" si="77"/>
        <v>110.86317548614028</v>
      </c>
      <c r="BB101" s="1102">
        <f t="shared" si="78"/>
        <v>110.86317548614028</v>
      </c>
      <c r="BC101" s="1103"/>
    </row>
    <row r="102" spans="2:55" s="1099" customFormat="1" ht="15">
      <c r="B102" s="1074">
        <v>2031</v>
      </c>
      <c r="C102" s="1404" t="s">
        <v>859</v>
      </c>
      <c r="D102" s="1097">
        <v>9.4781010000000006</v>
      </c>
      <c r="E102" s="1097">
        <v>28.434303000000007</v>
      </c>
      <c r="F102" s="1097">
        <v>47.390505000000005</v>
      </c>
      <c r="G102" s="1097">
        <v>66.346707000000009</v>
      </c>
      <c r="H102" s="1097">
        <v>94.781010000000009</v>
      </c>
      <c r="I102" s="1097">
        <v>94.781010000000009</v>
      </c>
      <c r="J102" s="1097">
        <v>94.781010000000009</v>
      </c>
      <c r="K102" s="1097">
        <v>94.781010000000009</v>
      </c>
      <c r="L102" s="1097">
        <v>94.781010000000009</v>
      </c>
      <c r="M102" s="1097">
        <v>94.781010000000009</v>
      </c>
      <c r="N102" s="1097">
        <v>94.781010000000009</v>
      </c>
      <c r="O102" s="1097">
        <v>94.781010000000009</v>
      </c>
      <c r="P102" s="1097">
        <v>94.781010000000009</v>
      </c>
      <c r="Q102" s="1097">
        <v>94.781010000000009</v>
      </c>
      <c r="R102" s="1097">
        <v>94.781010000000009</v>
      </c>
      <c r="S102" s="1097">
        <v>94.781010000000009</v>
      </c>
      <c r="T102" s="1097">
        <v>94.781010000000009</v>
      </c>
      <c r="U102" s="1097">
        <v>94.781010000000009</v>
      </c>
      <c r="V102" s="1097">
        <v>94.781010000000009</v>
      </c>
      <c r="W102" s="1097">
        <v>94.781010000000009</v>
      </c>
      <c r="X102" s="1097">
        <v>94.781010000000009</v>
      </c>
      <c r="Y102" s="1097">
        <v>94.781010000000009</v>
      </c>
      <c r="Z102" s="1097">
        <v>94.781010000000009</v>
      </c>
      <c r="AA102" s="1097">
        <v>94.781010000000009</v>
      </c>
      <c r="AB102" s="1098">
        <v>94.781010000000009</v>
      </c>
      <c r="AD102" s="1100">
        <f t="shared" si="54"/>
        <v>11.944782624799277</v>
      </c>
      <c r="AE102" s="1101">
        <f t="shared" si="55"/>
        <v>35.834347874397842</v>
      </c>
      <c r="AF102" s="1101">
        <f t="shared" si="56"/>
        <v>59.723913123996397</v>
      </c>
      <c r="AG102" s="1101">
        <f t="shared" si="57"/>
        <v>83.613478373594958</v>
      </c>
      <c r="AH102" s="1101">
        <f t="shared" si="58"/>
        <v>119.44782624799279</v>
      </c>
      <c r="AI102" s="1101">
        <f t="shared" si="59"/>
        <v>119.44782624799279</v>
      </c>
      <c r="AJ102" s="1101">
        <f t="shared" si="60"/>
        <v>119.44782624799279</v>
      </c>
      <c r="AK102" s="1101">
        <f t="shared" si="61"/>
        <v>119.44782624799279</v>
      </c>
      <c r="AL102" s="1101">
        <f t="shared" si="62"/>
        <v>119.44782624799279</v>
      </c>
      <c r="AM102" s="1101">
        <f t="shared" si="63"/>
        <v>119.44782624799279</v>
      </c>
      <c r="AN102" s="1101">
        <f t="shared" si="64"/>
        <v>119.44782624799279</v>
      </c>
      <c r="AO102" s="1101">
        <f t="shared" si="65"/>
        <v>119.44782624799279</v>
      </c>
      <c r="AP102" s="1101">
        <f t="shared" si="66"/>
        <v>119.44782624799279</v>
      </c>
      <c r="AQ102" s="1101">
        <f t="shared" si="67"/>
        <v>119.44782624799279</v>
      </c>
      <c r="AR102" s="1101">
        <f t="shared" si="68"/>
        <v>119.44782624799279</v>
      </c>
      <c r="AS102" s="1101">
        <f t="shared" si="69"/>
        <v>119.44782624799279</v>
      </c>
      <c r="AT102" s="1101">
        <f t="shared" si="70"/>
        <v>119.44782624799279</v>
      </c>
      <c r="AU102" s="1101">
        <f t="shared" si="71"/>
        <v>119.44782624799279</v>
      </c>
      <c r="AV102" s="1101">
        <f t="shared" si="72"/>
        <v>119.44782624799279</v>
      </c>
      <c r="AW102" s="1101">
        <f t="shared" si="73"/>
        <v>119.44782624799279</v>
      </c>
      <c r="AX102" s="1101">
        <f t="shared" si="74"/>
        <v>119.44782624799279</v>
      </c>
      <c r="AY102" s="1101">
        <f t="shared" si="75"/>
        <v>119.44782624799279</v>
      </c>
      <c r="AZ102" s="1101">
        <f t="shared" si="76"/>
        <v>119.44782624799279</v>
      </c>
      <c r="BA102" s="1101">
        <f t="shared" si="77"/>
        <v>119.44782624799279</v>
      </c>
      <c r="BB102" s="1102">
        <f t="shared" si="78"/>
        <v>119.44782624799279</v>
      </c>
      <c r="BC102" s="1103"/>
    </row>
    <row r="103" spans="2:55" s="1099" customFormat="1" ht="15">
      <c r="B103" s="1074">
        <v>2032</v>
      </c>
      <c r="C103" s="1404" t="s">
        <v>860</v>
      </c>
      <c r="D103" s="1097">
        <v>0</v>
      </c>
      <c r="E103" s="1097">
        <v>10.099698</v>
      </c>
      <c r="F103" s="1097">
        <v>30.299094000000004</v>
      </c>
      <c r="G103" s="1097">
        <v>50.498489999999997</v>
      </c>
      <c r="H103" s="1097">
        <v>70.697885999999997</v>
      </c>
      <c r="I103" s="1097">
        <v>100.99697999999999</v>
      </c>
      <c r="J103" s="1097">
        <v>100.99697999999999</v>
      </c>
      <c r="K103" s="1097">
        <v>100.99697999999999</v>
      </c>
      <c r="L103" s="1097">
        <v>100.99697999999999</v>
      </c>
      <c r="M103" s="1097">
        <v>100.99697999999999</v>
      </c>
      <c r="N103" s="1097">
        <v>100.99697999999999</v>
      </c>
      <c r="O103" s="1097">
        <v>100.99697999999999</v>
      </c>
      <c r="P103" s="1097">
        <v>100.99697999999999</v>
      </c>
      <c r="Q103" s="1097">
        <v>100.99697999999999</v>
      </c>
      <c r="R103" s="1097">
        <v>100.99697999999999</v>
      </c>
      <c r="S103" s="1097">
        <v>100.99697999999999</v>
      </c>
      <c r="T103" s="1097">
        <v>100.99697999999999</v>
      </c>
      <c r="U103" s="1097">
        <v>100.99697999999999</v>
      </c>
      <c r="V103" s="1097">
        <v>100.99697999999999</v>
      </c>
      <c r="W103" s="1097">
        <v>100.99697999999999</v>
      </c>
      <c r="X103" s="1097">
        <v>100.99697999999999</v>
      </c>
      <c r="Y103" s="1097">
        <v>100.99697999999999</v>
      </c>
      <c r="Z103" s="1097">
        <v>100.99697999999999</v>
      </c>
      <c r="AA103" s="1097">
        <v>100.99697999999999</v>
      </c>
      <c r="AB103" s="1098">
        <v>100.99697999999999</v>
      </c>
      <c r="AD103" s="1100">
        <f t="shared" si="54"/>
        <v>0</v>
      </c>
      <c r="AE103" s="1101">
        <f t="shared" si="55"/>
        <v>12.728150627021174</v>
      </c>
      <c r="AF103" s="1101">
        <f t="shared" si="56"/>
        <v>38.184451881063524</v>
      </c>
      <c r="AG103" s="1101">
        <f t="shared" si="57"/>
        <v>63.640753135105854</v>
      </c>
      <c r="AH103" s="1101">
        <f t="shared" si="58"/>
        <v>89.097054389148212</v>
      </c>
      <c r="AI103" s="1101">
        <f t="shared" si="59"/>
        <v>127.28150627021171</v>
      </c>
      <c r="AJ103" s="1101">
        <f t="shared" si="60"/>
        <v>127.28150627021171</v>
      </c>
      <c r="AK103" s="1101">
        <f t="shared" si="61"/>
        <v>127.28150627021171</v>
      </c>
      <c r="AL103" s="1101">
        <f t="shared" si="62"/>
        <v>127.28150627021171</v>
      </c>
      <c r="AM103" s="1101">
        <f t="shared" si="63"/>
        <v>127.28150627021171</v>
      </c>
      <c r="AN103" s="1101">
        <f t="shared" si="64"/>
        <v>127.28150627021171</v>
      </c>
      <c r="AO103" s="1101">
        <f t="shared" si="65"/>
        <v>127.28150627021171</v>
      </c>
      <c r="AP103" s="1101">
        <f t="shared" si="66"/>
        <v>127.28150627021171</v>
      </c>
      <c r="AQ103" s="1101">
        <f t="shared" si="67"/>
        <v>127.28150627021171</v>
      </c>
      <c r="AR103" s="1101">
        <f t="shared" si="68"/>
        <v>127.28150627021171</v>
      </c>
      <c r="AS103" s="1101">
        <f t="shared" si="69"/>
        <v>127.28150627021171</v>
      </c>
      <c r="AT103" s="1101">
        <f t="shared" si="70"/>
        <v>127.28150627021171</v>
      </c>
      <c r="AU103" s="1101">
        <f t="shared" si="71"/>
        <v>127.28150627021171</v>
      </c>
      <c r="AV103" s="1101">
        <f t="shared" si="72"/>
        <v>127.28150627021171</v>
      </c>
      <c r="AW103" s="1101">
        <f t="shared" si="73"/>
        <v>127.28150627021171</v>
      </c>
      <c r="AX103" s="1101">
        <f t="shared" si="74"/>
        <v>127.28150627021171</v>
      </c>
      <c r="AY103" s="1101">
        <f t="shared" si="75"/>
        <v>127.28150627021171</v>
      </c>
      <c r="AZ103" s="1101">
        <f t="shared" si="76"/>
        <v>127.28150627021171</v>
      </c>
      <c r="BA103" s="1101">
        <f t="shared" si="77"/>
        <v>127.28150627021171</v>
      </c>
      <c r="BB103" s="1102">
        <f t="shared" si="78"/>
        <v>127.28150627021171</v>
      </c>
      <c r="BC103" s="1103"/>
    </row>
    <row r="104" spans="2:55" s="1099" customFormat="1" ht="15">
      <c r="B104" s="1074">
        <v>2033</v>
      </c>
      <c r="C104" s="1404" t="s">
        <v>861</v>
      </c>
      <c r="D104" s="1097">
        <v>0</v>
      </c>
      <c r="E104" s="1097">
        <v>0</v>
      </c>
      <c r="F104" s="1097">
        <v>9.7743500000000019</v>
      </c>
      <c r="G104" s="1097">
        <v>29.323050000000009</v>
      </c>
      <c r="H104" s="1097">
        <v>48.871750000000006</v>
      </c>
      <c r="I104" s="1097">
        <v>68.420450000000002</v>
      </c>
      <c r="J104" s="1097">
        <v>97.743500000000012</v>
      </c>
      <c r="K104" s="1097">
        <v>97.743500000000012</v>
      </c>
      <c r="L104" s="1097">
        <v>97.743500000000012</v>
      </c>
      <c r="M104" s="1097">
        <v>97.743500000000012</v>
      </c>
      <c r="N104" s="1097">
        <v>97.743500000000012</v>
      </c>
      <c r="O104" s="1097">
        <v>97.743500000000012</v>
      </c>
      <c r="P104" s="1097">
        <v>97.743500000000012</v>
      </c>
      <c r="Q104" s="1097">
        <v>97.743500000000012</v>
      </c>
      <c r="R104" s="1097">
        <v>97.743500000000012</v>
      </c>
      <c r="S104" s="1097">
        <v>97.743500000000012</v>
      </c>
      <c r="T104" s="1097">
        <v>97.743500000000012</v>
      </c>
      <c r="U104" s="1097">
        <v>97.743500000000012</v>
      </c>
      <c r="V104" s="1097">
        <v>97.743500000000012</v>
      </c>
      <c r="W104" s="1097">
        <v>97.743500000000012</v>
      </c>
      <c r="X104" s="1097">
        <v>97.743500000000012</v>
      </c>
      <c r="Y104" s="1097">
        <v>97.743500000000012</v>
      </c>
      <c r="Z104" s="1097">
        <v>97.743500000000012</v>
      </c>
      <c r="AA104" s="1097">
        <v>97.743500000000012</v>
      </c>
      <c r="AB104" s="1098">
        <v>97.743500000000012</v>
      </c>
      <c r="AD104" s="1100">
        <f t="shared" si="54"/>
        <v>0</v>
      </c>
      <c r="AE104" s="1101">
        <f t="shared" si="55"/>
        <v>0</v>
      </c>
      <c r="AF104" s="1101">
        <f t="shared" si="56"/>
        <v>12.318130609571142</v>
      </c>
      <c r="AG104" s="1101">
        <f t="shared" si="57"/>
        <v>36.954391828713426</v>
      </c>
      <c r="AH104" s="1101">
        <f t="shared" si="58"/>
        <v>61.590653047855696</v>
      </c>
      <c r="AI104" s="1101">
        <f t="shared" si="59"/>
        <v>86.226914266997952</v>
      </c>
      <c r="AJ104" s="1101">
        <f t="shared" si="60"/>
        <v>123.18130609571139</v>
      </c>
      <c r="AK104" s="1101">
        <f t="shared" si="61"/>
        <v>123.18130609571139</v>
      </c>
      <c r="AL104" s="1101">
        <f t="shared" si="62"/>
        <v>123.18130609571139</v>
      </c>
      <c r="AM104" s="1101">
        <f t="shared" si="63"/>
        <v>123.18130609571139</v>
      </c>
      <c r="AN104" s="1101">
        <f t="shared" si="64"/>
        <v>123.18130609571139</v>
      </c>
      <c r="AO104" s="1101">
        <f t="shared" si="65"/>
        <v>123.18130609571139</v>
      </c>
      <c r="AP104" s="1101">
        <f t="shared" si="66"/>
        <v>123.18130609571139</v>
      </c>
      <c r="AQ104" s="1101">
        <f t="shared" si="67"/>
        <v>123.18130609571139</v>
      </c>
      <c r="AR104" s="1101">
        <f t="shared" si="68"/>
        <v>123.18130609571139</v>
      </c>
      <c r="AS104" s="1101">
        <f t="shared" si="69"/>
        <v>123.18130609571139</v>
      </c>
      <c r="AT104" s="1101">
        <f t="shared" si="70"/>
        <v>123.18130609571139</v>
      </c>
      <c r="AU104" s="1101">
        <f t="shared" si="71"/>
        <v>123.18130609571139</v>
      </c>
      <c r="AV104" s="1101">
        <f t="shared" si="72"/>
        <v>123.18130609571139</v>
      </c>
      <c r="AW104" s="1101">
        <f t="shared" si="73"/>
        <v>123.18130609571139</v>
      </c>
      <c r="AX104" s="1101">
        <f t="shared" si="74"/>
        <v>123.18130609571139</v>
      </c>
      <c r="AY104" s="1101">
        <f t="shared" si="75"/>
        <v>123.18130609571139</v>
      </c>
      <c r="AZ104" s="1101">
        <f t="shared" si="76"/>
        <v>123.18130609571139</v>
      </c>
      <c r="BA104" s="1101">
        <f t="shared" si="77"/>
        <v>123.18130609571139</v>
      </c>
      <c r="BB104" s="1102">
        <f t="shared" si="78"/>
        <v>123.18130609571139</v>
      </c>
      <c r="BC104" s="1103"/>
    </row>
    <row r="105" spans="2:55" s="1099" customFormat="1" ht="15">
      <c r="B105" s="1074">
        <v>2034</v>
      </c>
      <c r="C105" s="1404" t="s">
        <v>862</v>
      </c>
      <c r="D105" s="1097">
        <v>0</v>
      </c>
      <c r="E105" s="1097">
        <v>0</v>
      </c>
      <c r="F105" s="1097">
        <v>0</v>
      </c>
      <c r="G105" s="1097">
        <v>9.4781010000000006</v>
      </c>
      <c r="H105" s="1097">
        <v>28.434303000000007</v>
      </c>
      <c r="I105" s="1097">
        <v>47.390505000000005</v>
      </c>
      <c r="J105" s="1097">
        <v>66.346707000000009</v>
      </c>
      <c r="K105" s="1097">
        <v>94.781010000000009</v>
      </c>
      <c r="L105" s="1097">
        <v>94.781010000000009</v>
      </c>
      <c r="M105" s="1097">
        <v>94.781010000000009</v>
      </c>
      <c r="N105" s="1097">
        <v>94.781010000000009</v>
      </c>
      <c r="O105" s="1097">
        <v>94.781010000000009</v>
      </c>
      <c r="P105" s="1097">
        <v>94.781010000000009</v>
      </c>
      <c r="Q105" s="1097">
        <v>94.781010000000009</v>
      </c>
      <c r="R105" s="1097">
        <v>94.781010000000009</v>
      </c>
      <c r="S105" s="1097">
        <v>94.781010000000009</v>
      </c>
      <c r="T105" s="1097">
        <v>94.781010000000009</v>
      </c>
      <c r="U105" s="1097">
        <v>94.781010000000009</v>
      </c>
      <c r="V105" s="1097">
        <v>94.781010000000009</v>
      </c>
      <c r="W105" s="1097">
        <v>94.781010000000009</v>
      </c>
      <c r="X105" s="1097">
        <v>94.781010000000009</v>
      </c>
      <c r="Y105" s="1097">
        <v>94.781010000000009</v>
      </c>
      <c r="Z105" s="1097">
        <v>94.781010000000009</v>
      </c>
      <c r="AA105" s="1097">
        <v>94.781010000000009</v>
      </c>
      <c r="AB105" s="1098">
        <v>94.781010000000009</v>
      </c>
      <c r="AD105" s="1100">
        <f t="shared" si="54"/>
        <v>0</v>
      </c>
      <c r="AE105" s="1101">
        <f t="shared" si="55"/>
        <v>0</v>
      </c>
      <c r="AF105" s="1101">
        <f t="shared" si="56"/>
        <v>0</v>
      </c>
      <c r="AG105" s="1101">
        <f t="shared" si="57"/>
        <v>11.944782624799277</v>
      </c>
      <c r="AH105" s="1101">
        <f t="shared" si="58"/>
        <v>35.834347874397842</v>
      </c>
      <c r="AI105" s="1101">
        <f t="shared" si="59"/>
        <v>59.723913123996397</v>
      </c>
      <c r="AJ105" s="1101">
        <f t="shared" si="60"/>
        <v>83.613478373594958</v>
      </c>
      <c r="AK105" s="1101">
        <f t="shared" si="61"/>
        <v>119.44782624799279</v>
      </c>
      <c r="AL105" s="1101">
        <f t="shared" si="62"/>
        <v>119.44782624799279</v>
      </c>
      <c r="AM105" s="1101">
        <f t="shared" si="63"/>
        <v>119.44782624799279</v>
      </c>
      <c r="AN105" s="1101">
        <f t="shared" si="64"/>
        <v>119.44782624799279</v>
      </c>
      <c r="AO105" s="1101">
        <f t="shared" si="65"/>
        <v>119.44782624799279</v>
      </c>
      <c r="AP105" s="1101">
        <f t="shared" si="66"/>
        <v>119.44782624799279</v>
      </c>
      <c r="AQ105" s="1101">
        <f t="shared" si="67"/>
        <v>119.44782624799279</v>
      </c>
      <c r="AR105" s="1101">
        <f t="shared" si="68"/>
        <v>119.44782624799279</v>
      </c>
      <c r="AS105" s="1101">
        <f t="shared" si="69"/>
        <v>119.44782624799279</v>
      </c>
      <c r="AT105" s="1101">
        <f t="shared" si="70"/>
        <v>119.44782624799279</v>
      </c>
      <c r="AU105" s="1101">
        <f t="shared" si="71"/>
        <v>119.44782624799279</v>
      </c>
      <c r="AV105" s="1101">
        <f t="shared" si="72"/>
        <v>119.44782624799279</v>
      </c>
      <c r="AW105" s="1101">
        <f t="shared" si="73"/>
        <v>119.44782624799279</v>
      </c>
      <c r="AX105" s="1101">
        <f t="shared" si="74"/>
        <v>119.44782624799279</v>
      </c>
      <c r="AY105" s="1101">
        <f t="shared" si="75"/>
        <v>119.44782624799279</v>
      </c>
      <c r="AZ105" s="1101">
        <f t="shared" si="76"/>
        <v>119.44782624799279</v>
      </c>
      <c r="BA105" s="1101">
        <f t="shared" si="77"/>
        <v>119.44782624799279</v>
      </c>
      <c r="BB105" s="1102">
        <f t="shared" si="78"/>
        <v>119.44782624799279</v>
      </c>
      <c r="BC105" s="1103"/>
    </row>
    <row r="106" spans="2:55" s="1099" customFormat="1" ht="15">
      <c r="B106" s="1074">
        <v>2035</v>
      </c>
      <c r="C106" s="1404" t="s">
        <v>863</v>
      </c>
      <c r="D106" s="1097">
        <v>0</v>
      </c>
      <c r="E106" s="1097">
        <v>0</v>
      </c>
      <c r="F106" s="1097">
        <v>0</v>
      </c>
      <c r="G106" s="1097">
        <v>0</v>
      </c>
      <c r="H106" s="1097">
        <v>10.099698</v>
      </c>
      <c r="I106" s="1097">
        <v>30.299094000000004</v>
      </c>
      <c r="J106" s="1097">
        <v>50.498489999999997</v>
      </c>
      <c r="K106" s="1097">
        <v>70.697885999999997</v>
      </c>
      <c r="L106" s="1097">
        <v>100.99697999999999</v>
      </c>
      <c r="M106" s="1097">
        <v>100.99697999999999</v>
      </c>
      <c r="N106" s="1097">
        <v>100.99697999999999</v>
      </c>
      <c r="O106" s="1097">
        <v>100.99697999999999</v>
      </c>
      <c r="P106" s="1097">
        <v>100.99697999999999</v>
      </c>
      <c r="Q106" s="1097">
        <v>100.99697999999999</v>
      </c>
      <c r="R106" s="1097">
        <v>100.99697999999999</v>
      </c>
      <c r="S106" s="1097">
        <v>100.99697999999999</v>
      </c>
      <c r="T106" s="1097">
        <v>100.99697999999999</v>
      </c>
      <c r="U106" s="1097">
        <v>100.99697999999999</v>
      </c>
      <c r="V106" s="1097">
        <v>100.99697999999999</v>
      </c>
      <c r="W106" s="1097">
        <v>100.99697999999999</v>
      </c>
      <c r="X106" s="1097">
        <v>100.99697999999999</v>
      </c>
      <c r="Y106" s="1097">
        <v>100.99697999999999</v>
      </c>
      <c r="Z106" s="1097">
        <v>100.99697999999999</v>
      </c>
      <c r="AA106" s="1097">
        <v>100.99697999999999</v>
      </c>
      <c r="AB106" s="1098">
        <v>100.99697999999999</v>
      </c>
      <c r="AD106" s="1100">
        <f t="shared" si="54"/>
        <v>0</v>
      </c>
      <c r="AE106" s="1101">
        <f t="shared" si="55"/>
        <v>0</v>
      </c>
      <c r="AF106" s="1101">
        <f t="shared" si="56"/>
        <v>0</v>
      </c>
      <c r="AG106" s="1101">
        <f t="shared" si="57"/>
        <v>0</v>
      </c>
      <c r="AH106" s="1101">
        <f t="shared" si="58"/>
        <v>12.728150627021174</v>
      </c>
      <c r="AI106" s="1101">
        <f t="shared" si="59"/>
        <v>38.184451881063524</v>
      </c>
      <c r="AJ106" s="1101">
        <f t="shared" si="60"/>
        <v>63.640753135105854</v>
      </c>
      <c r="AK106" s="1101">
        <f t="shared" si="61"/>
        <v>89.097054389148212</v>
      </c>
      <c r="AL106" s="1101">
        <f t="shared" si="62"/>
        <v>127.28150627021171</v>
      </c>
      <c r="AM106" s="1101">
        <f t="shared" si="63"/>
        <v>127.28150627021171</v>
      </c>
      <c r="AN106" s="1101">
        <f t="shared" si="64"/>
        <v>127.28150627021171</v>
      </c>
      <c r="AO106" s="1101">
        <f t="shared" si="65"/>
        <v>127.28150627021171</v>
      </c>
      <c r="AP106" s="1101">
        <f t="shared" si="66"/>
        <v>127.28150627021171</v>
      </c>
      <c r="AQ106" s="1101">
        <f t="shared" si="67"/>
        <v>127.28150627021171</v>
      </c>
      <c r="AR106" s="1101">
        <f t="shared" si="68"/>
        <v>127.28150627021171</v>
      </c>
      <c r="AS106" s="1101">
        <f t="shared" si="69"/>
        <v>127.28150627021171</v>
      </c>
      <c r="AT106" s="1101">
        <f t="shared" si="70"/>
        <v>127.28150627021171</v>
      </c>
      <c r="AU106" s="1101">
        <f t="shared" si="71"/>
        <v>127.28150627021171</v>
      </c>
      <c r="AV106" s="1101">
        <f t="shared" si="72"/>
        <v>127.28150627021171</v>
      </c>
      <c r="AW106" s="1101">
        <f t="shared" si="73"/>
        <v>127.28150627021171</v>
      </c>
      <c r="AX106" s="1101">
        <f t="shared" si="74"/>
        <v>127.28150627021171</v>
      </c>
      <c r="AY106" s="1101">
        <f t="shared" si="75"/>
        <v>127.28150627021171</v>
      </c>
      <c r="AZ106" s="1101">
        <f t="shared" si="76"/>
        <v>127.28150627021171</v>
      </c>
      <c r="BA106" s="1101">
        <f t="shared" si="77"/>
        <v>127.28150627021171</v>
      </c>
      <c r="BB106" s="1102">
        <f t="shared" si="78"/>
        <v>127.28150627021171</v>
      </c>
      <c r="BC106" s="1103"/>
    </row>
    <row r="107" spans="2:55" s="1099" customFormat="1" ht="15">
      <c r="B107" s="1074">
        <v>2036</v>
      </c>
      <c r="C107" s="1404" t="s">
        <v>864</v>
      </c>
      <c r="D107" s="1097">
        <v>0</v>
      </c>
      <c r="E107" s="1097">
        <v>0</v>
      </c>
      <c r="F107" s="1097">
        <v>0</v>
      </c>
      <c r="G107" s="1097">
        <v>0</v>
      </c>
      <c r="H107" s="1097">
        <v>0</v>
      </c>
      <c r="I107" s="1097">
        <v>10.261439391310571</v>
      </c>
      <c r="J107" s="1097">
        <v>30.784318173931716</v>
      </c>
      <c r="K107" s="1097">
        <v>51.307196956552851</v>
      </c>
      <c r="L107" s="1097">
        <v>71.830075739173992</v>
      </c>
      <c r="M107" s="1097">
        <v>102.6143939131057</v>
      </c>
      <c r="N107" s="1097">
        <v>102.6143939131057</v>
      </c>
      <c r="O107" s="1097">
        <v>102.6143939131057</v>
      </c>
      <c r="P107" s="1097">
        <v>102.6143939131057</v>
      </c>
      <c r="Q107" s="1097">
        <v>102.6143939131057</v>
      </c>
      <c r="R107" s="1097">
        <v>102.6143939131057</v>
      </c>
      <c r="S107" s="1097">
        <v>102.6143939131057</v>
      </c>
      <c r="T107" s="1097">
        <v>102.6143939131057</v>
      </c>
      <c r="U107" s="1097">
        <v>102.6143939131057</v>
      </c>
      <c r="V107" s="1097">
        <v>102.6143939131057</v>
      </c>
      <c r="W107" s="1097">
        <v>102.6143939131057</v>
      </c>
      <c r="X107" s="1097">
        <v>102.6143939131057</v>
      </c>
      <c r="Y107" s="1097">
        <v>102.6143939131057</v>
      </c>
      <c r="Z107" s="1097">
        <v>102.6143939131057</v>
      </c>
      <c r="AA107" s="1097">
        <v>102.6143939131057</v>
      </c>
      <c r="AB107" s="1098">
        <v>102.6143939131057</v>
      </c>
      <c r="AD107" s="1100">
        <f t="shared" si="54"/>
        <v>0</v>
      </c>
      <c r="AE107" s="1101">
        <f t="shared" si="55"/>
        <v>0</v>
      </c>
      <c r="AF107" s="1101">
        <f t="shared" si="56"/>
        <v>0</v>
      </c>
      <c r="AG107" s="1101">
        <f t="shared" si="57"/>
        <v>0</v>
      </c>
      <c r="AH107" s="1101">
        <f t="shared" si="58"/>
        <v>0</v>
      </c>
      <c r="AI107" s="1101">
        <f t="shared" si="59"/>
        <v>12.931985315070749</v>
      </c>
      <c r="AJ107" s="1101">
        <f t="shared" si="60"/>
        <v>38.795955945212249</v>
      </c>
      <c r="AK107" s="1101">
        <f t="shared" si="61"/>
        <v>64.659926575353737</v>
      </c>
      <c r="AL107" s="1101">
        <f t="shared" si="62"/>
        <v>90.523897205495246</v>
      </c>
      <c r="AM107" s="1101">
        <f t="shared" si="63"/>
        <v>129.31985315070747</v>
      </c>
      <c r="AN107" s="1101">
        <f t="shared" si="64"/>
        <v>129.31985315070747</v>
      </c>
      <c r="AO107" s="1101">
        <f t="shared" si="65"/>
        <v>129.31985315070747</v>
      </c>
      <c r="AP107" s="1101">
        <f t="shared" si="66"/>
        <v>129.31985315070747</v>
      </c>
      <c r="AQ107" s="1101">
        <f t="shared" si="67"/>
        <v>129.31985315070747</v>
      </c>
      <c r="AR107" s="1101">
        <f t="shared" si="68"/>
        <v>129.31985315070747</v>
      </c>
      <c r="AS107" s="1101">
        <f t="shared" si="69"/>
        <v>129.31985315070747</v>
      </c>
      <c r="AT107" s="1101">
        <f t="shared" si="70"/>
        <v>129.31985315070747</v>
      </c>
      <c r="AU107" s="1101">
        <f t="shared" si="71"/>
        <v>129.31985315070747</v>
      </c>
      <c r="AV107" s="1101">
        <f t="shared" si="72"/>
        <v>129.31985315070747</v>
      </c>
      <c r="AW107" s="1101">
        <f t="shared" si="73"/>
        <v>129.31985315070747</v>
      </c>
      <c r="AX107" s="1101">
        <f t="shared" si="74"/>
        <v>129.31985315070747</v>
      </c>
      <c r="AY107" s="1101">
        <f t="shared" si="75"/>
        <v>129.31985315070747</v>
      </c>
      <c r="AZ107" s="1101">
        <f t="shared" si="76"/>
        <v>129.31985315070747</v>
      </c>
      <c r="BA107" s="1101">
        <f t="shared" si="77"/>
        <v>129.31985315070747</v>
      </c>
      <c r="BB107" s="1102">
        <f t="shared" si="78"/>
        <v>129.31985315070747</v>
      </c>
      <c r="BC107" s="1103"/>
    </row>
    <row r="108" spans="2:55" s="1099" customFormat="1" ht="15">
      <c r="B108" s="1074">
        <v>2037</v>
      </c>
      <c r="C108" s="1404" t="s">
        <v>865</v>
      </c>
      <c r="D108" s="1097">
        <v>0</v>
      </c>
      <c r="E108" s="1097">
        <v>0</v>
      </c>
      <c r="F108" s="1097">
        <v>0</v>
      </c>
      <c r="G108" s="1097">
        <v>0</v>
      </c>
      <c r="H108" s="1097">
        <v>0</v>
      </c>
      <c r="I108" s="1097">
        <v>0</v>
      </c>
      <c r="J108" s="1097">
        <v>10.425800841378164</v>
      </c>
      <c r="K108" s="1097">
        <v>31.277402524134498</v>
      </c>
      <c r="L108" s="1097">
        <v>52.129004206890819</v>
      </c>
      <c r="M108" s="1097">
        <v>72.980605889647137</v>
      </c>
      <c r="N108" s="1097">
        <v>104.25800841378164</v>
      </c>
      <c r="O108" s="1097">
        <v>104.25800841378164</v>
      </c>
      <c r="P108" s="1097">
        <v>104.25800841378164</v>
      </c>
      <c r="Q108" s="1097">
        <v>104.25800841378164</v>
      </c>
      <c r="R108" s="1097">
        <v>104.25800841378164</v>
      </c>
      <c r="S108" s="1097">
        <v>104.25800841378164</v>
      </c>
      <c r="T108" s="1097">
        <v>104.25800841378164</v>
      </c>
      <c r="U108" s="1097">
        <v>104.25800841378164</v>
      </c>
      <c r="V108" s="1097">
        <v>104.25800841378164</v>
      </c>
      <c r="W108" s="1097">
        <v>104.25800841378164</v>
      </c>
      <c r="X108" s="1097">
        <v>104.25800841378164</v>
      </c>
      <c r="Y108" s="1097">
        <v>104.25800841378164</v>
      </c>
      <c r="Z108" s="1097">
        <v>104.25800841378164</v>
      </c>
      <c r="AA108" s="1097">
        <v>104.25800841378164</v>
      </c>
      <c r="AB108" s="1098">
        <v>104.25800841378164</v>
      </c>
      <c r="AD108" s="1100">
        <f t="shared" si="54"/>
        <v>0</v>
      </c>
      <c r="AE108" s="1101">
        <f t="shared" si="55"/>
        <v>0</v>
      </c>
      <c r="AF108" s="1101">
        <f t="shared" si="56"/>
        <v>0</v>
      </c>
      <c r="AG108" s="1101">
        <f t="shared" si="57"/>
        <v>0</v>
      </c>
      <c r="AH108" s="1101">
        <f t="shared" si="58"/>
        <v>0</v>
      </c>
      <c r="AI108" s="1101">
        <f t="shared" si="59"/>
        <v>0</v>
      </c>
      <c r="AJ108" s="1101">
        <f t="shared" si="60"/>
        <v>13.139121933783105</v>
      </c>
      <c r="AK108" s="1101">
        <f t="shared" si="61"/>
        <v>39.417365801349327</v>
      </c>
      <c r="AL108" s="1101">
        <f t="shared" si="62"/>
        <v>65.695609668915523</v>
      </c>
      <c r="AM108" s="1101">
        <f t="shared" si="63"/>
        <v>91.973853536481727</v>
      </c>
      <c r="AN108" s="1101">
        <f t="shared" si="64"/>
        <v>131.39121933783105</v>
      </c>
      <c r="AO108" s="1101">
        <f t="shared" si="65"/>
        <v>131.39121933783105</v>
      </c>
      <c r="AP108" s="1101">
        <f t="shared" si="66"/>
        <v>131.39121933783105</v>
      </c>
      <c r="AQ108" s="1101">
        <f t="shared" si="67"/>
        <v>131.39121933783105</v>
      </c>
      <c r="AR108" s="1101">
        <f t="shared" si="68"/>
        <v>131.39121933783105</v>
      </c>
      <c r="AS108" s="1101">
        <f t="shared" si="69"/>
        <v>131.39121933783105</v>
      </c>
      <c r="AT108" s="1101">
        <f t="shared" si="70"/>
        <v>131.39121933783105</v>
      </c>
      <c r="AU108" s="1101">
        <f t="shared" si="71"/>
        <v>131.39121933783105</v>
      </c>
      <c r="AV108" s="1101">
        <f t="shared" si="72"/>
        <v>131.39121933783105</v>
      </c>
      <c r="AW108" s="1101">
        <f t="shared" si="73"/>
        <v>131.39121933783105</v>
      </c>
      <c r="AX108" s="1101">
        <f t="shared" si="74"/>
        <v>131.39121933783105</v>
      </c>
      <c r="AY108" s="1101">
        <f t="shared" si="75"/>
        <v>131.39121933783105</v>
      </c>
      <c r="AZ108" s="1101">
        <f t="shared" si="76"/>
        <v>131.39121933783105</v>
      </c>
      <c r="BA108" s="1101">
        <f t="shared" si="77"/>
        <v>131.39121933783105</v>
      </c>
      <c r="BB108" s="1102">
        <f t="shared" si="78"/>
        <v>131.39121933783105</v>
      </c>
      <c r="BC108" s="1103"/>
    </row>
    <row r="109" spans="2:55" s="1099" customFormat="1" ht="15">
      <c r="B109" s="1074">
        <v>2038</v>
      </c>
      <c r="C109" s="1404" t="s">
        <v>866</v>
      </c>
      <c r="D109" s="1097">
        <v>0</v>
      </c>
      <c r="E109" s="1097">
        <v>0</v>
      </c>
      <c r="F109" s="1097">
        <v>0</v>
      </c>
      <c r="G109" s="1097">
        <v>0</v>
      </c>
      <c r="H109" s="1097">
        <v>0</v>
      </c>
      <c r="I109" s="1097">
        <v>0</v>
      </c>
      <c r="J109" s="1097">
        <v>0</v>
      </c>
      <c r="K109" s="1097">
        <v>10.592825150571835</v>
      </c>
      <c r="L109" s="1097">
        <v>31.778475451715511</v>
      </c>
      <c r="M109" s="1097">
        <v>52.964125752859175</v>
      </c>
      <c r="N109" s="1097">
        <v>74.149776054002842</v>
      </c>
      <c r="O109" s="1097">
        <v>105.92825150571835</v>
      </c>
      <c r="P109" s="1097">
        <v>105.92825150571835</v>
      </c>
      <c r="Q109" s="1097">
        <v>105.92825150571835</v>
      </c>
      <c r="R109" s="1097">
        <v>105.92825150571835</v>
      </c>
      <c r="S109" s="1097">
        <v>105.92825150571835</v>
      </c>
      <c r="T109" s="1097">
        <v>105.92825150571835</v>
      </c>
      <c r="U109" s="1097">
        <v>105.92825150571835</v>
      </c>
      <c r="V109" s="1097">
        <v>105.92825150571835</v>
      </c>
      <c r="W109" s="1097">
        <v>105.92825150571835</v>
      </c>
      <c r="X109" s="1097">
        <v>105.92825150571835</v>
      </c>
      <c r="Y109" s="1097">
        <v>105.92825150571835</v>
      </c>
      <c r="Z109" s="1097">
        <v>105.92825150571835</v>
      </c>
      <c r="AA109" s="1097">
        <v>105.92825150571835</v>
      </c>
      <c r="AB109" s="1098">
        <v>105.92825150571835</v>
      </c>
      <c r="AD109" s="1100">
        <f t="shared" si="54"/>
        <v>0</v>
      </c>
      <c r="AE109" s="1101">
        <f t="shared" si="55"/>
        <v>0</v>
      </c>
      <c r="AF109" s="1101">
        <f t="shared" si="56"/>
        <v>0</v>
      </c>
      <c r="AG109" s="1101">
        <f t="shared" si="57"/>
        <v>0</v>
      </c>
      <c r="AH109" s="1101">
        <f t="shared" si="58"/>
        <v>0</v>
      </c>
      <c r="AI109" s="1101">
        <f t="shared" si="59"/>
        <v>0</v>
      </c>
      <c r="AJ109" s="1101">
        <f t="shared" si="60"/>
        <v>0</v>
      </c>
      <c r="AK109" s="1101">
        <f t="shared" si="61"/>
        <v>13.349614422349713</v>
      </c>
      <c r="AL109" s="1101">
        <f t="shared" si="62"/>
        <v>40.048843267049151</v>
      </c>
      <c r="AM109" s="1101">
        <f t="shared" si="63"/>
        <v>66.748072111748556</v>
      </c>
      <c r="AN109" s="1101">
        <f t="shared" si="64"/>
        <v>93.44730095644799</v>
      </c>
      <c r="AO109" s="1101">
        <f t="shared" si="65"/>
        <v>133.49614422349711</v>
      </c>
      <c r="AP109" s="1101">
        <f t="shared" si="66"/>
        <v>133.49614422349711</v>
      </c>
      <c r="AQ109" s="1101">
        <f t="shared" si="67"/>
        <v>133.49614422349711</v>
      </c>
      <c r="AR109" s="1101">
        <f t="shared" si="68"/>
        <v>133.49614422349711</v>
      </c>
      <c r="AS109" s="1101">
        <f t="shared" si="69"/>
        <v>133.49614422349711</v>
      </c>
      <c r="AT109" s="1101">
        <f t="shared" si="70"/>
        <v>133.49614422349711</v>
      </c>
      <c r="AU109" s="1101">
        <f t="shared" si="71"/>
        <v>133.49614422349711</v>
      </c>
      <c r="AV109" s="1101">
        <f t="shared" si="72"/>
        <v>133.49614422349711</v>
      </c>
      <c r="AW109" s="1101">
        <f t="shared" si="73"/>
        <v>133.49614422349711</v>
      </c>
      <c r="AX109" s="1101">
        <f t="shared" si="74"/>
        <v>133.49614422349711</v>
      </c>
      <c r="AY109" s="1101">
        <f t="shared" si="75"/>
        <v>133.49614422349711</v>
      </c>
      <c r="AZ109" s="1101">
        <f t="shared" si="76"/>
        <v>133.49614422349711</v>
      </c>
      <c r="BA109" s="1101">
        <f t="shared" si="77"/>
        <v>133.49614422349711</v>
      </c>
      <c r="BB109" s="1102">
        <f t="shared" si="78"/>
        <v>133.49614422349711</v>
      </c>
      <c r="BC109" s="1103"/>
    </row>
    <row r="110" spans="2:55" s="1099" customFormat="1" ht="15">
      <c r="B110" s="1074">
        <v>2039</v>
      </c>
      <c r="C110" s="1404" t="s">
        <v>867</v>
      </c>
      <c r="D110" s="1097">
        <v>0</v>
      </c>
      <c r="E110" s="1097">
        <v>0</v>
      </c>
      <c r="F110" s="1097">
        <v>0</v>
      </c>
      <c r="G110" s="1097">
        <v>0</v>
      </c>
      <c r="H110" s="1097">
        <v>0</v>
      </c>
      <c r="I110" s="1097">
        <v>0</v>
      </c>
      <c r="J110" s="1097">
        <v>0</v>
      </c>
      <c r="K110" s="1097">
        <v>0</v>
      </c>
      <c r="L110" s="1097">
        <v>10.762555822673646</v>
      </c>
      <c r="M110" s="1097">
        <v>32.287667468020935</v>
      </c>
      <c r="N110" s="1097">
        <v>53.812779113368222</v>
      </c>
      <c r="O110" s="1097">
        <v>75.337890758715503</v>
      </c>
      <c r="P110" s="1097">
        <v>107.62555822673644</v>
      </c>
      <c r="Q110" s="1097">
        <v>107.62555822673644</v>
      </c>
      <c r="R110" s="1097">
        <v>107.62555822673644</v>
      </c>
      <c r="S110" s="1097">
        <v>107.62555822673644</v>
      </c>
      <c r="T110" s="1097">
        <v>107.62555822673644</v>
      </c>
      <c r="U110" s="1097">
        <v>107.62555822673644</v>
      </c>
      <c r="V110" s="1097">
        <v>107.62555822673644</v>
      </c>
      <c r="W110" s="1097">
        <v>107.62555822673644</v>
      </c>
      <c r="X110" s="1097">
        <v>107.62555822673644</v>
      </c>
      <c r="Y110" s="1097">
        <v>107.62555822673644</v>
      </c>
      <c r="Z110" s="1097">
        <v>107.62555822673644</v>
      </c>
      <c r="AA110" s="1097">
        <v>107.62555822673644</v>
      </c>
      <c r="AB110" s="1098">
        <v>107.62555822673644</v>
      </c>
      <c r="AD110" s="1100">
        <f t="shared" si="54"/>
        <v>0</v>
      </c>
      <c r="AE110" s="1101">
        <f t="shared" si="55"/>
        <v>0</v>
      </c>
      <c r="AF110" s="1101">
        <f t="shared" si="56"/>
        <v>0</v>
      </c>
      <c r="AG110" s="1101">
        <f t="shared" si="57"/>
        <v>0</v>
      </c>
      <c r="AH110" s="1101">
        <f t="shared" si="58"/>
        <v>0</v>
      </c>
      <c r="AI110" s="1101">
        <f t="shared" si="59"/>
        <v>0</v>
      </c>
      <c r="AJ110" s="1101">
        <f t="shared" si="60"/>
        <v>0</v>
      </c>
      <c r="AK110" s="1101">
        <f t="shared" si="61"/>
        <v>0</v>
      </c>
      <c r="AL110" s="1101">
        <f t="shared" si="62"/>
        <v>13.563517606438721</v>
      </c>
      <c r="AM110" s="1101">
        <f t="shared" si="63"/>
        <v>40.690552819316167</v>
      </c>
      <c r="AN110" s="1101">
        <f t="shared" si="64"/>
        <v>67.817588032193598</v>
      </c>
      <c r="AO110" s="1101">
        <f t="shared" si="65"/>
        <v>94.944623245071043</v>
      </c>
      <c r="AP110" s="1101">
        <f t="shared" si="66"/>
        <v>135.6351760643872</v>
      </c>
      <c r="AQ110" s="1101">
        <f t="shared" si="67"/>
        <v>135.6351760643872</v>
      </c>
      <c r="AR110" s="1101">
        <f t="shared" si="68"/>
        <v>135.6351760643872</v>
      </c>
      <c r="AS110" s="1101">
        <f t="shared" si="69"/>
        <v>135.6351760643872</v>
      </c>
      <c r="AT110" s="1101">
        <f t="shared" si="70"/>
        <v>135.6351760643872</v>
      </c>
      <c r="AU110" s="1101">
        <f t="shared" si="71"/>
        <v>135.6351760643872</v>
      </c>
      <c r="AV110" s="1101">
        <f t="shared" si="72"/>
        <v>135.6351760643872</v>
      </c>
      <c r="AW110" s="1101">
        <f t="shared" si="73"/>
        <v>135.6351760643872</v>
      </c>
      <c r="AX110" s="1101">
        <f t="shared" si="74"/>
        <v>135.6351760643872</v>
      </c>
      <c r="AY110" s="1101">
        <f t="shared" si="75"/>
        <v>135.6351760643872</v>
      </c>
      <c r="AZ110" s="1101">
        <f t="shared" si="76"/>
        <v>135.6351760643872</v>
      </c>
      <c r="BA110" s="1101">
        <f t="shared" si="77"/>
        <v>135.6351760643872</v>
      </c>
      <c r="BB110" s="1102">
        <f t="shared" si="78"/>
        <v>135.6351760643872</v>
      </c>
      <c r="BC110" s="1103"/>
    </row>
    <row r="111" spans="2:55" s="1099" customFormat="1" ht="15">
      <c r="B111" s="1074">
        <v>2040</v>
      </c>
      <c r="C111" s="1404" t="s">
        <v>868</v>
      </c>
      <c r="D111" s="1097">
        <v>0</v>
      </c>
      <c r="E111" s="1097">
        <v>0</v>
      </c>
      <c r="F111" s="1097">
        <v>0</v>
      </c>
      <c r="G111" s="1097">
        <v>0</v>
      </c>
      <c r="H111" s="1097">
        <v>0</v>
      </c>
      <c r="I111" s="1097">
        <v>0</v>
      </c>
      <c r="J111" s="1097">
        <v>0</v>
      </c>
      <c r="K111" s="1097">
        <v>0</v>
      </c>
      <c r="L111" s="1097">
        <v>0</v>
      </c>
      <c r="M111" s="1097">
        <v>10.935037076488896</v>
      </c>
      <c r="N111" s="1097">
        <v>32.805111229466696</v>
      </c>
      <c r="O111" s="1097">
        <v>54.675185382444482</v>
      </c>
      <c r="P111" s="1097">
        <v>76.545259535422275</v>
      </c>
      <c r="Q111" s="1097">
        <v>109.35037076488896</v>
      </c>
      <c r="R111" s="1097">
        <v>109.35037076488896</v>
      </c>
      <c r="S111" s="1097">
        <v>109.35037076488896</v>
      </c>
      <c r="T111" s="1097">
        <v>109.35037076488896</v>
      </c>
      <c r="U111" s="1097">
        <v>109.35037076488896</v>
      </c>
      <c r="V111" s="1097">
        <v>109.35037076488896</v>
      </c>
      <c r="W111" s="1097">
        <v>109.35037076488896</v>
      </c>
      <c r="X111" s="1097">
        <v>109.35037076488896</v>
      </c>
      <c r="Y111" s="1097">
        <v>109.35037076488896</v>
      </c>
      <c r="Z111" s="1097">
        <v>109.35037076488896</v>
      </c>
      <c r="AA111" s="1097">
        <v>109.35037076488896</v>
      </c>
      <c r="AB111" s="1098">
        <v>109.35037076488896</v>
      </c>
      <c r="AD111" s="1100">
        <f t="shared" si="54"/>
        <v>0</v>
      </c>
      <c r="AE111" s="1101">
        <f t="shared" si="55"/>
        <v>0</v>
      </c>
      <c r="AF111" s="1101">
        <f t="shared" si="56"/>
        <v>0</v>
      </c>
      <c r="AG111" s="1101">
        <f t="shared" si="57"/>
        <v>0</v>
      </c>
      <c r="AH111" s="1101">
        <f t="shared" si="58"/>
        <v>0</v>
      </c>
      <c r="AI111" s="1101">
        <f t="shared" si="59"/>
        <v>0</v>
      </c>
      <c r="AJ111" s="1101">
        <f t="shared" si="60"/>
        <v>0</v>
      </c>
      <c r="AK111" s="1101">
        <f t="shared" si="61"/>
        <v>0</v>
      </c>
      <c r="AL111" s="1101">
        <f t="shared" si="62"/>
        <v>0</v>
      </c>
      <c r="AM111" s="1101">
        <f t="shared" si="63"/>
        <v>13.780887212826752</v>
      </c>
      <c r="AN111" s="1101">
        <f t="shared" si="64"/>
        <v>41.342661638480266</v>
      </c>
      <c r="AO111" s="1101">
        <f t="shared" si="65"/>
        <v>68.904436064133776</v>
      </c>
      <c r="AP111" s="1101">
        <f t="shared" si="66"/>
        <v>96.466210489787258</v>
      </c>
      <c r="AQ111" s="1101">
        <f t="shared" si="67"/>
        <v>137.80887212826755</v>
      </c>
      <c r="AR111" s="1101">
        <f t="shared" si="68"/>
        <v>137.80887212826755</v>
      </c>
      <c r="AS111" s="1101">
        <f t="shared" si="69"/>
        <v>137.80887212826755</v>
      </c>
      <c r="AT111" s="1101">
        <f t="shared" si="70"/>
        <v>137.80887212826755</v>
      </c>
      <c r="AU111" s="1101">
        <f t="shared" si="71"/>
        <v>137.80887212826755</v>
      </c>
      <c r="AV111" s="1101">
        <f t="shared" si="72"/>
        <v>137.80887212826755</v>
      </c>
      <c r="AW111" s="1101">
        <f t="shared" si="73"/>
        <v>137.80887212826755</v>
      </c>
      <c r="AX111" s="1101">
        <f t="shared" si="74"/>
        <v>137.80887212826755</v>
      </c>
      <c r="AY111" s="1101">
        <f t="shared" si="75"/>
        <v>137.80887212826755</v>
      </c>
      <c r="AZ111" s="1101">
        <f t="shared" si="76"/>
        <v>137.80887212826755</v>
      </c>
      <c r="BA111" s="1101">
        <f t="shared" si="77"/>
        <v>137.80887212826755</v>
      </c>
      <c r="BB111" s="1102">
        <f t="shared" si="78"/>
        <v>137.80887212826755</v>
      </c>
      <c r="BC111" s="1103"/>
    </row>
    <row r="112" spans="2:55" s="1099" customFormat="1" ht="15">
      <c r="B112" s="1074">
        <v>2041</v>
      </c>
      <c r="C112" s="1404" t="s">
        <v>869</v>
      </c>
      <c r="D112" s="1097">
        <v>0</v>
      </c>
      <c r="E112" s="1097">
        <v>0</v>
      </c>
      <c r="F112" s="1097">
        <v>0</v>
      </c>
      <c r="G112" s="1097">
        <v>0</v>
      </c>
      <c r="H112" s="1097">
        <v>0</v>
      </c>
      <c r="I112" s="1097">
        <v>0</v>
      </c>
      <c r="J112" s="1097">
        <v>0</v>
      </c>
      <c r="K112" s="1097">
        <v>0</v>
      </c>
      <c r="L112" s="1097">
        <v>0</v>
      </c>
      <c r="M112" s="1097">
        <v>0</v>
      </c>
      <c r="N112" s="1097">
        <v>11.110313857648622</v>
      </c>
      <c r="O112" s="1097">
        <v>33.330941572945868</v>
      </c>
      <c r="P112" s="1097">
        <v>55.551569288243108</v>
      </c>
      <c r="Q112" s="1097">
        <v>77.772197003540342</v>
      </c>
      <c r="R112" s="1097">
        <v>111.10313857648622</v>
      </c>
      <c r="S112" s="1097">
        <v>111.10313857648622</v>
      </c>
      <c r="T112" s="1097">
        <v>111.10313857648622</v>
      </c>
      <c r="U112" s="1097">
        <v>111.10313857648622</v>
      </c>
      <c r="V112" s="1097">
        <v>111.10313857648622</v>
      </c>
      <c r="W112" s="1097">
        <v>111.10313857648622</v>
      </c>
      <c r="X112" s="1097">
        <v>111.10313857648622</v>
      </c>
      <c r="Y112" s="1097">
        <v>111.10313857648622</v>
      </c>
      <c r="Z112" s="1097">
        <v>111.10313857648622</v>
      </c>
      <c r="AA112" s="1097">
        <v>111.10313857648622</v>
      </c>
      <c r="AB112" s="1098">
        <v>111.10313857648622</v>
      </c>
      <c r="AD112" s="1100">
        <f t="shared" si="54"/>
        <v>0</v>
      </c>
      <c r="AE112" s="1101">
        <f t="shared" si="55"/>
        <v>0</v>
      </c>
      <c r="AF112" s="1101">
        <f t="shared" si="56"/>
        <v>0</v>
      </c>
      <c r="AG112" s="1101">
        <f t="shared" si="57"/>
        <v>0</v>
      </c>
      <c r="AH112" s="1101">
        <f t="shared" si="58"/>
        <v>0</v>
      </c>
      <c r="AI112" s="1101">
        <f t="shared" si="59"/>
        <v>0</v>
      </c>
      <c r="AJ112" s="1101">
        <f t="shared" si="60"/>
        <v>0</v>
      </c>
      <c r="AK112" s="1101">
        <f t="shared" si="61"/>
        <v>0</v>
      </c>
      <c r="AL112" s="1101">
        <f t="shared" si="62"/>
        <v>0</v>
      </c>
      <c r="AM112" s="1101">
        <f t="shared" si="63"/>
        <v>0</v>
      </c>
      <c r="AN112" s="1101">
        <f t="shared" si="64"/>
        <v>14.001779884273008</v>
      </c>
      <c r="AO112" s="1101">
        <f t="shared" si="65"/>
        <v>42.005339652819018</v>
      </c>
      <c r="AP112" s="1101">
        <f t="shared" si="66"/>
        <v>70.008899421365044</v>
      </c>
      <c r="AQ112" s="1101">
        <f t="shared" si="67"/>
        <v>98.012459189911041</v>
      </c>
      <c r="AR112" s="1101">
        <f t="shared" si="68"/>
        <v>140.01779884273009</v>
      </c>
      <c r="AS112" s="1101">
        <f t="shared" si="69"/>
        <v>140.01779884273009</v>
      </c>
      <c r="AT112" s="1101">
        <f t="shared" si="70"/>
        <v>140.01779884273009</v>
      </c>
      <c r="AU112" s="1101">
        <f t="shared" si="71"/>
        <v>140.01779884273009</v>
      </c>
      <c r="AV112" s="1101">
        <f t="shared" si="72"/>
        <v>140.01779884273009</v>
      </c>
      <c r="AW112" s="1101">
        <f t="shared" si="73"/>
        <v>140.01779884273009</v>
      </c>
      <c r="AX112" s="1101">
        <f t="shared" si="74"/>
        <v>140.01779884273009</v>
      </c>
      <c r="AY112" s="1101">
        <f t="shared" si="75"/>
        <v>140.01779884273009</v>
      </c>
      <c r="AZ112" s="1101">
        <f t="shared" si="76"/>
        <v>140.01779884273009</v>
      </c>
      <c r="BA112" s="1101">
        <f t="shared" si="77"/>
        <v>140.01779884273009</v>
      </c>
      <c r="BB112" s="1102">
        <f t="shared" si="78"/>
        <v>140.01779884273009</v>
      </c>
      <c r="BC112" s="1103"/>
    </row>
    <row r="113" spans="2:55" s="1099" customFormat="1" ht="15">
      <c r="B113" s="1074">
        <v>2042</v>
      </c>
      <c r="C113" s="1404" t="s">
        <v>870</v>
      </c>
      <c r="D113" s="1097">
        <v>0</v>
      </c>
      <c r="E113" s="1097">
        <v>0</v>
      </c>
      <c r="F113" s="1097">
        <v>0</v>
      </c>
      <c r="G113" s="1097">
        <v>0</v>
      </c>
      <c r="H113" s="1097">
        <v>0</v>
      </c>
      <c r="I113" s="1097">
        <v>0</v>
      </c>
      <c r="J113" s="1097">
        <v>0</v>
      </c>
      <c r="K113" s="1097">
        <v>0</v>
      </c>
      <c r="L113" s="1097">
        <v>0</v>
      </c>
      <c r="M113" s="1097">
        <v>0</v>
      </c>
      <c r="N113" s="1097">
        <v>0</v>
      </c>
      <c r="O113" s="1097">
        <v>11.288431850607438</v>
      </c>
      <c r="P113" s="1097">
        <v>33.865295551822321</v>
      </c>
      <c r="Q113" s="1097">
        <v>56.44215925303719</v>
      </c>
      <c r="R113" s="1097">
        <v>79.019022954252065</v>
      </c>
      <c r="S113" s="1097">
        <v>112.88431850607438</v>
      </c>
      <c r="T113" s="1097">
        <v>112.88431850607438</v>
      </c>
      <c r="U113" s="1097">
        <v>112.88431850607438</v>
      </c>
      <c r="V113" s="1097">
        <v>112.88431850607438</v>
      </c>
      <c r="W113" s="1097">
        <v>112.88431850607438</v>
      </c>
      <c r="X113" s="1097">
        <v>112.88431850607438</v>
      </c>
      <c r="Y113" s="1097">
        <v>112.88431850607438</v>
      </c>
      <c r="Z113" s="1097">
        <v>112.88431850607438</v>
      </c>
      <c r="AA113" s="1097">
        <v>112.88431850607438</v>
      </c>
      <c r="AB113" s="1098">
        <v>112.88431850607438</v>
      </c>
      <c r="AD113" s="1100">
        <f t="shared" si="54"/>
        <v>0</v>
      </c>
      <c r="AE113" s="1101">
        <f t="shared" si="55"/>
        <v>0</v>
      </c>
      <c r="AF113" s="1101">
        <f t="shared" si="56"/>
        <v>0</v>
      </c>
      <c r="AG113" s="1101">
        <f t="shared" si="57"/>
        <v>0</v>
      </c>
      <c r="AH113" s="1101">
        <f t="shared" si="58"/>
        <v>0</v>
      </c>
      <c r="AI113" s="1101">
        <f t="shared" si="59"/>
        <v>0</v>
      </c>
      <c r="AJ113" s="1101">
        <f t="shared" si="60"/>
        <v>0</v>
      </c>
      <c r="AK113" s="1101">
        <f t="shared" si="61"/>
        <v>0</v>
      </c>
      <c r="AL113" s="1101">
        <f t="shared" si="62"/>
        <v>0</v>
      </c>
      <c r="AM113" s="1101">
        <f t="shared" si="63"/>
        <v>0</v>
      </c>
      <c r="AN113" s="1101">
        <f t="shared" si="64"/>
        <v>0</v>
      </c>
      <c r="AO113" s="1101">
        <f t="shared" si="65"/>
        <v>14.226253194639567</v>
      </c>
      <c r="AP113" s="1101">
        <f t="shared" si="66"/>
        <v>42.678759583918705</v>
      </c>
      <c r="AQ113" s="1101">
        <f t="shared" si="67"/>
        <v>71.131265973197827</v>
      </c>
      <c r="AR113" s="1101">
        <f t="shared" si="68"/>
        <v>99.583772362476978</v>
      </c>
      <c r="AS113" s="1101">
        <f t="shared" si="69"/>
        <v>142.26253194639565</v>
      </c>
      <c r="AT113" s="1101">
        <f t="shared" si="70"/>
        <v>142.26253194639565</v>
      </c>
      <c r="AU113" s="1101">
        <f t="shared" si="71"/>
        <v>142.26253194639565</v>
      </c>
      <c r="AV113" s="1101">
        <f t="shared" si="72"/>
        <v>142.26253194639565</v>
      </c>
      <c r="AW113" s="1101">
        <f t="shared" si="73"/>
        <v>142.26253194639565</v>
      </c>
      <c r="AX113" s="1101">
        <f t="shared" si="74"/>
        <v>142.26253194639565</v>
      </c>
      <c r="AY113" s="1101">
        <f t="shared" si="75"/>
        <v>142.26253194639565</v>
      </c>
      <c r="AZ113" s="1101">
        <f t="shared" si="76"/>
        <v>142.26253194639565</v>
      </c>
      <c r="BA113" s="1101">
        <f t="shared" si="77"/>
        <v>142.26253194639565</v>
      </c>
      <c r="BB113" s="1102">
        <f t="shared" si="78"/>
        <v>142.26253194639565</v>
      </c>
      <c r="BC113" s="1103"/>
    </row>
    <row r="114" spans="2:55" s="1099" customFormat="1" ht="15">
      <c r="B114" s="1074">
        <v>2043</v>
      </c>
      <c r="C114" s="1404" t="s">
        <v>871</v>
      </c>
      <c r="D114" s="1097">
        <v>0</v>
      </c>
      <c r="E114" s="1097">
        <v>0</v>
      </c>
      <c r="F114" s="1097">
        <v>0</v>
      </c>
      <c r="G114" s="1097">
        <v>0</v>
      </c>
      <c r="H114" s="1097">
        <v>0</v>
      </c>
      <c r="I114" s="1097">
        <v>0</v>
      </c>
      <c r="J114" s="1097">
        <v>0</v>
      </c>
      <c r="K114" s="1097">
        <v>0</v>
      </c>
      <c r="L114" s="1097">
        <v>0</v>
      </c>
      <c r="M114" s="1097">
        <v>0</v>
      </c>
      <c r="N114" s="1097">
        <v>0</v>
      </c>
      <c r="O114" s="1097">
        <v>0</v>
      </c>
      <c r="P114" s="1097">
        <v>11.46943749084007</v>
      </c>
      <c r="Q114" s="1097">
        <v>34.408312472520215</v>
      </c>
      <c r="R114" s="1097">
        <v>57.347187454200345</v>
      </c>
      <c r="S114" s="1097">
        <v>80.286062435880481</v>
      </c>
      <c r="T114" s="1097">
        <v>114.69437490840069</v>
      </c>
      <c r="U114" s="1097">
        <v>114.69437490840069</v>
      </c>
      <c r="V114" s="1097">
        <v>114.69437490840069</v>
      </c>
      <c r="W114" s="1097">
        <v>114.69437490840069</v>
      </c>
      <c r="X114" s="1097">
        <v>114.69437490840069</v>
      </c>
      <c r="Y114" s="1097">
        <v>114.69437490840069</v>
      </c>
      <c r="Z114" s="1097">
        <v>114.69437490840069</v>
      </c>
      <c r="AA114" s="1097">
        <v>114.69437490840069</v>
      </c>
      <c r="AB114" s="1098">
        <v>114.69437490840069</v>
      </c>
      <c r="AD114" s="1100">
        <f t="shared" si="54"/>
        <v>0</v>
      </c>
      <c r="AE114" s="1101">
        <f t="shared" si="55"/>
        <v>0</v>
      </c>
      <c r="AF114" s="1101">
        <f t="shared" si="56"/>
        <v>0</v>
      </c>
      <c r="AG114" s="1101">
        <f t="shared" si="57"/>
        <v>0</v>
      </c>
      <c r="AH114" s="1101">
        <f t="shared" si="58"/>
        <v>0</v>
      </c>
      <c r="AI114" s="1101">
        <f t="shared" si="59"/>
        <v>0</v>
      </c>
      <c r="AJ114" s="1101">
        <f t="shared" si="60"/>
        <v>0</v>
      </c>
      <c r="AK114" s="1101">
        <f t="shared" si="61"/>
        <v>0</v>
      </c>
      <c r="AL114" s="1101">
        <f t="shared" si="62"/>
        <v>0</v>
      </c>
      <c r="AM114" s="1101">
        <f t="shared" si="63"/>
        <v>0</v>
      </c>
      <c r="AN114" s="1101">
        <f t="shared" si="64"/>
        <v>0</v>
      </c>
      <c r="AO114" s="1101">
        <f t="shared" si="65"/>
        <v>0</v>
      </c>
      <c r="AP114" s="1101">
        <f t="shared" si="66"/>
        <v>14.454365664262058</v>
      </c>
      <c r="AQ114" s="1101">
        <f t="shared" si="67"/>
        <v>43.36309699278619</v>
      </c>
      <c r="AR114" s="1101">
        <f t="shared" si="68"/>
        <v>72.271828321310295</v>
      </c>
      <c r="AS114" s="1101">
        <f t="shared" si="69"/>
        <v>101.18055964983441</v>
      </c>
      <c r="AT114" s="1101">
        <f t="shared" si="70"/>
        <v>144.54365664262059</v>
      </c>
      <c r="AU114" s="1101">
        <f t="shared" si="71"/>
        <v>144.54365664262059</v>
      </c>
      <c r="AV114" s="1101">
        <f t="shared" si="72"/>
        <v>144.54365664262059</v>
      </c>
      <c r="AW114" s="1101">
        <f t="shared" si="73"/>
        <v>144.54365664262059</v>
      </c>
      <c r="AX114" s="1101">
        <f t="shared" si="74"/>
        <v>144.54365664262059</v>
      </c>
      <c r="AY114" s="1101">
        <f t="shared" si="75"/>
        <v>144.54365664262059</v>
      </c>
      <c r="AZ114" s="1101">
        <f t="shared" si="76"/>
        <v>144.54365664262059</v>
      </c>
      <c r="BA114" s="1101">
        <f t="shared" si="77"/>
        <v>144.54365664262059</v>
      </c>
      <c r="BB114" s="1102">
        <f t="shared" si="78"/>
        <v>144.54365664262059</v>
      </c>
      <c r="BC114" s="1103"/>
    </row>
    <row r="115" spans="2:55" s="1099" customFormat="1" ht="15">
      <c r="B115" s="1074">
        <v>2044</v>
      </c>
      <c r="C115" s="1404" t="s">
        <v>872</v>
      </c>
      <c r="D115" s="1097">
        <v>0</v>
      </c>
      <c r="E115" s="1097">
        <v>0</v>
      </c>
      <c r="F115" s="1097">
        <v>0</v>
      </c>
      <c r="G115" s="1097">
        <v>0</v>
      </c>
      <c r="H115" s="1097">
        <v>0</v>
      </c>
      <c r="I115" s="1097">
        <v>0</v>
      </c>
      <c r="J115" s="1097">
        <v>0</v>
      </c>
      <c r="K115" s="1097">
        <v>0</v>
      </c>
      <c r="L115" s="1097">
        <v>0</v>
      </c>
      <c r="M115" s="1097">
        <v>0</v>
      </c>
      <c r="N115" s="1097">
        <v>0</v>
      </c>
      <c r="O115" s="1097">
        <v>0</v>
      </c>
      <c r="P115" s="1097">
        <v>0</v>
      </c>
      <c r="Q115" s="1097">
        <v>11.653377977239813</v>
      </c>
      <c r="R115" s="1097">
        <v>34.960133931719447</v>
      </c>
      <c r="S115" s="1097">
        <v>58.266889886199067</v>
      </c>
      <c r="T115" s="1097">
        <v>81.573645840678694</v>
      </c>
      <c r="U115" s="1097">
        <v>116.53377977239813</v>
      </c>
      <c r="V115" s="1097">
        <v>116.53377977239813</v>
      </c>
      <c r="W115" s="1097">
        <v>116.53377977239813</v>
      </c>
      <c r="X115" s="1097">
        <v>116.53377977239813</v>
      </c>
      <c r="Y115" s="1097">
        <v>116.53377977239813</v>
      </c>
      <c r="Z115" s="1097">
        <v>116.53377977239813</v>
      </c>
      <c r="AA115" s="1097">
        <v>116.53377977239813</v>
      </c>
      <c r="AB115" s="1098">
        <v>116.53377977239813</v>
      </c>
      <c r="AD115" s="1100">
        <f t="shared" si="54"/>
        <v>0</v>
      </c>
      <c r="AE115" s="1101">
        <f t="shared" si="55"/>
        <v>0</v>
      </c>
      <c r="AF115" s="1101">
        <f t="shared" si="56"/>
        <v>0</v>
      </c>
      <c r="AG115" s="1101">
        <f t="shared" si="57"/>
        <v>0</v>
      </c>
      <c r="AH115" s="1101">
        <f t="shared" si="58"/>
        <v>0</v>
      </c>
      <c r="AI115" s="1101">
        <f t="shared" si="59"/>
        <v>0</v>
      </c>
      <c r="AJ115" s="1101">
        <f t="shared" si="60"/>
        <v>0</v>
      </c>
      <c r="AK115" s="1101">
        <f t="shared" si="61"/>
        <v>0</v>
      </c>
      <c r="AL115" s="1101">
        <f t="shared" si="62"/>
        <v>0</v>
      </c>
      <c r="AM115" s="1101">
        <f t="shared" si="63"/>
        <v>0</v>
      </c>
      <c r="AN115" s="1101">
        <f t="shared" si="64"/>
        <v>0</v>
      </c>
      <c r="AO115" s="1101">
        <f t="shared" si="65"/>
        <v>0</v>
      </c>
      <c r="AP115" s="1101">
        <f t="shared" si="66"/>
        <v>0</v>
      </c>
      <c r="AQ115" s="1101">
        <f t="shared" si="67"/>
        <v>14.686176775574841</v>
      </c>
      <c r="AR115" s="1101">
        <f t="shared" si="68"/>
        <v>44.058530326724529</v>
      </c>
      <c r="AS115" s="1101">
        <f t="shared" si="69"/>
        <v>73.430883877874209</v>
      </c>
      <c r="AT115" s="1101">
        <f t="shared" si="70"/>
        <v>102.80323742902388</v>
      </c>
      <c r="AU115" s="1101">
        <f t="shared" si="71"/>
        <v>146.86176775574842</v>
      </c>
      <c r="AV115" s="1101">
        <f t="shared" si="72"/>
        <v>146.86176775574842</v>
      </c>
      <c r="AW115" s="1101">
        <f t="shared" si="73"/>
        <v>146.86176775574842</v>
      </c>
      <c r="AX115" s="1101">
        <f t="shared" si="74"/>
        <v>146.86176775574842</v>
      </c>
      <c r="AY115" s="1101">
        <f t="shared" si="75"/>
        <v>146.86176775574842</v>
      </c>
      <c r="AZ115" s="1101">
        <f t="shared" si="76"/>
        <v>146.86176775574842</v>
      </c>
      <c r="BA115" s="1101">
        <f t="shared" si="77"/>
        <v>146.86176775574842</v>
      </c>
      <c r="BB115" s="1102">
        <f t="shared" si="78"/>
        <v>146.86176775574842</v>
      </c>
      <c r="BC115" s="1103"/>
    </row>
    <row r="116" spans="2:55" s="1099" customFormat="1" ht="15">
      <c r="B116" s="1074">
        <v>2045</v>
      </c>
      <c r="C116" s="1404" t="s">
        <v>873</v>
      </c>
      <c r="D116" s="1097">
        <v>0</v>
      </c>
      <c r="E116" s="1097">
        <v>0</v>
      </c>
      <c r="F116" s="1097">
        <v>0</v>
      </c>
      <c r="G116" s="1097">
        <v>0</v>
      </c>
      <c r="H116" s="1097">
        <v>0</v>
      </c>
      <c r="I116" s="1097">
        <v>0</v>
      </c>
      <c r="J116" s="1097">
        <v>0</v>
      </c>
      <c r="K116" s="1097">
        <v>0</v>
      </c>
      <c r="L116" s="1097">
        <v>0</v>
      </c>
      <c r="M116" s="1097">
        <v>0</v>
      </c>
      <c r="N116" s="1097">
        <v>0</v>
      </c>
      <c r="O116" s="1097">
        <v>0</v>
      </c>
      <c r="P116" s="1097">
        <v>0</v>
      </c>
      <c r="Q116" s="1097">
        <v>0</v>
      </c>
      <c r="R116" s="1097">
        <v>11.840301284722292</v>
      </c>
      <c r="S116" s="1097">
        <v>35.520903854166882</v>
      </c>
      <c r="T116" s="1097">
        <v>59.201506423611455</v>
      </c>
      <c r="U116" s="1097">
        <v>82.882108993056036</v>
      </c>
      <c r="V116" s="1097">
        <v>118.40301284722291</v>
      </c>
      <c r="W116" s="1097">
        <v>118.40301284722291</v>
      </c>
      <c r="X116" s="1097">
        <v>118.40301284722291</v>
      </c>
      <c r="Y116" s="1097">
        <v>118.40301284722291</v>
      </c>
      <c r="Z116" s="1097">
        <v>118.40301284722291</v>
      </c>
      <c r="AA116" s="1097">
        <v>118.40301284722291</v>
      </c>
      <c r="AB116" s="1098">
        <v>118.40301284722291</v>
      </c>
      <c r="AD116" s="1100">
        <f t="shared" si="54"/>
        <v>0</v>
      </c>
      <c r="AE116" s="1101">
        <f t="shared" si="55"/>
        <v>0</v>
      </c>
      <c r="AF116" s="1101">
        <f t="shared" si="56"/>
        <v>0</v>
      </c>
      <c r="AG116" s="1101">
        <f t="shared" si="57"/>
        <v>0</v>
      </c>
      <c r="AH116" s="1101">
        <f t="shared" si="58"/>
        <v>0</v>
      </c>
      <c r="AI116" s="1101">
        <f t="shared" si="59"/>
        <v>0</v>
      </c>
      <c r="AJ116" s="1101">
        <f t="shared" si="60"/>
        <v>0</v>
      </c>
      <c r="AK116" s="1101">
        <f t="shared" si="61"/>
        <v>0</v>
      </c>
      <c r="AL116" s="1101">
        <f t="shared" si="62"/>
        <v>0</v>
      </c>
      <c r="AM116" s="1101">
        <f t="shared" si="63"/>
        <v>0</v>
      </c>
      <c r="AN116" s="1101">
        <f t="shared" si="64"/>
        <v>0</v>
      </c>
      <c r="AO116" s="1101">
        <f t="shared" si="65"/>
        <v>0</v>
      </c>
      <c r="AP116" s="1101">
        <f t="shared" si="66"/>
        <v>0</v>
      </c>
      <c r="AQ116" s="1101">
        <f t="shared" si="67"/>
        <v>0</v>
      </c>
      <c r="AR116" s="1101">
        <f t="shared" si="68"/>
        <v>14.921746988994883</v>
      </c>
      <c r="AS116" s="1101">
        <f t="shared" si="69"/>
        <v>44.765240966984663</v>
      </c>
      <c r="AT116" s="1101">
        <f t="shared" si="70"/>
        <v>74.608734944974401</v>
      </c>
      <c r="AU116" s="1101">
        <f t="shared" si="71"/>
        <v>104.45222892296417</v>
      </c>
      <c r="AV116" s="1101">
        <f t="shared" si="72"/>
        <v>149.2174698899488</v>
      </c>
      <c r="AW116" s="1101">
        <f t="shared" si="73"/>
        <v>149.2174698899488</v>
      </c>
      <c r="AX116" s="1101">
        <f t="shared" si="74"/>
        <v>149.2174698899488</v>
      </c>
      <c r="AY116" s="1101">
        <f t="shared" si="75"/>
        <v>149.2174698899488</v>
      </c>
      <c r="AZ116" s="1101">
        <f t="shared" si="76"/>
        <v>149.2174698899488</v>
      </c>
      <c r="BA116" s="1101">
        <f t="shared" si="77"/>
        <v>149.2174698899488</v>
      </c>
      <c r="BB116" s="1102">
        <f t="shared" si="78"/>
        <v>149.2174698899488</v>
      </c>
      <c r="BC116" s="1103"/>
    </row>
    <row r="117" spans="2:55" s="1099" customFormat="1" ht="15">
      <c r="B117" s="1074">
        <v>2046</v>
      </c>
      <c r="C117" s="1404" t="s">
        <v>874</v>
      </c>
      <c r="D117" s="1097">
        <v>0</v>
      </c>
      <c r="E117" s="1097">
        <v>0</v>
      </c>
      <c r="F117" s="1097">
        <v>0</v>
      </c>
      <c r="G117" s="1097">
        <v>0</v>
      </c>
      <c r="H117" s="1097">
        <v>0</v>
      </c>
      <c r="I117" s="1097">
        <v>0</v>
      </c>
      <c r="J117" s="1097">
        <v>0</v>
      </c>
      <c r="K117" s="1097">
        <v>0</v>
      </c>
      <c r="L117" s="1097">
        <v>0</v>
      </c>
      <c r="M117" s="1097">
        <v>0</v>
      </c>
      <c r="N117" s="1097">
        <v>0</v>
      </c>
      <c r="O117" s="1097">
        <v>0</v>
      </c>
      <c r="P117" s="1097">
        <v>0</v>
      </c>
      <c r="Q117" s="1097">
        <v>0</v>
      </c>
      <c r="R117" s="1097">
        <v>0</v>
      </c>
      <c r="S117" s="1097">
        <v>12.030256177037906</v>
      </c>
      <c r="T117" s="1097">
        <v>36.090768531113724</v>
      </c>
      <c r="U117" s="1097">
        <v>60.151280885189529</v>
      </c>
      <c r="V117" s="1097">
        <v>84.211793239265333</v>
      </c>
      <c r="W117" s="1097">
        <v>120.30256177037906</v>
      </c>
      <c r="X117" s="1097">
        <v>120.30256177037906</v>
      </c>
      <c r="Y117" s="1097">
        <v>120.30256177037906</v>
      </c>
      <c r="Z117" s="1097">
        <v>120.30256177037906</v>
      </c>
      <c r="AA117" s="1097">
        <v>120.30256177037906</v>
      </c>
      <c r="AB117" s="1098">
        <v>120.30256177037906</v>
      </c>
      <c r="AD117" s="1100">
        <f t="shared" si="54"/>
        <v>0</v>
      </c>
      <c r="AE117" s="1101">
        <f t="shared" si="55"/>
        <v>0</v>
      </c>
      <c r="AF117" s="1101">
        <f t="shared" si="56"/>
        <v>0</v>
      </c>
      <c r="AG117" s="1101">
        <f t="shared" si="57"/>
        <v>0</v>
      </c>
      <c r="AH117" s="1101">
        <f t="shared" si="58"/>
        <v>0</v>
      </c>
      <c r="AI117" s="1101">
        <f t="shared" si="59"/>
        <v>0</v>
      </c>
      <c r="AJ117" s="1101">
        <f t="shared" si="60"/>
        <v>0</v>
      </c>
      <c r="AK117" s="1101">
        <f t="shared" si="61"/>
        <v>0</v>
      </c>
      <c r="AL117" s="1101">
        <f t="shared" si="62"/>
        <v>0</v>
      </c>
      <c r="AM117" s="1101">
        <f t="shared" si="63"/>
        <v>0</v>
      </c>
      <c r="AN117" s="1101">
        <f t="shared" si="64"/>
        <v>0</v>
      </c>
      <c r="AO117" s="1101">
        <f t="shared" si="65"/>
        <v>0</v>
      </c>
      <c r="AP117" s="1101">
        <f t="shared" si="66"/>
        <v>0</v>
      </c>
      <c r="AQ117" s="1101">
        <f t="shared" si="67"/>
        <v>0</v>
      </c>
      <c r="AR117" s="1101">
        <f t="shared" si="68"/>
        <v>0</v>
      </c>
      <c r="AS117" s="1101">
        <f t="shared" si="69"/>
        <v>15.161137759068673</v>
      </c>
      <c r="AT117" s="1101">
        <f t="shared" si="70"/>
        <v>45.483413277206019</v>
      </c>
      <c r="AU117" s="1101">
        <f t="shared" si="71"/>
        <v>75.805688795343357</v>
      </c>
      <c r="AV117" s="1101">
        <f t="shared" si="72"/>
        <v>106.12796431348069</v>
      </c>
      <c r="AW117" s="1101">
        <f t="shared" si="73"/>
        <v>151.61137759068671</v>
      </c>
      <c r="AX117" s="1101">
        <f t="shared" si="74"/>
        <v>151.61137759068671</v>
      </c>
      <c r="AY117" s="1101">
        <f t="shared" si="75"/>
        <v>151.61137759068671</v>
      </c>
      <c r="AZ117" s="1101">
        <f t="shared" si="76"/>
        <v>151.61137759068671</v>
      </c>
      <c r="BA117" s="1101">
        <f t="shared" si="77"/>
        <v>151.61137759068671</v>
      </c>
      <c r="BB117" s="1102">
        <f t="shared" si="78"/>
        <v>151.61137759068671</v>
      </c>
      <c r="BC117" s="1103"/>
    </row>
    <row r="118" spans="2:55" s="1099" customFormat="1" ht="15">
      <c r="B118" s="1074">
        <v>2047</v>
      </c>
      <c r="C118" s="1404" t="s">
        <v>875</v>
      </c>
      <c r="D118" s="1097">
        <v>0</v>
      </c>
      <c r="E118" s="1097">
        <v>0</v>
      </c>
      <c r="F118" s="1097">
        <v>0</v>
      </c>
      <c r="G118" s="1097">
        <v>0</v>
      </c>
      <c r="H118" s="1097">
        <v>0</v>
      </c>
      <c r="I118" s="1097">
        <v>0</v>
      </c>
      <c r="J118" s="1097">
        <v>0</v>
      </c>
      <c r="K118" s="1097">
        <v>0</v>
      </c>
      <c r="L118" s="1097">
        <v>0</v>
      </c>
      <c r="M118" s="1097">
        <v>0</v>
      </c>
      <c r="N118" s="1097">
        <v>0</v>
      </c>
      <c r="O118" s="1097">
        <v>0</v>
      </c>
      <c r="P118" s="1097">
        <v>0</v>
      </c>
      <c r="Q118" s="1097">
        <v>0</v>
      </c>
      <c r="R118" s="1097">
        <v>0</v>
      </c>
      <c r="S118" s="1097">
        <v>0</v>
      </c>
      <c r="T118" s="1097">
        <v>12.223292219796464</v>
      </c>
      <c r="U118" s="1097">
        <v>36.669876659389395</v>
      </c>
      <c r="V118" s="1097">
        <v>61.11646109898232</v>
      </c>
      <c r="W118" s="1097">
        <v>85.563045538575238</v>
      </c>
      <c r="X118" s="1097">
        <v>122.23292219796464</v>
      </c>
      <c r="Y118" s="1097">
        <v>122.23292219796464</v>
      </c>
      <c r="Z118" s="1097">
        <v>122.23292219796464</v>
      </c>
      <c r="AA118" s="1097">
        <v>122.23292219796464</v>
      </c>
      <c r="AB118" s="1098">
        <v>122.23292219796464</v>
      </c>
      <c r="AD118" s="1100">
        <f t="shared" si="54"/>
        <v>0</v>
      </c>
      <c r="AE118" s="1101">
        <f t="shared" si="55"/>
        <v>0</v>
      </c>
      <c r="AF118" s="1101">
        <f t="shared" si="56"/>
        <v>0</v>
      </c>
      <c r="AG118" s="1101">
        <f t="shared" si="57"/>
        <v>0</v>
      </c>
      <c r="AH118" s="1101">
        <f t="shared" si="58"/>
        <v>0</v>
      </c>
      <c r="AI118" s="1101">
        <f t="shared" si="59"/>
        <v>0</v>
      </c>
      <c r="AJ118" s="1101">
        <f t="shared" si="60"/>
        <v>0</v>
      </c>
      <c r="AK118" s="1101">
        <f t="shared" si="61"/>
        <v>0</v>
      </c>
      <c r="AL118" s="1101">
        <f t="shared" si="62"/>
        <v>0</v>
      </c>
      <c r="AM118" s="1101">
        <f t="shared" si="63"/>
        <v>0</v>
      </c>
      <c r="AN118" s="1101">
        <f t="shared" si="64"/>
        <v>0</v>
      </c>
      <c r="AO118" s="1101">
        <f t="shared" si="65"/>
        <v>0</v>
      </c>
      <c r="AP118" s="1101">
        <f t="shared" si="66"/>
        <v>0</v>
      </c>
      <c r="AQ118" s="1101">
        <f t="shared" si="67"/>
        <v>0</v>
      </c>
      <c r="AR118" s="1101">
        <f t="shared" si="68"/>
        <v>0</v>
      </c>
      <c r="AS118" s="1101">
        <f t="shared" si="69"/>
        <v>0</v>
      </c>
      <c r="AT118" s="1101">
        <f t="shared" si="70"/>
        <v>15.404411550886509</v>
      </c>
      <c r="AU118" s="1101">
        <f t="shared" si="71"/>
        <v>46.213234652659544</v>
      </c>
      <c r="AV118" s="1101">
        <f t="shared" si="72"/>
        <v>77.022057754432552</v>
      </c>
      <c r="AW118" s="1101">
        <f t="shared" si="73"/>
        <v>107.83088085620557</v>
      </c>
      <c r="AX118" s="1101">
        <f t="shared" si="74"/>
        <v>154.0441155088651</v>
      </c>
      <c r="AY118" s="1101">
        <f t="shared" si="75"/>
        <v>154.0441155088651</v>
      </c>
      <c r="AZ118" s="1101">
        <f t="shared" si="76"/>
        <v>154.0441155088651</v>
      </c>
      <c r="BA118" s="1101">
        <f t="shared" si="77"/>
        <v>154.0441155088651</v>
      </c>
      <c r="BB118" s="1102">
        <f t="shared" si="78"/>
        <v>154.0441155088651</v>
      </c>
      <c r="BC118" s="1103"/>
    </row>
    <row r="119" spans="2:55" s="1099" customFormat="1" ht="15">
      <c r="B119" s="1074">
        <v>2048</v>
      </c>
      <c r="C119" s="1404" t="s">
        <v>876</v>
      </c>
      <c r="D119" s="1097">
        <v>0</v>
      </c>
      <c r="E119" s="1097">
        <v>0</v>
      </c>
      <c r="F119" s="1097">
        <v>0</v>
      </c>
      <c r="G119" s="1097">
        <v>0</v>
      </c>
      <c r="H119" s="1097">
        <v>0</v>
      </c>
      <c r="I119" s="1097">
        <v>0</v>
      </c>
      <c r="J119" s="1097">
        <v>0</v>
      </c>
      <c r="K119" s="1097">
        <v>0</v>
      </c>
      <c r="L119" s="1097">
        <v>0</v>
      </c>
      <c r="M119" s="1097">
        <v>0</v>
      </c>
      <c r="N119" s="1097">
        <v>0</v>
      </c>
      <c r="O119" s="1097">
        <v>0</v>
      </c>
      <c r="P119" s="1097">
        <v>0</v>
      </c>
      <c r="Q119" s="1097">
        <v>0</v>
      </c>
      <c r="R119" s="1097">
        <v>0</v>
      </c>
      <c r="S119" s="1097">
        <v>0</v>
      </c>
      <c r="T119" s="1097">
        <v>0</v>
      </c>
      <c r="U119" s="1097">
        <v>12.419459793707473</v>
      </c>
      <c r="V119" s="1097">
        <v>37.258379381122424</v>
      </c>
      <c r="W119" s="1097">
        <v>62.097298968537359</v>
      </c>
      <c r="X119" s="1097">
        <v>86.936218555952294</v>
      </c>
      <c r="Y119" s="1097">
        <v>124.19459793707472</v>
      </c>
      <c r="Z119" s="1097">
        <v>124.19459793707472</v>
      </c>
      <c r="AA119" s="1097">
        <v>124.19459793707472</v>
      </c>
      <c r="AB119" s="1098">
        <v>124.19459793707472</v>
      </c>
      <c r="AD119" s="1100">
        <f t="shared" si="54"/>
        <v>0</v>
      </c>
      <c r="AE119" s="1101">
        <f t="shared" si="55"/>
        <v>0</v>
      </c>
      <c r="AF119" s="1101">
        <f t="shared" si="56"/>
        <v>0</v>
      </c>
      <c r="AG119" s="1101">
        <f t="shared" si="57"/>
        <v>0</v>
      </c>
      <c r="AH119" s="1101">
        <f t="shared" si="58"/>
        <v>0</v>
      </c>
      <c r="AI119" s="1101">
        <f t="shared" si="59"/>
        <v>0</v>
      </c>
      <c r="AJ119" s="1101">
        <f t="shared" si="60"/>
        <v>0</v>
      </c>
      <c r="AK119" s="1101">
        <f t="shared" si="61"/>
        <v>0</v>
      </c>
      <c r="AL119" s="1101">
        <f t="shared" si="62"/>
        <v>0</v>
      </c>
      <c r="AM119" s="1101">
        <f t="shared" si="63"/>
        <v>0</v>
      </c>
      <c r="AN119" s="1101">
        <f t="shared" si="64"/>
        <v>0</v>
      </c>
      <c r="AO119" s="1101">
        <f t="shared" si="65"/>
        <v>0</v>
      </c>
      <c r="AP119" s="1101">
        <f t="shared" si="66"/>
        <v>0</v>
      </c>
      <c r="AQ119" s="1101">
        <f t="shared" si="67"/>
        <v>0</v>
      </c>
      <c r="AR119" s="1101">
        <f t="shared" si="68"/>
        <v>0</v>
      </c>
      <c r="AS119" s="1101">
        <f t="shared" si="69"/>
        <v>0</v>
      </c>
      <c r="AT119" s="1101">
        <f t="shared" si="70"/>
        <v>0</v>
      </c>
      <c r="AU119" s="1101">
        <f t="shared" si="71"/>
        <v>15.65163185676859</v>
      </c>
      <c r="AV119" s="1101">
        <f t="shared" si="72"/>
        <v>46.95489557030578</v>
      </c>
      <c r="AW119" s="1101">
        <f t="shared" si="73"/>
        <v>78.258159283842957</v>
      </c>
      <c r="AX119" s="1101">
        <f t="shared" si="74"/>
        <v>109.56142299738012</v>
      </c>
      <c r="AY119" s="1101">
        <f t="shared" si="75"/>
        <v>156.51631856768591</v>
      </c>
      <c r="AZ119" s="1101">
        <f t="shared" si="76"/>
        <v>156.51631856768591</v>
      </c>
      <c r="BA119" s="1101">
        <f t="shared" si="77"/>
        <v>156.51631856768591</v>
      </c>
      <c r="BB119" s="1102">
        <f t="shared" si="78"/>
        <v>156.51631856768591</v>
      </c>
      <c r="BC119" s="1103"/>
    </row>
    <row r="120" spans="2:55" s="1099" customFormat="1" ht="15">
      <c r="B120" s="1074">
        <v>2049</v>
      </c>
      <c r="C120" s="1404" t="s">
        <v>877</v>
      </c>
      <c r="D120" s="1097">
        <v>0</v>
      </c>
      <c r="E120" s="1097">
        <v>0</v>
      </c>
      <c r="F120" s="1097">
        <v>0</v>
      </c>
      <c r="G120" s="1097">
        <v>0</v>
      </c>
      <c r="H120" s="1097">
        <v>0</v>
      </c>
      <c r="I120" s="1097">
        <v>0</v>
      </c>
      <c r="J120" s="1097">
        <v>0</v>
      </c>
      <c r="K120" s="1097">
        <v>0</v>
      </c>
      <c r="L120" s="1097">
        <v>0</v>
      </c>
      <c r="M120" s="1097">
        <v>0</v>
      </c>
      <c r="N120" s="1097">
        <v>0</v>
      </c>
      <c r="O120" s="1097">
        <v>0</v>
      </c>
      <c r="P120" s="1097">
        <v>0</v>
      </c>
      <c r="Q120" s="1097">
        <v>0</v>
      </c>
      <c r="R120" s="1097">
        <v>0</v>
      </c>
      <c r="S120" s="1097">
        <v>0</v>
      </c>
      <c r="T120" s="1097">
        <v>0</v>
      </c>
      <c r="U120" s="1097">
        <v>0</v>
      </c>
      <c r="V120" s="1097">
        <v>12.618810108039705</v>
      </c>
      <c r="W120" s="1097">
        <v>37.856430324119117</v>
      </c>
      <c r="X120" s="1097">
        <v>63.094050540198523</v>
      </c>
      <c r="Y120" s="1097">
        <v>88.33167075627793</v>
      </c>
      <c r="Z120" s="1097">
        <v>126.18810108039705</v>
      </c>
      <c r="AA120" s="1097">
        <v>126.18810108039705</v>
      </c>
      <c r="AB120" s="1098">
        <v>126.18810108039705</v>
      </c>
      <c r="AD120" s="1100">
        <f t="shared" si="54"/>
        <v>0</v>
      </c>
      <c r="AE120" s="1101">
        <f t="shared" si="55"/>
        <v>0</v>
      </c>
      <c r="AF120" s="1101">
        <f t="shared" si="56"/>
        <v>0</v>
      </c>
      <c r="AG120" s="1101">
        <f t="shared" si="57"/>
        <v>0</v>
      </c>
      <c r="AH120" s="1101">
        <f t="shared" si="58"/>
        <v>0</v>
      </c>
      <c r="AI120" s="1101">
        <f t="shared" si="59"/>
        <v>0</v>
      </c>
      <c r="AJ120" s="1101">
        <f t="shared" si="60"/>
        <v>0</v>
      </c>
      <c r="AK120" s="1101">
        <f t="shared" si="61"/>
        <v>0</v>
      </c>
      <c r="AL120" s="1101">
        <f t="shared" si="62"/>
        <v>0</v>
      </c>
      <c r="AM120" s="1101">
        <f t="shared" si="63"/>
        <v>0</v>
      </c>
      <c r="AN120" s="1101">
        <f t="shared" si="64"/>
        <v>0</v>
      </c>
      <c r="AO120" s="1101">
        <f t="shared" si="65"/>
        <v>0</v>
      </c>
      <c r="AP120" s="1101">
        <f t="shared" si="66"/>
        <v>0</v>
      </c>
      <c r="AQ120" s="1101">
        <f t="shared" si="67"/>
        <v>0</v>
      </c>
      <c r="AR120" s="1101">
        <f t="shared" si="68"/>
        <v>0</v>
      </c>
      <c r="AS120" s="1101">
        <f t="shared" si="69"/>
        <v>0</v>
      </c>
      <c r="AT120" s="1101">
        <f t="shared" si="70"/>
        <v>0</v>
      </c>
      <c r="AU120" s="1101">
        <f t="shared" si="71"/>
        <v>0</v>
      </c>
      <c r="AV120" s="1101">
        <f t="shared" si="72"/>
        <v>15.902863213227434</v>
      </c>
      <c r="AW120" s="1101">
        <f t="shared" si="73"/>
        <v>47.708589639682309</v>
      </c>
      <c r="AX120" s="1101">
        <f t="shared" si="74"/>
        <v>79.51431606613717</v>
      </c>
      <c r="AY120" s="1101">
        <f t="shared" si="75"/>
        <v>111.32004249259202</v>
      </c>
      <c r="AZ120" s="1101">
        <f t="shared" si="76"/>
        <v>159.02863213227434</v>
      </c>
      <c r="BA120" s="1101">
        <f t="shared" si="77"/>
        <v>159.02863213227434</v>
      </c>
      <c r="BB120" s="1102">
        <f t="shared" si="78"/>
        <v>159.02863213227434</v>
      </c>
      <c r="BC120" s="1103"/>
    </row>
    <row r="121" spans="2:55" s="1099" customFormat="1" ht="15">
      <c r="B121" s="1081">
        <v>2050</v>
      </c>
      <c r="C121" s="1405" t="s">
        <v>878</v>
      </c>
      <c r="D121" s="1097">
        <v>0</v>
      </c>
      <c r="E121" s="1097">
        <v>0</v>
      </c>
      <c r="F121" s="1097">
        <v>0</v>
      </c>
      <c r="G121" s="1097">
        <v>0</v>
      </c>
      <c r="H121" s="1097">
        <v>0</v>
      </c>
      <c r="I121" s="1097">
        <v>0</v>
      </c>
      <c r="J121" s="1097">
        <v>0</v>
      </c>
      <c r="K121" s="1097">
        <v>0</v>
      </c>
      <c r="L121" s="1097">
        <v>0</v>
      </c>
      <c r="M121" s="1097">
        <v>0</v>
      </c>
      <c r="N121" s="1097">
        <v>0</v>
      </c>
      <c r="O121" s="1097">
        <v>0</v>
      </c>
      <c r="P121" s="1097">
        <v>0</v>
      </c>
      <c r="Q121" s="1097">
        <v>0</v>
      </c>
      <c r="R121" s="1097">
        <v>0</v>
      </c>
      <c r="S121" s="1097">
        <v>0</v>
      </c>
      <c r="T121" s="1097">
        <v>0</v>
      </c>
      <c r="U121" s="1097">
        <v>0</v>
      </c>
      <c r="V121" s="1097">
        <v>0</v>
      </c>
      <c r="W121" s="1097">
        <v>12.821395214303678</v>
      </c>
      <c r="X121" s="1097">
        <v>38.46418564291104</v>
      </c>
      <c r="Y121" s="1097">
        <v>64.106976071518389</v>
      </c>
      <c r="Z121" s="1097">
        <v>89.749766500125745</v>
      </c>
      <c r="AA121" s="1097">
        <v>128.21395214303678</v>
      </c>
      <c r="AB121" s="1098">
        <v>128.21395214303678</v>
      </c>
      <c r="AD121" s="1100">
        <f t="shared" si="54"/>
        <v>0</v>
      </c>
      <c r="AE121" s="1101">
        <f t="shared" si="55"/>
        <v>0</v>
      </c>
      <c r="AF121" s="1101">
        <f t="shared" si="56"/>
        <v>0</v>
      </c>
      <c r="AG121" s="1101">
        <f t="shared" si="57"/>
        <v>0</v>
      </c>
      <c r="AH121" s="1101">
        <f t="shared" si="58"/>
        <v>0</v>
      </c>
      <c r="AI121" s="1101">
        <f t="shared" si="59"/>
        <v>0</v>
      </c>
      <c r="AJ121" s="1101">
        <f t="shared" si="60"/>
        <v>0</v>
      </c>
      <c r="AK121" s="1101">
        <f t="shared" si="61"/>
        <v>0</v>
      </c>
      <c r="AL121" s="1101">
        <f t="shared" si="62"/>
        <v>0</v>
      </c>
      <c r="AM121" s="1101">
        <f t="shared" si="63"/>
        <v>0</v>
      </c>
      <c r="AN121" s="1101">
        <f t="shared" si="64"/>
        <v>0</v>
      </c>
      <c r="AO121" s="1101">
        <f t="shared" si="65"/>
        <v>0</v>
      </c>
      <c r="AP121" s="1101">
        <f t="shared" si="66"/>
        <v>0</v>
      </c>
      <c r="AQ121" s="1101">
        <f t="shared" si="67"/>
        <v>0</v>
      </c>
      <c r="AR121" s="1101">
        <f t="shared" si="68"/>
        <v>0</v>
      </c>
      <c r="AS121" s="1101">
        <f t="shared" si="69"/>
        <v>0</v>
      </c>
      <c r="AT121" s="1101">
        <f t="shared" si="70"/>
        <v>0</v>
      </c>
      <c r="AU121" s="1101">
        <f t="shared" si="71"/>
        <v>0</v>
      </c>
      <c r="AV121" s="1101">
        <f t="shared" si="72"/>
        <v>0</v>
      </c>
      <c r="AW121" s="1101">
        <f t="shared" si="73"/>
        <v>16.15817121821124</v>
      </c>
      <c r="AX121" s="1101">
        <f t="shared" si="74"/>
        <v>48.474513654633732</v>
      </c>
      <c r="AY121" s="1101">
        <f t="shared" si="75"/>
        <v>80.790856091056213</v>
      </c>
      <c r="AZ121" s="1101">
        <f t="shared" si="76"/>
        <v>113.1071985274787</v>
      </c>
      <c r="BA121" s="1101">
        <f t="shared" si="77"/>
        <v>161.58171218211243</v>
      </c>
      <c r="BB121" s="1102">
        <f t="shared" si="78"/>
        <v>161.58171218211243</v>
      </c>
      <c r="BC121" s="1103"/>
    </row>
    <row r="122" spans="2:55" s="1099" customFormat="1" ht="15">
      <c r="B122" s="1074" t="s">
        <v>880</v>
      </c>
      <c r="C122" s="1096"/>
      <c r="D122" s="1105">
        <f t="shared" ref="D122:AB122" si="79">NPV(realdiscrt2,D89:D121)/(1+realdiscrt2)^-Half_Year</f>
        <v>81.290100322792853</v>
      </c>
      <c r="E122" s="1105">
        <f t="shared" si="79"/>
        <v>163.33446458820859</v>
      </c>
      <c r="F122" s="1105">
        <f t="shared" si="79"/>
        <v>245.53758255169794</v>
      </c>
      <c r="G122" s="1105">
        <f t="shared" si="79"/>
        <v>325.5409448690931</v>
      </c>
      <c r="H122" s="1105">
        <f t="shared" si="79"/>
        <v>404.20021014240865</v>
      </c>
      <c r="I122" s="1105">
        <f t="shared" si="79"/>
        <v>483.38731368674627</v>
      </c>
      <c r="J122" s="1105">
        <f t="shared" si="79"/>
        <v>561.56171303073222</v>
      </c>
      <c r="K122" s="1105">
        <f t="shared" si="79"/>
        <v>639.53788539354127</v>
      </c>
      <c r="L122" s="1105">
        <f t="shared" si="79"/>
        <v>718.76038224137778</v>
      </c>
      <c r="M122" s="1105">
        <f t="shared" si="79"/>
        <v>798.1293600425513</v>
      </c>
      <c r="N122" s="1105">
        <f t="shared" si="79"/>
        <v>877.64531595565245</v>
      </c>
      <c r="O122" s="1105">
        <f t="shared" si="79"/>
        <v>957.30874803581094</v>
      </c>
      <c r="P122" s="1105">
        <f t="shared" si="79"/>
        <v>1037.1201552378175</v>
      </c>
      <c r="Q122" s="1105">
        <f t="shared" si="79"/>
        <v>1117.0800374192511</v>
      </c>
      <c r="R122" s="1105">
        <f t="shared" si="79"/>
        <v>1197.1888953436132</v>
      </c>
      <c r="S122" s="1105">
        <f t="shared" si="79"/>
        <v>1277.4472306834652</v>
      </c>
      <c r="T122" s="1105">
        <f t="shared" si="79"/>
        <v>1357.855546023573</v>
      </c>
      <c r="U122" s="1105">
        <f t="shared" si="79"/>
        <v>1438.4143448640577</v>
      </c>
      <c r="V122" s="1105">
        <f t="shared" si="79"/>
        <v>1519.1241316235494</v>
      </c>
      <c r="W122" s="1105">
        <f t="shared" si="79"/>
        <v>1599.9854116423492</v>
      </c>
      <c r="X122" s="1105">
        <f t="shared" si="79"/>
        <v>1672.8607231113922</v>
      </c>
      <c r="Y122" s="1105">
        <f t="shared" si="79"/>
        <v>1729.5972324573854</v>
      </c>
      <c r="Z122" s="1105">
        <f t="shared" si="79"/>
        <v>1770.164651383265</v>
      </c>
      <c r="AA122" s="1105">
        <f t="shared" si="79"/>
        <v>1794.5325903582875</v>
      </c>
      <c r="AB122" s="1105">
        <f t="shared" si="79"/>
        <v>1794.5325903582875</v>
      </c>
      <c r="AD122" s="1105">
        <f t="shared" ref="AD122:BB122" si="80">NPV(realdiscrt2,AD89:AD121)/(1+realdiscrt2)^-Half_Year</f>
        <v>102.44589901541315</v>
      </c>
      <c r="AE122" s="1105">
        <f t="shared" si="80"/>
        <v>205.84235962922602</v>
      </c>
      <c r="AF122" s="1105">
        <f t="shared" si="80"/>
        <v>309.43888968884585</v>
      </c>
      <c r="AG122" s="1105">
        <f t="shared" si="80"/>
        <v>410.26317634018488</v>
      </c>
      <c r="AH122" s="1105">
        <f t="shared" si="80"/>
        <v>509.39356386361158</v>
      </c>
      <c r="AI122" s="1105">
        <f t="shared" si="80"/>
        <v>609.1891598932998</v>
      </c>
      <c r="AJ122" s="1105">
        <f t="shared" si="80"/>
        <v>707.70849483055827</v>
      </c>
      <c r="AK122" s="1105">
        <f t="shared" si="80"/>
        <v>805.97801409265878</v>
      </c>
      <c r="AL122" s="1105">
        <f t="shared" si="80"/>
        <v>905.81821455488785</v>
      </c>
      <c r="AM122" s="1105">
        <f t="shared" si="80"/>
        <v>1005.8430177288079</v>
      </c>
      <c r="AN122" s="1105">
        <f t="shared" si="80"/>
        <v>1106.0530501588394</v>
      </c>
      <c r="AO122" s="1105">
        <f t="shared" si="80"/>
        <v>1206.4489395192666</v>
      </c>
      <c r="AP122" s="1105">
        <f t="shared" si="80"/>
        <v>1307.0313146181718</v>
      </c>
      <c r="AQ122" s="1105">
        <f t="shared" si="80"/>
        <v>1407.8008054013769</v>
      </c>
      <c r="AR122" s="1105">
        <f t="shared" si="80"/>
        <v>1508.7580429563927</v>
      </c>
      <c r="AS122" s="1105">
        <f t="shared" si="80"/>
        <v>1609.9036595163745</v>
      </c>
      <c r="AT122" s="1105">
        <f t="shared" si="80"/>
        <v>1711.2382884640826</v>
      </c>
      <c r="AU122" s="1105">
        <f t="shared" si="80"/>
        <v>1812.7625643358549</v>
      </c>
      <c r="AV122" s="1105">
        <f t="shared" si="80"/>
        <v>1914.4771228255806</v>
      </c>
      <c r="AW122" s="1105">
        <f t="shared" si="80"/>
        <v>2016.3826007886867</v>
      </c>
      <c r="AX122" s="1105">
        <f t="shared" si="80"/>
        <v>2108.2237569667291</v>
      </c>
      <c r="AY122" s="1105">
        <f t="shared" si="80"/>
        <v>2179.7259778259267</v>
      </c>
      <c r="AZ122" s="1105">
        <f t="shared" si="80"/>
        <v>2230.851092521244</v>
      </c>
      <c r="BA122" s="1105">
        <f t="shared" si="80"/>
        <v>2261.5608026278378</v>
      </c>
      <c r="BB122" s="1105">
        <f t="shared" si="80"/>
        <v>2261.5608026278378</v>
      </c>
      <c r="BC122" s="1103"/>
    </row>
    <row r="123" spans="2:55" s="1099" customFormat="1" ht="15" hidden="1">
      <c r="B123" s="1106"/>
      <c r="C123" s="1096"/>
      <c r="D123" s="1105"/>
      <c r="E123" s="1105"/>
      <c r="F123" s="1105"/>
      <c r="G123" s="1105"/>
      <c r="H123" s="1105"/>
      <c r="I123" s="1105"/>
      <c r="J123" s="1105"/>
      <c r="K123" s="1105"/>
      <c r="L123" s="1105"/>
      <c r="M123" s="1105"/>
      <c r="N123" s="1105"/>
      <c r="O123" s="1105"/>
      <c r="P123" s="1105"/>
      <c r="Q123" s="1105"/>
      <c r="R123" s="1105"/>
      <c r="S123" s="1105"/>
      <c r="T123" s="1105"/>
      <c r="U123" s="1105"/>
      <c r="V123" s="1105"/>
      <c r="W123" s="1105"/>
      <c r="X123" s="1105"/>
      <c r="Y123" s="1105"/>
      <c r="Z123" s="1105"/>
      <c r="AA123" s="1105"/>
      <c r="AB123" s="1105"/>
      <c r="AD123" s="1105"/>
      <c r="AE123" s="1105"/>
      <c r="AF123" s="1105"/>
      <c r="AG123" s="1105"/>
      <c r="AH123" s="1105"/>
      <c r="AI123" s="1105"/>
      <c r="AJ123" s="1105"/>
      <c r="AK123" s="1105"/>
      <c r="AL123" s="1105"/>
      <c r="AM123" s="1105"/>
      <c r="AN123" s="1105"/>
      <c r="AO123" s="1105"/>
      <c r="AP123" s="1105"/>
      <c r="AQ123" s="1105"/>
      <c r="AR123" s="1105"/>
      <c r="AS123" s="1105"/>
      <c r="AT123" s="1105"/>
      <c r="AU123" s="1105"/>
      <c r="AV123" s="1105"/>
      <c r="AW123" s="1105"/>
      <c r="AX123" s="1105"/>
      <c r="AY123" s="1105"/>
      <c r="AZ123" s="1105"/>
      <c r="BA123" s="1105"/>
      <c r="BB123" s="1105"/>
    </row>
    <row r="124" spans="2:55" s="1099" customFormat="1" ht="15" hidden="1">
      <c r="B124" s="1106"/>
      <c r="C124" s="1096"/>
      <c r="D124" s="1105"/>
      <c r="E124" s="1105"/>
      <c r="F124" s="1105"/>
      <c r="G124" s="1105"/>
      <c r="H124" s="1105"/>
      <c r="I124" s="1105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1105"/>
      <c r="U124" s="1105"/>
      <c r="V124" s="1105"/>
      <c r="W124" s="1105"/>
      <c r="X124" s="1105"/>
      <c r="Y124" s="1105"/>
      <c r="Z124" s="1105"/>
      <c r="AA124" s="1105"/>
      <c r="AB124" s="1105"/>
      <c r="AD124" s="1105"/>
      <c r="AE124" s="1105"/>
      <c r="AF124" s="1105"/>
      <c r="AG124" s="1105"/>
      <c r="AH124" s="1105"/>
      <c r="AI124" s="1105"/>
      <c r="AJ124" s="1105"/>
      <c r="AK124" s="1105"/>
      <c r="AL124" s="1105"/>
      <c r="AM124" s="1105"/>
      <c r="AN124" s="1105"/>
      <c r="AO124" s="1105"/>
      <c r="AP124" s="1105"/>
      <c r="AQ124" s="1105"/>
      <c r="AR124" s="1105"/>
      <c r="AS124" s="1105"/>
      <c r="AT124" s="1105"/>
      <c r="AU124" s="1105"/>
      <c r="AV124" s="1105"/>
      <c r="AW124" s="1105"/>
      <c r="AX124" s="1105"/>
      <c r="AY124" s="1105"/>
      <c r="AZ124" s="1105"/>
      <c r="BA124" s="1105"/>
      <c r="BB124" s="1105"/>
    </row>
    <row r="125" spans="2:55" s="1099" customFormat="1" ht="15" hidden="1">
      <c r="B125" s="1107"/>
      <c r="C125" s="1104"/>
      <c r="D125" s="1105"/>
      <c r="E125" s="1105"/>
      <c r="F125" s="1105"/>
      <c r="G125" s="1105"/>
      <c r="H125" s="1105"/>
      <c r="I125" s="1105"/>
      <c r="J125" s="1105"/>
      <c r="K125" s="1105"/>
      <c r="L125" s="1105"/>
      <c r="M125" s="1105"/>
      <c r="N125" s="1105"/>
      <c r="O125" s="1105"/>
      <c r="P125" s="1105"/>
      <c r="Q125" s="1105"/>
      <c r="R125" s="1105"/>
      <c r="S125" s="1105"/>
      <c r="T125" s="1105"/>
      <c r="U125" s="1105"/>
      <c r="V125" s="1105"/>
      <c r="W125" s="1105"/>
      <c r="X125" s="1105"/>
      <c r="Y125" s="1105"/>
      <c r="Z125" s="1105"/>
      <c r="AA125" s="1105"/>
      <c r="AB125" s="1105"/>
      <c r="AD125" s="1105"/>
      <c r="AE125" s="1105"/>
      <c r="AF125" s="1105"/>
      <c r="AG125" s="1105"/>
      <c r="AH125" s="1105"/>
      <c r="AI125" s="1105"/>
      <c r="AJ125" s="1105"/>
      <c r="AK125" s="1105"/>
      <c r="AL125" s="1105"/>
      <c r="AM125" s="1105"/>
      <c r="AN125" s="1105"/>
      <c r="AO125" s="1105"/>
      <c r="AP125" s="1105"/>
      <c r="AQ125" s="1105"/>
      <c r="AR125" s="1105"/>
      <c r="AS125" s="1105"/>
      <c r="AT125" s="1105"/>
      <c r="AU125" s="1105"/>
      <c r="AV125" s="1105"/>
      <c r="AW125" s="1105"/>
      <c r="AX125" s="1105"/>
      <c r="AY125" s="1105"/>
      <c r="AZ125" s="1105"/>
      <c r="BA125" s="1105"/>
      <c r="BB125" s="1105"/>
    </row>
    <row r="127" spans="2:55" s="1093" customFormat="1" ht="31.5" customHeight="1" thickBot="1">
      <c r="B127" s="1089"/>
      <c r="C127" s="1090"/>
      <c r="D127" s="1091" t="s">
        <v>883</v>
      </c>
      <c r="E127" s="1090"/>
      <c r="F127" s="1090"/>
      <c r="G127" s="1090"/>
      <c r="H127" s="1090"/>
      <c r="I127" s="1090"/>
      <c r="J127" s="1090"/>
      <c r="K127" s="1090"/>
      <c r="L127" s="1090"/>
      <c r="M127" s="1090"/>
      <c r="N127" s="1090"/>
      <c r="O127" s="1090"/>
      <c r="P127" s="1090"/>
      <c r="Q127" s="1090"/>
      <c r="R127" s="1090"/>
      <c r="S127" s="1090"/>
      <c r="T127" s="1090"/>
      <c r="U127" s="1090"/>
      <c r="V127" s="1090"/>
      <c r="W127" s="1090"/>
      <c r="X127" s="1090"/>
      <c r="Y127" s="1090"/>
      <c r="Z127" s="1090"/>
      <c r="AA127" s="1090"/>
      <c r="AB127" s="1092"/>
      <c r="AD127" s="1091" t="s">
        <v>882</v>
      </c>
      <c r="AE127" s="1094"/>
      <c r="AF127" s="1094"/>
      <c r="AG127" s="1094"/>
      <c r="AH127" s="1094"/>
      <c r="AI127" s="1094"/>
      <c r="AJ127" s="1094"/>
      <c r="AK127" s="1094"/>
      <c r="AL127" s="1094"/>
      <c r="AM127" s="1094"/>
      <c r="AN127" s="1094"/>
      <c r="AO127" s="1094"/>
      <c r="AP127" s="1094"/>
      <c r="AQ127" s="1094"/>
      <c r="AR127" s="1094"/>
      <c r="AS127" s="1094"/>
      <c r="AT127" s="1094"/>
      <c r="AU127" s="1094"/>
      <c r="AV127" s="1094"/>
      <c r="AW127" s="1094"/>
      <c r="AX127" s="1094"/>
      <c r="AY127" s="1094"/>
      <c r="AZ127" s="1094"/>
      <c r="BA127" s="1094"/>
      <c r="BB127" s="1095"/>
    </row>
    <row r="128" spans="2:55" s="1099" customFormat="1" ht="15.75" thickTop="1">
      <c r="B128" s="1074">
        <v>2018</v>
      </c>
      <c r="C128" s="1404" t="s">
        <v>31</v>
      </c>
      <c r="D128" s="1097">
        <v>0</v>
      </c>
      <c r="E128" s="1097">
        <v>0</v>
      </c>
      <c r="F128" s="1097">
        <v>0</v>
      </c>
      <c r="G128" s="1097">
        <v>0</v>
      </c>
      <c r="H128" s="1097">
        <v>0</v>
      </c>
      <c r="I128" s="1097">
        <v>0</v>
      </c>
      <c r="J128" s="1097">
        <v>0</v>
      </c>
      <c r="K128" s="1097">
        <v>0</v>
      </c>
      <c r="L128" s="1097">
        <v>0</v>
      </c>
      <c r="M128" s="1097">
        <v>0</v>
      </c>
      <c r="N128" s="1097">
        <v>0</v>
      </c>
      <c r="O128" s="1097">
        <v>0</v>
      </c>
      <c r="P128" s="1097">
        <v>0</v>
      </c>
      <c r="Q128" s="1097">
        <v>0</v>
      </c>
      <c r="R128" s="1097">
        <v>0</v>
      </c>
      <c r="S128" s="1097">
        <v>0</v>
      </c>
      <c r="T128" s="1097">
        <v>0</v>
      </c>
      <c r="U128" s="1097">
        <v>0</v>
      </c>
      <c r="V128" s="1097">
        <v>0</v>
      </c>
      <c r="W128" s="1097">
        <v>0</v>
      </c>
      <c r="X128" s="1097">
        <v>0</v>
      </c>
      <c r="Y128" s="1097">
        <v>0</v>
      </c>
      <c r="Z128" s="1097">
        <v>0</v>
      </c>
      <c r="AA128" s="1097">
        <v>0</v>
      </c>
      <c r="AB128" s="1098">
        <v>0</v>
      </c>
      <c r="AD128" s="1100">
        <f t="shared" ref="AD128:AD160" si="81">D128*(1+PTFlosses)*(1+WholesaleRiskPremium)*(1+DistributionLosses)*(1+Inflation2)^(Year2-Real_Year)</f>
        <v>0</v>
      </c>
      <c r="AE128" s="1101">
        <f t="shared" ref="AE128:AE160" si="82">E128*(1+PTFlosses)*(1+WholesaleRiskPremium)*(1+DistributionLosses)*(1+Inflation2)^(Year2-Real_Year)</f>
        <v>0</v>
      </c>
      <c r="AF128" s="1101">
        <f t="shared" ref="AF128:AF160" si="83">F128*(1+PTFlosses)*(1+WholesaleRiskPremium)*(1+DistributionLosses)*(1+Inflation2)^(Year2-Real_Year)</f>
        <v>0</v>
      </c>
      <c r="AG128" s="1101">
        <f t="shared" ref="AG128:AG160" si="84">G128*(1+PTFlosses)*(1+WholesaleRiskPremium)*(1+DistributionLosses)*(1+Inflation2)^(Year2-Real_Year)</f>
        <v>0</v>
      </c>
      <c r="AH128" s="1101">
        <f t="shared" ref="AH128:AH160" si="85">H128*(1+PTFlosses)*(1+WholesaleRiskPremium)*(1+DistributionLosses)*(1+Inflation2)^(Year2-Real_Year)</f>
        <v>0</v>
      </c>
      <c r="AI128" s="1101">
        <f t="shared" ref="AI128:AI160" si="86">I128*(1+PTFlosses)*(1+WholesaleRiskPremium)*(1+DistributionLosses)*(1+Inflation2)^(Year2-Real_Year)</f>
        <v>0</v>
      </c>
      <c r="AJ128" s="1101">
        <f t="shared" ref="AJ128:AJ160" si="87">J128*(1+PTFlosses)*(1+WholesaleRiskPremium)*(1+DistributionLosses)*(1+Inflation2)^(Year2-Real_Year)</f>
        <v>0</v>
      </c>
      <c r="AK128" s="1101">
        <f t="shared" ref="AK128:AK160" si="88">K128*(1+PTFlosses)*(1+WholesaleRiskPremium)*(1+DistributionLosses)*(1+Inflation2)^(Year2-Real_Year)</f>
        <v>0</v>
      </c>
      <c r="AL128" s="1101">
        <f t="shared" ref="AL128:AL160" si="89">L128*(1+PTFlosses)*(1+WholesaleRiskPremium)*(1+DistributionLosses)*(1+Inflation2)^(Year2-Real_Year)</f>
        <v>0</v>
      </c>
      <c r="AM128" s="1101">
        <f t="shared" ref="AM128:AM160" si="90">M128*(1+PTFlosses)*(1+WholesaleRiskPremium)*(1+DistributionLosses)*(1+Inflation2)^(Year2-Real_Year)</f>
        <v>0</v>
      </c>
      <c r="AN128" s="1101">
        <f t="shared" ref="AN128:AN160" si="91">N128*(1+PTFlosses)*(1+WholesaleRiskPremium)*(1+DistributionLosses)*(1+Inflation2)^(Year2-Real_Year)</f>
        <v>0</v>
      </c>
      <c r="AO128" s="1101">
        <f t="shared" ref="AO128:AO160" si="92">O128*(1+PTFlosses)*(1+WholesaleRiskPremium)*(1+DistributionLosses)*(1+Inflation2)^(Year2-Real_Year)</f>
        <v>0</v>
      </c>
      <c r="AP128" s="1101">
        <f t="shared" ref="AP128:AP160" si="93">P128*(1+PTFlosses)*(1+WholesaleRiskPremium)*(1+DistributionLosses)*(1+Inflation2)^(Year2-Real_Year)</f>
        <v>0</v>
      </c>
      <c r="AQ128" s="1101">
        <f t="shared" ref="AQ128:AQ160" si="94">Q128*(1+PTFlosses)*(1+WholesaleRiskPremium)*(1+DistributionLosses)*(1+Inflation2)^(Year2-Real_Year)</f>
        <v>0</v>
      </c>
      <c r="AR128" s="1101">
        <f t="shared" ref="AR128:AR160" si="95">R128*(1+PTFlosses)*(1+WholesaleRiskPremium)*(1+DistributionLosses)*(1+Inflation2)^(Year2-Real_Year)</f>
        <v>0</v>
      </c>
      <c r="AS128" s="1101">
        <f t="shared" ref="AS128:AS160" si="96">S128*(1+PTFlosses)*(1+WholesaleRiskPremium)*(1+DistributionLosses)*(1+Inflation2)^(Year2-Real_Year)</f>
        <v>0</v>
      </c>
      <c r="AT128" s="1101">
        <f t="shared" ref="AT128:AT160" si="97">T128*(1+PTFlosses)*(1+WholesaleRiskPremium)*(1+DistributionLosses)*(1+Inflation2)^(Year2-Real_Year)</f>
        <v>0</v>
      </c>
      <c r="AU128" s="1101">
        <f t="shared" ref="AU128:AU160" si="98">U128*(1+PTFlosses)*(1+WholesaleRiskPremium)*(1+DistributionLosses)*(1+Inflation2)^(Year2-Real_Year)</f>
        <v>0</v>
      </c>
      <c r="AV128" s="1101">
        <f t="shared" ref="AV128:AV160" si="99">V128*(1+PTFlosses)*(1+WholesaleRiskPremium)*(1+DistributionLosses)*(1+Inflation2)^(Year2-Real_Year)</f>
        <v>0</v>
      </c>
      <c r="AW128" s="1101">
        <f t="shared" ref="AW128:AW160" si="100">W128*(1+PTFlosses)*(1+WholesaleRiskPremium)*(1+DistributionLosses)*(1+Inflation2)^(Year2-Real_Year)</f>
        <v>0</v>
      </c>
      <c r="AX128" s="1101">
        <f t="shared" ref="AX128:AX160" si="101">X128*(1+PTFlosses)*(1+WholesaleRiskPremium)*(1+DistributionLosses)*(1+Inflation2)^(Year2-Real_Year)</f>
        <v>0</v>
      </c>
      <c r="AY128" s="1101">
        <f t="shared" ref="AY128:AY160" si="102">Y128*(1+PTFlosses)*(1+WholesaleRiskPremium)*(1+DistributionLosses)*(1+Inflation2)^(Year2-Real_Year)</f>
        <v>0</v>
      </c>
      <c r="AZ128" s="1101">
        <f t="shared" ref="AZ128:AZ160" si="103">Z128*(1+PTFlosses)*(1+WholesaleRiskPremium)*(1+DistributionLosses)*(1+Inflation2)^(Year2-Real_Year)</f>
        <v>0</v>
      </c>
      <c r="BA128" s="1101">
        <f t="shared" ref="BA128:BA160" si="104">AA128*(1+PTFlosses)*(1+WholesaleRiskPremium)*(1+DistributionLosses)*(1+Inflation2)^(Year2-Real_Year)</f>
        <v>0</v>
      </c>
      <c r="BB128" s="1102">
        <f t="shared" ref="BB128:BB160" si="105">AB128*(1+PTFlosses)*(1+WholesaleRiskPremium)*(1+DistributionLosses)*(1+Inflation2)^(Year2-Real_Year)</f>
        <v>0</v>
      </c>
      <c r="BC128" s="1103"/>
    </row>
    <row r="129" spans="2:55" s="1099" customFormat="1" ht="15">
      <c r="B129" s="1074">
        <v>2019</v>
      </c>
      <c r="C129" s="1404" t="s">
        <v>31</v>
      </c>
      <c r="D129" s="1097">
        <v>0</v>
      </c>
      <c r="E129" s="1097">
        <v>0</v>
      </c>
      <c r="F129" s="1097">
        <v>0</v>
      </c>
      <c r="G129" s="1097">
        <v>0</v>
      </c>
      <c r="H129" s="1097">
        <v>0</v>
      </c>
      <c r="I129" s="1097">
        <v>0</v>
      </c>
      <c r="J129" s="1097">
        <v>0</v>
      </c>
      <c r="K129" s="1097">
        <v>0</v>
      </c>
      <c r="L129" s="1097">
        <v>0</v>
      </c>
      <c r="M129" s="1097">
        <v>0</v>
      </c>
      <c r="N129" s="1097">
        <v>0</v>
      </c>
      <c r="O129" s="1097">
        <v>0</v>
      </c>
      <c r="P129" s="1097">
        <v>0</v>
      </c>
      <c r="Q129" s="1097">
        <v>0</v>
      </c>
      <c r="R129" s="1097">
        <v>0</v>
      </c>
      <c r="S129" s="1097">
        <v>0</v>
      </c>
      <c r="T129" s="1097">
        <v>0</v>
      </c>
      <c r="U129" s="1097">
        <v>0</v>
      </c>
      <c r="V129" s="1097">
        <v>0</v>
      </c>
      <c r="W129" s="1097">
        <v>0</v>
      </c>
      <c r="X129" s="1097">
        <v>0</v>
      </c>
      <c r="Y129" s="1097">
        <v>0</v>
      </c>
      <c r="Z129" s="1097">
        <v>0</v>
      </c>
      <c r="AA129" s="1097">
        <v>0</v>
      </c>
      <c r="AB129" s="1098">
        <v>0</v>
      </c>
      <c r="AD129" s="1100">
        <f t="shared" si="81"/>
        <v>0</v>
      </c>
      <c r="AE129" s="1101">
        <f t="shared" si="82"/>
        <v>0</v>
      </c>
      <c r="AF129" s="1101">
        <f t="shared" si="83"/>
        <v>0</v>
      </c>
      <c r="AG129" s="1101">
        <f t="shared" si="84"/>
        <v>0</v>
      </c>
      <c r="AH129" s="1101">
        <f t="shared" si="85"/>
        <v>0</v>
      </c>
      <c r="AI129" s="1101">
        <f t="shared" si="86"/>
        <v>0</v>
      </c>
      <c r="AJ129" s="1101">
        <f t="shared" si="87"/>
        <v>0</v>
      </c>
      <c r="AK129" s="1101">
        <f t="shared" si="88"/>
        <v>0</v>
      </c>
      <c r="AL129" s="1101">
        <f t="shared" si="89"/>
        <v>0</v>
      </c>
      <c r="AM129" s="1101">
        <f t="shared" si="90"/>
        <v>0</v>
      </c>
      <c r="AN129" s="1101">
        <f t="shared" si="91"/>
        <v>0</v>
      </c>
      <c r="AO129" s="1101">
        <f t="shared" si="92"/>
        <v>0</v>
      </c>
      <c r="AP129" s="1101">
        <f t="shared" si="93"/>
        <v>0</v>
      </c>
      <c r="AQ129" s="1101">
        <f t="shared" si="94"/>
        <v>0</v>
      </c>
      <c r="AR129" s="1101">
        <f t="shared" si="95"/>
        <v>0</v>
      </c>
      <c r="AS129" s="1101">
        <f t="shared" si="96"/>
        <v>0</v>
      </c>
      <c r="AT129" s="1101">
        <f t="shared" si="97"/>
        <v>0</v>
      </c>
      <c r="AU129" s="1101">
        <f t="shared" si="98"/>
        <v>0</v>
      </c>
      <c r="AV129" s="1101">
        <f t="shared" si="99"/>
        <v>0</v>
      </c>
      <c r="AW129" s="1101">
        <f t="shared" si="100"/>
        <v>0</v>
      </c>
      <c r="AX129" s="1101">
        <f t="shared" si="101"/>
        <v>0</v>
      </c>
      <c r="AY129" s="1101">
        <f t="shared" si="102"/>
        <v>0</v>
      </c>
      <c r="AZ129" s="1101">
        <f t="shared" si="103"/>
        <v>0</v>
      </c>
      <c r="BA129" s="1101">
        <f t="shared" si="104"/>
        <v>0</v>
      </c>
      <c r="BB129" s="1102">
        <f t="shared" si="105"/>
        <v>0</v>
      </c>
      <c r="BC129" s="1103"/>
    </row>
    <row r="130" spans="2:55" s="1099" customFormat="1" ht="15">
      <c r="B130" s="1074">
        <v>2020</v>
      </c>
      <c r="C130" s="1404" t="s">
        <v>31</v>
      </c>
      <c r="D130" s="1097">
        <v>0</v>
      </c>
      <c r="E130" s="1097">
        <v>0</v>
      </c>
      <c r="F130" s="1097">
        <v>0</v>
      </c>
      <c r="G130" s="1097">
        <v>0</v>
      </c>
      <c r="H130" s="1097">
        <v>0</v>
      </c>
      <c r="I130" s="1097">
        <v>0</v>
      </c>
      <c r="J130" s="1097">
        <v>0</v>
      </c>
      <c r="K130" s="1097">
        <v>0</v>
      </c>
      <c r="L130" s="1097">
        <v>0</v>
      </c>
      <c r="M130" s="1097">
        <v>0</v>
      </c>
      <c r="N130" s="1097">
        <v>0</v>
      </c>
      <c r="O130" s="1097">
        <v>0</v>
      </c>
      <c r="P130" s="1097">
        <v>0</v>
      </c>
      <c r="Q130" s="1097">
        <v>0</v>
      </c>
      <c r="R130" s="1097">
        <v>0</v>
      </c>
      <c r="S130" s="1097">
        <v>0</v>
      </c>
      <c r="T130" s="1097">
        <v>0</v>
      </c>
      <c r="U130" s="1097">
        <v>0</v>
      </c>
      <c r="V130" s="1097">
        <v>0</v>
      </c>
      <c r="W130" s="1097">
        <v>0</v>
      </c>
      <c r="X130" s="1097">
        <v>0</v>
      </c>
      <c r="Y130" s="1097">
        <v>0</v>
      </c>
      <c r="Z130" s="1097">
        <v>0</v>
      </c>
      <c r="AA130" s="1097">
        <v>0</v>
      </c>
      <c r="AB130" s="1098">
        <v>0</v>
      </c>
      <c r="AD130" s="1100">
        <f t="shared" si="81"/>
        <v>0</v>
      </c>
      <c r="AE130" s="1101">
        <f t="shared" si="82"/>
        <v>0</v>
      </c>
      <c r="AF130" s="1101">
        <f t="shared" si="83"/>
        <v>0</v>
      </c>
      <c r="AG130" s="1101">
        <f t="shared" si="84"/>
        <v>0</v>
      </c>
      <c r="AH130" s="1101">
        <f t="shared" si="85"/>
        <v>0</v>
      </c>
      <c r="AI130" s="1101">
        <f t="shared" si="86"/>
        <v>0</v>
      </c>
      <c r="AJ130" s="1101">
        <f t="shared" si="87"/>
        <v>0</v>
      </c>
      <c r="AK130" s="1101">
        <f t="shared" si="88"/>
        <v>0</v>
      </c>
      <c r="AL130" s="1101">
        <f t="shared" si="89"/>
        <v>0</v>
      </c>
      <c r="AM130" s="1101">
        <f t="shared" si="90"/>
        <v>0</v>
      </c>
      <c r="AN130" s="1101">
        <f t="shared" si="91"/>
        <v>0</v>
      </c>
      <c r="AO130" s="1101">
        <f t="shared" si="92"/>
        <v>0</v>
      </c>
      <c r="AP130" s="1101">
        <f t="shared" si="93"/>
        <v>0</v>
      </c>
      <c r="AQ130" s="1101">
        <f t="shared" si="94"/>
        <v>0</v>
      </c>
      <c r="AR130" s="1101">
        <f t="shared" si="95"/>
        <v>0</v>
      </c>
      <c r="AS130" s="1101">
        <f t="shared" si="96"/>
        <v>0</v>
      </c>
      <c r="AT130" s="1101">
        <f t="shared" si="97"/>
        <v>0</v>
      </c>
      <c r="AU130" s="1101">
        <f t="shared" si="98"/>
        <v>0</v>
      </c>
      <c r="AV130" s="1101">
        <f t="shared" si="99"/>
        <v>0</v>
      </c>
      <c r="AW130" s="1101">
        <f t="shared" si="100"/>
        <v>0</v>
      </c>
      <c r="AX130" s="1101">
        <f t="shared" si="101"/>
        <v>0</v>
      </c>
      <c r="AY130" s="1101">
        <f t="shared" si="102"/>
        <v>0</v>
      </c>
      <c r="AZ130" s="1101">
        <f t="shared" si="103"/>
        <v>0</v>
      </c>
      <c r="BA130" s="1101">
        <f t="shared" si="104"/>
        <v>0</v>
      </c>
      <c r="BB130" s="1102">
        <f t="shared" si="105"/>
        <v>0</v>
      </c>
      <c r="BC130" s="1103"/>
    </row>
    <row r="131" spans="2:55" s="1099" customFormat="1" ht="15">
      <c r="B131" s="1074">
        <v>2021</v>
      </c>
      <c r="C131" s="1404" t="s">
        <v>31</v>
      </c>
      <c r="D131" s="1097">
        <v>0</v>
      </c>
      <c r="E131" s="1097">
        <v>0</v>
      </c>
      <c r="F131" s="1097">
        <v>0</v>
      </c>
      <c r="G131" s="1097">
        <v>0</v>
      </c>
      <c r="H131" s="1097">
        <v>0</v>
      </c>
      <c r="I131" s="1097">
        <v>0</v>
      </c>
      <c r="J131" s="1097">
        <v>0</v>
      </c>
      <c r="K131" s="1097">
        <v>0</v>
      </c>
      <c r="L131" s="1097">
        <v>0</v>
      </c>
      <c r="M131" s="1097">
        <v>0</v>
      </c>
      <c r="N131" s="1097">
        <v>0</v>
      </c>
      <c r="O131" s="1097">
        <v>0</v>
      </c>
      <c r="P131" s="1097">
        <v>0</v>
      </c>
      <c r="Q131" s="1097">
        <v>0</v>
      </c>
      <c r="R131" s="1097">
        <v>0</v>
      </c>
      <c r="S131" s="1097">
        <v>0</v>
      </c>
      <c r="T131" s="1097">
        <v>0</v>
      </c>
      <c r="U131" s="1097">
        <v>0</v>
      </c>
      <c r="V131" s="1097">
        <v>0</v>
      </c>
      <c r="W131" s="1097">
        <v>0</v>
      </c>
      <c r="X131" s="1097">
        <v>0</v>
      </c>
      <c r="Y131" s="1097">
        <v>0</v>
      </c>
      <c r="Z131" s="1097">
        <v>0</v>
      </c>
      <c r="AA131" s="1097">
        <v>0</v>
      </c>
      <c r="AB131" s="1098">
        <v>0</v>
      </c>
      <c r="AD131" s="1100">
        <f t="shared" si="81"/>
        <v>0</v>
      </c>
      <c r="AE131" s="1101">
        <f t="shared" si="82"/>
        <v>0</v>
      </c>
      <c r="AF131" s="1101">
        <f t="shared" si="83"/>
        <v>0</v>
      </c>
      <c r="AG131" s="1101">
        <f t="shared" si="84"/>
        <v>0</v>
      </c>
      <c r="AH131" s="1101">
        <f t="shared" si="85"/>
        <v>0</v>
      </c>
      <c r="AI131" s="1101">
        <f t="shared" si="86"/>
        <v>0</v>
      </c>
      <c r="AJ131" s="1101">
        <f t="shared" si="87"/>
        <v>0</v>
      </c>
      <c r="AK131" s="1101">
        <f t="shared" si="88"/>
        <v>0</v>
      </c>
      <c r="AL131" s="1101">
        <f t="shared" si="89"/>
        <v>0</v>
      </c>
      <c r="AM131" s="1101">
        <f t="shared" si="90"/>
        <v>0</v>
      </c>
      <c r="AN131" s="1101">
        <f t="shared" si="91"/>
        <v>0</v>
      </c>
      <c r="AO131" s="1101">
        <f t="shared" si="92"/>
        <v>0</v>
      </c>
      <c r="AP131" s="1101">
        <f t="shared" si="93"/>
        <v>0</v>
      </c>
      <c r="AQ131" s="1101">
        <f t="shared" si="94"/>
        <v>0</v>
      </c>
      <c r="AR131" s="1101">
        <f t="shared" si="95"/>
        <v>0</v>
      </c>
      <c r="AS131" s="1101">
        <f t="shared" si="96"/>
        <v>0</v>
      </c>
      <c r="AT131" s="1101">
        <f t="shared" si="97"/>
        <v>0</v>
      </c>
      <c r="AU131" s="1101">
        <f t="shared" si="98"/>
        <v>0</v>
      </c>
      <c r="AV131" s="1101">
        <f t="shared" si="99"/>
        <v>0</v>
      </c>
      <c r="AW131" s="1101">
        <f t="shared" si="100"/>
        <v>0</v>
      </c>
      <c r="AX131" s="1101">
        <f t="shared" si="101"/>
        <v>0</v>
      </c>
      <c r="AY131" s="1101">
        <f t="shared" si="102"/>
        <v>0</v>
      </c>
      <c r="AZ131" s="1101">
        <f t="shared" si="103"/>
        <v>0</v>
      </c>
      <c r="BA131" s="1101">
        <f t="shared" si="104"/>
        <v>0</v>
      </c>
      <c r="BB131" s="1102">
        <f t="shared" si="105"/>
        <v>0</v>
      </c>
      <c r="BC131" s="1103"/>
    </row>
    <row r="132" spans="2:55" s="1099" customFormat="1" ht="15">
      <c r="B132" s="1074">
        <v>2022</v>
      </c>
      <c r="C132" s="1404" t="s">
        <v>850</v>
      </c>
      <c r="D132" s="1097">
        <v>0</v>
      </c>
      <c r="E132" s="1097">
        <v>0</v>
      </c>
      <c r="F132" s="1097">
        <v>0</v>
      </c>
      <c r="G132" s="1097">
        <v>0</v>
      </c>
      <c r="H132" s="1097">
        <v>0</v>
      </c>
      <c r="I132" s="1097">
        <v>0</v>
      </c>
      <c r="J132" s="1097">
        <v>0</v>
      </c>
      <c r="K132" s="1097">
        <v>0</v>
      </c>
      <c r="L132" s="1097">
        <v>0</v>
      </c>
      <c r="M132" s="1097">
        <v>0</v>
      </c>
      <c r="N132" s="1097">
        <v>0</v>
      </c>
      <c r="O132" s="1097">
        <v>0</v>
      </c>
      <c r="P132" s="1097">
        <v>0</v>
      </c>
      <c r="Q132" s="1097">
        <v>0</v>
      </c>
      <c r="R132" s="1097">
        <v>0</v>
      </c>
      <c r="S132" s="1097">
        <v>0</v>
      </c>
      <c r="T132" s="1097">
        <v>0</v>
      </c>
      <c r="U132" s="1097">
        <v>0</v>
      </c>
      <c r="V132" s="1097">
        <v>0</v>
      </c>
      <c r="W132" s="1097">
        <v>0</v>
      </c>
      <c r="X132" s="1097">
        <v>0</v>
      </c>
      <c r="Y132" s="1097">
        <v>0</v>
      </c>
      <c r="Z132" s="1097">
        <v>0</v>
      </c>
      <c r="AA132" s="1097">
        <v>0</v>
      </c>
      <c r="AB132" s="1098">
        <v>0</v>
      </c>
      <c r="AD132" s="1100">
        <f t="shared" si="81"/>
        <v>0</v>
      </c>
      <c r="AE132" s="1101">
        <f t="shared" si="82"/>
        <v>0</v>
      </c>
      <c r="AF132" s="1101">
        <f t="shared" si="83"/>
        <v>0</v>
      </c>
      <c r="AG132" s="1101">
        <f t="shared" si="84"/>
        <v>0</v>
      </c>
      <c r="AH132" s="1101">
        <f t="shared" si="85"/>
        <v>0</v>
      </c>
      <c r="AI132" s="1101">
        <f t="shared" si="86"/>
        <v>0</v>
      </c>
      <c r="AJ132" s="1101">
        <f t="shared" si="87"/>
        <v>0</v>
      </c>
      <c r="AK132" s="1101">
        <f t="shared" si="88"/>
        <v>0</v>
      </c>
      <c r="AL132" s="1101">
        <f t="shared" si="89"/>
        <v>0</v>
      </c>
      <c r="AM132" s="1101">
        <f t="shared" si="90"/>
        <v>0</v>
      </c>
      <c r="AN132" s="1101">
        <f t="shared" si="91"/>
        <v>0</v>
      </c>
      <c r="AO132" s="1101">
        <f t="shared" si="92"/>
        <v>0</v>
      </c>
      <c r="AP132" s="1101">
        <f t="shared" si="93"/>
        <v>0</v>
      </c>
      <c r="AQ132" s="1101">
        <f t="shared" si="94"/>
        <v>0</v>
      </c>
      <c r="AR132" s="1101">
        <f t="shared" si="95"/>
        <v>0</v>
      </c>
      <c r="AS132" s="1101">
        <f t="shared" si="96"/>
        <v>0</v>
      </c>
      <c r="AT132" s="1101">
        <f t="shared" si="97"/>
        <v>0</v>
      </c>
      <c r="AU132" s="1101">
        <f t="shared" si="98"/>
        <v>0</v>
      </c>
      <c r="AV132" s="1101">
        <f t="shared" si="99"/>
        <v>0</v>
      </c>
      <c r="AW132" s="1101">
        <f t="shared" si="100"/>
        <v>0</v>
      </c>
      <c r="AX132" s="1101">
        <f t="shared" si="101"/>
        <v>0</v>
      </c>
      <c r="AY132" s="1101">
        <f t="shared" si="102"/>
        <v>0</v>
      </c>
      <c r="AZ132" s="1101">
        <f t="shared" si="103"/>
        <v>0</v>
      </c>
      <c r="BA132" s="1101">
        <f t="shared" si="104"/>
        <v>0</v>
      </c>
      <c r="BB132" s="1102">
        <f t="shared" si="105"/>
        <v>0</v>
      </c>
      <c r="BC132" s="1103"/>
    </row>
    <row r="133" spans="2:55" s="1099" customFormat="1" ht="15">
      <c r="B133" s="1074">
        <v>2023</v>
      </c>
      <c r="C133" s="1404" t="s">
        <v>851</v>
      </c>
      <c r="D133" s="1097">
        <v>0</v>
      </c>
      <c r="E133" s="1097">
        <v>0</v>
      </c>
      <c r="F133" s="1097">
        <v>0</v>
      </c>
      <c r="G133" s="1097">
        <v>0</v>
      </c>
      <c r="H133" s="1097">
        <v>0</v>
      </c>
      <c r="I133" s="1097">
        <v>0</v>
      </c>
      <c r="J133" s="1097">
        <v>0</v>
      </c>
      <c r="K133" s="1097">
        <v>0</v>
      </c>
      <c r="L133" s="1097">
        <v>0</v>
      </c>
      <c r="M133" s="1097">
        <v>0</v>
      </c>
      <c r="N133" s="1097">
        <v>0</v>
      </c>
      <c r="O133" s="1097">
        <v>0</v>
      </c>
      <c r="P133" s="1097">
        <v>0</v>
      </c>
      <c r="Q133" s="1097">
        <v>0</v>
      </c>
      <c r="R133" s="1097">
        <v>0</v>
      </c>
      <c r="S133" s="1097">
        <v>0</v>
      </c>
      <c r="T133" s="1097">
        <v>0</v>
      </c>
      <c r="U133" s="1097">
        <v>0</v>
      </c>
      <c r="V133" s="1097">
        <v>0</v>
      </c>
      <c r="W133" s="1097">
        <v>0</v>
      </c>
      <c r="X133" s="1097">
        <v>0</v>
      </c>
      <c r="Y133" s="1097">
        <v>0</v>
      </c>
      <c r="Z133" s="1097">
        <v>0</v>
      </c>
      <c r="AA133" s="1097">
        <v>0</v>
      </c>
      <c r="AB133" s="1098">
        <v>0</v>
      </c>
      <c r="AD133" s="1100">
        <f t="shared" si="81"/>
        <v>0</v>
      </c>
      <c r="AE133" s="1101">
        <f t="shared" si="82"/>
        <v>0</v>
      </c>
      <c r="AF133" s="1101">
        <f t="shared" si="83"/>
        <v>0</v>
      </c>
      <c r="AG133" s="1101">
        <f t="shared" si="84"/>
        <v>0</v>
      </c>
      <c r="AH133" s="1101">
        <f t="shared" si="85"/>
        <v>0</v>
      </c>
      <c r="AI133" s="1101">
        <f t="shared" si="86"/>
        <v>0</v>
      </c>
      <c r="AJ133" s="1101">
        <f t="shared" si="87"/>
        <v>0</v>
      </c>
      <c r="AK133" s="1101">
        <f t="shared" si="88"/>
        <v>0</v>
      </c>
      <c r="AL133" s="1101">
        <f t="shared" si="89"/>
        <v>0</v>
      </c>
      <c r="AM133" s="1101">
        <f t="shared" si="90"/>
        <v>0</v>
      </c>
      <c r="AN133" s="1101">
        <f t="shared" si="91"/>
        <v>0</v>
      </c>
      <c r="AO133" s="1101">
        <f t="shared" si="92"/>
        <v>0</v>
      </c>
      <c r="AP133" s="1101">
        <f t="shared" si="93"/>
        <v>0</v>
      </c>
      <c r="AQ133" s="1101">
        <f t="shared" si="94"/>
        <v>0</v>
      </c>
      <c r="AR133" s="1101">
        <f t="shared" si="95"/>
        <v>0</v>
      </c>
      <c r="AS133" s="1101">
        <f t="shared" si="96"/>
        <v>0</v>
      </c>
      <c r="AT133" s="1101">
        <f t="shared" si="97"/>
        <v>0</v>
      </c>
      <c r="AU133" s="1101">
        <f t="shared" si="98"/>
        <v>0</v>
      </c>
      <c r="AV133" s="1101">
        <f t="shared" si="99"/>
        <v>0</v>
      </c>
      <c r="AW133" s="1101">
        <f t="shared" si="100"/>
        <v>0</v>
      </c>
      <c r="AX133" s="1101">
        <f t="shared" si="101"/>
        <v>0</v>
      </c>
      <c r="AY133" s="1101">
        <f t="shared" si="102"/>
        <v>0</v>
      </c>
      <c r="AZ133" s="1101">
        <f t="shared" si="103"/>
        <v>0</v>
      </c>
      <c r="BA133" s="1101">
        <f t="shared" si="104"/>
        <v>0</v>
      </c>
      <c r="BB133" s="1102">
        <f t="shared" si="105"/>
        <v>0</v>
      </c>
      <c r="BC133" s="1103"/>
    </row>
    <row r="134" spans="2:55" s="1099" customFormat="1" ht="15">
      <c r="B134" s="1074">
        <v>2024</v>
      </c>
      <c r="C134" s="1404" t="s">
        <v>852</v>
      </c>
      <c r="D134" s="1097">
        <v>0</v>
      </c>
      <c r="E134" s="1097">
        <v>0</v>
      </c>
      <c r="F134" s="1097">
        <v>0</v>
      </c>
      <c r="G134" s="1097">
        <v>0</v>
      </c>
      <c r="H134" s="1097">
        <v>0</v>
      </c>
      <c r="I134" s="1097">
        <v>0</v>
      </c>
      <c r="J134" s="1097">
        <v>0</v>
      </c>
      <c r="K134" s="1097">
        <v>0</v>
      </c>
      <c r="L134" s="1097">
        <v>0</v>
      </c>
      <c r="M134" s="1097">
        <v>0</v>
      </c>
      <c r="N134" s="1097">
        <v>0</v>
      </c>
      <c r="O134" s="1097">
        <v>0</v>
      </c>
      <c r="P134" s="1097">
        <v>0</v>
      </c>
      <c r="Q134" s="1097">
        <v>0</v>
      </c>
      <c r="R134" s="1097">
        <v>0</v>
      </c>
      <c r="S134" s="1097">
        <v>0</v>
      </c>
      <c r="T134" s="1097">
        <v>0</v>
      </c>
      <c r="U134" s="1097">
        <v>0</v>
      </c>
      <c r="V134" s="1097">
        <v>0</v>
      </c>
      <c r="W134" s="1097">
        <v>0</v>
      </c>
      <c r="X134" s="1097">
        <v>0</v>
      </c>
      <c r="Y134" s="1097">
        <v>0</v>
      </c>
      <c r="Z134" s="1097">
        <v>0</v>
      </c>
      <c r="AA134" s="1097">
        <v>0</v>
      </c>
      <c r="AB134" s="1098">
        <v>0</v>
      </c>
      <c r="AD134" s="1100">
        <f t="shared" si="81"/>
        <v>0</v>
      </c>
      <c r="AE134" s="1101">
        <f t="shared" si="82"/>
        <v>0</v>
      </c>
      <c r="AF134" s="1101">
        <f t="shared" si="83"/>
        <v>0</v>
      </c>
      <c r="AG134" s="1101">
        <f t="shared" si="84"/>
        <v>0</v>
      </c>
      <c r="AH134" s="1101">
        <f t="shared" si="85"/>
        <v>0</v>
      </c>
      <c r="AI134" s="1101">
        <f t="shared" si="86"/>
        <v>0</v>
      </c>
      <c r="AJ134" s="1101">
        <f t="shared" si="87"/>
        <v>0</v>
      </c>
      <c r="AK134" s="1101">
        <f t="shared" si="88"/>
        <v>0</v>
      </c>
      <c r="AL134" s="1101">
        <f t="shared" si="89"/>
        <v>0</v>
      </c>
      <c r="AM134" s="1101">
        <f t="shared" si="90"/>
        <v>0</v>
      </c>
      <c r="AN134" s="1101">
        <f t="shared" si="91"/>
        <v>0</v>
      </c>
      <c r="AO134" s="1101">
        <f t="shared" si="92"/>
        <v>0</v>
      </c>
      <c r="AP134" s="1101">
        <f t="shared" si="93"/>
        <v>0</v>
      </c>
      <c r="AQ134" s="1101">
        <f t="shared" si="94"/>
        <v>0</v>
      </c>
      <c r="AR134" s="1101">
        <f t="shared" si="95"/>
        <v>0</v>
      </c>
      <c r="AS134" s="1101">
        <f t="shared" si="96"/>
        <v>0</v>
      </c>
      <c r="AT134" s="1101">
        <f t="shared" si="97"/>
        <v>0</v>
      </c>
      <c r="AU134" s="1101">
        <f t="shared" si="98"/>
        <v>0</v>
      </c>
      <c r="AV134" s="1101">
        <f t="shared" si="99"/>
        <v>0</v>
      </c>
      <c r="AW134" s="1101">
        <f t="shared" si="100"/>
        <v>0</v>
      </c>
      <c r="AX134" s="1101">
        <f t="shared" si="101"/>
        <v>0</v>
      </c>
      <c r="AY134" s="1101">
        <f t="shared" si="102"/>
        <v>0</v>
      </c>
      <c r="AZ134" s="1101">
        <f t="shared" si="103"/>
        <v>0</v>
      </c>
      <c r="BA134" s="1101">
        <f t="shared" si="104"/>
        <v>0</v>
      </c>
      <c r="BB134" s="1102">
        <f t="shared" si="105"/>
        <v>0</v>
      </c>
      <c r="BC134" s="1103"/>
    </row>
    <row r="135" spans="2:55" s="1099" customFormat="1" ht="15">
      <c r="B135" s="1074">
        <v>2025</v>
      </c>
      <c r="C135" s="1404" t="s">
        <v>853</v>
      </c>
      <c r="D135" s="1097">
        <v>0</v>
      </c>
      <c r="E135" s="1097">
        <v>0</v>
      </c>
      <c r="F135" s="1097">
        <v>0</v>
      </c>
      <c r="G135" s="1097">
        <v>0</v>
      </c>
      <c r="H135" s="1097">
        <v>0</v>
      </c>
      <c r="I135" s="1097">
        <v>0</v>
      </c>
      <c r="J135" s="1097">
        <v>0</v>
      </c>
      <c r="K135" s="1097">
        <v>0</v>
      </c>
      <c r="L135" s="1097">
        <v>0</v>
      </c>
      <c r="M135" s="1097">
        <v>0</v>
      </c>
      <c r="N135" s="1097">
        <v>0</v>
      </c>
      <c r="O135" s="1097">
        <v>0</v>
      </c>
      <c r="P135" s="1097">
        <v>0</v>
      </c>
      <c r="Q135" s="1097">
        <v>0</v>
      </c>
      <c r="R135" s="1097">
        <v>0</v>
      </c>
      <c r="S135" s="1097">
        <v>0</v>
      </c>
      <c r="T135" s="1097">
        <v>0</v>
      </c>
      <c r="U135" s="1097">
        <v>0</v>
      </c>
      <c r="V135" s="1097">
        <v>0</v>
      </c>
      <c r="W135" s="1097">
        <v>0</v>
      </c>
      <c r="X135" s="1097">
        <v>0</v>
      </c>
      <c r="Y135" s="1097">
        <v>0</v>
      </c>
      <c r="Z135" s="1097">
        <v>0</v>
      </c>
      <c r="AA135" s="1097">
        <v>0</v>
      </c>
      <c r="AB135" s="1098">
        <v>0</v>
      </c>
      <c r="AD135" s="1100">
        <f t="shared" si="81"/>
        <v>0</v>
      </c>
      <c r="AE135" s="1101">
        <f t="shared" si="82"/>
        <v>0</v>
      </c>
      <c r="AF135" s="1101">
        <f t="shared" si="83"/>
        <v>0</v>
      </c>
      <c r="AG135" s="1101">
        <f t="shared" si="84"/>
        <v>0</v>
      </c>
      <c r="AH135" s="1101">
        <f t="shared" si="85"/>
        <v>0</v>
      </c>
      <c r="AI135" s="1101">
        <f t="shared" si="86"/>
        <v>0</v>
      </c>
      <c r="AJ135" s="1101">
        <f t="shared" si="87"/>
        <v>0</v>
      </c>
      <c r="AK135" s="1101">
        <f t="shared" si="88"/>
        <v>0</v>
      </c>
      <c r="AL135" s="1101">
        <f t="shared" si="89"/>
        <v>0</v>
      </c>
      <c r="AM135" s="1101">
        <f t="shared" si="90"/>
        <v>0</v>
      </c>
      <c r="AN135" s="1101">
        <f t="shared" si="91"/>
        <v>0</v>
      </c>
      <c r="AO135" s="1101">
        <f t="shared" si="92"/>
        <v>0</v>
      </c>
      <c r="AP135" s="1101">
        <f t="shared" si="93"/>
        <v>0</v>
      </c>
      <c r="AQ135" s="1101">
        <f t="shared" si="94"/>
        <v>0</v>
      </c>
      <c r="AR135" s="1101">
        <f t="shared" si="95"/>
        <v>0</v>
      </c>
      <c r="AS135" s="1101">
        <f t="shared" si="96"/>
        <v>0</v>
      </c>
      <c r="AT135" s="1101">
        <f t="shared" si="97"/>
        <v>0</v>
      </c>
      <c r="AU135" s="1101">
        <f t="shared" si="98"/>
        <v>0</v>
      </c>
      <c r="AV135" s="1101">
        <f t="shared" si="99"/>
        <v>0</v>
      </c>
      <c r="AW135" s="1101">
        <f t="shared" si="100"/>
        <v>0</v>
      </c>
      <c r="AX135" s="1101">
        <f t="shared" si="101"/>
        <v>0</v>
      </c>
      <c r="AY135" s="1101">
        <f t="shared" si="102"/>
        <v>0</v>
      </c>
      <c r="AZ135" s="1101">
        <f t="shared" si="103"/>
        <v>0</v>
      </c>
      <c r="BA135" s="1101">
        <f t="shared" si="104"/>
        <v>0</v>
      </c>
      <c r="BB135" s="1102">
        <f t="shared" si="105"/>
        <v>0</v>
      </c>
      <c r="BC135" s="1103"/>
    </row>
    <row r="136" spans="2:55" s="1099" customFormat="1" ht="15">
      <c r="B136" s="1074">
        <v>2026</v>
      </c>
      <c r="C136" s="1404" t="s">
        <v>854</v>
      </c>
      <c r="D136" s="1097">
        <v>0</v>
      </c>
      <c r="E136" s="1097">
        <v>0</v>
      </c>
      <c r="F136" s="1097">
        <v>0</v>
      </c>
      <c r="G136" s="1097">
        <v>0</v>
      </c>
      <c r="H136" s="1097">
        <v>0</v>
      </c>
      <c r="I136" s="1097">
        <v>0</v>
      </c>
      <c r="J136" s="1097">
        <v>0</v>
      </c>
      <c r="K136" s="1097">
        <v>0</v>
      </c>
      <c r="L136" s="1097">
        <v>0</v>
      </c>
      <c r="M136" s="1097">
        <v>0</v>
      </c>
      <c r="N136" s="1097">
        <v>0</v>
      </c>
      <c r="O136" s="1097">
        <v>0</v>
      </c>
      <c r="P136" s="1097">
        <v>0</v>
      </c>
      <c r="Q136" s="1097">
        <v>0</v>
      </c>
      <c r="R136" s="1097">
        <v>0</v>
      </c>
      <c r="S136" s="1097">
        <v>0</v>
      </c>
      <c r="T136" s="1097">
        <v>0</v>
      </c>
      <c r="U136" s="1097">
        <v>0</v>
      </c>
      <c r="V136" s="1097">
        <v>0</v>
      </c>
      <c r="W136" s="1097">
        <v>0</v>
      </c>
      <c r="X136" s="1097">
        <v>0</v>
      </c>
      <c r="Y136" s="1097">
        <v>0</v>
      </c>
      <c r="Z136" s="1097">
        <v>0</v>
      </c>
      <c r="AA136" s="1097">
        <v>0</v>
      </c>
      <c r="AB136" s="1098">
        <v>0</v>
      </c>
      <c r="AD136" s="1100">
        <f t="shared" si="81"/>
        <v>0</v>
      </c>
      <c r="AE136" s="1101">
        <f t="shared" si="82"/>
        <v>0</v>
      </c>
      <c r="AF136" s="1101">
        <f t="shared" si="83"/>
        <v>0</v>
      </c>
      <c r="AG136" s="1101">
        <f t="shared" si="84"/>
        <v>0</v>
      </c>
      <c r="AH136" s="1101">
        <f t="shared" si="85"/>
        <v>0</v>
      </c>
      <c r="AI136" s="1101">
        <f t="shared" si="86"/>
        <v>0</v>
      </c>
      <c r="AJ136" s="1101">
        <f t="shared" si="87"/>
        <v>0</v>
      </c>
      <c r="AK136" s="1101">
        <f t="shared" si="88"/>
        <v>0</v>
      </c>
      <c r="AL136" s="1101">
        <f t="shared" si="89"/>
        <v>0</v>
      </c>
      <c r="AM136" s="1101">
        <f t="shared" si="90"/>
        <v>0</v>
      </c>
      <c r="AN136" s="1101">
        <f t="shared" si="91"/>
        <v>0</v>
      </c>
      <c r="AO136" s="1101">
        <f t="shared" si="92"/>
        <v>0</v>
      </c>
      <c r="AP136" s="1101">
        <f t="shared" si="93"/>
        <v>0</v>
      </c>
      <c r="AQ136" s="1101">
        <f t="shared" si="94"/>
        <v>0</v>
      </c>
      <c r="AR136" s="1101">
        <f t="shared" si="95"/>
        <v>0</v>
      </c>
      <c r="AS136" s="1101">
        <f t="shared" si="96"/>
        <v>0</v>
      </c>
      <c r="AT136" s="1101">
        <f t="shared" si="97"/>
        <v>0</v>
      </c>
      <c r="AU136" s="1101">
        <f t="shared" si="98"/>
        <v>0</v>
      </c>
      <c r="AV136" s="1101">
        <f t="shared" si="99"/>
        <v>0</v>
      </c>
      <c r="AW136" s="1101">
        <f t="shared" si="100"/>
        <v>0</v>
      </c>
      <c r="AX136" s="1101">
        <f t="shared" si="101"/>
        <v>0</v>
      </c>
      <c r="AY136" s="1101">
        <f t="shared" si="102"/>
        <v>0</v>
      </c>
      <c r="AZ136" s="1101">
        <f t="shared" si="103"/>
        <v>0</v>
      </c>
      <c r="BA136" s="1101">
        <f t="shared" si="104"/>
        <v>0</v>
      </c>
      <c r="BB136" s="1102">
        <f t="shared" si="105"/>
        <v>0</v>
      </c>
      <c r="BC136" s="1103"/>
    </row>
    <row r="137" spans="2:55" s="1099" customFormat="1" ht="15">
      <c r="B137" s="1074">
        <v>2027</v>
      </c>
      <c r="C137" s="1404" t="s">
        <v>855</v>
      </c>
      <c r="D137" s="1097">
        <v>55.23</v>
      </c>
      <c r="E137" s="1097">
        <v>55.23</v>
      </c>
      <c r="F137" s="1097">
        <v>55.23</v>
      </c>
      <c r="G137" s="1097">
        <v>55.23</v>
      </c>
      <c r="H137" s="1097">
        <v>55.23</v>
      </c>
      <c r="I137" s="1097">
        <v>55.23</v>
      </c>
      <c r="J137" s="1097">
        <v>55.23</v>
      </c>
      <c r="K137" s="1097">
        <v>55.23</v>
      </c>
      <c r="L137" s="1097">
        <v>55.23</v>
      </c>
      <c r="M137" s="1097">
        <v>55.23</v>
      </c>
      <c r="N137" s="1097">
        <v>55.23</v>
      </c>
      <c r="O137" s="1097">
        <v>55.23</v>
      </c>
      <c r="P137" s="1097">
        <v>55.23</v>
      </c>
      <c r="Q137" s="1097">
        <v>55.23</v>
      </c>
      <c r="R137" s="1097">
        <v>55.23</v>
      </c>
      <c r="S137" s="1097">
        <v>55.23</v>
      </c>
      <c r="T137" s="1097">
        <v>55.23</v>
      </c>
      <c r="U137" s="1097">
        <v>55.23</v>
      </c>
      <c r="V137" s="1097">
        <v>55.23</v>
      </c>
      <c r="W137" s="1097">
        <v>55.23</v>
      </c>
      <c r="X137" s="1097">
        <v>55.23</v>
      </c>
      <c r="Y137" s="1097">
        <v>55.23</v>
      </c>
      <c r="Z137" s="1097">
        <v>55.23</v>
      </c>
      <c r="AA137" s="1097">
        <v>55.23</v>
      </c>
      <c r="AB137" s="1098">
        <v>55.23</v>
      </c>
      <c r="AD137" s="1100">
        <f t="shared" si="81"/>
        <v>69.603641527734723</v>
      </c>
      <c r="AE137" s="1101">
        <f t="shared" si="82"/>
        <v>69.603641527734723</v>
      </c>
      <c r="AF137" s="1101">
        <f t="shared" si="83"/>
        <v>69.603641527734723</v>
      </c>
      <c r="AG137" s="1101">
        <f t="shared" si="84"/>
        <v>69.603641527734723</v>
      </c>
      <c r="AH137" s="1101">
        <f t="shared" si="85"/>
        <v>69.603641527734723</v>
      </c>
      <c r="AI137" s="1101">
        <f t="shared" si="86"/>
        <v>69.603641527734723</v>
      </c>
      <c r="AJ137" s="1101">
        <f t="shared" si="87"/>
        <v>69.603641527734723</v>
      </c>
      <c r="AK137" s="1101">
        <f t="shared" si="88"/>
        <v>69.603641527734723</v>
      </c>
      <c r="AL137" s="1101">
        <f t="shared" si="89"/>
        <v>69.603641527734723</v>
      </c>
      <c r="AM137" s="1101">
        <f t="shared" si="90"/>
        <v>69.603641527734723</v>
      </c>
      <c r="AN137" s="1101">
        <f t="shared" si="91"/>
        <v>69.603641527734723</v>
      </c>
      <c r="AO137" s="1101">
        <f t="shared" si="92"/>
        <v>69.603641527734723</v>
      </c>
      <c r="AP137" s="1101">
        <f t="shared" si="93"/>
        <v>69.603641527734723</v>
      </c>
      <c r="AQ137" s="1101">
        <f t="shared" si="94"/>
        <v>69.603641527734723</v>
      </c>
      <c r="AR137" s="1101">
        <f t="shared" si="95"/>
        <v>69.603641527734723</v>
      </c>
      <c r="AS137" s="1101">
        <f t="shared" si="96"/>
        <v>69.603641527734723</v>
      </c>
      <c r="AT137" s="1101">
        <f t="shared" si="97"/>
        <v>69.603641527734723</v>
      </c>
      <c r="AU137" s="1101">
        <f t="shared" si="98"/>
        <v>69.603641527734723</v>
      </c>
      <c r="AV137" s="1101">
        <f t="shared" si="99"/>
        <v>69.603641527734723</v>
      </c>
      <c r="AW137" s="1101">
        <f t="shared" si="100"/>
        <v>69.603641527734723</v>
      </c>
      <c r="AX137" s="1101">
        <f t="shared" si="101"/>
        <v>69.603641527734723</v>
      </c>
      <c r="AY137" s="1101">
        <f t="shared" si="102"/>
        <v>69.603641527734723</v>
      </c>
      <c r="AZ137" s="1101">
        <f t="shared" si="103"/>
        <v>69.603641527734723</v>
      </c>
      <c r="BA137" s="1101">
        <f t="shared" si="104"/>
        <v>69.603641527734723</v>
      </c>
      <c r="BB137" s="1102">
        <f t="shared" si="105"/>
        <v>69.603641527734723</v>
      </c>
      <c r="BC137" s="1103"/>
    </row>
    <row r="138" spans="2:55" s="1099" customFormat="1" ht="15">
      <c r="B138" s="1074">
        <v>2028</v>
      </c>
      <c r="C138" s="1404" t="s">
        <v>856</v>
      </c>
      <c r="D138" s="1097">
        <v>48.45</v>
      </c>
      <c r="E138" s="1097">
        <v>87.210000000000008</v>
      </c>
      <c r="F138" s="1097">
        <v>87.210000000000008</v>
      </c>
      <c r="G138" s="1097">
        <v>87.210000000000008</v>
      </c>
      <c r="H138" s="1097">
        <v>87.210000000000008</v>
      </c>
      <c r="I138" s="1097">
        <v>87.210000000000008</v>
      </c>
      <c r="J138" s="1097">
        <v>87.210000000000008</v>
      </c>
      <c r="K138" s="1097">
        <v>87.210000000000008</v>
      </c>
      <c r="L138" s="1097">
        <v>87.210000000000008</v>
      </c>
      <c r="M138" s="1097">
        <v>87.210000000000008</v>
      </c>
      <c r="N138" s="1097">
        <v>87.210000000000008</v>
      </c>
      <c r="O138" s="1097">
        <v>87.210000000000008</v>
      </c>
      <c r="P138" s="1097">
        <v>87.210000000000008</v>
      </c>
      <c r="Q138" s="1097">
        <v>87.210000000000008</v>
      </c>
      <c r="R138" s="1097">
        <v>87.210000000000008</v>
      </c>
      <c r="S138" s="1097">
        <v>87.210000000000008</v>
      </c>
      <c r="T138" s="1097">
        <v>87.210000000000008</v>
      </c>
      <c r="U138" s="1097">
        <v>87.210000000000008</v>
      </c>
      <c r="V138" s="1097">
        <v>87.210000000000008</v>
      </c>
      <c r="W138" s="1097">
        <v>87.210000000000008</v>
      </c>
      <c r="X138" s="1097">
        <v>87.210000000000008</v>
      </c>
      <c r="Y138" s="1097">
        <v>87.210000000000008</v>
      </c>
      <c r="Z138" s="1097">
        <v>87.210000000000008</v>
      </c>
      <c r="AA138" s="1097">
        <v>87.210000000000008</v>
      </c>
      <c r="AB138" s="1098">
        <v>87.210000000000008</v>
      </c>
      <c r="AD138" s="1100">
        <f t="shared" si="81"/>
        <v>61.059142350511458</v>
      </c>
      <c r="AE138" s="1101">
        <f t="shared" si="82"/>
        <v>109.90645623092063</v>
      </c>
      <c r="AF138" s="1101">
        <f t="shared" si="83"/>
        <v>109.90645623092063</v>
      </c>
      <c r="AG138" s="1101">
        <f t="shared" si="84"/>
        <v>109.90645623092063</v>
      </c>
      <c r="AH138" s="1101">
        <f t="shared" si="85"/>
        <v>109.90645623092063</v>
      </c>
      <c r="AI138" s="1101">
        <f t="shared" si="86"/>
        <v>109.90645623092063</v>
      </c>
      <c r="AJ138" s="1101">
        <f t="shared" si="87"/>
        <v>109.90645623092063</v>
      </c>
      <c r="AK138" s="1101">
        <f t="shared" si="88"/>
        <v>109.90645623092063</v>
      </c>
      <c r="AL138" s="1101">
        <f t="shared" si="89"/>
        <v>109.90645623092063</v>
      </c>
      <c r="AM138" s="1101">
        <f t="shared" si="90"/>
        <v>109.90645623092063</v>
      </c>
      <c r="AN138" s="1101">
        <f t="shared" si="91"/>
        <v>109.90645623092063</v>
      </c>
      <c r="AO138" s="1101">
        <f t="shared" si="92"/>
        <v>109.90645623092063</v>
      </c>
      <c r="AP138" s="1101">
        <f t="shared" si="93"/>
        <v>109.90645623092063</v>
      </c>
      <c r="AQ138" s="1101">
        <f t="shared" si="94"/>
        <v>109.90645623092063</v>
      </c>
      <c r="AR138" s="1101">
        <f t="shared" si="95"/>
        <v>109.90645623092063</v>
      </c>
      <c r="AS138" s="1101">
        <f t="shared" si="96"/>
        <v>109.90645623092063</v>
      </c>
      <c r="AT138" s="1101">
        <f t="shared" si="97"/>
        <v>109.90645623092063</v>
      </c>
      <c r="AU138" s="1101">
        <f t="shared" si="98"/>
        <v>109.90645623092063</v>
      </c>
      <c r="AV138" s="1101">
        <f t="shared" si="99"/>
        <v>109.90645623092063</v>
      </c>
      <c r="AW138" s="1101">
        <f t="shared" si="100"/>
        <v>109.90645623092063</v>
      </c>
      <c r="AX138" s="1101">
        <f t="shared" si="101"/>
        <v>109.90645623092063</v>
      </c>
      <c r="AY138" s="1101">
        <f t="shared" si="102"/>
        <v>109.90645623092063</v>
      </c>
      <c r="AZ138" s="1101">
        <f t="shared" si="103"/>
        <v>109.90645623092063</v>
      </c>
      <c r="BA138" s="1101">
        <f t="shared" si="104"/>
        <v>109.90645623092063</v>
      </c>
      <c r="BB138" s="1102">
        <f t="shared" si="105"/>
        <v>109.90645623092063</v>
      </c>
      <c r="BC138" s="1103"/>
    </row>
    <row r="139" spans="2:55" s="1099" customFormat="1" ht="15">
      <c r="B139" s="1074">
        <v>2029</v>
      </c>
      <c r="C139" s="1404" t="s">
        <v>857</v>
      </c>
      <c r="D139" s="1097">
        <v>41.300000000000004</v>
      </c>
      <c r="E139" s="1097">
        <v>76.405000000000001</v>
      </c>
      <c r="F139" s="1097">
        <v>117.70499999999998</v>
      </c>
      <c r="G139" s="1097">
        <v>117.70499999999998</v>
      </c>
      <c r="H139" s="1097">
        <v>117.70499999999998</v>
      </c>
      <c r="I139" s="1097">
        <v>117.70499999999998</v>
      </c>
      <c r="J139" s="1097">
        <v>117.70499999999998</v>
      </c>
      <c r="K139" s="1097">
        <v>117.70499999999998</v>
      </c>
      <c r="L139" s="1097">
        <v>117.70499999999998</v>
      </c>
      <c r="M139" s="1097">
        <v>117.70499999999998</v>
      </c>
      <c r="N139" s="1097">
        <v>117.70499999999998</v>
      </c>
      <c r="O139" s="1097">
        <v>117.70499999999998</v>
      </c>
      <c r="P139" s="1097">
        <v>117.70499999999998</v>
      </c>
      <c r="Q139" s="1097">
        <v>117.70499999999998</v>
      </c>
      <c r="R139" s="1097">
        <v>117.70499999999998</v>
      </c>
      <c r="S139" s="1097">
        <v>117.70499999999998</v>
      </c>
      <c r="T139" s="1097">
        <v>117.70499999999998</v>
      </c>
      <c r="U139" s="1097">
        <v>117.70499999999998</v>
      </c>
      <c r="V139" s="1097">
        <v>117.70499999999998</v>
      </c>
      <c r="W139" s="1097">
        <v>117.70499999999998</v>
      </c>
      <c r="X139" s="1097">
        <v>117.70499999999998</v>
      </c>
      <c r="Y139" s="1097">
        <v>117.70499999999998</v>
      </c>
      <c r="Z139" s="1097">
        <v>117.70499999999998</v>
      </c>
      <c r="AA139" s="1097">
        <v>117.70499999999998</v>
      </c>
      <c r="AB139" s="1098">
        <v>117.70499999999998</v>
      </c>
      <c r="AD139" s="1100">
        <f t="shared" si="81"/>
        <v>52.048350445327628</v>
      </c>
      <c r="AE139" s="1101">
        <f t="shared" si="82"/>
        <v>96.289448323856107</v>
      </c>
      <c r="AF139" s="1101">
        <f t="shared" si="83"/>
        <v>148.33779876918371</v>
      </c>
      <c r="AG139" s="1101">
        <f t="shared" si="84"/>
        <v>148.33779876918371</v>
      </c>
      <c r="AH139" s="1101">
        <f t="shared" si="85"/>
        <v>148.33779876918371</v>
      </c>
      <c r="AI139" s="1101">
        <f t="shared" si="86"/>
        <v>148.33779876918371</v>
      </c>
      <c r="AJ139" s="1101">
        <f t="shared" si="87"/>
        <v>148.33779876918371</v>
      </c>
      <c r="AK139" s="1101">
        <f t="shared" si="88"/>
        <v>148.33779876918371</v>
      </c>
      <c r="AL139" s="1101">
        <f t="shared" si="89"/>
        <v>148.33779876918371</v>
      </c>
      <c r="AM139" s="1101">
        <f t="shared" si="90"/>
        <v>148.33779876918371</v>
      </c>
      <c r="AN139" s="1101">
        <f t="shared" si="91"/>
        <v>148.33779876918371</v>
      </c>
      <c r="AO139" s="1101">
        <f t="shared" si="92"/>
        <v>148.33779876918371</v>
      </c>
      <c r="AP139" s="1101">
        <f t="shared" si="93"/>
        <v>148.33779876918371</v>
      </c>
      <c r="AQ139" s="1101">
        <f t="shared" si="94"/>
        <v>148.33779876918371</v>
      </c>
      <c r="AR139" s="1101">
        <f t="shared" si="95"/>
        <v>148.33779876918371</v>
      </c>
      <c r="AS139" s="1101">
        <f t="shared" si="96"/>
        <v>148.33779876918371</v>
      </c>
      <c r="AT139" s="1101">
        <f t="shared" si="97"/>
        <v>148.33779876918371</v>
      </c>
      <c r="AU139" s="1101">
        <f t="shared" si="98"/>
        <v>148.33779876918371</v>
      </c>
      <c r="AV139" s="1101">
        <f t="shared" si="99"/>
        <v>148.33779876918371</v>
      </c>
      <c r="AW139" s="1101">
        <f t="shared" si="100"/>
        <v>148.33779876918371</v>
      </c>
      <c r="AX139" s="1101">
        <f t="shared" si="101"/>
        <v>148.33779876918371</v>
      </c>
      <c r="AY139" s="1101">
        <f t="shared" si="102"/>
        <v>148.33779876918371</v>
      </c>
      <c r="AZ139" s="1101">
        <f t="shared" si="103"/>
        <v>148.33779876918371</v>
      </c>
      <c r="BA139" s="1101">
        <f t="shared" si="104"/>
        <v>148.33779876918371</v>
      </c>
      <c r="BB139" s="1102">
        <f t="shared" si="105"/>
        <v>148.33779876918371</v>
      </c>
      <c r="BC139" s="1103"/>
    </row>
    <row r="140" spans="2:55" s="1099" customFormat="1" ht="15">
      <c r="B140" s="1074">
        <v>2030</v>
      </c>
      <c r="C140" s="1404" t="s">
        <v>858</v>
      </c>
      <c r="D140" s="1097">
        <v>27.614999999999998</v>
      </c>
      <c r="E140" s="1097">
        <v>51.548000000000002</v>
      </c>
      <c r="F140" s="1097">
        <v>82.844999999999999</v>
      </c>
      <c r="G140" s="1097">
        <v>119.66500000000001</v>
      </c>
      <c r="H140" s="1097">
        <v>119.66500000000001</v>
      </c>
      <c r="I140" s="1097">
        <v>119.66500000000001</v>
      </c>
      <c r="J140" s="1097">
        <v>119.66500000000001</v>
      </c>
      <c r="K140" s="1097">
        <v>119.66500000000001</v>
      </c>
      <c r="L140" s="1097">
        <v>119.66500000000001</v>
      </c>
      <c r="M140" s="1097">
        <v>119.66500000000001</v>
      </c>
      <c r="N140" s="1097">
        <v>119.66500000000001</v>
      </c>
      <c r="O140" s="1097">
        <v>119.66500000000001</v>
      </c>
      <c r="P140" s="1097">
        <v>119.66500000000001</v>
      </c>
      <c r="Q140" s="1097">
        <v>119.66500000000001</v>
      </c>
      <c r="R140" s="1097">
        <v>119.66500000000001</v>
      </c>
      <c r="S140" s="1097">
        <v>119.66500000000001</v>
      </c>
      <c r="T140" s="1097">
        <v>119.66500000000001</v>
      </c>
      <c r="U140" s="1097">
        <v>119.66500000000001</v>
      </c>
      <c r="V140" s="1097">
        <v>119.66500000000001</v>
      </c>
      <c r="W140" s="1097">
        <v>119.66500000000001</v>
      </c>
      <c r="X140" s="1097">
        <v>119.66500000000001</v>
      </c>
      <c r="Y140" s="1097">
        <v>119.66500000000001</v>
      </c>
      <c r="Z140" s="1097">
        <v>119.66500000000001</v>
      </c>
      <c r="AA140" s="1097">
        <v>119.66500000000001</v>
      </c>
      <c r="AB140" s="1098">
        <v>119.66500000000001</v>
      </c>
      <c r="AD140" s="1100">
        <f t="shared" si="81"/>
        <v>34.801820763867362</v>
      </c>
      <c r="AE140" s="1101">
        <f t="shared" si="82"/>
        <v>64.963398759219075</v>
      </c>
      <c r="AF140" s="1101">
        <f t="shared" si="83"/>
        <v>104.40546229160209</v>
      </c>
      <c r="AG140" s="1101">
        <f t="shared" si="84"/>
        <v>150.80788997675862</v>
      </c>
      <c r="AH140" s="1101">
        <f t="shared" si="85"/>
        <v>150.80788997675862</v>
      </c>
      <c r="AI140" s="1101">
        <f t="shared" si="86"/>
        <v>150.80788997675862</v>
      </c>
      <c r="AJ140" s="1101">
        <f t="shared" si="87"/>
        <v>150.80788997675862</v>
      </c>
      <c r="AK140" s="1101">
        <f t="shared" si="88"/>
        <v>150.80788997675862</v>
      </c>
      <c r="AL140" s="1101">
        <f t="shared" si="89"/>
        <v>150.80788997675862</v>
      </c>
      <c r="AM140" s="1101">
        <f t="shared" si="90"/>
        <v>150.80788997675862</v>
      </c>
      <c r="AN140" s="1101">
        <f t="shared" si="91"/>
        <v>150.80788997675862</v>
      </c>
      <c r="AO140" s="1101">
        <f t="shared" si="92"/>
        <v>150.80788997675862</v>
      </c>
      <c r="AP140" s="1101">
        <f t="shared" si="93"/>
        <v>150.80788997675862</v>
      </c>
      <c r="AQ140" s="1101">
        <f t="shared" si="94"/>
        <v>150.80788997675862</v>
      </c>
      <c r="AR140" s="1101">
        <f t="shared" si="95"/>
        <v>150.80788997675862</v>
      </c>
      <c r="AS140" s="1101">
        <f t="shared" si="96"/>
        <v>150.80788997675862</v>
      </c>
      <c r="AT140" s="1101">
        <f t="shared" si="97"/>
        <v>150.80788997675862</v>
      </c>
      <c r="AU140" s="1101">
        <f t="shared" si="98"/>
        <v>150.80788997675862</v>
      </c>
      <c r="AV140" s="1101">
        <f t="shared" si="99"/>
        <v>150.80788997675862</v>
      </c>
      <c r="AW140" s="1101">
        <f t="shared" si="100"/>
        <v>150.80788997675862</v>
      </c>
      <c r="AX140" s="1101">
        <f t="shared" si="101"/>
        <v>150.80788997675862</v>
      </c>
      <c r="AY140" s="1101">
        <f t="shared" si="102"/>
        <v>150.80788997675862</v>
      </c>
      <c r="AZ140" s="1101">
        <f t="shared" si="103"/>
        <v>150.80788997675862</v>
      </c>
      <c r="BA140" s="1101">
        <f t="shared" si="104"/>
        <v>150.80788997675862</v>
      </c>
      <c r="BB140" s="1102">
        <f t="shared" si="105"/>
        <v>150.80788997675862</v>
      </c>
      <c r="BC140" s="1103"/>
    </row>
    <row r="141" spans="2:55" s="1099" customFormat="1" ht="15">
      <c r="B141" s="1074">
        <v>2031</v>
      </c>
      <c r="C141" s="1404" t="s">
        <v>859</v>
      </c>
      <c r="D141" s="1097">
        <v>19.380000000000003</v>
      </c>
      <c r="E141" s="1097">
        <v>38.760000000000005</v>
      </c>
      <c r="F141" s="1097">
        <v>63.954000000000008</v>
      </c>
      <c r="G141" s="1097">
        <v>96.9</v>
      </c>
      <c r="H141" s="1097">
        <v>116.28</v>
      </c>
      <c r="I141" s="1097">
        <v>116.28</v>
      </c>
      <c r="J141" s="1097">
        <v>116.28</v>
      </c>
      <c r="K141" s="1097">
        <v>116.28</v>
      </c>
      <c r="L141" s="1097">
        <v>116.28</v>
      </c>
      <c r="M141" s="1097">
        <v>116.28</v>
      </c>
      <c r="N141" s="1097">
        <v>116.28</v>
      </c>
      <c r="O141" s="1097">
        <v>116.28</v>
      </c>
      <c r="P141" s="1097">
        <v>116.28</v>
      </c>
      <c r="Q141" s="1097">
        <v>116.28</v>
      </c>
      <c r="R141" s="1097">
        <v>116.28</v>
      </c>
      <c r="S141" s="1097">
        <v>116.28</v>
      </c>
      <c r="T141" s="1097">
        <v>116.28</v>
      </c>
      <c r="U141" s="1097">
        <v>116.28</v>
      </c>
      <c r="V141" s="1097">
        <v>116.28</v>
      </c>
      <c r="W141" s="1097">
        <v>116.28</v>
      </c>
      <c r="X141" s="1097">
        <v>116.28</v>
      </c>
      <c r="Y141" s="1097">
        <v>116.28</v>
      </c>
      <c r="Z141" s="1097">
        <v>116.28</v>
      </c>
      <c r="AA141" s="1097">
        <v>116.28</v>
      </c>
      <c r="AB141" s="1098">
        <v>116.28</v>
      </c>
      <c r="AD141" s="1100">
        <f t="shared" si="81"/>
        <v>24.423656940204584</v>
      </c>
      <c r="AE141" s="1101">
        <f t="shared" si="82"/>
        <v>48.847313880409168</v>
      </c>
      <c r="AF141" s="1101">
        <f t="shared" si="83"/>
        <v>80.598067902675112</v>
      </c>
      <c r="AG141" s="1101">
        <f t="shared" si="84"/>
        <v>122.11828470102292</v>
      </c>
      <c r="AH141" s="1101">
        <f t="shared" si="85"/>
        <v>146.54194164122748</v>
      </c>
      <c r="AI141" s="1101">
        <f t="shared" si="86"/>
        <v>146.54194164122748</v>
      </c>
      <c r="AJ141" s="1101">
        <f t="shared" si="87"/>
        <v>146.54194164122748</v>
      </c>
      <c r="AK141" s="1101">
        <f t="shared" si="88"/>
        <v>146.54194164122748</v>
      </c>
      <c r="AL141" s="1101">
        <f t="shared" si="89"/>
        <v>146.54194164122748</v>
      </c>
      <c r="AM141" s="1101">
        <f t="shared" si="90"/>
        <v>146.54194164122748</v>
      </c>
      <c r="AN141" s="1101">
        <f t="shared" si="91"/>
        <v>146.54194164122748</v>
      </c>
      <c r="AO141" s="1101">
        <f t="shared" si="92"/>
        <v>146.54194164122748</v>
      </c>
      <c r="AP141" s="1101">
        <f t="shared" si="93"/>
        <v>146.54194164122748</v>
      </c>
      <c r="AQ141" s="1101">
        <f t="shared" si="94"/>
        <v>146.54194164122748</v>
      </c>
      <c r="AR141" s="1101">
        <f t="shared" si="95"/>
        <v>146.54194164122748</v>
      </c>
      <c r="AS141" s="1101">
        <f t="shared" si="96"/>
        <v>146.54194164122748</v>
      </c>
      <c r="AT141" s="1101">
        <f t="shared" si="97"/>
        <v>146.54194164122748</v>
      </c>
      <c r="AU141" s="1101">
        <f t="shared" si="98"/>
        <v>146.54194164122748</v>
      </c>
      <c r="AV141" s="1101">
        <f t="shared" si="99"/>
        <v>146.54194164122748</v>
      </c>
      <c r="AW141" s="1101">
        <f t="shared" si="100"/>
        <v>146.54194164122748</v>
      </c>
      <c r="AX141" s="1101">
        <f t="shared" si="101"/>
        <v>146.54194164122748</v>
      </c>
      <c r="AY141" s="1101">
        <f t="shared" si="102"/>
        <v>146.54194164122748</v>
      </c>
      <c r="AZ141" s="1101">
        <f t="shared" si="103"/>
        <v>146.54194164122748</v>
      </c>
      <c r="BA141" s="1101">
        <f t="shared" si="104"/>
        <v>146.54194164122748</v>
      </c>
      <c r="BB141" s="1102">
        <f t="shared" si="105"/>
        <v>146.54194164122748</v>
      </c>
      <c r="BC141" s="1103"/>
    </row>
    <row r="142" spans="2:55" s="1099" customFormat="1" ht="15">
      <c r="B142" s="1074">
        <v>2032</v>
      </c>
      <c r="C142" s="1404" t="s">
        <v>860</v>
      </c>
      <c r="D142" s="1097">
        <v>10.325000000000001</v>
      </c>
      <c r="E142" s="1097">
        <v>24.779999999999998</v>
      </c>
      <c r="F142" s="1097">
        <v>45.43</v>
      </c>
      <c r="G142" s="1097">
        <v>72.274999999999991</v>
      </c>
      <c r="H142" s="1097">
        <v>88.795000000000002</v>
      </c>
      <c r="I142" s="1097">
        <v>88.795000000000002</v>
      </c>
      <c r="J142" s="1097">
        <v>88.795000000000002</v>
      </c>
      <c r="K142" s="1097">
        <v>88.795000000000002</v>
      </c>
      <c r="L142" s="1097">
        <v>88.795000000000002</v>
      </c>
      <c r="M142" s="1097">
        <v>88.795000000000002</v>
      </c>
      <c r="N142" s="1097">
        <v>88.795000000000002</v>
      </c>
      <c r="O142" s="1097">
        <v>88.795000000000002</v>
      </c>
      <c r="P142" s="1097">
        <v>88.795000000000002</v>
      </c>
      <c r="Q142" s="1097">
        <v>88.795000000000002</v>
      </c>
      <c r="R142" s="1097">
        <v>88.795000000000002</v>
      </c>
      <c r="S142" s="1097">
        <v>88.795000000000002</v>
      </c>
      <c r="T142" s="1097">
        <v>88.795000000000002</v>
      </c>
      <c r="U142" s="1097">
        <v>88.795000000000002</v>
      </c>
      <c r="V142" s="1097">
        <v>88.795000000000002</v>
      </c>
      <c r="W142" s="1097">
        <v>88.795000000000002</v>
      </c>
      <c r="X142" s="1097">
        <v>88.795000000000002</v>
      </c>
      <c r="Y142" s="1097">
        <v>88.795000000000002</v>
      </c>
      <c r="Z142" s="1097">
        <v>88.795000000000002</v>
      </c>
      <c r="AA142" s="1097">
        <v>88.795000000000002</v>
      </c>
      <c r="AB142" s="1098">
        <v>88.795000000000002</v>
      </c>
      <c r="AD142" s="1100">
        <f t="shared" si="81"/>
        <v>13.012087611331907</v>
      </c>
      <c r="AE142" s="1101">
        <f t="shared" si="82"/>
        <v>31.229010267196568</v>
      </c>
      <c r="AF142" s="1101">
        <f t="shared" si="83"/>
        <v>57.253185489860378</v>
      </c>
      <c r="AG142" s="1101">
        <f t="shared" si="84"/>
        <v>91.084613279323335</v>
      </c>
      <c r="AH142" s="1101">
        <f t="shared" si="85"/>
        <v>111.90395345745439</v>
      </c>
      <c r="AI142" s="1101">
        <f t="shared" si="86"/>
        <v>111.90395345745439</v>
      </c>
      <c r="AJ142" s="1101">
        <f t="shared" si="87"/>
        <v>111.90395345745439</v>
      </c>
      <c r="AK142" s="1101">
        <f t="shared" si="88"/>
        <v>111.90395345745439</v>
      </c>
      <c r="AL142" s="1101">
        <f t="shared" si="89"/>
        <v>111.90395345745439</v>
      </c>
      <c r="AM142" s="1101">
        <f t="shared" si="90"/>
        <v>111.90395345745439</v>
      </c>
      <c r="AN142" s="1101">
        <f t="shared" si="91"/>
        <v>111.90395345745439</v>
      </c>
      <c r="AO142" s="1101">
        <f t="shared" si="92"/>
        <v>111.90395345745439</v>
      </c>
      <c r="AP142" s="1101">
        <f t="shared" si="93"/>
        <v>111.90395345745439</v>
      </c>
      <c r="AQ142" s="1101">
        <f t="shared" si="94"/>
        <v>111.90395345745439</v>
      </c>
      <c r="AR142" s="1101">
        <f t="shared" si="95"/>
        <v>111.90395345745439</v>
      </c>
      <c r="AS142" s="1101">
        <f t="shared" si="96"/>
        <v>111.90395345745439</v>
      </c>
      <c r="AT142" s="1101">
        <f t="shared" si="97"/>
        <v>111.90395345745439</v>
      </c>
      <c r="AU142" s="1101">
        <f t="shared" si="98"/>
        <v>111.90395345745439</v>
      </c>
      <c r="AV142" s="1101">
        <f t="shared" si="99"/>
        <v>111.90395345745439</v>
      </c>
      <c r="AW142" s="1101">
        <f t="shared" si="100"/>
        <v>111.90395345745439</v>
      </c>
      <c r="AX142" s="1101">
        <f t="shared" si="101"/>
        <v>111.90395345745439</v>
      </c>
      <c r="AY142" s="1101">
        <f t="shared" si="102"/>
        <v>111.90395345745439</v>
      </c>
      <c r="AZ142" s="1101">
        <f t="shared" si="103"/>
        <v>111.90395345745439</v>
      </c>
      <c r="BA142" s="1101">
        <f t="shared" si="104"/>
        <v>111.90395345745439</v>
      </c>
      <c r="BB142" s="1102">
        <f t="shared" si="105"/>
        <v>111.90395345745439</v>
      </c>
      <c r="BC142" s="1103"/>
    </row>
    <row r="143" spans="2:55" s="1099" customFormat="1" ht="15">
      <c r="B143" s="1074">
        <v>2033</v>
      </c>
      <c r="C143" s="1404" t="s">
        <v>861</v>
      </c>
      <c r="D143" s="1097">
        <v>0</v>
      </c>
      <c r="E143" s="1097">
        <v>5.5229999999999997</v>
      </c>
      <c r="F143" s="1097">
        <v>18.41</v>
      </c>
      <c r="G143" s="1097">
        <v>36.82</v>
      </c>
      <c r="H143" s="1097">
        <v>49.707000000000001</v>
      </c>
      <c r="I143" s="1097">
        <v>49.707000000000001</v>
      </c>
      <c r="J143" s="1097">
        <v>49.707000000000001</v>
      </c>
      <c r="K143" s="1097">
        <v>49.707000000000001</v>
      </c>
      <c r="L143" s="1097">
        <v>49.707000000000001</v>
      </c>
      <c r="M143" s="1097">
        <v>49.707000000000001</v>
      </c>
      <c r="N143" s="1097">
        <v>49.707000000000001</v>
      </c>
      <c r="O143" s="1097">
        <v>49.707000000000001</v>
      </c>
      <c r="P143" s="1097">
        <v>49.707000000000001</v>
      </c>
      <c r="Q143" s="1097">
        <v>49.707000000000001</v>
      </c>
      <c r="R143" s="1097">
        <v>49.707000000000001</v>
      </c>
      <c r="S143" s="1097">
        <v>49.707000000000001</v>
      </c>
      <c r="T143" s="1097">
        <v>49.707000000000001</v>
      </c>
      <c r="U143" s="1097">
        <v>49.707000000000001</v>
      </c>
      <c r="V143" s="1097">
        <v>49.707000000000001</v>
      </c>
      <c r="W143" s="1097">
        <v>49.707000000000001</v>
      </c>
      <c r="X143" s="1097">
        <v>49.707000000000001</v>
      </c>
      <c r="Y143" s="1097">
        <v>49.707000000000001</v>
      </c>
      <c r="Z143" s="1097">
        <v>49.707000000000001</v>
      </c>
      <c r="AA143" s="1097">
        <v>49.707000000000001</v>
      </c>
      <c r="AB143" s="1098">
        <v>49.707000000000001</v>
      </c>
      <c r="AD143" s="1100">
        <f t="shared" si="81"/>
        <v>0</v>
      </c>
      <c r="AE143" s="1101">
        <f t="shared" si="82"/>
        <v>6.9603641527734723</v>
      </c>
      <c r="AF143" s="1101">
        <f t="shared" si="83"/>
        <v>23.201213842578245</v>
      </c>
      <c r="AG143" s="1101">
        <f t="shared" si="84"/>
        <v>46.402427685156489</v>
      </c>
      <c r="AH143" s="1101">
        <f t="shared" si="85"/>
        <v>62.643277374961258</v>
      </c>
      <c r="AI143" s="1101">
        <f t="shared" si="86"/>
        <v>62.643277374961258</v>
      </c>
      <c r="AJ143" s="1101">
        <f t="shared" si="87"/>
        <v>62.643277374961258</v>
      </c>
      <c r="AK143" s="1101">
        <f t="shared" si="88"/>
        <v>62.643277374961258</v>
      </c>
      <c r="AL143" s="1101">
        <f t="shared" si="89"/>
        <v>62.643277374961258</v>
      </c>
      <c r="AM143" s="1101">
        <f t="shared" si="90"/>
        <v>62.643277374961258</v>
      </c>
      <c r="AN143" s="1101">
        <f t="shared" si="91"/>
        <v>62.643277374961258</v>
      </c>
      <c r="AO143" s="1101">
        <f t="shared" si="92"/>
        <v>62.643277374961258</v>
      </c>
      <c r="AP143" s="1101">
        <f t="shared" si="93"/>
        <v>62.643277374961258</v>
      </c>
      <c r="AQ143" s="1101">
        <f t="shared" si="94"/>
        <v>62.643277374961258</v>
      </c>
      <c r="AR143" s="1101">
        <f t="shared" si="95"/>
        <v>62.643277374961258</v>
      </c>
      <c r="AS143" s="1101">
        <f t="shared" si="96"/>
        <v>62.643277374961258</v>
      </c>
      <c r="AT143" s="1101">
        <f t="shared" si="97"/>
        <v>62.643277374961258</v>
      </c>
      <c r="AU143" s="1101">
        <f t="shared" si="98"/>
        <v>62.643277374961258</v>
      </c>
      <c r="AV143" s="1101">
        <f t="shared" si="99"/>
        <v>62.643277374961258</v>
      </c>
      <c r="AW143" s="1101">
        <f t="shared" si="100"/>
        <v>62.643277374961258</v>
      </c>
      <c r="AX143" s="1101">
        <f t="shared" si="101"/>
        <v>62.643277374961258</v>
      </c>
      <c r="AY143" s="1101">
        <f t="shared" si="102"/>
        <v>62.643277374961258</v>
      </c>
      <c r="AZ143" s="1101">
        <f t="shared" si="103"/>
        <v>62.643277374961258</v>
      </c>
      <c r="BA143" s="1101">
        <f t="shared" si="104"/>
        <v>62.643277374961258</v>
      </c>
      <c r="BB143" s="1102">
        <f t="shared" si="105"/>
        <v>62.643277374961258</v>
      </c>
      <c r="BC143" s="1103"/>
    </row>
    <row r="144" spans="2:55" s="1099" customFormat="1" ht="15">
      <c r="B144" s="1074">
        <v>2034</v>
      </c>
      <c r="C144" s="1404" t="s">
        <v>862</v>
      </c>
      <c r="D144" s="1097">
        <v>0</v>
      </c>
      <c r="E144" s="1097">
        <v>0</v>
      </c>
      <c r="F144" s="1097">
        <v>5.8140000000000001</v>
      </c>
      <c r="G144" s="1097">
        <v>19.380000000000003</v>
      </c>
      <c r="H144" s="1097">
        <v>29.07</v>
      </c>
      <c r="I144" s="1097">
        <v>29.07</v>
      </c>
      <c r="J144" s="1097">
        <v>29.07</v>
      </c>
      <c r="K144" s="1097">
        <v>29.07</v>
      </c>
      <c r="L144" s="1097">
        <v>29.07</v>
      </c>
      <c r="M144" s="1097">
        <v>29.07</v>
      </c>
      <c r="N144" s="1097">
        <v>29.07</v>
      </c>
      <c r="O144" s="1097">
        <v>29.07</v>
      </c>
      <c r="P144" s="1097">
        <v>29.07</v>
      </c>
      <c r="Q144" s="1097">
        <v>29.07</v>
      </c>
      <c r="R144" s="1097">
        <v>29.07</v>
      </c>
      <c r="S144" s="1097">
        <v>29.07</v>
      </c>
      <c r="T144" s="1097">
        <v>29.07</v>
      </c>
      <c r="U144" s="1097">
        <v>29.07</v>
      </c>
      <c r="V144" s="1097">
        <v>29.07</v>
      </c>
      <c r="W144" s="1097">
        <v>29.07</v>
      </c>
      <c r="X144" s="1097">
        <v>29.07</v>
      </c>
      <c r="Y144" s="1097">
        <v>29.07</v>
      </c>
      <c r="Z144" s="1097">
        <v>29.07</v>
      </c>
      <c r="AA144" s="1097">
        <v>29.07</v>
      </c>
      <c r="AB144" s="1098">
        <v>29.07</v>
      </c>
      <c r="AD144" s="1100">
        <f t="shared" si="81"/>
        <v>0</v>
      </c>
      <c r="AE144" s="1101">
        <f t="shared" si="82"/>
        <v>0</v>
      </c>
      <c r="AF144" s="1101">
        <f t="shared" si="83"/>
        <v>7.3270970820613739</v>
      </c>
      <c r="AG144" s="1101">
        <f t="shared" si="84"/>
        <v>24.423656940204584</v>
      </c>
      <c r="AH144" s="1101">
        <f t="shared" si="85"/>
        <v>36.63548541030687</v>
      </c>
      <c r="AI144" s="1101">
        <f t="shared" si="86"/>
        <v>36.63548541030687</v>
      </c>
      <c r="AJ144" s="1101">
        <f t="shared" si="87"/>
        <v>36.63548541030687</v>
      </c>
      <c r="AK144" s="1101">
        <f t="shared" si="88"/>
        <v>36.63548541030687</v>
      </c>
      <c r="AL144" s="1101">
        <f t="shared" si="89"/>
        <v>36.63548541030687</v>
      </c>
      <c r="AM144" s="1101">
        <f t="shared" si="90"/>
        <v>36.63548541030687</v>
      </c>
      <c r="AN144" s="1101">
        <f t="shared" si="91"/>
        <v>36.63548541030687</v>
      </c>
      <c r="AO144" s="1101">
        <f t="shared" si="92"/>
        <v>36.63548541030687</v>
      </c>
      <c r="AP144" s="1101">
        <f t="shared" si="93"/>
        <v>36.63548541030687</v>
      </c>
      <c r="AQ144" s="1101">
        <f t="shared" si="94"/>
        <v>36.63548541030687</v>
      </c>
      <c r="AR144" s="1101">
        <f t="shared" si="95"/>
        <v>36.63548541030687</v>
      </c>
      <c r="AS144" s="1101">
        <f t="shared" si="96"/>
        <v>36.63548541030687</v>
      </c>
      <c r="AT144" s="1101">
        <f t="shared" si="97"/>
        <v>36.63548541030687</v>
      </c>
      <c r="AU144" s="1101">
        <f t="shared" si="98"/>
        <v>36.63548541030687</v>
      </c>
      <c r="AV144" s="1101">
        <f t="shared" si="99"/>
        <v>36.63548541030687</v>
      </c>
      <c r="AW144" s="1101">
        <f t="shared" si="100"/>
        <v>36.63548541030687</v>
      </c>
      <c r="AX144" s="1101">
        <f t="shared" si="101"/>
        <v>36.63548541030687</v>
      </c>
      <c r="AY144" s="1101">
        <f t="shared" si="102"/>
        <v>36.63548541030687</v>
      </c>
      <c r="AZ144" s="1101">
        <f t="shared" si="103"/>
        <v>36.63548541030687</v>
      </c>
      <c r="BA144" s="1101">
        <f t="shared" si="104"/>
        <v>36.63548541030687</v>
      </c>
      <c r="BB144" s="1102">
        <f t="shared" si="105"/>
        <v>36.63548541030687</v>
      </c>
      <c r="BC144" s="1103"/>
    </row>
    <row r="145" spans="2:55" s="1099" customFormat="1" ht="15">
      <c r="B145" s="1074">
        <v>2035</v>
      </c>
      <c r="C145" s="1404" t="s">
        <v>863</v>
      </c>
      <c r="D145" s="1097">
        <v>0</v>
      </c>
      <c r="E145" s="1097">
        <v>0</v>
      </c>
      <c r="F145" s="1097">
        <v>0</v>
      </c>
      <c r="G145" s="1097">
        <v>6.1949999999999994</v>
      </c>
      <c r="H145" s="1097">
        <v>14.455000000000002</v>
      </c>
      <c r="I145" s="1097">
        <v>14.455000000000002</v>
      </c>
      <c r="J145" s="1097">
        <v>14.455000000000002</v>
      </c>
      <c r="K145" s="1097">
        <v>14.455000000000002</v>
      </c>
      <c r="L145" s="1097">
        <v>14.455000000000002</v>
      </c>
      <c r="M145" s="1097">
        <v>14.455000000000002</v>
      </c>
      <c r="N145" s="1097">
        <v>14.455000000000002</v>
      </c>
      <c r="O145" s="1097">
        <v>14.455000000000002</v>
      </c>
      <c r="P145" s="1097">
        <v>14.455000000000002</v>
      </c>
      <c r="Q145" s="1097">
        <v>14.455000000000002</v>
      </c>
      <c r="R145" s="1097">
        <v>14.455000000000002</v>
      </c>
      <c r="S145" s="1097">
        <v>14.455000000000002</v>
      </c>
      <c r="T145" s="1097">
        <v>14.455000000000002</v>
      </c>
      <c r="U145" s="1097">
        <v>14.455000000000002</v>
      </c>
      <c r="V145" s="1097">
        <v>14.455000000000002</v>
      </c>
      <c r="W145" s="1097">
        <v>14.455000000000002</v>
      </c>
      <c r="X145" s="1097">
        <v>14.455000000000002</v>
      </c>
      <c r="Y145" s="1097">
        <v>14.455000000000002</v>
      </c>
      <c r="Z145" s="1097">
        <v>14.455000000000002</v>
      </c>
      <c r="AA145" s="1097">
        <v>14.455000000000002</v>
      </c>
      <c r="AB145" s="1098">
        <v>14.455000000000002</v>
      </c>
      <c r="AD145" s="1100">
        <f t="shared" si="81"/>
        <v>0</v>
      </c>
      <c r="AE145" s="1101">
        <f t="shared" si="82"/>
        <v>0</v>
      </c>
      <c r="AF145" s="1101">
        <f t="shared" si="83"/>
        <v>0</v>
      </c>
      <c r="AG145" s="1101">
        <f t="shared" si="84"/>
        <v>7.8072525667991419</v>
      </c>
      <c r="AH145" s="1101">
        <f t="shared" si="85"/>
        <v>18.216922655864668</v>
      </c>
      <c r="AI145" s="1101">
        <f t="shared" si="86"/>
        <v>18.216922655864668</v>
      </c>
      <c r="AJ145" s="1101">
        <f t="shared" si="87"/>
        <v>18.216922655864668</v>
      </c>
      <c r="AK145" s="1101">
        <f t="shared" si="88"/>
        <v>18.216922655864668</v>
      </c>
      <c r="AL145" s="1101">
        <f t="shared" si="89"/>
        <v>18.216922655864668</v>
      </c>
      <c r="AM145" s="1101">
        <f t="shared" si="90"/>
        <v>18.216922655864668</v>
      </c>
      <c r="AN145" s="1101">
        <f t="shared" si="91"/>
        <v>18.216922655864668</v>
      </c>
      <c r="AO145" s="1101">
        <f t="shared" si="92"/>
        <v>18.216922655864668</v>
      </c>
      <c r="AP145" s="1101">
        <f t="shared" si="93"/>
        <v>18.216922655864668</v>
      </c>
      <c r="AQ145" s="1101">
        <f t="shared" si="94"/>
        <v>18.216922655864668</v>
      </c>
      <c r="AR145" s="1101">
        <f t="shared" si="95"/>
        <v>18.216922655864668</v>
      </c>
      <c r="AS145" s="1101">
        <f t="shared" si="96"/>
        <v>18.216922655864668</v>
      </c>
      <c r="AT145" s="1101">
        <f t="shared" si="97"/>
        <v>18.216922655864668</v>
      </c>
      <c r="AU145" s="1101">
        <f t="shared" si="98"/>
        <v>18.216922655864668</v>
      </c>
      <c r="AV145" s="1101">
        <f t="shared" si="99"/>
        <v>18.216922655864668</v>
      </c>
      <c r="AW145" s="1101">
        <f t="shared" si="100"/>
        <v>18.216922655864668</v>
      </c>
      <c r="AX145" s="1101">
        <f t="shared" si="101"/>
        <v>18.216922655864668</v>
      </c>
      <c r="AY145" s="1101">
        <f t="shared" si="102"/>
        <v>18.216922655864668</v>
      </c>
      <c r="AZ145" s="1101">
        <f t="shared" si="103"/>
        <v>18.216922655864668</v>
      </c>
      <c r="BA145" s="1101">
        <f t="shared" si="104"/>
        <v>18.216922655864668</v>
      </c>
      <c r="BB145" s="1102">
        <f t="shared" si="105"/>
        <v>18.216922655864668</v>
      </c>
      <c r="BC145" s="1103"/>
    </row>
    <row r="146" spans="2:55" s="1099" customFormat="1" ht="15">
      <c r="B146" s="1074">
        <v>2036</v>
      </c>
      <c r="C146" s="1404" t="s">
        <v>864</v>
      </c>
      <c r="D146" s="1097">
        <v>0</v>
      </c>
      <c r="E146" s="1097">
        <v>0</v>
      </c>
      <c r="F146" s="1097">
        <v>0</v>
      </c>
      <c r="G146" s="1097">
        <v>0</v>
      </c>
      <c r="H146" s="1097">
        <v>0</v>
      </c>
      <c r="I146" s="1097">
        <v>0</v>
      </c>
      <c r="J146" s="1097">
        <v>0</v>
      </c>
      <c r="K146" s="1097">
        <v>0</v>
      </c>
      <c r="L146" s="1097">
        <v>0</v>
      </c>
      <c r="M146" s="1097">
        <v>0</v>
      </c>
      <c r="N146" s="1097">
        <v>0</v>
      </c>
      <c r="O146" s="1097">
        <v>0</v>
      </c>
      <c r="P146" s="1097">
        <v>0</v>
      </c>
      <c r="Q146" s="1097">
        <v>0</v>
      </c>
      <c r="R146" s="1097">
        <v>0</v>
      </c>
      <c r="S146" s="1097">
        <v>0</v>
      </c>
      <c r="T146" s="1097">
        <v>0</v>
      </c>
      <c r="U146" s="1097">
        <v>0</v>
      </c>
      <c r="V146" s="1097">
        <v>0</v>
      </c>
      <c r="W146" s="1097">
        <v>0</v>
      </c>
      <c r="X146" s="1097">
        <v>0</v>
      </c>
      <c r="Y146" s="1097">
        <v>0</v>
      </c>
      <c r="Z146" s="1097">
        <v>0</v>
      </c>
      <c r="AA146" s="1097">
        <v>0</v>
      </c>
      <c r="AB146" s="1098">
        <v>0</v>
      </c>
      <c r="AD146" s="1100">
        <f t="shared" si="81"/>
        <v>0</v>
      </c>
      <c r="AE146" s="1101">
        <f t="shared" si="82"/>
        <v>0</v>
      </c>
      <c r="AF146" s="1101">
        <f t="shared" si="83"/>
        <v>0</v>
      </c>
      <c r="AG146" s="1101">
        <f t="shared" si="84"/>
        <v>0</v>
      </c>
      <c r="AH146" s="1101">
        <f t="shared" si="85"/>
        <v>0</v>
      </c>
      <c r="AI146" s="1101">
        <f t="shared" si="86"/>
        <v>0</v>
      </c>
      <c r="AJ146" s="1101">
        <f t="shared" si="87"/>
        <v>0</v>
      </c>
      <c r="AK146" s="1101">
        <f t="shared" si="88"/>
        <v>0</v>
      </c>
      <c r="AL146" s="1101">
        <f t="shared" si="89"/>
        <v>0</v>
      </c>
      <c r="AM146" s="1101">
        <f t="shared" si="90"/>
        <v>0</v>
      </c>
      <c r="AN146" s="1101">
        <f t="shared" si="91"/>
        <v>0</v>
      </c>
      <c r="AO146" s="1101">
        <f t="shared" si="92"/>
        <v>0</v>
      </c>
      <c r="AP146" s="1101">
        <f t="shared" si="93"/>
        <v>0</v>
      </c>
      <c r="AQ146" s="1101">
        <f t="shared" si="94"/>
        <v>0</v>
      </c>
      <c r="AR146" s="1101">
        <f t="shared" si="95"/>
        <v>0</v>
      </c>
      <c r="AS146" s="1101">
        <f t="shared" si="96"/>
        <v>0</v>
      </c>
      <c r="AT146" s="1101">
        <f t="shared" si="97"/>
        <v>0</v>
      </c>
      <c r="AU146" s="1101">
        <f t="shared" si="98"/>
        <v>0</v>
      </c>
      <c r="AV146" s="1101">
        <f t="shared" si="99"/>
        <v>0</v>
      </c>
      <c r="AW146" s="1101">
        <f t="shared" si="100"/>
        <v>0</v>
      </c>
      <c r="AX146" s="1101">
        <f t="shared" si="101"/>
        <v>0</v>
      </c>
      <c r="AY146" s="1101">
        <f t="shared" si="102"/>
        <v>0</v>
      </c>
      <c r="AZ146" s="1101">
        <f t="shared" si="103"/>
        <v>0</v>
      </c>
      <c r="BA146" s="1101">
        <f t="shared" si="104"/>
        <v>0</v>
      </c>
      <c r="BB146" s="1102">
        <f t="shared" si="105"/>
        <v>0</v>
      </c>
      <c r="BC146" s="1103"/>
    </row>
    <row r="147" spans="2:55" s="1099" customFormat="1" ht="15">
      <c r="B147" s="1074">
        <v>2037</v>
      </c>
      <c r="C147" s="1404" t="s">
        <v>865</v>
      </c>
      <c r="D147" s="1097">
        <v>0</v>
      </c>
      <c r="E147" s="1097">
        <v>0</v>
      </c>
      <c r="F147" s="1097">
        <v>0</v>
      </c>
      <c r="G147" s="1097">
        <v>0</v>
      </c>
      <c r="H147" s="1097">
        <v>0</v>
      </c>
      <c r="I147" s="1097">
        <v>0</v>
      </c>
      <c r="J147" s="1097">
        <v>0</v>
      </c>
      <c r="K147" s="1097">
        <v>0</v>
      </c>
      <c r="L147" s="1097">
        <v>0</v>
      </c>
      <c r="M147" s="1097">
        <v>0</v>
      </c>
      <c r="N147" s="1097">
        <v>0</v>
      </c>
      <c r="O147" s="1097">
        <v>0</v>
      </c>
      <c r="P147" s="1097">
        <v>0</v>
      </c>
      <c r="Q147" s="1097">
        <v>0</v>
      </c>
      <c r="R147" s="1097">
        <v>0</v>
      </c>
      <c r="S147" s="1097">
        <v>0</v>
      </c>
      <c r="T147" s="1097">
        <v>0</v>
      </c>
      <c r="U147" s="1097">
        <v>0</v>
      </c>
      <c r="V147" s="1097">
        <v>0</v>
      </c>
      <c r="W147" s="1097">
        <v>0</v>
      </c>
      <c r="X147" s="1097">
        <v>0</v>
      </c>
      <c r="Y147" s="1097">
        <v>0</v>
      </c>
      <c r="Z147" s="1097">
        <v>0</v>
      </c>
      <c r="AA147" s="1097">
        <v>0</v>
      </c>
      <c r="AB147" s="1098">
        <v>0</v>
      </c>
      <c r="AD147" s="1100">
        <f t="shared" si="81"/>
        <v>0</v>
      </c>
      <c r="AE147" s="1101">
        <f t="shared" si="82"/>
        <v>0</v>
      </c>
      <c r="AF147" s="1101">
        <f t="shared" si="83"/>
        <v>0</v>
      </c>
      <c r="AG147" s="1101">
        <f t="shared" si="84"/>
        <v>0</v>
      </c>
      <c r="AH147" s="1101">
        <f t="shared" si="85"/>
        <v>0</v>
      </c>
      <c r="AI147" s="1101">
        <f t="shared" si="86"/>
        <v>0</v>
      </c>
      <c r="AJ147" s="1101">
        <f t="shared" si="87"/>
        <v>0</v>
      </c>
      <c r="AK147" s="1101">
        <f t="shared" si="88"/>
        <v>0</v>
      </c>
      <c r="AL147" s="1101">
        <f t="shared" si="89"/>
        <v>0</v>
      </c>
      <c r="AM147" s="1101">
        <f t="shared" si="90"/>
        <v>0</v>
      </c>
      <c r="AN147" s="1101">
        <f t="shared" si="91"/>
        <v>0</v>
      </c>
      <c r="AO147" s="1101">
        <f t="shared" si="92"/>
        <v>0</v>
      </c>
      <c r="AP147" s="1101">
        <f t="shared" si="93"/>
        <v>0</v>
      </c>
      <c r="AQ147" s="1101">
        <f t="shared" si="94"/>
        <v>0</v>
      </c>
      <c r="AR147" s="1101">
        <f t="shared" si="95"/>
        <v>0</v>
      </c>
      <c r="AS147" s="1101">
        <f t="shared" si="96"/>
        <v>0</v>
      </c>
      <c r="AT147" s="1101">
        <f t="shared" si="97"/>
        <v>0</v>
      </c>
      <c r="AU147" s="1101">
        <f t="shared" si="98"/>
        <v>0</v>
      </c>
      <c r="AV147" s="1101">
        <f t="shared" si="99"/>
        <v>0</v>
      </c>
      <c r="AW147" s="1101">
        <f t="shared" si="100"/>
        <v>0</v>
      </c>
      <c r="AX147" s="1101">
        <f t="shared" si="101"/>
        <v>0</v>
      </c>
      <c r="AY147" s="1101">
        <f t="shared" si="102"/>
        <v>0</v>
      </c>
      <c r="AZ147" s="1101">
        <f t="shared" si="103"/>
        <v>0</v>
      </c>
      <c r="BA147" s="1101">
        <f t="shared" si="104"/>
        <v>0</v>
      </c>
      <c r="BB147" s="1102">
        <f t="shared" si="105"/>
        <v>0</v>
      </c>
      <c r="BC147" s="1103"/>
    </row>
    <row r="148" spans="2:55" s="1099" customFormat="1" ht="15">
      <c r="B148" s="1074">
        <v>2038</v>
      </c>
      <c r="C148" s="1404" t="s">
        <v>866</v>
      </c>
      <c r="D148" s="1097">
        <v>0</v>
      </c>
      <c r="E148" s="1097">
        <v>0</v>
      </c>
      <c r="F148" s="1097">
        <v>0</v>
      </c>
      <c r="G148" s="1097">
        <v>0</v>
      </c>
      <c r="H148" s="1097">
        <v>0</v>
      </c>
      <c r="I148" s="1097">
        <v>0</v>
      </c>
      <c r="J148" s="1097">
        <v>0</v>
      </c>
      <c r="K148" s="1097">
        <v>0</v>
      </c>
      <c r="L148" s="1097">
        <v>0</v>
      </c>
      <c r="M148" s="1097">
        <v>0</v>
      </c>
      <c r="N148" s="1097">
        <v>0</v>
      </c>
      <c r="O148" s="1097">
        <v>0</v>
      </c>
      <c r="P148" s="1097">
        <v>0</v>
      </c>
      <c r="Q148" s="1097">
        <v>0</v>
      </c>
      <c r="R148" s="1097">
        <v>0</v>
      </c>
      <c r="S148" s="1097">
        <v>0</v>
      </c>
      <c r="T148" s="1097">
        <v>0</v>
      </c>
      <c r="U148" s="1097">
        <v>0</v>
      </c>
      <c r="V148" s="1097">
        <v>0</v>
      </c>
      <c r="W148" s="1097">
        <v>0</v>
      </c>
      <c r="X148" s="1097">
        <v>0</v>
      </c>
      <c r="Y148" s="1097">
        <v>0</v>
      </c>
      <c r="Z148" s="1097">
        <v>0</v>
      </c>
      <c r="AA148" s="1097">
        <v>0</v>
      </c>
      <c r="AB148" s="1098">
        <v>0</v>
      </c>
      <c r="AD148" s="1100">
        <f t="shared" si="81"/>
        <v>0</v>
      </c>
      <c r="AE148" s="1101">
        <f t="shared" si="82"/>
        <v>0</v>
      </c>
      <c r="AF148" s="1101">
        <f t="shared" si="83"/>
        <v>0</v>
      </c>
      <c r="AG148" s="1101">
        <f t="shared" si="84"/>
        <v>0</v>
      </c>
      <c r="AH148" s="1101">
        <f t="shared" si="85"/>
        <v>0</v>
      </c>
      <c r="AI148" s="1101">
        <f t="shared" si="86"/>
        <v>0</v>
      </c>
      <c r="AJ148" s="1101">
        <f t="shared" si="87"/>
        <v>0</v>
      </c>
      <c r="AK148" s="1101">
        <f t="shared" si="88"/>
        <v>0</v>
      </c>
      <c r="AL148" s="1101">
        <f t="shared" si="89"/>
        <v>0</v>
      </c>
      <c r="AM148" s="1101">
        <f t="shared" si="90"/>
        <v>0</v>
      </c>
      <c r="AN148" s="1101">
        <f t="shared" si="91"/>
        <v>0</v>
      </c>
      <c r="AO148" s="1101">
        <f t="shared" si="92"/>
        <v>0</v>
      </c>
      <c r="AP148" s="1101">
        <f t="shared" si="93"/>
        <v>0</v>
      </c>
      <c r="AQ148" s="1101">
        <f t="shared" si="94"/>
        <v>0</v>
      </c>
      <c r="AR148" s="1101">
        <f t="shared" si="95"/>
        <v>0</v>
      </c>
      <c r="AS148" s="1101">
        <f t="shared" si="96"/>
        <v>0</v>
      </c>
      <c r="AT148" s="1101">
        <f t="shared" si="97"/>
        <v>0</v>
      </c>
      <c r="AU148" s="1101">
        <f t="shared" si="98"/>
        <v>0</v>
      </c>
      <c r="AV148" s="1101">
        <f t="shared" si="99"/>
        <v>0</v>
      </c>
      <c r="AW148" s="1101">
        <f t="shared" si="100"/>
        <v>0</v>
      </c>
      <c r="AX148" s="1101">
        <f t="shared" si="101"/>
        <v>0</v>
      </c>
      <c r="AY148" s="1101">
        <f t="shared" si="102"/>
        <v>0</v>
      </c>
      <c r="AZ148" s="1101">
        <f t="shared" si="103"/>
        <v>0</v>
      </c>
      <c r="BA148" s="1101">
        <f t="shared" si="104"/>
        <v>0</v>
      </c>
      <c r="BB148" s="1102">
        <f t="shared" si="105"/>
        <v>0</v>
      </c>
      <c r="BC148" s="1103"/>
    </row>
    <row r="149" spans="2:55" s="1099" customFormat="1" ht="15">
      <c r="B149" s="1074">
        <v>2039</v>
      </c>
      <c r="C149" s="1404" t="s">
        <v>867</v>
      </c>
      <c r="D149" s="1097">
        <v>0</v>
      </c>
      <c r="E149" s="1097">
        <v>0</v>
      </c>
      <c r="F149" s="1097">
        <v>0</v>
      </c>
      <c r="G149" s="1097">
        <v>0</v>
      </c>
      <c r="H149" s="1097">
        <v>0</v>
      </c>
      <c r="I149" s="1097">
        <v>0</v>
      </c>
      <c r="J149" s="1097">
        <v>0</v>
      </c>
      <c r="K149" s="1097">
        <v>0</v>
      </c>
      <c r="L149" s="1097">
        <v>0</v>
      </c>
      <c r="M149" s="1097">
        <v>0</v>
      </c>
      <c r="N149" s="1097">
        <v>0</v>
      </c>
      <c r="O149" s="1097">
        <v>0</v>
      </c>
      <c r="P149" s="1097">
        <v>0</v>
      </c>
      <c r="Q149" s="1097">
        <v>0</v>
      </c>
      <c r="R149" s="1097">
        <v>0</v>
      </c>
      <c r="S149" s="1097">
        <v>0</v>
      </c>
      <c r="T149" s="1097">
        <v>0</v>
      </c>
      <c r="U149" s="1097">
        <v>0</v>
      </c>
      <c r="V149" s="1097">
        <v>0</v>
      </c>
      <c r="W149" s="1097">
        <v>0</v>
      </c>
      <c r="X149" s="1097">
        <v>0</v>
      </c>
      <c r="Y149" s="1097">
        <v>0</v>
      </c>
      <c r="Z149" s="1097">
        <v>0</v>
      </c>
      <c r="AA149" s="1097">
        <v>0</v>
      </c>
      <c r="AB149" s="1098">
        <v>0</v>
      </c>
      <c r="AD149" s="1100">
        <f t="shared" si="81"/>
        <v>0</v>
      </c>
      <c r="AE149" s="1101">
        <f t="shared" si="82"/>
        <v>0</v>
      </c>
      <c r="AF149" s="1101">
        <f t="shared" si="83"/>
        <v>0</v>
      </c>
      <c r="AG149" s="1101">
        <f t="shared" si="84"/>
        <v>0</v>
      </c>
      <c r="AH149" s="1101">
        <f t="shared" si="85"/>
        <v>0</v>
      </c>
      <c r="AI149" s="1101">
        <f t="shared" si="86"/>
        <v>0</v>
      </c>
      <c r="AJ149" s="1101">
        <f t="shared" si="87"/>
        <v>0</v>
      </c>
      <c r="AK149" s="1101">
        <f t="shared" si="88"/>
        <v>0</v>
      </c>
      <c r="AL149" s="1101">
        <f t="shared" si="89"/>
        <v>0</v>
      </c>
      <c r="AM149" s="1101">
        <f t="shared" si="90"/>
        <v>0</v>
      </c>
      <c r="AN149" s="1101">
        <f t="shared" si="91"/>
        <v>0</v>
      </c>
      <c r="AO149" s="1101">
        <f t="shared" si="92"/>
        <v>0</v>
      </c>
      <c r="AP149" s="1101">
        <f t="shared" si="93"/>
        <v>0</v>
      </c>
      <c r="AQ149" s="1101">
        <f t="shared" si="94"/>
        <v>0</v>
      </c>
      <c r="AR149" s="1101">
        <f t="shared" si="95"/>
        <v>0</v>
      </c>
      <c r="AS149" s="1101">
        <f t="shared" si="96"/>
        <v>0</v>
      </c>
      <c r="AT149" s="1101">
        <f t="shared" si="97"/>
        <v>0</v>
      </c>
      <c r="AU149" s="1101">
        <f t="shared" si="98"/>
        <v>0</v>
      </c>
      <c r="AV149" s="1101">
        <f t="shared" si="99"/>
        <v>0</v>
      </c>
      <c r="AW149" s="1101">
        <f t="shared" si="100"/>
        <v>0</v>
      </c>
      <c r="AX149" s="1101">
        <f t="shared" si="101"/>
        <v>0</v>
      </c>
      <c r="AY149" s="1101">
        <f t="shared" si="102"/>
        <v>0</v>
      </c>
      <c r="AZ149" s="1101">
        <f t="shared" si="103"/>
        <v>0</v>
      </c>
      <c r="BA149" s="1101">
        <f t="shared" si="104"/>
        <v>0</v>
      </c>
      <c r="BB149" s="1102">
        <f t="shared" si="105"/>
        <v>0</v>
      </c>
      <c r="BC149" s="1103"/>
    </row>
    <row r="150" spans="2:55" s="1099" customFormat="1" ht="15">
      <c r="B150" s="1074">
        <v>2040</v>
      </c>
      <c r="C150" s="1404" t="s">
        <v>868</v>
      </c>
      <c r="D150" s="1097">
        <v>0</v>
      </c>
      <c r="E150" s="1097">
        <v>0</v>
      </c>
      <c r="F150" s="1097">
        <v>0</v>
      </c>
      <c r="G150" s="1097">
        <v>0</v>
      </c>
      <c r="H150" s="1097">
        <v>0</v>
      </c>
      <c r="I150" s="1097">
        <v>0</v>
      </c>
      <c r="J150" s="1097">
        <v>0</v>
      </c>
      <c r="K150" s="1097">
        <v>0</v>
      </c>
      <c r="L150" s="1097">
        <v>0</v>
      </c>
      <c r="M150" s="1097">
        <v>0</v>
      </c>
      <c r="N150" s="1097">
        <v>0</v>
      </c>
      <c r="O150" s="1097">
        <v>0</v>
      </c>
      <c r="P150" s="1097">
        <v>0</v>
      </c>
      <c r="Q150" s="1097">
        <v>0</v>
      </c>
      <c r="R150" s="1097">
        <v>0</v>
      </c>
      <c r="S150" s="1097">
        <v>0</v>
      </c>
      <c r="T150" s="1097">
        <v>0</v>
      </c>
      <c r="U150" s="1097">
        <v>0</v>
      </c>
      <c r="V150" s="1097">
        <v>0</v>
      </c>
      <c r="W150" s="1097">
        <v>0</v>
      </c>
      <c r="X150" s="1097">
        <v>0</v>
      </c>
      <c r="Y150" s="1097">
        <v>0</v>
      </c>
      <c r="Z150" s="1097">
        <v>0</v>
      </c>
      <c r="AA150" s="1097">
        <v>0</v>
      </c>
      <c r="AB150" s="1098">
        <v>0</v>
      </c>
      <c r="AD150" s="1100">
        <f t="shared" si="81"/>
        <v>0</v>
      </c>
      <c r="AE150" s="1101">
        <f t="shared" si="82"/>
        <v>0</v>
      </c>
      <c r="AF150" s="1101">
        <f t="shared" si="83"/>
        <v>0</v>
      </c>
      <c r="AG150" s="1101">
        <f t="shared" si="84"/>
        <v>0</v>
      </c>
      <c r="AH150" s="1101">
        <f t="shared" si="85"/>
        <v>0</v>
      </c>
      <c r="AI150" s="1101">
        <f t="shared" si="86"/>
        <v>0</v>
      </c>
      <c r="AJ150" s="1101">
        <f t="shared" si="87"/>
        <v>0</v>
      </c>
      <c r="AK150" s="1101">
        <f t="shared" si="88"/>
        <v>0</v>
      </c>
      <c r="AL150" s="1101">
        <f t="shared" si="89"/>
        <v>0</v>
      </c>
      <c r="AM150" s="1101">
        <f t="shared" si="90"/>
        <v>0</v>
      </c>
      <c r="AN150" s="1101">
        <f t="shared" si="91"/>
        <v>0</v>
      </c>
      <c r="AO150" s="1101">
        <f t="shared" si="92"/>
        <v>0</v>
      </c>
      <c r="AP150" s="1101">
        <f t="shared" si="93"/>
        <v>0</v>
      </c>
      <c r="AQ150" s="1101">
        <f t="shared" si="94"/>
        <v>0</v>
      </c>
      <c r="AR150" s="1101">
        <f t="shared" si="95"/>
        <v>0</v>
      </c>
      <c r="AS150" s="1101">
        <f t="shared" si="96"/>
        <v>0</v>
      </c>
      <c r="AT150" s="1101">
        <f t="shared" si="97"/>
        <v>0</v>
      </c>
      <c r="AU150" s="1101">
        <f t="shared" si="98"/>
        <v>0</v>
      </c>
      <c r="AV150" s="1101">
        <f t="shared" si="99"/>
        <v>0</v>
      </c>
      <c r="AW150" s="1101">
        <f t="shared" si="100"/>
        <v>0</v>
      </c>
      <c r="AX150" s="1101">
        <f t="shared" si="101"/>
        <v>0</v>
      </c>
      <c r="AY150" s="1101">
        <f t="shared" si="102"/>
        <v>0</v>
      </c>
      <c r="AZ150" s="1101">
        <f t="shared" si="103"/>
        <v>0</v>
      </c>
      <c r="BA150" s="1101">
        <f t="shared" si="104"/>
        <v>0</v>
      </c>
      <c r="BB150" s="1102">
        <f t="shared" si="105"/>
        <v>0</v>
      </c>
      <c r="BC150" s="1103"/>
    </row>
    <row r="151" spans="2:55" s="1099" customFormat="1" ht="15">
      <c r="B151" s="1074">
        <v>2041</v>
      </c>
      <c r="C151" s="1404" t="s">
        <v>869</v>
      </c>
      <c r="D151" s="1097">
        <v>0</v>
      </c>
      <c r="E151" s="1097">
        <v>0</v>
      </c>
      <c r="F151" s="1097">
        <v>0</v>
      </c>
      <c r="G151" s="1097">
        <v>0</v>
      </c>
      <c r="H151" s="1097">
        <v>0</v>
      </c>
      <c r="I151" s="1097">
        <v>0</v>
      </c>
      <c r="J151" s="1097">
        <v>0</v>
      </c>
      <c r="K151" s="1097">
        <v>0</v>
      </c>
      <c r="L151" s="1097">
        <v>0</v>
      </c>
      <c r="M151" s="1097">
        <v>0</v>
      </c>
      <c r="N151" s="1097">
        <v>0</v>
      </c>
      <c r="O151" s="1097">
        <v>0</v>
      </c>
      <c r="P151" s="1097">
        <v>0</v>
      </c>
      <c r="Q151" s="1097">
        <v>0</v>
      </c>
      <c r="R151" s="1097">
        <v>0</v>
      </c>
      <c r="S151" s="1097">
        <v>0</v>
      </c>
      <c r="T151" s="1097">
        <v>0</v>
      </c>
      <c r="U151" s="1097">
        <v>0</v>
      </c>
      <c r="V151" s="1097">
        <v>0</v>
      </c>
      <c r="W151" s="1097">
        <v>0</v>
      </c>
      <c r="X151" s="1097">
        <v>0</v>
      </c>
      <c r="Y151" s="1097">
        <v>0</v>
      </c>
      <c r="Z151" s="1097">
        <v>0</v>
      </c>
      <c r="AA151" s="1097">
        <v>0</v>
      </c>
      <c r="AB151" s="1098">
        <v>0</v>
      </c>
      <c r="AD151" s="1100">
        <f t="shared" si="81"/>
        <v>0</v>
      </c>
      <c r="AE151" s="1101">
        <f t="shared" si="82"/>
        <v>0</v>
      </c>
      <c r="AF151" s="1101">
        <f t="shared" si="83"/>
        <v>0</v>
      </c>
      <c r="AG151" s="1101">
        <f t="shared" si="84"/>
        <v>0</v>
      </c>
      <c r="AH151" s="1101">
        <f t="shared" si="85"/>
        <v>0</v>
      </c>
      <c r="AI151" s="1101">
        <f t="shared" si="86"/>
        <v>0</v>
      </c>
      <c r="AJ151" s="1101">
        <f t="shared" si="87"/>
        <v>0</v>
      </c>
      <c r="AK151" s="1101">
        <f t="shared" si="88"/>
        <v>0</v>
      </c>
      <c r="AL151" s="1101">
        <f t="shared" si="89"/>
        <v>0</v>
      </c>
      <c r="AM151" s="1101">
        <f t="shared" si="90"/>
        <v>0</v>
      </c>
      <c r="AN151" s="1101">
        <f t="shared" si="91"/>
        <v>0</v>
      </c>
      <c r="AO151" s="1101">
        <f t="shared" si="92"/>
        <v>0</v>
      </c>
      <c r="AP151" s="1101">
        <f t="shared" si="93"/>
        <v>0</v>
      </c>
      <c r="AQ151" s="1101">
        <f t="shared" si="94"/>
        <v>0</v>
      </c>
      <c r="AR151" s="1101">
        <f t="shared" si="95"/>
        <v>0</v>
      </c>
      <c r="AS151" s="1101">
        <f t="shared" si="96"/>
        <v>0</v>
      </c>
      <c r="AT151" s="1101">
        <f t="shared" si="97"/>
        <v>0</v>
      </c>
      <c r="AU151" s="1101">
        <f t="shared" si="98"/>
        <v>0</v>
      </c>
      <c r="AV151" s="1101">
        <f t="shared" si="99"/>
        <v>0</v>
      </c>
      <c r="AW151" s="1101">
        <f t="shared" si="100"/>
        <v>0</v>
      </c>
      <c r="AX151" s="1101">
        <f t="shared" si="101"/>
        <v>0</v>
      </c>
      <c r="AY151" s="1101">
        <f t="shared" si="102"/>
        <v>0</v>
      </c>
      <c r="AZ151" s="1101">
        <f t="shared" si="103"/>
        <v>0</v>
      </c>
      <c r="BA151" s="1101">
        <f t="shared" si="104"/>
        <v>0</v>
      </c>
      <c r="BB151" s="1102">
        <f t="shared" si="105"/>
        <v>0</v>
      </c>
      <c r="BC151" s="1103"/>
    </row>
    <row r="152" spans="2:55" s="1099" customFormat="1" ht="15">
      <c r="B152" s="1074">
        <v>2042</v>
      </c>
      <c r="C152" s="1404" t="s">
        <v>870</v>
      </c>
      <c r="D152" s="1097">
        <v>0</v>
      </c>
      <c r="E152" s="1097">
        <v>0</v>
      </c>
      <c r="F152" s="1097">
        <v>0</v>
      </c>
      <c r="G152" s="1097">
        <v>0</v>
      </c>
      <c r="H152" s="1097">
        <v>0</v>
      </c>
      <c r="I152" s="1097">
        <v>0</v>
      </c>
      <c r="J152" s="1097">
        <v>0</v>
      </c>
      <c r="K152" s="1097">
        <v>0</v>
      </c>
      <c r="L152" s="1097">
        <v>0</v>
      </c>
      <c r="M152" s="1097">
        <v>0</v>
      </c>
      <c r="N152" s="1097">
        <v>0</v>
      </c>
      <c r="O152" s="1097">
        <v>0</v>
      </c>
      <c r="P152" s="1097">
        <v>0</v>
      </c>
      <c r="Q152" s="1097">
        <v>0</v>
      </c>
      <c r="R152" s="1097">
        <v>0</v>
      </c>
      <c r="S152" s="1097">
        <v>0</v>
      </c>
      <c r="T152" s="1097">
        <v>0</v>
      </c>
      <c r="U152" s="1097">
        <v>0</v>
      </c>
      <c r="V152" s="1097">
        <v>0</v>
      </c>
      <c r="W152" s="1097">
        <v>0</v>
      </c>
      <c r="X152" s="1097">
        <v>0</v>
      </c>
      <c r="Y152" s="1097">
        <v>0</v>
      </c>
      <c r="Z152" s="1097">
        <v>0</v>
      </c>
      <c r="AA152" s="1097">
        <v>0</v>
      </c>
      <c r="AB152" s="1098">
        <v>0</v>
      </c>
      <c r="AD152" s="1100">
        <f t="shared" si="81"/>
        <v>0</v>
      </c>
      <c r="AE152" s="1101">
        <f t="shared" si="82"/>
        <v>0</v>
      </c>
      <c r="AF152" s="1101">
        <f t="shared" si="83"/>
        <v>0</v>
      </c>
      <c r="AG152" s="1101">
        <f t="shared" si="84"/>
        <v>0</v>
      </c>
      <c r="AH152" s="1101">
        <f t="shared" si="85"/>
        <v>0</v>
      </c>
      <c r="AI152" s="1101">
        <f t="shared" si="86"/>
        <v>0</v>
      </c>
      <c r="AJ152" s="1101">
        <f t="shared" si="87"/>
        <v>0</v>
      </c>
      <c r="AK152" s="1101">
        <f t="shared" si="88"/>
        <v>0</v>
      </c>
      <c r="AL152" s="1101">
        <f t="shared" si="89"/>
        <v>0</v>
      </c>
      <c r="AM152" s="1101">
        <f t="shared" si="90"/>
        <v>0</v>
      </c>
      <c r="AN152" s="1101">
        <f t="shared" si="91"/>
        <v>0</v>
      </c>
      <c r="AO152" s="1101">
        <f t="shared" si="92"/>
        <v>0</v>
      </c>
      <c r="AP152" s="1101">
        <f t="shared" si="93"/>
        <v>0</v>
      </c>
      <c r="AQ152" s="1101">
        <f t="shared" si="94"/>
        <v>0</v>
      </c>
      <c r="AR152" s="1101">
        <f t="shared" si="95"/>
        <v>0</v>
      </c>
      <c r="AS152" s="1101">
        <f t="shared" si="96"/>
        <v>0</v>
      </c>
      <c r="AT152" s="1101">
        <f t="shared" si="97"/>
        <v>0</v>
      </c>
      <c r="AU152" s="1101">
        <f t="shared" si="98"/>
        <v>0</v>
      </c>
      <c r="AV152" s="1101">
        <f t="shared" si="99"/>
        <v>0</v>
      </c>
      <c r="AW152" s="1101">
        <f t="shared" si="100"/>
        <v>0</v>
      </c>
      <c r="AX152" s="1101">
        <f t="shared" si="101"/>
        <v>0</v>
      </c>
      <c r="AY152" s="1101">
        <f t="shared" si="102"/>
        <v>0</v>
      </c>
      <c r="AZ152" s="1101">
        <f t="shared" si="103"/>
        <v>0</v>
      </c>
      <c r="BA152" s="1101">
        <f t="shared" si="104"/>
        <v>0</v>
      </c>
      <c r="BB152" s="1102">
        <f t="shared" si="105"/>
        <v>0</v>
      </c>
      <c r="BC152" s="1103"/>
    </row>
    <row r="153" spans="2:55" s="1099" customFormat="1" ht="15">
      <c r="B153" s="1074">
        <v>2043</v>
      </c>
      <c r="C153" s="1404" t="s">
        <v>871</v>
      </c>
      <c r="D153" s="1097">
        <v>0</v>
      </c>
      <c r="E153" s="1097">
        <v>0</v>
      </c>
      <c r="F153" s="1097">
        <v>0</v>
      </c>
      <c r="G153" s="1097">
        <v>0</v>
      </c>
      <c r="H153" s="1097">
        <v>0</v>
      </c>
      <c r="I153" s="1097">
        <v>0</v>
      </c>
      <c r="J153" s="1097">
        <v>0</v>
      </c>
      <c r="K153" s="1097">
        <v>0</v>
      </c>
      <c r="L153" s="1097">
        <v>0</v>
      </c>
      <c r="M153" s="1097">
        <v>0</v>
      </c>
      <c r="N153" s="1097">
        <v>0</v>
      </c>
      <c r="O153" s="1097">
        <v>0</v>
      </c>
      <c r="P153" s="1097">
        <v>0</v>
      </c>
      <c r="Q153" s="1097">
        <v>0</v>
      </c>
      <c r="R153" s="1097">
        <v>0</v>
      </c>
      <c r="S153" s="1097">
        <v>0</v>
      </c>
      <c r="T153" s="1097">
        <v>0</v>
      </c>
      <c r="U153" s="1097">
        <v>0</v>
      </c>
      <c r="V153" s="1097">
        <v>0</v>
      </c>
      <c r="W153" s="1097">
        <v>0</v>
      </c>
      <c r="X153" s="1097">
        <v>0</v>
      </c>
      <c r="Y153" s="1097">
        <v>0</v>
      </c>
      <c r="Z153" s="1097">
        <v>0</v>
      </c>
      <c r="AA153" s="1097">
        <v>0</v>
      </c>
      <c r="AB153" s="1098">
        <v>0</v>
      </c>
      <c r="AD153" s="1100">
        <f t="shared" si="81"/>
        <v>0</v>
      </c>
      <c r="AE153" s="1101">
        <f t="shared" si="82"/>
        <v>0</v>
      </c>
      <c r="AF153" s="1101">
        <f t="shared" si="83"/>
        <v>0</v>
      </c>
      <c r="AG153" s="1101">
        <f t="shared" si="84"/>
        <v>0</v>
      </c>
      <c r="AH153" s="1101">
        <f t="shared" si="85"/>
        <v>0</v>
      </c>
      <c r="AI153" s="1101">
        <f t="shared" si="86"/>
        <v>0</v>
      </c>
      <c r="AJ153" s="1101">
        <f t="shared" si="87"/>
        <v>0</v>
      </c>
      <c r="AK153" s="1101">
        <f t="shared" si="88"/>
        <v>0</v>
      </c>
      <c r="AL153" s="1101">
        <f t="shared" si="89"/>
        <v>0</v>
      </c>
      <c r="AM153" s="1101">
        <f t="shared" si="90"/>
        <v>0</v>
      </c>
      <c r="AN153" s="1101">
        <f t="shared" si="91"/>
        <v>0</v>
      </c>
      <c r="AO153" s="1101">
        <f t="shared" si="92"/>
        <v>0</v>
      </c>
      <c r="AP153" s="1101">
        <f t="shared" si="93"/>
        <v>0</v>
      </c>
      <c r="AQ153" s="1101">
        <f t="shared" si="94"/>
        <v>0</v>
      </c>
      <c r="AR153" s="1101">
        <f t="shared" si="95"/>
        <v>0</v>
      </c>
      <c r="AS153" s="1101">
        <f t="shared" si="96"/>
        <v>0</v>
      </c>
      <c r="AT153" s="1101">
        <f t="shared" si="97"/>
        <v>0</v>
      </c>
      <c r="AU153" s="1101">
        <f t="shared" si="98"/>
        <v>0</v>
      </c>
      <c r="AV153" s="1101">
        <f t="shared" si="99"/>
        <v>0</v>
      </c>
      <c r="AW153" s="1101">
        <f t="shared" si="100"/>
        <v>0</v>
      </c>
      <c r="AX153" s="1101">
        <f t="shared" si="101"/>
        <v>0</v>
      </c>
      <c r="AY153" s="1101">
        <f t="shared" si="102"/>
        <v>0</v>
      </c>
      <c r="AZ153" s="1101">
        <f t="shared" si="103"/>
        <v>0</v>
      </c>
      <c r="BA153" s="1101">
        <f t="shared" si="104"/>
        <v>0</v>
      </c>
      <c r="BB153" s="1102">
        <f t="shared" si="105"/>
        <v>0</v>
      </c>
      <c r="BC153" s="1103"/>
    </row>
    <row r="154" spans="2:55" s="1099" customFormat="1" ht="15">
      <c r="B154" s="1074">
        <v>2044</v>
      </c>
      <c r="C154" s="1404" t="s">
        <v>872</v>
      </c>
      <c r="D154" s="1097">
        <v>0</v>
      </c>
      <c r="E154" s="1097">
        <v>0</v>
      </c>
      <c r="F154" s="1097">
        <v>0</v>
      </c>
      <c r="G154" s="1097">
        <v>0</v>
      </c>
      <c r="H154" s="1097">
        <v>0</v>
      </c>
      <c r="I154" s="1097">
        <v>0</v>
      </c>
      <c r="J154" s="1097">
        <v>0</v>
      </c>
      <c r="K154" s="1097">
        <v>0</v>
      </c>
      <c r="L154" s="1097">
        <v>0</v>
      </c>
      <c r="M154" s="1097">
        <v>0</v>
      </c>
      <c r="N154" s="1097">
        <v>0</v>
      </c>
      <c r="O154" s="1097">
        <v>0</v>
      </c>
      <c r="P154" s="1097">
        <v>0</v>
      </c>
      <c r="Q154" s="1097">
        <v>0</v>
      </c>
      <c r="R154" s="1097">
        <v>0</v>
      </c>
      <c r="S154" s="1097">
        <v>0</v>
      </c>
      <c r="T154" s="1097">
        <v>0</v>
      </c>
      <c r="U154" s="1097">
        <v>0</v>
      </c>
      <c r="V154" s="1097">
        <v>0</v>
      </c>
      <c r="W154" s="1097">
        <v>0</v>
      </c>
      <c r="X154" s="1097">
        <v>0</v>
      </c>
      <c r="Y154" s="1097">
        <v>0</v>
      </c>
      <c r="Z154" s="1097">
        <v>0</v>
      </c>
      <c r="AA154" s="1097">
        <v>0</v>
      </c>
      <c r="AB154" s="1098">
        <v>0</v>
      </c>
      <c r="AD154" s="1100">
        <f t="shared" si="81"/>
        <v>0</v>
      </c>
      <c r="AE154" s="1101">
        <f t="shared" si="82"/>
        <v>0</v>
      </c>
      <c r="AF154" s="1101">
        <f t="shared" si="83"/>
        <v>0</v>
      </c>
      <c r="AG154" s="1101">
        <f t="shared" si="84"/>
        <v>0</v>
      </c>
      <c r="AH154" s="1101">
        <f t="shared" si="85"/>
        <v>0</v>
      </c>
      <c r="AI154" s="1101">
        <f t="shared" si="86"/>
        <v>0</v>
      </c>
      <c r="AJ154" s="1101">
        <f t="shared" si="87"/>
        <v>0</v>
      </c>
      <c r="AK154" s="1101">
        <f t="shared" si="88"/>
        <v>0</v>
      </c>
      <c r="AL154" s="1101">
        <f t="shared" si="89"/>
        <v>0</v>
      </c>
      <c r="AM154" s="1101">
        <f t="shared" si="90"/>
        <v>0</v>
      </c>
      <c r="AN154" s="1101">
        <f t="shared" si="91"/>
        <v>0</v>
      </c>
      <c r="AO154" s="1101">
        <f t="shared" si="92"/>
        <v>0</v>
      </c>
      <c r="AP154" s="1101">
        <f t="shared" si="93"/>
        <v>0</v>
      </c>
      <c r="AQ154" s="1101">
        <f t="shared" si="94"/>
        <v>0</v>
      </c>
      <c r="AR154" s="1101">
        <f t="shared" si="95"/>
        <v>0</v>
      </c>
      <c r="AS154" s="1101">
        <f t="shared" si="96"/>
        <v>0</v>
      </c>
      <c r="AT154" s="1101">
        <f t="shared" si="97"/>
        <v>0</v>
      </c>
      <c r="AU154" s="1101">
        <f t="shared" si="98"/>
        <v>0</v>
      </c>
      <c r="AV154" s="1101">
        <f t="shared" si="99"/>
        <v>0</v>
      </c>
      <c r="AW154" s="1101">
        <f t="shared" si="100"/>
        <v>0</v>
      </c>
      <c r="AX154" s="1101">
        <f t="shared" si="101"/>
        <v>0</v>
      </c>
      <c r="AY154" s="1101">
        <f t="shared" si="102"/>
        <v>0</v>
      </c>
      <c r="AZ154" s="1101">
        <f t="shared" si="103"/>
        <v>0</v>
      </c>
      <c r="BA154" s="1101">
        <f t="shared" si="104"/>
        <v>0</v>
      </c>
      <c r="BB154" s="1102">
        <f t="shared" si="105"/>
        <v>0</v>
      </c>
      <c r="BC154" s="1103"/>
    </row>
    <row r="155" spans="2:55" s="1099" customFormat="1" ht="15">
      <c r="B155" s="1074">
        <v>2045</v>
      </c>
      <c r="C155" s="1404" t="s">
        <v>873</v>
      </c>
      <c r="D155" s="1097">
        <v>0</v>
      </c>
      <c r="E155" s="1097">
        <v>0</v>
      </c>
      <c r="F155" s="1097">
        <v>0</v>
      </c>
      <c r="G155" s="1097">
        <v>0</v>
      </c>
      <c r="H155" s="1097">
        <v>0</v>
      </c>
      <c r="I155" s="1097">
        <v>0</v>
      </c>
      <c r="J155" s="1097">
        <v>0</v>
      </c>
      <c r="K155" s="1097">
        <v>0</v>
      </c>
      <c r="L155" s="1097">
        <v>0</v>
      </c>
      <c r="M155" s="1097">
        <v>0</v>
      </c>
      <c r="N155" s="1097">
        <v>0</v>
      </c>
      <c r="O155" s="1097">
        <v>0</v>
      </c>
      <c r="P155" s="1097">
        <v>0</v>
      </c>
      <c r="Q155" s="1097">
        <v>0</v>
      </c>
      <c r="R155" s="1097">
        <v>0</v>
      </c>
      <c r="S155" s="1097">
        <v>0</v>
      </c>
      <c r="T155" s="1097">
        <v>0</v>
      </c>
      <c r="U155" s="1097">
        <v>0</v>
      </c>
      <c r="V155" s="1097">
        <v>0</v>
      </c>
      <c r="W155" s="1097">
        <v>0</v>
      </c>
      <c r="X155" s="1097">
        <v>0</v>
      </c>
      <c r="Y155" s="1097">
        <v>0</v>
      </c>
      <c r="Z155" s="1097">
        <v>0</v>
      </c>
      <c r="AA155" s="1097">
        <v>0</v>
      </c>
      <c r="AB155" s="1098">
        <v>0</v>
      </c>
      <c r="AD155" s="1100">
        <f t="shared" si="81"/>
        <v>0</v>
      </c>
      <c r="AE155" s="1101">
        <f t="shared" si="82"/>
        <v>0</v>
      </c>
      <c r="AF155" s="1101">
        <f t="shared" si="83"/>
        <v>0</v>
      </c>
      <c r="AG155" s="1101">
        <f t="shared" si="84"/>
        <v>0</v>
      </c>
      <c r="AH155" s="1101">
        <f t="shared" si="85"/>
        <v>0</v>
      </c>
      <c r="AI155" s="1101">
        <f t="shared" si="86"/>
        <v>0</v>
      </c>
      <c r="AJ155" s="1101">
        <f t="shared" si="87"/>
        <v>0</v>
      </c>
      <c r="AK155" s="1101">
        <f t="shared" si="88"/>
        <v>0</v>
      </c>
      <c r="AL155" s="1101">
        <f t="shared" si="89"/>
        <v>0</v>
      </c>
      <c r="AM155" s="1101">
        <f t="shared" si="90"/>
        <v>0</v>
      </c>
      <c r="AN155" s="1101">
        <f t="shared" si="91"/>
        <v>0</v>
      </c>
      <c r="AO155" s="1101">
        <f t="shared" si="92"/>
        <v>0</v>
      </c>
      <c r="AP155" s="1101">
        <f t="shared" si="93"/>
        <v>0</v>
      </c>
      <c r="AQ155" s="1101">
        <f t="shared" si="94"/>
        <v>0</v>
      </c>
      <c r="AR155" s="1101">
        <f t="shared" si="95"/>
        <v>0</v>
      </c>
      <c r="AS155" s="1101">
        <f t="shared" si="96"/>
        <v>0</v>
      </c>
      <c r="AT155" s="1101">
        <f t="shared" si="97"/>
        <v>0</v>
      </c>
      <c r="AU155" s="1101">
        <f t="shared" si="98"/>
        <v>0</v>
      </c>
      <c r="AV155" s="1101">
        <f t="shared" si="99"/>
        <v>0</v>
      </c>
      <c r="AW155" s="1101">
        <f t="shared" si="100"/>
        <v>0</v>
      </c>
      <c r="AX155" s="1101">
        <f t="shared" si="101"/>
        <v>0</v>
      </c>
      <c r="AY155" s="1101">
        <f t="shared" si="102"/>
        <v>0</v>
      </c>
      <c r="AZ155" s="1101">
        <f t="shared" si="103"/>
        <v>0</v>
      </c>
      <c r="BA155" s="1101">
        <f t="shared" si="104"/>
        <v>0</v>
      </c>
      <c r="BB155" s="1102">
        <f t="shared" si="105"/>
        <v>0</v>
      </c>
      <c r="BC155" s="1103"/>
    </row>
    <row r="156" spans="2:55" s="1099" customFormat="1" ht="15">
      <c r="B156" s="1074">
        <v>2046</v>
      </c>
      <c r="C156" s="1404" t="s">
        <v>874</v>
      </c>
      <c r="D156" s="1097">
        <v>0</v>
      </c>
      <c r="E156" s="1097">
        <v>0</v>
      </c>
      <c r="F156" s="1097">
        <v>0</v>
      </c>
      <c r="G156" s="1097">
        <v>0</v>
      </c>
      <c r="H156" s="1097">
        <v>0</v>
      </c>
      <c r="I156" s="1097">
        <v>0</v>
      </c>
      <c r="J156" s="1097">
        <v>0</v>
      </c>
      <c r="K156" s="1097">
        <v>0</v>
      </c>
      <c r="L156" s="1097">
        <v>0</v>
      </c>
      <c r="M156" s="1097">
        <v>0</v>
      </c>
      <c r="N156" s="1097">
        <v>0</v>
      </c>
      <c r="O156" s="1097">
        <v>0</v>
      </c>
      <c r="P156" s="1097">
        <v>0</v>
      </c>
      <c r="Q156" s="1097">
        <v>0</v>
      </c>
      <c r="R156" s="1097">
        <v>0</v>
      </c>
      <c r="S156" s="1097">
        <v>0</v>
      </c>
      <c r="T156" s="1097">
        <v>0</v>
      </c>
      <c r="U156" s="1097">
        <v>0</v>
      </c>
      <c r="V156" s="1097">
        <v>0</v>
      </c>
      <c r="W156" s="1097">
        <v>0</v>
      </c>
      <c r="X156" s="1097">
        <v>0</v>
      </c>
      <c r="Y156" s="1097">
        <v>0</v>
      </c>
      <c r="Z156" s="1097">
        <v>0</v>
      </c>
      <c r="AA156" s="1097">
        <v>0</v>
      </c>
      <c r="AB156" s="1098">
        <v>0</v>
      </c>
      <c r="AD156" s="1100">
        <f t="shared" si="81"/>
        <v>0</v>
      </c>
      <c r="AE156" s="1101">
        <f t="shared" si="82"/>
        <v>0</v>
      </c>
      <c r="AF156" s="1101">
        <f t="shared" si="83"/>
        <v>0</v>
      </c>
      <c r="AG156" s="1101">
        <f t="shared" si="84"/>
        <v>0</v>
      </c>
      <c r="AH156" s="1101">
        <f t="shared" si="85"/>
        <v>0</v>
      </c>
      <c r="AI156" s="1101">
        <f t="shared" si="86"/>
        <v>0</v>
      </c>
      <c r="AJ156" s="1101">
        <f t="shared" si="87"/>
        <v>0</v>
      </c>
      <c r="AK156" s="1101">
        <f t="shared" si="88"/>
        <v>0</v>
      </c>
      <c r="AL156" s="1101">
        <f t="shared" si="89"/>
        <v>0</v>
      </c>
      <c r="AM156" s="1101">
        <f t="shared" si="90"/>
        <v>0</v>
      </c>
      <c r="AN156" s="1101">
        <f t="shared" si="91"/>
        <v>0</v>
      </c>
      <c r="AO156" s="1101">
        <f t="shared" si="92"/>
        <v>0</v>
      </c>
      <c r="AP156" s="1101">
        <f t="shared" si="93"/>
        <v>0</v>
      </c>
      <c r="AQ156" s="1101">
        <f t="shared" si="94"/>
        <v>0</v>
      </c>
      <c r="AR156" s="1101">
        <f t="shared" si="95"/>
        <v>0</v>
      </c>
      <c r="AS156" s="1101">
        <f t="shared" si="96"/>
        <v>0</v>
      </c>
      <c r="AT156" s="1101">
        <f t="shared" si="97"/>
        <v>0</v>
      </c>
      <c r="AU156" s="1101">
        <f t="shared" si="98"/>
        <v>0</v>
      </c>
      <c r="AV156" s="1101">
        <f t="shared" si="99"/>
        <v>0</v>
      </c>
      <c r="AW156" s="1101">
        <f t="shared" si="100"/>
        <v>0</v>
      </c>
      <c r="AX156" s="1101">
        <f t="shared" si="101"/>
        <v>0</v>
      </c>
      <c r="AY156" s="1101">
        <f t="shared" si="102"/>
        <v>0</v>
      </c>
      <c r="AZ156" s="1101">
        <f t="shared" si="103"/>
        <v>0</v>
      </c>
      <c r="BA156" s="1101">
        <f t="shared" si="104"/>
        <v>0</v>
      </c>
      <c r="BB156" s="1102">
        <f t="shared" si="105"/>
        <v>0</v>
      </c>
      <c r="BC156" s="1103"/>
    </row>
    <row r="157" spans="2:55" s="1099" customFormat="1" ht="15">
      <c r="B157" s="1074">
        <v>2047</v>
      </c>
      <c r="C157" s="1404" t="s">
        <v>875</v>
      </c>
      <c r="D157" s="1097">
        <v>0</v>
      </c>
      <c r="E157" s="1097">
        <v>0</v>
      </c>
      <c r="F157" s="1097">
        <v>0</v>
      </c>
      <c r="G157" s="1097">
        <v>0</v>
      </c>
      <c r="H157" s="1097">
        <v>0</v>
      </c>
      <c r="I157" s="1097">
        <v>0</v>
      </c>
      <c r="J157" s="1097">
        <v>0</v>
      </c>
      <c r="K157" s="1097">
        <v>0</v>
      </c>
      <c r="L157" s="1097">
        <v>0</v>
      </c>
      <c r="M157" s="1097">
        <v>0</v>
      </c>
      <c r="N157" s="1097">
        <v>0</v>
      </c>
      <c r="O157" s="1097">
        <v>0</v>
      </c>
      <c r="P157" s="1097">
        <v>0</v>
      </c>
      <c r="Q157" s="1097">
        <v>0</v>
      </c>
      <c r="R157" s="1097">
        <v>0</v>
      </c>
      <c r="S157" s="1097">
        <v>0</v>
      </c>
      <c r="T157" s="1097">
        <v>0</v>
      </c>
      <c r="U157" s="1097">
        <v>0</v>
      </c>
      <c r="V157" s="1097">
        <v>0</v>
      </c>
      <c r="W157" s="1097">
        <v>0</v>
      </c>
      <c r="X157" s="1097">
        <v>0</v>
      </c>
      <c r="Y157" s="1097">
        <v>0</v>
      </c>
      <c r="Z157" s="1097">
        <v>0</v>
      </c>
      <c r="AA157" s="1097">
        <v>0</v>
      </c>
      <c r="AB157" s="1098">
        <v>0</v>
      </c>
      <c r="AD157" s="1100">
        <f t="shared" si="81"/>
        <v>0</v>
      </c>
      <c r="AE157" s="1101">
        <f t="shared" si="82"/>
        <v>0</v>
      </c>
      <c r="AF157" s="1101">
        <f t="shared" si="83"/>
        <v>0</v>
      </c>
      <c r="AG157" s="1101">
        <f t="shared" si="84"/>
        <v>0</v>
      </c>
      <c r="AH157" s="1101">
        <f t="shared" si="85"/>
        <v>0</v>
      </c>
      <c r="AI157" s="1101">
        <f t="shared" si="86"/>
        <v>0</v>
      </c>
      <c r="AJ157" s="1101">
        <f t="shared" si="87"/>
        <v>0</v>
      </c>
      <c r="AK157" s="1101">
        <f t="shared" si="88"/>
        <v>0</v>
      </c>
      <c r="AL157" s="1101">
        <f t="shared" si="89"/>
        <v>0</v>
      </c>
      <c r="AM157" s="1101">
        <f t="shared" si="90"/>
        <v>0</v>
      </c>
      <c r="AN157" s="1101">
        <f t="shared" si="91"/>
        <v>0</v>
      </c>
      <c r="AO157" s="1101">
        <f t="shared" si="92"/>
        <v>0</v>
      </c>
      <c r="AP157" s="1101">
        <f t="shared" si="93"/>
        <v>0</v>
      </c>
      <c r="AQ157" s="1101">
        <f t="shared" si="94"/>
        <v>0</v>
      </c>
      <c r="AR157" s="1101">
        <f t="shared" si="95"/>
        <v>0</v>
      </c>
      <c r="AS157" s="1101">
        <f t="shared" si="96"/>
        <v>0</v>
      </c>
      <c r="AT157" s="1101">
        <f t="shared" si="97"/>
        <v>0</v>
      </c>
      <c r="AU157" s="1101">
        <f t="shared" si="98"/>
        <v>0</v>
      </c>
      <c r="AV157" s="1101">
        <f t="shared" si="99"/>
        <v>0</v>
      </c>
      <c r="AW157" s="1101">
        <f t="shared" si="100"/>
        <v>0</v>
      </c>
      <c r="AX157" s="1101">
        <f t="shared" si="101"/>
        <v>0</v>
      </c>
      <c r="AY157" s="1101">
        <f t="shared" si="102"/>
        <v>0</v>
      </c>
      <c r="AZ157" s="1101">
        <f t="shared" si="103"/>
        <v>0</v>
      </c>
      <c r="BA157" s="1101">
        <f t="shared" si="104"/>
        <v>0</v>
      </c>
      <c r="BB157" s="1102">
        <f t="shared" si="105"/>
        <v>0</v>
      </c>
      <c r="BC157" s="1103"/>
    </row>
    <row r="158" spans="2:55" s="1099" customFormat="1" ht="15">
      <c r="B158" s="1074">
        <v>2048</v>
      </c>
      <c r="C158" s="1404" t="s">
        <v>876</v>
      </c>
      <c r="D158" s="1097">
        <v>0</v>
      </c>
      <c r="E158" s="1097">
        <v>0</v>
      </c>
      <c r="F158" s="1097">
        <v>0</v>
      </c>
      <c r="G158" s="1097">
        <v>0</v>
      </c>
      <c r="H158" s="1097">
        <v>0</v>
      </c>
      <c r="I158" s="1097">
        <v>0</v>
      </c>
      <c r="J158" s="1097">
        <v>0</v>
      </c>
      <c r="K158" s="1097">
        <v>0</v>
      </c>
      <c r="L158" s="1097">
        <v>0</v>
      </c>
      <c r="M158" s="1097">
        <v>0</v>
      </c>
      <c r="N158" s="1097">
        <v>0</v>
      </c>
      <c r="O158" s="1097">
        <v>0</v>
      </c>
      <c r="P158" s="1097">
        <v>0</v>
      </c>
      <c r="Q158" s="1097">
        <v>0</v>
      </c>
      <c r="R158" s="1097">
        <v>0</v>
      </c>
      <c r="S158" s="1097">
        <v>0</v>
      </c>
      <c r="T158" s="1097">
        <v>0</v>
      </c>
      <c r="U158" s="1097">
        <v>0</v>
      </c>
      <c r="V158" s="1097">
        <v>0</v>
      </c>
      <c r="W158" s="1097">
        <v>0</v>
      </c>
      <c r="X158" s="1097">
        <v>0</v>
      </c>
      <c r="Y158" s="1097">
        <v>0</v>
      </c>
      <c r="Z158" s="1097">
        <v>0</v>
      </c>
      <c r="AA158" s="1097">
        <v>0</v>
      </c>
      <c r="AB158" s="1098">
        <v>0</v>
      </c>
      <c r="AD158" s="1100">
        <f t="shared" si="81"/>
        <v>0</v>
      </c>
      <c r="AE158" s="1101">
        <f t="shared" si="82"/>
        <v>0</v>
      </c>
      <c r="AF158" s="1101">
        <f t="shared" si="83"/>
        <v>0</v>
      </c>
      <c r="AG158" s="1101">
        <f t="shared" si="84"/>
        <v>0</v>
      </c>
      <c r="AH158" s="1101">
        <f t="shared" si="85"/>
        <v>0</v>
      </c>
      <c r="AI158" s="1101">
        <f t="shared" si="86"/>
        <v>0</v>
      </c>
      <c r="AJ158" s="1101">
        <f t="shared" si="87"/>
        <v>0</v>
      </c>
      <c r="AK158" s="1101">
        <f t="shared" si="88"/>
        <v>0</v>
      </c>
      <c r="AL158" s="1101">
        <f t="shared" si="89"/>
        <v>0</v>
      </c>
      <c r="AM158" s="1101">
        <f t="shared" si="90"/>
        <v>0</v>
      </c>
      <c r="AN158" s="1101">
        <f t="shared" si="91"/>
        <v>0</v>
      </c>
      <c r="AO158" s="1101">
        <f t="shared" si="92"/>
        <v>0</v>
      </c>
      <c r="AP158" s="1101">
        <f t="shared" si="93"/>
        <v>0</v>
      </c>
      <c r="AQ158" s="1101">
        <f t="shared" si="94"/>
        <v>0</v>
      </c>
      <c r="AR158" s="1101">
        <f t="shared" si="95"/>
        <v>0</v>
      </c>
      <c r="AS158" s="1101">
        <f t="shared" si="96"/>
        <v>0</v>
      </c>
      <c r="AT158" s="1101">
        <f t="shared" si="97"/>
        <v>0</v>
      </c>
      <c r="AU158" s="1101">
        <f t="shared" si="98"/>
        <v>0</v>
      </c>
      <c r="AV158" s="1101">
        <f t="shared" si="99"/>
        <v>0</v>
      </c>
      <c r="AW158" s="1101">
        <f t="shared" si="100"/>
        <v>0</v>
      </c>
      <c r="AX158" s="1101">
        <f t="shared" si="101"/>
        <v>0</v>
      </c>
      <c r="AY158" s="1101">
        <f t="shared" si="102"/>
        <v>0</v>
      </c>
      <c r="AZ158" s="1101">
        <f t="shared" si="103"/>
        <v>0</v>
      </c>
      <c r="BA158" s="1101">
        <f t="shared" si="104"/>
        <v>0</v>
      </c>
      <c r="BB158" s="1102">
        <f t="shared" si="105"/>
        <v>0</v>
      </c>
      <c r="BC158" s="1103"/>
    </row>
    <row r="159" spans="2:55" s="1099" customFormat="1" ht="15">
      <c r="B159" s="1074">
        <v>2049</v>
      </c>
      <c r="C159" s="1404" t="s">
        <v>877</v>
      </c>
      <c r="D159" s="1097">
        <v>0</v>
      </c>
      <c r="E159" s="1097">
        <v>0</v>
      </c>
      <c r="F159" s="1097">
        <v>0</v>
      </c>
      <c r="G159" s="1097">
        <v>0</v>
      </c>
      <c r="H159" s="1097">
        <v>0</v>
      </c>
      <c r="I159" s="1097">
        <v>0</v>
      </c>
      <c r="J159" s="1097">
        <v>0</v>
      </c>
      <c r="K159" s="1097">
        <v>0</v>
      </c>
      <c r="L159" s="1097">
        <v>0</v>
      </c>
      <c r="M159" s="1097">
        <v>0</v>
      </c>
      <c r="N159" s="1097">
        <v>0</v>
      </c>
      <c r="O159" s="1097">
        <v>0</v>
      </c>
      <c r="P159" s="1097">
        <v>0</v>
      </c>
      <c r="Q159" s="1097">
        <v>0</v>
      </c>
      <c r="R159" s="1097">
        <v>0</v>
      </c>
      <c r="S159" s="1097">
        <v>0</v>
      </c>
      <c r="T159" s="1097">
        <v>0</v>
      </c>
      <c r="U159" s="1097">
        <v>0</v>
      </c>
      <c r="V159" s="1097">
        <v>0</v>
      </c>
      <c r="W159" s="1097">
        <v>0</v>
      </c>
      <c r="X159" s="1097">
        <v>0</v>
      </c>
      <c r="Y159" s="1097">
        <v>0</v>
      </c>
      <c r="Z159" s="1097">
        <v>0</v>
      </c>
      <c r="AA159" s="1097">
        <v>0</v>
      </c>
      <c r="AB159" s="1098">
        <v>0</v>
      </c>
      <c r="AD159" s="1100">
        <f t="shared" si="81"/>
        <v>0</v>
      </c>
      <c r="AE159" s="1101">
        <f t="shared" si="82"/>
        <v>0</v>
      </c>
      <c r="AF159" s="1101">
        <f t="shared" si="83"/>
        <v>0</v>
      </c>
      <c r="AG159" s="1101">
        <f t="shared" si="84"/>
        <v>0</v>
      </c>
      <c r="AH159" s="1101">
        <f t="shared" si="85"/>
        <v>0</v>
      </c>
      <c r="AI159" s="1101">
        <f t="shared" si="86"/>
        <v>0</v>
      </c>
      <c r="AJ159" s="1101">
        <f t="shared" si="87"/>
        <v>0</v>
      </c>
      <c r="AK159" s="1101">
        <f t="shared" si="88"/>
        <v>0</v>
      </c>
      <c r="AL159" s="1101">
        <f t="shared" si="89"/>
        <v>0</v>
      </c>
      <c r="AM159" s="1101">
        <f t="shared" si="90"/>
        <v>0</v>
      </c>
      <c r="AN159" s="1101">
        <f t="shared" si="91"/>
        <v>0</v>
      </c>
      <c r="AO159" s="1101">
        <f t="shared" si="92"/>
        <v>0</v>
      </c>
      <c r="AP159" s="1101">
        <f t="shared" si="93"/>
        <v>0</v>
      </c>
      <c r="AQ159" s="1101">
        <f t="shared" si="94"/>
        <v>0</v>
      </c>
      <c r="AR159" s="1101">
        <f t="shared" si="95"/>
        <v>0</v>
      </c>
      <c r="AS159" s="1101">
        <f t="shared" si="96"/>
        <v>0</v>
      </c>
      <c r="AT159" s="1101">
        <f t="shared" si="97"/>
        <v>0</v>
      </c>
      <c r="AU159" s="1101">
        <f t="shared" si="98"/>
        <v>0</v>
      </c>
      <c r="AV159" s="1101">
        <f t="shared" si="99"/>
        <v>0</v>
      </c>
      <c r="AW159" s="1101">
        <f t="shared" si="100"/>
        <v>0</v>
      </c>
      <c r="AX159" s="1101">
        <f t="shared" si="101"/>
        <v>0</v>
      </c>
      <c r="AY159" s="1101">
        <f t="shared" si="102"/>
        <v>0</v>
      </c>
      <c r="AZ159" s="1101">
        <f t="shared" si="103"/>
        <v>0</v>
      </c>
      <c r="BA159" s="1101">
        <f t="shared" si="104"/>
        <v>0</v>
      </c>
      <c r="BB159" s="1102">
        <f t="shared" si="105"/>
        <v>0</v>
      </c>
      <c r="BC159" s="1103"/>
    </row>
    <row r="160" spans="2:55" s="1099" customFormat="1" ht="15">
      <c r="B160" s="1081">
        <v>2050</v>
      </c>
      <c r="C160" s="1405" t="s">
        <v>878</v>
      </c>
      <c r="D160" s="1097">
        <v>0</v>
      </c>
      <c r="E160" s="1097">
        <v>0</v>
      </c>
      <c r="F160" s="1097">
        <v>0</v>
      </c>
      <c r="G160" s="1097">
        <v>0</v>
      </c>
      <c r="H160" s="1097">
        <v>0</v>
      </c>
      <c r="I160" s="1097">
        <v>0</v>
      </c>
      <c r="J160" s="1097">
        <v>0</v>
      </c>
      <c r="K160" s="1097">
        <v>0</v>
      </c>
      <c r="L160" s="1097">
        <v>0</v>
      </c>
      <c r="M160" s="1097">
        <v>0</v>
      </c>
      <c r="N160" s="1097">
        <v>0</v>
      </c>
      <c r="O160" s="1097">
        <v>0</v>
      </c>
      <c r="P160" s="1097">
        <v>0</v>
      </c>
      <c r="Q160" s="1097">
        <v>0</v>
      </c>
      <c r="R160" s="1097">
        <v>0</v>
      </c>
      <c r="S160" s="1097">
        <v>0</v>
      </c>
      <c r="T160" s="1097">
        <v>0</v>
      </c>
      <c r="U160" s="1097">
        <v>0</v>
      </c>
      <c r="V160" s="1097">
        <v>0</v>
      </c>
      <c r="W160" s="1097">
        <v>0</v>
      </c>
      <c r="X160" s="1097">
        <v>0</v>
      </c>
      <c r="Y160" s="1097">
        <v>0</v>
      </c>
      <c r="Z160" s="1097">
        <v>0</v>
      </c>
      <c r="AA160" s="1097">
        <v>0</v>
      </c>
      <c r="AB160" s="1098">
        <v>0</v>
      </c>
      <c r="AD160" s="1100">
        <f t="shared" si="81"/>
        <v>0</v>
      </c>
      <c r="AE160" s="1101">
        <f t="shared" si="82"/>
        <v>0</v>
      </c>
      <c r="AF160" s="1101">
        <f t="shared" si="83"/>
        <v>0</v>
      </c>
      <c r="AG160" s="1101">
        <f t="shared" si="84"/>
        <v>0</v>
      </c>
      <c r="AH160" s="1101">
        <f t="shared" si="85"/>
        <v>0</v>
      </c>
      <c r="AI160" s="1101">
        <f t="shared" si="86"/>
        <v>0</v>
      </c>
      <c r="AJ160" s="1101">
        <f t="shared" si="87"/>
        <v>0</v>
      </c>
      <c r="AK160" s="1101">
        <f t="shared" si="88"/>
        <v>0</v>
      </c>
      <c r="AL160" s="1101">
        <f t="shared" si="89"/>
        <v>0</v>
      </c>
      <c r="AM160" s="1101">
        <f t="shared" si="90"/>
        <v>0</v>
      </c>
      <c r="AN160" s="1101">
        <f t="shared" si="91"/>
        <v>0</v>
      </c>
      <c r="AO160" s="1101">
        <f t="shared" si="92"/>
        <v>0</v>
      </c>
      <c r="AP160" s="1101">
        <f t="shared" si="93"/>
        <v>0</v>
      </c>
      <c r="AQ160" s="1101">
        <f t="shared" si="94"/>
        <v>0</v>
      </c>
      <c r="AR160" s="1101">
        <f t="shared" si="95"/>
        <v>0</v>
      </c>
      <c r="AS160" s="1101">
        <f t="shared" si="96"/>
        <v>0</v>
      </c>
      <c r="AT160" s="1101">
        <f t="shared" si="97"/>
        <v>0</v>
      </c>
      <c r="AU160" s="1101">
        <f t="shared" si="98"/>
        <v>0</v>
      </c>
      <c r="AV160" s="1101">
        <f t="shared" si="99"/>
        <v>0</v>
      </c>
      <c r="AW160" s="1101">
        <f t="shared" si="100"/>
        <v>0</v>
      </c>
      <c r="AX160" s="1101">
        <f t="shared" si="101"/>
        <v>0</v>
      </c>
      <c r="AY160" s="1101">
        <f t="shared" si="102"/>
        <v>0</v>
      </c>
      <c r="AZ160" s="1101">
        <f t="shared" si="103"/>
        <v>0</v>
      </c>
      <c r="BA160" s="1101">
        <f t="shared" si="104"/>
        <v>0</v>
      </c>
      <c r="BB160" s="1102">
        <f t="shared" si="105"/>
        <v>0</v>
      </c>
      <c r="BC160" s="1103"/>
    </row>
    <row r="161" spans="2:55" s="1099" customFormat="1" ht="15">
      <c r="B161" s="1074" t="s">
        <v>880</v>
      </c>
      <c r="C161" s="1096"/>
      <c r="D161" s="1105">
        <f t="shared" ref="D161:AB161" si="106">NPV(realdiscrt2,D128:D160)/(1+realdiscrt2)^-Half_Year</f>
        <v>172.90237484894536</v>
      </c>
      <c r="E161" s="1105">
        <f t="shared" si="106"/>
        <v>288.56344933558893</v>
      </c>
      <c r="F161" s="1105">
        <f t="shared" si="106"/>
        <v>402.62649676421188</v>
      </c>
      <c r="G161" s="1105">
        <f t="shared" si="106"/>
        <v>513.08580870721107</v>
      </c>
      <c r="H161" s="1105">
        <f t="shared" si="106"/>
        <v>567.10634620717417</v>
      </c>
      <c r="I161" s="1105">
        <f t="shared" si="106"/>
        <v>567.10634620717417</v>
      </c>
      <c r="J161" s="1105">
        <f t="shared" si="106"/>
        <v>567.10634620717417</v>
      </c>
      <c r="K161" s="1105">
        <f t="shared" si="106"/>
        <v>567.10634620717417</v>
      </c>
      <c r="L161" s="1105">
        <f t="shared" si="106"/>
        <v>567.10634620717417</v>
      </c>
      <c r="M161" s="1105">
        <f t="shared" si="106"/>
        <v>567.10634620717417</v>
      </c>
      <c r="N161" s="1105">
        <f t="shared" si="106"/>
        <v>567.10634620717417</v>
      </c>
      <c r="O161" s="1105">
        <f t="shared" si="106"/>
        <v>567.10634620717417</v>
      </c>
      <c r="P161" s="1105">
        <f t="shared" si="106"/>
        <v>567.10634620717417</v>
      </c>
      <c r="Q161" s="1105">
        <f t="shared" si="106"/>
        <v>567.10634620717417</v>
      </c>
      <c r="R161" s="1105">
        <f t="shared" si="106"/>
        <v>567.10634620717417</v>
      </c>
      <c r="S161" s="1105">
        <f t="shared" si="106"/>
        <v>567.10634620717417</v>
      </c>
      <c r="T161" s="1105">
        <f t="shared" si="106"/>
        <v>567.10634620717417</v>
      </c>
      <c r="U161" s="1105">
        <f t="shared" si="106"/>
        <v>567.10634620717417</v>
      </c>
      <c r="V161" s="1105">
        <f t="shared" si="106"/>
        <v>567.10634620717417</v>
      </c>
      <c r="W161" s="1105">
        <f t="shared" si="106"/>
        <v>567.10634620717417</v>
      </c>
      <c r="X161" s="1105">
        <f t="shared" si="106"/>
        <v>567.10634620717417</v>
      </c>
      <c r="Y161" s="1105">
        <f t="shared" si="106"/>
        <v>567.10634620717417</v>
      </c>
      <c r="Z161" s="1105">
        <f t="shared" si="106"/>
        <v>567.10634620717417</v>
      </c>
      <c r="AA161" s="1105">
        <f t="shared" si="106"/>
        <v>567.10634620717417</v>
      </c>
      <c r="AB161" s="1105">
        <f t="shared" si="106"/>
        <v>567.10634620717417</v>
      </c>
      <c r="AD161" s="1105">
        <f t="shared" ref="AD161:BB161" si="107">NPV(realdiscrt2,AD128:AD160)/(1+realdiscrt2)^-Half_Year</f>
        <v>217.90032443020112</v>
      </c>
      <c r="AE161" s="1105">
        <f t="shared" si="107"/>
        <v>363.66226481189511</v>
      </c>
      <c r="AF161" s="1105">
        <f t="shared" si="107"/>
        <v>507.41029060915906</v>
      </c>
      <c r="AG161" s="1105">
        <f t="shared" si="107"/>
        <v>646.61670654036948</v>
      </c>
      <c r="AH161" s="1105">
        <f t="shared" si="107"/>
        <v>714.69612220727095</v>
      </c>
      <c r="AI161" s="1105">
        <f t="shared" si="107"/>
        <v>714.69612220727095</v>
      </c>
      <c r="AJ161" s="1105">
        <f t="shared" si="107"/>
        <v>714.69612220727095</v>
      </c>
      <c r="AK161" s="1105">
        <f t="shared" si="107"/>
        <v>714.69612220727095</v>
      </c>
      <c r="AL161" s="1105">
        <f t="shared" si="107"/>
        <v>714.69612220727095</v>
      </c>
      <c r="AM161" s="1105">
        <f t="shared" si="107"/>
        <v>714.69612220727095</v>
      </c>
      <c r="AN161" s="1105">
        <f t="shared" si="107"/>
        <v>714.69612220727095</v>
      </c>
      <c r="AO161" s="1105">
        <f t="shared" si="107"/>
        <v>714.69612220727095</v>
      </c>
      <c r="AP161" s="1105">
        <f t="shared" si="107"/>
        <v>714.69612220727095</v>
      </c>
      <c r="AQ161" s="1105">
        <f t="shared" si="107"/>
        <v>714.69612220727095</v>
      </c>
      <c r="AR161" s="1105">
        <f t="shared" si="107"/>
        <v>714.69612220727095</v>
      </c>
      <c r="AS161" s="1105">
        <f t="shared" si="107"/>
        <v>714.69612220727095</v>
      </c>
      <c r="AT161" s="1105">
        <f t="shared" si="107"/>
        <v>714.69612220727095</v>
      </c>
      <c r="AU161" s="1105">
        <f t="shared" si="107"/>
        <v>714.69612220727095</v>
      </c>
      <c r="AV161" s="1105">
        <f t="shared" si="107"/>
        <v>714.69612220727095</v>
      </c>
      <c r="AW161" s="1105">
        <f t="shared" si="107"/>
        <v>714.69612220727095</v>
      </c>
      <c r="AX161" s="1105">
        <f t="shared" si="107"/>
        <v>714.69612220727095</v>
      </c>
      <c r="AY161" s="1105">
        <f t="shared" si="107"/>
        <v>714.69612220727095</v>
      </c>
      <c r="AZ161" s="1105">
        <f t="shared" si="107"/>
        <v>714.69612220727095</v>
      </c>
      <c r="BA161" s="1105">
        <f t="shared" si="107"/>
        <v>714.69612220727095</v>
      </c>
      <c r="BB161" s="1105">
        <f t="shared" si="107"/>
        <v>714.69612220727095</v>
      </c>
      <c r="BC161" s="1103"/>
    </row>
    <row r="162" spans="2:55" s="1099" customFormat="1" ht="15" hidden="1">
      <c r="B162" s="1106"/>
      <c r="C162" s="1096"/>
      <c r="D162" s="1105"/>
      <c r="E162" s="1105"/>
      <c r="F162" s="1105"/>
      <c r="G162" s="1105"/>
      <c r="H162" s="1105"/>
      <c r="I162" s="1105"/>
      <c r="J162" s="1105"/>
      <c r="K162" s="1105"/>
      <c r="L162" s="1105"/>
      <c r="M162" s="1105"/>
      <c r="N162" s="1105"/>
      <c r="O162" s="1105"/>
      <c r="P162" s="1105"/>
      <c r="Q162" s="1105"/>
      <c r="R162" s="1105"/>
      <c r="S162" s="1105"/>
      <c r="T162" s="1105"/>
      <c r="U162" s="1105"/>
      <c r="V162" s="1105"/>
      <c r="W162" s="1105"/>
      <c r="X162" s="1105"/>
      <c r="Y162" s="1105"/>
      <c r="Z162" s="1105"/>
      <c r="AA162" s="1105"/>
      <c r="AB162" s="1105"/>
      <c r="AD162" s="1105"/>
      <c r="AE162" s="1105"/>
      <c r="AF162" s="1105"/>
      <c r="AG162" s="1105"/>
      <c r="AH162" s="1105"/>
      <c r="AI162" s="1105"/>
      <c r="AJ162" s="1105"/>
      <c r="AK162" s="1105"/>
      <c r="AL162" s="1105"/>
      <c r="AM162" s="1105"/>
      <c r="AN162" s="1105"/>
      <c r="AO162" s="1105"/>
      <c r="AP162" s="1105"/>
      <c r="AQ162" s="1105"/>
      <c r="AR162" s="1105"/>
      <c r="AS162" s="1105"/>
      <c r="AT162" s="1105"/>
      <c r="AU162" s="1105"/>
      <c r="AV162" s="1105"/>
      <c r="AW162" s="1105"/>
      <c r="AX162" s="1105"/>
      <c r="AY162" s="1105"/>
      <c r="AZ162" s="1105"/>
      <c r="BA162" s="1105"/>
      <c r="BB162" s="1105"/>
    </row>
    <row r="163" spans="2:55" s="1099" customFormat="1" ht="15" hidden="1">
      <c r="B163" s="1106"/>
      <c r="C163" s="1096"/>
      <c r="D163" s="1105"/>
      <c r="E163" s="1105"/>
      <c r="F163" s="1105"/>
      <c r="G163" s="1105"/>
      <c r="H163" s="1105"/>
      <c r="I163" s="1105"/>
      <c r="J163" s="1105"/>
      <c r="K163" s="1105"/>
      <c r="L163" s="1105"/>
      <c r="M163" s="1105"/>
      <c r="N163" s="1105"/>
      <c r="O163" s="1105"/>
      <c r="P163" s="1105"/>
      <c r="Q163" s="1105"/>
      <c r="R163" s="1105"/>
      <c r="S163" s="1105"/>
      <c r="T163" s="1105"/>
      <c r="U163" s="1105"/>
      <c r="V163" s="1105"/>
      <c r="W163" s="1105"/>
      <c r="X163" s="1105"/>
      <c r="Y163" s="1105"/>
      <c r="Z163" s="1105"/>
      <c r="AA163" s="1105"/>
      <c r="AB163" s="1105"/>
      <c r="AD163" s="1105"/>
      <c r="AE163" s="1105"/>
      <c r="AF163" s="1105"/>
      <c r="AG163" s="1105"/>
      <c r="AH163" s="1105"/>
      <c r="AI163" s="1105"/>
      <c r="AJ163" s="1105"/>
      <c r="AK163" s="1105"/>
      <c r="AL163" s="1105"/>
      <c r="AM163" s="1105"/>
      <c r="AN163" s="1105"/>
      <c r="AO163" s="1105"/>
      <c r="AP163" s="1105"/>
      <c r="AQ163" s="1105"/>
      <c r="AR163" s="1105"/>
      <c r="AS163" s="1105"/>
      <c r="AT163" s="1105"/>
      <c r="AU163" s="1105"/>
      <c r="AV163" s="1105"/>
      <c r="AW163" s="1105"/>
      <c r="AX163" s="1105"/>
      <c r="AY163" s="1105"/>
      <c r="AZ163" s="1105"/>
      <c r="BA163" s="1105"/>
      <c r="BB163" s="1105"/>
    </row>
    <row r="164" spans="2:55" s="1099" customFormat="1" ht="15" hidden="1">
      <c r="B164" s="1107"/>
      <c r="C164" s="1104"/>
      <c r="D164" s="1105"/>
      <c r="E164" s="1105"/>
      <c r="F164" s="1105"/>
      <c r="G164" s="1105"/>
      <c r="H164" s="1105"/>
      <c r="I164" s="1105"/>
      <c r="J164" s="1105"/>
      <c r="K164" s="1105"/>
      <c r="L164" s="1105"/>
      <c r="M164" s="1105"/>
      <c r="N164" s="1105"/>
      <c r="O164" s="1105"/>
      <c r="P164" s="1105"/>
      <c r="Q164" s="1105"/>
      <c r="R164" s="1105"/>
      <c r="S164" s="1105"/>
      <c r="T164" s="1105"/>
      <c r="U164" s="1105"/>
      <c r="V164" s="1105"/>
      <c r="W164" s="1105"/>
      <c r="X164" s="1105"/>
      <c r="Y164" s="1105"/>
      <c r="Z164" s="1105"/>
      <c r="AA164" s="1105"/>
      <c r="AB164" s="1105"/>
      <c r="AD164" s="1105"/>
      <c r="AE164" s="1105"/>
      <c r="AF164" s="1105"/>
      <c r="AG164" s="1105"/>
      <c r="AH164" s="1105"/>
      <c r="AI164" s="1105"/>
      <c r="AJ164" s="1105"/>
      <c r="AK164" s="1105"/>
      <c r="AL164" s="1105"/>
      <c r="AM164" s="1105"/>
      <c r="AN164" s="1105"/>
      <c r="AO164" s="1105"/>
      <c r="AP164" s="1105"/>
      <c r="AQ164" s="1105"/>
      <c r="AR164" s="1105"/>
      <c r="AS164" s="1105"/>
      <c r="AT164" s="1105"/>
      <c r="AU164" s="1105"/>
      <c r="AV164" s="1105"/>
      <c r="AW164" s="1105"/>
      <c r="AX164" s="1105"/>
      <c r="AY164" s="1105"/>
      <c r="AZ164" s="1105"/>
      <c r="BA164" s="1105"/>
      <c r="BB164" s="1105"/>
    </row>
    <row r="167" spans="2:55" s="1073" customFormat="1" ht="33.75">
      <c r="B167" s="1629">
        <f>Year3</f>
        <v>2023</v>
      </c>
      <c r="C167" s="1630"/>
      <c r="D167" s="1087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 t="str">
        <f>Year3&amp;"$"</f>
        <v>2023$</v>
      </c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8"/>
    </row>
    <row r="168" spans="2:55" s="1093" customFormat="1" ht="31.5" customHeight="1" thickBot="1">
      <c r="B168" s="1089"/>
      <c r="C168" s="1090"/>
      <c r="D168" s="1091" t="s">
        <v>884</v>
      </c>
      <c r="E168" s="1090"/>
      <c r="F168" s="1090"/>
      <c r="G168" s="1090"/>
      <c r="H168" s="1090"/>
      <c r="I168" s="1090"/>
      <c r="J168" s="1090"/>
      <c r="K168" s="1090"/>
      <c r="L168" s="1090"/>
      <c r="M168" s="1090"/>
      <c r="N168" s="1090"/>
      <c r="O168" s="1090"/>
      <c r="P168" s="1090"/>
      <c r="Q168" s="1090"/>
      <c r="R168" s="1090"/>
      <c r="S168" s="1090"/>
      <c r="T168" s="1090"/>
      <c r="U168" s="1090"/>
      <c r="V168" s="1090"/>
      <c r="W168" s="1090"/>
      <c r="X168" s="1090"/>
      <c r="Y168" s="1090"/>
      <c r="Z168" s="1090"/>
      <c r="AA168" s="1090"/>
      <c r="AB168" s="1092"/>
      <c r="AD168" s="1091" t="s">
        <v>881</v>
      </c>
      <c r="AE168" s="1094"/>
      <c r="AF168" s="1094"/>
      <c r="AG168" s="1094"/>
      <c r="AH168" s="1094"/>
      <c r="AI168" s="1094"/>
      <c r="AJ168" s="1094"/>
      <c r="AK168" s="1094"/>
      <c r="AL168" s="1094"/>
      <c r="AM168" s="1094"/>
      <c r="AN168" s="1094"/>
      <c r="AO168" s="1094"/>
      <c r="AP168" s="1094"/>
      <c r="AQ168" s="1094"/>
      <c r="AR168" s="1094"/>
      <c r="AS168" s="1094"/>
      <c r="AT168" s="1094"/>
      <c r="AU168" s="1094"/>
      <c r="AV168" s="1094"/>
      <c r="AW168" s="1094"/>
      <c r="AX168" s="1094"/>
      <c r="AY168" s="1094"/>
      <c r="AZ168" s="1094"/>
      <c r="BA168" s="1094"/>
      <c r="BB168" s="1095"/>
    </row>
    <row r="169" spans="2:55" s="1099" customFormat="1" ht="15.75" thickTop="1">
      <c r="B169" s="1074">
        <v>2018</v>
      </c>
      <c r="C169" s="1404" t="s">
        <v>31</v>
      </c>
      <c r="D169" s="1097">
        <v>0</v>
      </c>
      <c r="E169" s="1097">
        <v>0</v>
      </c>
      <c r="F169" s="1097">
        <v>0</v>
      </c>
      <c r="G169" s="1097">
        <v>0</v>
      </c>
      <c r="H169" s="1097">
        <v>0</v>
      </c>
      <c r="I169" s="1097">
        <v>0</v>
      </c>
      <c r="J169" s="1097">
        <v>0</v>
      </c>
      <c r="K169" s="1097">
        <v>0</v>
      </c>
      <c r="L169" s="1097">
        <v>0</v>
      </c>
      <c r="M169" s="1097">
        <v>0</v>
      </c>
      <c r="N169" s="1097">
        <v>0</v>
      </c>
      <c r="O169" s="1097">
        <v>0</v>
      </c>
      <c r="P169" s="1097">
        <v>0</v>
      </c>
      <c r="Q169" s="1097">
        <v>0</v>
      </c>
      <c r="R169" s="1097">
        <v>0</v>
      </c>
      <c r="S169" s="1097">
        <v>0</v>
      </c>
      <c r="T169" s="1097">
        <v>0</v>
      </c>
      <c r="U169" s="1097">
        <v>0</v>
      </c>
      <c r="V169" s="1097">
        <v>0</v>
      </c>
      <c r="W169" s="1097">
        <v>0</v>
      </c>
      <c r="X169" s="1097">
        <v>0</v>
      </c>
      <c r="Y169" s="1097">
        <v>0</v>
      </c>
      <c r="Z169" s="1097">
        <v>0</v>
      </c>
      <c r="AA169" s="1097">
        <v>0</v>
      </c>
      <c r="AB169" s="1098">
        <v>0</v>
      </c>
      <c r="AD169" s="1100">
        <f t="shared" ref="AD169:AD201" si="108">D169*(1+PTFlosses)*(1+WholesaleRiskPremium)*(1+DistributionLosses)*(1+Inflation3)^(Year3-Real_Year)</f>
        <v>0</v>
      </c>
      <c r="AE169" s="1101">
        <f t="shared" ref="AE169:AE201" si="109">E169*(1+PTFlosses)*(1+WholesaleRiskPremium)*(1+DistributionLosses)*(1+Inflation3)^(Year3-Real_Year)</f>
        <v>0</v>
      </c>
      <c r="AF169" s="1101">
        <f t="shared" ref="AF169:AF201" si="110">F169*(1+PTFlosses)*(1+WholesaleRiskPremium)*(1+DistributionLosses)*(1+Inflation3)^(Year3-Real_Year)</f>
        <v>0</v>
      </c>
      <c r="AG169" s="1101">
        <f t="shared" ref="AG169:AG201" si="111">G169*(1+PTFlosses)*(1+WholesaleRiskPremium)*(1+DistributionLosses)*(1+Inflation3)^(Year3-Real_Year)</f>
        <v>0</v>
      </c>
      <c r="AH169" s="1101">
        <f t="shared" ref="AH169:AH201" si="112">H169*(1+PTFlosses)*(1+WholesaleRiskPremium)*(1+DistributionLosses)*(1+Inflation3)^(Year3-Real_Year)</f>
        <v>0</v>
      </c>
      <c r="AI169" s="1101">
        <f t="shared" ref="AI169:AI201" si="113">I169*(1+PTFlosses)*(1+WholesaleRiskPremium)*(1+DistributionLosses)*(1+Inflation3)^(Year3-Real_Year)</f>
        <v>0</v>
      </c>
      <c r="AJ169" s="1101">
        <f t="shared" ref="AJ169:AJ201" si="114">J169*(1+PTFlosses)*(1+WholesaleRiskPremium)*(1+DistributionLosses)*(1+Inflation3)^(Year3-Real_Year)</f>
        <v>0</v>
      </c>
      <c r="AK169" s="1101">
        <f t="shared" ref="AK169:AK201" si="115">K169*(1+PTFlosses)*(1+WholesaleRiskPremium)*(1+DistributionLosses)*(1+Inflation3)^(Year3-Real_Year)</f>
        <v>0</v>
      </c>
      <c r="AL169" s="1101">
        <f t="shared" ref="AL169:AL201" si="116">L169*(1+PTFlosses)*(1+WholesaleRiskPremium)*(1+DistributionLosses)*(1+Inflation3)^(Year3-Real_Year)</f>
        <v>0</v>
      </c>
      <c r="AM169" s="1101">
        <f t="shared" ref="AM169:AM201" si="117">M169*(1+PTFlosses)*(1+WholesaleRiskPremium)*(1+DistributionLosses)*(1+Inflation3)^(Year3-Real_Year)</f>
        <v>0</v>
      </c>
      <c r="AN169" s="1101">
        <f t="shared" ref="AN169:AN201" si="118">N169*(1+PTFlosses)*(1+WholesaleRiskPremium)*(1+DistributionLosses)*(1+Inflation3)^(Year3-Real_Year)</f>
        <v>0</v>
      </c>
      <c r="AO169" s="1101">
        <f t="shared" ref="AO169:AO201" si="119">O169*(1+PTFlosses)*(1+WholesaleRiskPremium)*(1+DistributionLosses)*(1+Inflation3)^(Year3-Real_Year)</f>
        <v>0</v>
      </c>
      <c r="AP169" s="1101">
        <f t="shared" ref="AP169:AP201" si="120">P169*(1+PTFlosses)*(1+WholesaleRiskPremium)*(1+DistributionLosses)*(1+Inflation3)^(Year3-Real_Year)</f>
        <v>0</v>
      </c>
      <c r="AQ169" s="1101">
        <f t="shared" ref="AQ169:AQ201" si="121">Q169*(1+PTFlosses)*(1+WholesaleRiskPremium)*(1+DistributionLosses)*(1+Inflation3)^(Year3-Real_Year)</f>
        <v>0</v>
      </c>
      <c r="AR169" s="1101">
        <f t="shared" ref="AR169:AR201" si="122">R169*(1+PTFlosses)*(1+WholesaleRiskPremium)*(1+DistributionLosses)*(1+Inflation3)^(Year3-Real_Year)</f>
        <v>0</v>
      </c>
      <c r="AS169" s="1101">
        <f t="shared" ref="AS169:AS201" si="123">S169*(1+PTFlosses)*(1+WholesaleRiskPremium)*(1+DistributionLosses)*(1+Inflation3)^(Year3-Real_Year)</f>
        <v>0</v>
      </c>
      <c r="AT169" s="1101">
        <f t="shared" ref="AT169:AT201" si="124">T169*(1+PTFlosses)*(1+WholesaleRiskPremium)*(1+DistributionLosses)*(1+Inflation3)^(Year3-Real_Year)</f>
        <v>0</v>
      </c>
      <c r="AU169" s="1101">
        <f t="shared" ref="AU169:AU201" si="125">U169*(1+PTFlosses)*(1+WholesaleRiskPremium)*(1+DistributionLosses)*(1+Inflation3)^(Year3-Real_Year)</f>
        <v>0</v>
      </c>
      <c r="AV169" s="1101">
        <f t="shared" ref="AV169:AV201" si="126">V169*(1+PTFlosses)*(1+WholesaleRiskPremium)*(1+DistributionLosses)*(1+Inflation3)^(Year3-Real_Year)</f>
        <v>0</v>
      </c>
      <c r="AW169" s="1101">
        <f t="shared" ref="AW169:AW201" si="127">W169*(1+PTFlosses)*(1+WholesaleRiskPremium)*(1+DistributionLosses)*(1+Inflation3)^(Year3-Real_Year)</f>
        <v>0</v>
      </c>
      <c r="AX169" s="1101">
        <f t="shared" ref="AX169:AX201" si="128">X169*(1+PTFlosses)*(1+WholesaleRiskPremium)*(1+DistributionLosses)*(1+Inflation3)^(Year3-Real_Year)</f>
        <v>0</v>
      </c>
      <c r="AY169" s="1101">
        <f t="shared" ref="AY169:AY201" si="129">Y169*(1+PTFlosses)*(1+WholesaleRiskPremium)*(1+DistributionLosses)*(1+Inflation3)^(Year3-Real_Year)</f>
        <v>0</v>
      </c>
      <c r="AZ169" s="1101">
        <f t="shared" ref="AZ169:AZ201" si="130">Z169*(1+PTFlosses)*(1+WholesaleRiskPremium)*(1+DistributionLosses)*(1+Inflation3)^(Year3-Real_Year)</f>
        <v>0</v>
      </c>
      <c r="BA169" s="1101">
        <f t="shared" ref="BA169:BA201" si="131">AA169*(1+PTFlosses)*(1+WholesaleRiskPremium)*(1+DistributionLosses)*(1+Inflation3)^(Year3-Real_Year)</f>
        <v>0</v>
      </c>
      <c r="BB169" s="1102">
        <f t="shared" ref="BB169:BB201" si="132">AB169*(1+PTFlosses)*(1+WholesaleRiskPremium)*(1+DistributionLosses)*(1+Inflation3)^(Year3-Real_Year)</f>
        <v>0</v>
      </c>
      <c r="BC169" s="1103"/>
    </row>
    <row r="170" spans="2:55" s="1099" customFormat="1" ht="15">
      <c r="B170" s="1074">
        <v>2019</v>
      </c>
      <c r="C170" s="1404" t="s">
        <v>31</v>
      </c>
      <c r="D170" s="1097">
        <v>0</v>
      </c>
      <c r="E170" s="1097">
        <v>0</v>
      </c>
      <c r="F170" s="1097">
        <v>0</v>
      </c>
      <c r="G170" s="1097">
        <v>0</v>
      </c>
      <c r="H170" s="1097">
        <v>0</v>
      </c>
      <c r="I170" s="1097">
        <v>0</v>
      </c>
      <c r="J170" s="1097">
        <v>0</v>
      </c>
      <c r="K170" s="1097">
        <v>0</v>
      </c>
      <c r="L170" s="1097">
        <v>0</v>
      </c>
      <c r="M170" s="1097">
        <v>0</v>
      </c>
      <c r="N170" s="1097">
        <v>0</v>
      </c>
      <c r="O170" s="1097">
        <v>0</v>
      </c>
      <c r="P170" s="1097">
        <v>0</v>
      </c>
      <c r="Q170" s="1097">
        <v>0</v>
      </c>
      <c r="R170" s="1097">
        <v>0</v>
      </c>
      <c r="S170" s="1097">
        <v>0</v>
      </c>
      <c r="T170" s="1097">
        <v>0</v>
      </c>
      <c r="U170" s="1097">
        <v>0</v>
      </c>
      <c r="V170" s="1097">
        <v>0</v>
      </c>
      <c r="W170" s="1097">
        <v>0</v>
      </c>
      <c r="X170" s="1097">
        <v>0</v>
      </c>
      <c r="Y170" s="1097">
        <v>0</v>
      </c>
      <c r="Z170" s="1097">
        <v>0</v>
      </c>
      <c r="AA170" s="1097">
        <v>0</v>
      </c>
      <c r="AB170" s="1098">
        <v>0</v>
      </c>
      <c r="AD170" s="1100">
        <f t="shared" si="108"/>
        <v>0</v>
      </c>
      <c r="AE170" s="1101">
        <f t="shared" si="109"/>
        <v>0</v>
      </c>
      <c r="AF170" s="1101">
        <f t="shared" si="110"/>
        <v>0</v>
      </c>
      <c r="AG170" s="1101">
        <f t="shared" si="111"/>
        <v>0</v>
      </c>
      <c r="AH170" s="1101">
        <f t="shared" si="112"/>
        <v>0</v>
      </c>
      <c r="AI170" s="1101">
        <f t="shared" si="113"/>
        <v>0</v>
      </c>
      <c r="AJ170" s="1101">
        <f t="shared" si="114"/>
        <v>0</v>
      </c>
      <c r="AK170" s="1101">
        <f t="shared" si="115"/>
        <v>0</v>
      </c>
      <c r="AL170" s="1101">
        <f t="shared" si="116"/>
        <v>0</v>
      </c>
      <c r="AM170" s="1101">
        <f t="shared" si="117"/>
        <v>0</v>
      </c>
      <c r="AN170" s="1101">
        <f t="shared" si="118"/>
        <v>0</v>
      </c>
      <c r="AO170" s="1101">
        <f t="shared" si="119"/>
        <v>0</v>
      </c>
      <c r="AP170" s="1101">
        <f t="shared" si="120"/>
        <v>0</v>
      </c>
      <c r="AQ170" s="1101">
        <f t="shared" si="121"/>
        <v>0</v>
      </c>
      <c r="AR170" s="1101">
        <f t="shared" si="122"/>
        <v>0</v>
      </c>
      <c r="AS170" s="1101">
        <f t="shared" si="123"/>
        <v>0</v>
      </c>
      <c r="AT170" s="1101">
        <f t="shared" si="124"/>
        <v>0</v>
      </c>
      <c r="AU170" s="1101">
        <f t="shared" si="125"/>
        <v>0</v>
      </c>
      <c r="AV170" s="1101">
        <f t="shared" si="126"/>
        <v>0</v>
      </c>
      <c r="AW170" s="1101">
        <f t="shared" si="127"/>
        <v>0</v>
      </c>
      <c r="AX170" s="1101">
        <f t="shared" si="128"/>
        <v>0</v>
      </c>
      <c r="AY170" s="1101">
        <f t="shared" si="129"/>
        <v>0</v>
      </c>
      <c r="AZ170" s="1101">
        <f t="shared" si="130"/>
        <v>0</v>
      </c>
      <c r="BA170" s="1101">
        <f t="shared" si="131"/>
        <v>0</v>
      </c>
      <c r="BB170" s="1102">
        <f t="shared" si="132"/>
        <v>0</v>
      </c>
      <c r="BC170" s="1103"/>
    </row>
    <row r="171" spans="2:55" s="1099" customFormat="1" ht="15">
      <c r="B171" s="1074">
        <v>2020</v>
      </c>
      <c r="C171" s="1404" t="s">
        <v>31</v>
      </c>
      <c r="D171" s="1097">
        <v>0</v>
      </c>
      <c r="E171" s="1097">
        <v>0</v>
      </c>
      <c r="F171" s="1097">
        <v>0</v>
      </c>
      <c r="G171" s="1097">
        <v>0</v>
      </c>
      <c r="H171" s="1097">
        <v>0</v>
      </c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7">
        <v>0</v>
      </c>
      <c r="Y171" s="1097">
        <v>0</v>
      </c>
      <c r="Z171" s="1097">
        <v>0</v>
      </c>
      <c r="AA171" s="1097">
        <v>0</v>
      </c>
      <c r="AB171" s="1098">
        <v>0</v>
      </c>
      <c r="AD171" s="1100">
        <f t="shared" si="108"/>
        <v>0</v>
      </c>
      <c r="AE171" s="1101">
        <f t="shared" si="109"/>
        <v>0</v>
      </c>
      <c r="AF171" s="1101">
        <f t="shared" si="110"/>
        <v>0</v>
      </c>
      <c r="AG171" s="1101">
        <f t="shared" si="111"/>
        <v>0</v>
      </c>
      <c r="AH171" s="1101">
        <f t="shared" si="112"/>
        <v>0</v>
      </c>
      <c r="AI171" s="1101">
        <f t="shared" si="113"/>
        <v>0</v>
      </c>
      <c r="AJ171" s="1101">
        <f t="shared" si="114"/>
        <v>0</v>
      </c>
      <c r="AK171" s="1101">
        <f t="shared" si="115"/>
        <v>0</v>
      </c>
      <c r="AL171" s="1101">
        <f t="shared" si="116"/>
        <v>0</v>
      </c>
      <c r="AM171" s="1101">
        <f t="shared" si="117"/>
        <v>0</v>
      </c>
      <c r="AN171" s="1101">
        <f t="shared" si="118"/>
        <v>0</v>
      </c>
      <c r="AO171" s="1101">
        <f t="shared" si="119"/>
        <v>0</v>
      </c>
      <c r="AP171" s="1101">
        <f t="shared" si="120"/>
        <v>0</v>
      </c>
      <c r="AQ171" s="1101">
        <f t="shared" si="121"/>
        <v>0</v>
      </c>
      <c r="AR171" s="1101">
        <f t="shared" si="122"/>
        <v>0</v>
      </c>
      <c r="AS171" s="1101">
        <f t="shared" si="123"/>
        <v>0</v>
      </c>
      <c r="AT171" s="1101">
        <f t="shared" si="124"/>
        <v>0</v>
      </c>
      <c r="AU171" s="1101">
        <f t="shared" si="125"/>
        <v>0</v>
      </c>
      <c r="AV171" s="1101">
        <f t="shared" si="126"/>
        <v>0</v>
      </c>
      <c r="AW171" s="1101">
        <f t="shared" si="127"/>
        <v>0</v>
      </c>
      <c r="AX171" s="1101">
        <f t="shared" si="128"/>
        <v>0</v>
      </c>
      <c r="AY171" s="1101">
        <f t="shared" si="129"/>
        <v>0</v>
      </c>
      <c r="AZ171" s="1101">
        <f t="shared" si="130"/>
        <v>0</v>
      </c>
      <c r="BA171" s="1101">
        <f t="shared" si="131"/>
        <v>0</v>
      </c>
      <c r="BB171" s="1102">
        <f t="shared" si="132"/>
        <v>0</v>
      </c>
      <c r="BC171" s="1103"/>
    </row>
    <row r="172" spans="2:55" s="1099" customFormat="1" ht="15">
      <c r="B172" s="1074">
        <v>2021</v>
      </c>
      <c r="C172" s="1404" t="s">
        <v>31</v>
      </c>
      <c r="D172" s="1097">
        <v>0</v>
      </c>
      <c r="E172" s="1097">
        <v>0</v>
      </c>
      <c r="F172" s="1097">
        <v>0</v>
      </c>
      <c r="G172" s="1097">
        <v>0</v>
      </c>
      <c r="H172" s="1097">
        <v>0</v>
      </c>
      <c r="I172" s="1097">
        <v>0</v>
      </c>
      <c r="J172" s="1097">
        <v>0</v>
      </c>
      <c r="K172" s="1097">
        <v>0</v>
      </c>
      <c r="L172" s="1097">
        <v>0</v>
      </c>
      <c r="M172" s="1097">
        <v>0</v>
      </c>
      <c r="N172" s="1097">
        <v>0</v>
      </c>
      <c r="O172" s="1097">
        <v>0</v>
      </c>
      <c r="P172" s="1097">
        <v>0</v>
      </c>
      <c r="Q172" s="1097">
        <v>0</v>
      </c>
      <c r="R172" s="1097">
        <v>0</v>
      </c>
      <c r="S172" s="1097">
        <v>0</v>
      </c>
      <c r="T172" s="1097">
        <v>0</v>
      </c>
      <c r="U172" s="1097">
        <v>0</v>
      </c>
      <c r="V172" s="1097">
        <v>0</v>
      </c>
      <c r="W172" s="1097">
        <v>0</v>
      </c>
      <c r="X172" s="1097">
        <v>0</v>
      </c>
      <c r="Y172" s="1097">
        <v>0</v>
      </c>
      <c r="Z172" s="1097">
        <v>0</v>
      </c>
      <c r="AA172" s="1097">
        <v>0</v>
      </c>
      <c r="AB172" s="1098">
        <v>0</v>
      </c>
      <c r="AD172" s="1100">
        <f t="shared" si="108"/>
        <v>0</v>
      </c>
      <c r="AE172" s="1101">
        <f t="shared" si="109"/>
        <v>0</v>
      </c>
      <c r="AF172" s="1101">
        <f t="shared" si="110"/>
        <v>0</v>
      </c>
      <c r="AG172" s="1101">
        <f t="shared" si="111"/>
        <v>0</v>
      </c>
      <c r="AH172" s="1101">
        <f t="shared" si="112"/>
        <v>0</v>
      </c>
      <c r="AI172" s="1101">
        <f t="shared" si="113"/>
        <v>0</v>
      </c>
      <c r="AJ172" s="1101">
        <f t="shared" si="114"/>
        <v>0</v>
      </c>
      <c r="AK172" s="1101">
        <f t="shared" si="115"/>
        <v>0</v>
      </c>
      <c r="AL172" s="1101">
        <f t="shared" si="116"/>
        <v>0</v>
      </c>
      <c r="AM172" s="1101">
        <f t="shared" si="117"/>
        <v>0</v>
      </c>
      <c r="AN172" s="1101">
        <f t="shared" si="118"/>
        <v>0</v>
      </c>
      <c r="AO172" s="1101">
        <f t="shared" si="119"/>
        <v>0</v>
      </c>
      <c r="AP172" s="1101">
        <f t="shared" si="120"/>
        <v>0</v>
      </c>
      <c r="AQ172" s="1101">
        <f t="shared" si="121"/>
        <v>0</v>
      </c>
      <c r="AR172" s="1101">
        <f t="shared" si="122"/>
        <v>0</v>
      </c>
      <c r="AS172" s="1101">
        <f t="shared" si="123"/>
        <v>0</v>
      </c>
      <c r="AT172" s="1101">
        <f t="shared" si="124"/>
        <v>0</v>
      </c>
      <c r="AU172" s="1101">
        <f t="shared" si="125"/>
        <v>0</v>
      </c>
      <c r="AV172" s="1101">
        <f t="shared" si="126"/>
        <v>0</v>
      </c>
      <c r="AW172" s="1101">
        <f t="shared" si="127"/>
        <v>0</v>
      </c>
      <c r="AX172" s="1101">
        <f t="shared" si="128"/>
        <v>0</v>
      </c>
      <c r="AY172" s="1101">
        <f t="shared" si="129"/>
        <v>0</v>
      </c>
      <c r="AZ172" s="1101">
        <f t="shared" si="130"/>
        <v>0</v>
      </c>
      <c r="BA172" s="1101">
        <f t="shared" si="131"/>
        <v>0</v>
      </c>
      <c r="BB172" s="1102">
        <f t="shared" si="132"/>
        <v>0</v>
      </c>
      <c r="BC172" s="1103"/>
    </row>
    <row r="173" spans="2:55" s="1099" customFormat="1" ht="15">
      <c r="B173" s="1074">
        <v>2022</v>
      </c>
      <c r="C173" s="1404" t="s">
        <v>31</v>
      </c>
      <c r="D173" s="1097">
        <v>0</v>
      </c>
      <c r="E173" s="1097">
        <v>0</v>
      </c>
      <c r="F173" s="1097">
        <v>0</v>
      </c>
      <c r="G173" s="1097">
        <v>0</v>
      </c>
      <c r="H173" s="1097">
        <v>0</v>
      </c>
      <c r="I173" s="1097">
        <v>0</v>
      </c>
      <c r="J173" s="1097">
        <v>0</v>
      </c>
      <c r="K173" s="1097">
        <v>0</v>
      </c>
      <c r="L173" s="1097">
        <v>0</v>
      </c>
      <c r="M173" s="1097">
        <v>0</v>
      </c>
      <c r="N173" s="1097">
        <v>0</v>
      </c>
      <c r="O173" s="1097">
        <v>0</v>
      </c>
      <c r="P173" s="1097">
        <v>0</v>
      </c>
      <c r="Q173" s="1097">
        <v>0</v>
      </c>
      <c r="R173" s="1097">
        <v>0</v>
      </c>
      <c r="S173" s="1097">
        <v>0</v>
      </c>
      <c r="T173" s="1097">
        <v>0</v>
      </c>
      <c r="U173" s="1097">
        <v>0</v>
      </c>
      <c r="V173" s="1097">
        <v>0</v>
      </c>
      <c r="W173" s="1097">
        <v>0</v>
      </c>
      <c r="X173" s="1097">
        <v>0</v>
      </c>
      <c r="Y173" s="1097">
        <v>0</v>
      </c>
      <c r="Z173" s="1097">
        <v>0</v>
      </c>
      <c r="AA173" s="1097">
        <v>0</v>
      </c>
      <c r="AB173" s="1098">
        <v>0</v>
      </c>
      <c r="AD173" s="1100">
        <f t="shared" si="108"/>
        <v>0</v>
      </c>
      <c r="AE173" s="1101">
        <f t="shared" si="109"/>
        <v>0</v>
      </c>
      <c r="AF173" s="1101">
        <f t="shared" si="110"/>
        <v>0</v>
      </c>
      <c r="AG173" s="1101">
        <f t="shared" si="111"/>
        <v>0</v>
      </c>
      <c r="AH173" s="1101">
        <f t="shared" si="112"/>
        <v>0</v>
      </c>
      <c r="AI173" s="1101">
        <f t="shared" si="113"/>
        <v>0</v>
      </c>
      <c r="AJ173" s="1101">
        <f t="shared" si="114"/>
        <v>0</v>
      </c>
      <c r="AK173" s="1101">
        <f t="shared" si="115"/>
        <v>0</v>
      </c>
      <c r="AL173" s="1101">
        <f t="shared" si="116"/>
        <v>0</v>
      </c>
      <c r="AM173" s="1101">
        <f t="shared" si="117"/>
        <v>0</v>
      </c>
      <c r="AN173" s="1101">
        <f t="shared" si="118"/>
        <v>0</v>
      </c>
      <c r="AO173" s="1101">
        <f t="shared" si="119"/>
        <v>0</v>
      </c>
      <c r="AP173" s="1101">
        <f t="shared" si="120"/>
        <v>0</v>
      </c>
      <c r="AQ173" s="1101">
        <f t="shared" si="121"/>
        <v>0</v>
      </c>
      <c r="AR173" s="1101">
        <f t="shared" si="122"/>
        <v>0</v>
      </c>
      <c r="AS173" s="1101">
        <f t="shared" si="123"/>
        <v>0</v>
      </c>
      <c r="AT173" s="1101">
        <f t="shared" si="124"/>
        <v>0</v>
      </c>
      <c r="AU173" s="1101">
        <f t="shared" si="125"/>
        <v>0</v>
      </c>
      <c r="AV173" s="1101">
        <f t="shared" si="126"/>
        <v>0</v>
      </c>
      <c r="AW173" s="1101">
        <f t="shared" si="127"/>
        <v>0</v>
      </c>
      <c r="AX173" s="1101">
        <f t="shared" si="128"/>
        <v>0</v>
      </c>
      <c r="AY173" s="1101">
        <f t="shared" si="129"/>
        <v>0</v>
      </c>
      <c r="AZ173" s="1101">
        <f t="shared" si="130"/>
        <v>0</v>
      </c>
      <c r="BA173" s="1101">
        <f t="shared" si="131"/>
        <v>0</v>
      </c>
      <c r="BB173" s="1102">
        <f t="shared" si="132"/>
        <v>0</v>
      </c>
      <c r="BC173" s="1103"/>
    </row>
    <row r="174" spans="2:55" s="1099" customFormat="1" ht="15">
      <c r="B174" s="1074">
        <v>2023</v>
      </c>
      <c r="C174" s="1404" t="s">
        <v>850</v>
      </c>
      <c r="D174" s="1097">
        <v>0</v>
      </c>
      <c r="E174" s="1097">
        <v>0</v>
      </c>
      <c r="F174" s="1097">
        <v>0</v>
      </c>
      <c r="G174" s="1097">
        <v>0</v>
      </c>
      <c r="H174" s="1097">
        <v>0</v>
      </c>
      <c r="I174" s="1097">
        <v>0</v>
      </c>
      <c r="J174" s="1097">
        <v>0</v>
      </c>
      <c r="K174" s="1097">
        <v>0</v>
      </c>
      <c r="L174" s="1097">
        <v>0</v>
      </c>
      <c r="M174" s="1097">
        <v>0</v>
      </c>
      <c r="N174" s="1097">
        <v>0</v>
      </c>
      <c r="O174" s="1097">
        <v>0</v>
      </c>
      <c r="P174" s="1097">
        <v>0</v>
      </c>
      <c r="Q174" s="1097">
        <v>0</v>
      </c>
      <c r="R174" s="1097">
        <v>0</v>
      </c>
      <c r="S174" s="1097">
        <v>0</v>
      </c>
      <c r="T174" s="1097">
        <v>0</v>
      </c>
      <c r="U174" s="1097">
        <v>0</v>
      </c>
      <c r="V174" s="1097">
        <v>0</v>
      </c>
      <c r="W174" s="1097">
        <v>0</v>
      </c>
      <c r="X174" s="1097">
        <v>0</v>
      </c>
      <c r="Y174" s="1097">
        <v>0</v>
      </c>
      <c r="Z174" s="1097">
        <v>0</v>
      </c>
      <c r="AA174" s="1097">
        <v>0</v>
      </c>
      <c r="AB174" s="1098">
        <v>0</v>
      </c>
      <c r="AD174" s="1100">
        <f t="shared" si="108"/>
        <v>0</v>
      </c>
      <c r="AE174" s="1101">
        <f t="shared" si="109"/>
        <v>0</v>
      </c>
      <c r="AF174" s="1101">
        <f t="shared" si="110"/>
        <v>0</v>
      </c>
      <c r="AG174" s="1101">
        <f t="shared" si="111"/>
        <v>0</v>
      </c>
      <c r="AH174" s="1101">
        <f t="shared" si="112"/>
        <v>0</v>
      </c>
      <c r="AI174" s="1101">
        <f t="shared" si="113"/>
        <v>0</v>
      </c>
      <c r="AJ174" s="1101">
        <f t="shared" si="114"/>
        <v>0</v>
      </c>
      <c r="AK174" s="1101">
        <f t="shared" si="115"/>
        <v>0</v>
      </c>
      <c r="AL174" s="1101">
        <f t="shared" si="116"/>
        <v>0</v>
      </c>
      <c r="AM174" s="1101">
        <f t="shared" si="117"/>
        <v>0</v>
      </c>
      <c r="AN174" s="1101">
        <f t="shared" si="118"/>
        <v>0</v>
      </c>
      <c r="AO174" s="1101">
        <f t="shared" si="119"/>
        <v>0</v>
      </c>
      <c r="AP174" s="1101">
        <f t="shared" si="120"/>
        <v>0</v>
      </c>
      <c r="AQ174" s="1101">
        <f t="shared" si="121"/>
        <v>0</v>
      </c>
      <c r="AR174" s="1101">
        <f t="shared" si="122"/>
        <v>0</v>
      </c>
      <c r="AS174" s="1101">
        <f t="shared" si="123"/>
        <v>0</v>
      </c>
      <c r="AT174" s="1101">
        <f t="shared" si="124"/>
        <v>0</v>
      </c>
      <c r="AU174" s="1101">
        <f t="shared" si="125"/>
        <v>0</v>
      </c>
      <c r="AV174" s="1101">
        <f t="shared" si="126"/>
        <v>0</v>
      </c>
      <c r="AW174" s="1101">
        <f t="shared" si="127"/>
        <v>0</v>
      </c>
      <c r="AX174" s="1101">
        <f t="shared" si="128"/>
        <v>0</v>
      </c>
      <c r="AY174" s="1101">
        <f t="shared" si="129"/>
        <v>0</v>
      </c>
      <c r="AZ174" s="1101">
        <f t="shared" si="130"/>
        <v>0</v>
      </c>
      <c r="BA174" s="1101">
        <f t="shared" si="131"/>
        <v>0</v>
      </c>
      <c r="BB174" s="1102">
        <f t="shared" si="132"/>
        <v>0</v>
      </c>
      <c r="BC174" s="1103"/>
    </row>
    <row r="175" spans="2:55" s="1099" customFormat="1" ht="15">
      <c r="B175" s="1074">
        <v>2024</v>
      </c>
      <c r="C175" s="1404" t="s">
        <v>851</v>
      </c>
      <c r="D175" s="1097">
        <v>0</v>
      </c>
      <c r="E175" s="1097">
        <v>0</v>
      </c>
      <c r="F175" s="1097">
        <v>0</v>
      </c>
      <c r="G175" s="1097">
        <v>0</v>
      </c>
      <c r="H175" s="1097">
        <v>0</v>
      </c>
      <c r="I175" s="1097">
        <v>0</v>
      </c>
      <c r="J175" s="1097">
        <v>0</v>
      </c>
      <c r="K175" s="1097">
        <v>0</v>
      </c>
      <c r="L175" s="1097">
        <v>0</v>
      </c>
      <c r="M175" s="1097">
        <v>0</v>
      </c>
      <c r="N175" s="1097">
        <v>0</v>
      </c>
      <c r="O175" s="1097">
        <v>0</v>
      </c>
      <c r="P175" s="1097">
        <v>0</v>
      </c>
      <c r="Q175" s="1097">
        <v>0</v>
      </c>
      <c r="R175" s="1097">
        <v>0</v>
      </c>
      <c r="S175" s="1097">
        <v>0</v>
      </c>
      <c r="T175" s="1097">
        <v>0</v>
      </c>
      <c r="U175" s="1097">
        <v>0</v>
      </c>
      <c r="V175" s="1097">
        <v>0</v>
      </c>
      <c r="W175" s="1097">
        <v>0</v>
      </c>
      <c r="X175" s="1097">
        <v>0</v>
      </c>
      <c r="Y175" s="1097">
        <v>0</v>
      </c>
      <c r="Z175" s="1097">
        <v>0</v>
      </c>
      <c r="AA175" s="1097">
        <v>0</v>
      </c>
      <c r="AB175" s="1098">
        <v>0</v>
      </c>
      <c r="AD175" s="1100">
        <f t="shared" si="108"/>
        <v>0</v>
      </c>
      <c r="AE175" s="1101">
        <f t="shared" si="109"/>
        <v>0</v>
      </c>
      <c r="AF175" s="1101">
        <f t="shared" si="110"/>
        <v>0</v>
      </c>
      <c r="AG175" s="1101">
        <f t="shared" si="111"/>
        <v>0</v>
      </c>
      <c r="AH175" s="1101">
        <f t="shared" si="112"/>
        <v>0</v>
      </c>
      <c r="AI175" s="1101">
        <f t="shared" si="113"/>
        <v>0</v>
      </c>
      <c r="AJ175" s="1101">
        <f t="shared" si="114"/>
        <v>0</v>
      </c>
      <c r="AK175" s="1101">
        <f t="shared" si="115"/>
        <v>0</v>
      </c>
      <c r="AL175" s="1101">
        <f t="shared" si="116"/>
        <v>0</v>
      </c>
      <c r="AM175" s="1101">
        <f t="shared" si="117"/>
        <v>0</v>
      </c>
      <c r="AN175" s="1101">
        <f t="shared" si="118"/>
        <v>0</v>
      </c>
      <c r="AO175" s="1101">
        <f t="shared" si="119"/>
        <v>0</v>
      </c>
      <c r="AP175" s="1101">
        <f t="shared" si="120"/>
        <v>0</v>
      </c>
      <c r="AQ175" s="1101">
        <f t="shared" si="121"/>
        <v>0</v>
      </c>
      <c r="AR175" s="1101">
        <f t="shared" si="122"/>
        <v>0</v>
      </c>
      <c r="AS175" s="1101">
        <f t="shared" si="123"/>
        <v>0</v>
      </c>
      <c r="AT175" s="1101">
        <f t="shared" si="124"/>
        <v>0</v>
      </c>
      <c r="AU175" s="1101">
        <f t="shared" si="125"/>
        <v>0</v>
      </c>
      <c r="AV175" s="1101">
        <f t="shared" si="126"/>
        <v>0</v>
      </c>
      <c r="AW175" s="1101">
        <f t="shared" si="127"/>
        <v>0</v>
      </c>
      <c r="AX175" s="1101">
        <f t="shared" si="128"/>
        <v>0</v>
      </c>
      <c r="AY175" s="1101">
        <f t="shared" si="129"/>
        <v>0</v>
      </c>
      <c r="AZ175" s="1101">
        <f t="shared" si="130"/>
        <v>0</v>
      </c>
      <c r="BA175" s="1101">
        <f t="shared" si="131"/>
        <v>0</v>
      </c>
      <c r="BB175" s="1102">
        <f t="shared" si="132"/>
        <v>0</v>
      </c>
      <c r="BC175" s="1103"/>
    </row>
    <row r="176" spans="2:55" s="1099" customFormat="1" ht="15">
      <c r="B176" s="1074">
        <v>2025</v>
      </c>
      <c r="C176" s="1404" t="s">
        <v>852</v>
      </c>
      <c r="D176" s="1097">
        <v>0</v>
      </c>
      <c r="E176" s="1097">
        <v>0</v>
      </c>
      <c r="F176" s="1097">
        <v>0</v>
      </c>
      <c r="G176" s="1097">
        <v>0</v>
      </c>
      <c r="H176" s="1097">
        <v>0</v>
      </c>
      <c r="I176" s="1097">
        <v>0</v>
      </c>
      <c r="J176" s="1097">
        <v>0</v>
      </c>
      <c r="K176" s="1097">
        <v>0</v>
      </c>
      <c r="L176" s="1097">
        <v>0</v>
      </c>
      <c r="M176" s="1097">
        <v>0</v>
      </c>
      <c r="N176" s="1097">
        <v>0</v>
      </c>
      <c r="O176" s="1097">
        <v>0</v>
      </c>
      <c r="P176" s="1097">
        <v>0</v>
      </c>
      <c r="Q176" s="1097">
        <v>0</v>
      </c>
      <c r="R176" s="1097">
        <v>0</v>
      </c>
      <c r="S176" s="1097">
        <v>0</v>
      </c>
      <c r="T176" s="1097">
        <v>0</v>
      </c>
      <c r="U176" s="1097">
        <v>0</v>
      </c>
      <c r="V176" s="1097">
        <v>0</v>
      </c>
      <c r="W176" s="1097">
        <v>0</v>
      </c>
      <c r="X176" s="1097">
        <v>0</v>
      </c>
      <c r="Y176" s="1097">
        <v>0</v>
      </c>
      <c r="Z176" s="1097">
        <v>0</v>
      </c>
      <c r="AA176" s="1097">
        <v>0</v>
      </c>
      <c r="AB176" s="1098">
        <v>0</v>
      </c>
      <c r="AD176" s="1100">
        <f t="shared" si="108"/>
        <v>0</v>
      </c>
      <c r="AE176" s="1101">
        <f t="shared" si="109"/>
        <v>0</v>
      </c>
      <c r="AF176" s="1101">
        <f t="shared" si="110"/>
        <v>0</v>
      </c>
      <c r="AG176" s="1101">
        <f t="shared" si="111"/>
        <v>0</v>
      </c>
      <c r="AH176" s="1101">
        <f t="shared" si="112"/>
        <v>0</v>
      </c>
      <c r="AI176" s="1101">
        <f t="shared" si="113"/>
        <v>0</v>
      </c>
      <c r="AJ176" s="1101">
        <f t="shared" si="114"/>
        <v>0</v>
      </c>
      <c r="AK176" s="1101">
        <f t="shared" si="115"/>
        <v>0</v>
      </c>
      <c r="AL176" s="1101">
        <f t="shared" si="116"/>
        <v>0</v>
      </c>
      <c r="AM176" s="1101">
        <f t="shared" si="117"/>
        <v>0</v>
      </c>
      <c r="AN176" s="1101">
        <f t="shared" si="118"/>
        <v>0</v>
      </c>
      <c r="AO176" s="1101">
        <f t="shared" si="119"/>
        <v>0</v>
      </c>
      <c r="AP176" s="1101">
        <f t="shared" si="120"/>
        <v>0</v>
      </c>
      <c r="AQ176" s="1101">
        <f t="shared" si="121"/>
        <v>0</v>
      </c>
      <c r="AR176" s="1101">
        <f t="shared" si="122"/>
        <v>0</v>
      </c>
      <c r="AS176" s="1101">
        <f t="shared" si="123"/>
        <v>0</v>
      </c>
      <c r="AT176" s="1101">
        <f t="shared" si="124"/>
        <v>0</v>
      </c>
      <c r="AU176" s="1101">
        <f t="shared" si="125"/>
        <v>0</v>
      </c>
      <c r="AV176" s="1101">
        <f t="shared" si="126"/>
        <v>0</v>
      </c>
      <c r="AW176" s="1101">
        <f t="shared" si="127"/>
        <v>0</v>
      </c>
      <c r="AX176" s="1101">
        <f t="shared" si="128"/>
        <v>0</v>
      </c>
      <c r="AY176" s="1101">
        <f t="shared" si="129"/>
        <v>0</v>
      </c>
      <c r="AZ176" s="1101">
        <f t="shared" si="130"/>
        <v>0</v>
      </c>
      <c r="BA176" s="1101">
        <f t="shared" si="131"/>
        <v>0</v>
      </c>
      <c r="BB176" s="1102">
        <f t="shared" si="132"/>
        <v>0</v>
      </c>
      <c r="BC176" s="1103"/>
    </row>
    <row r="177" spans="2:55" s="1099" customFormat="1" ht="15">
      <c r="B177" s="1074">
        <v>2026</v>
      </c>
      <c r="C177" s="1404" t="s">
        <v>853</v>
      </c>
      <c r="D177" s="1097">
        <v>0</v>
      </c>
      <c r="E177" s="1097">
        <v>0</v>
      </c>
      <c r="F177" s="1097">
        <v>0</v>
      </c>
      <c r="G177" s="1097">
        <v>0</v>
      </c>
      <c r="H177" s="1097">
        <v>0</v>
      </c>
      <c r="I177" s="1097">
        <v>0</v>
      </c>
      <c r="J177" s="1097">
        <v>0</v>
      </c>
      <c r="K177" s="1097">
        <v>0</v>
      </c>
      <c r="L177" s="1097">
        <v>0</v>
      </c>
      <c r="M177" s="1097">
        <v>0</v>
      </c>
      <c r="N177" s="1097">
        <v>0</v>
      </c>
      <c r="O177" s="1097">
        <v>0</v>
      </c>
      <c r="P177" s="1097">
        <v>0</v>
      </c>
      <c r="Q177" s="1097">
        <v>0</v>
      </c>
      <c r="R177" s="1097">
        <v>0</v>
      </c>
      <c r="S177" s="1097">
        <v>0</v>
      </c>
      <c r="T177" s="1097">
        <v>0</v>
      </c>
      <c r="U177" s="1097">
        <v>0</v>
      </c>
      <c r="V177" s="1097">
        <v>0</v>
      </c>
      <c r="W177" s="1097">
        <v>0</v>
      </c>
      <c r="X177" s="1097">
        <v>0</v>
      </c>
      <c r="Y177" s="1097">
        <v>0</v>
      </c>
      <c r="Z177" s="1097">
        <v>0</v>
      </c>
      <c r="AA177" s="1097">
        <v>0</v>
      </c>
      <c r="AB177" s="1098">
        <v>0</v>
      </c>
      <c r="AD177" s="1100">
        <f t="shared" si="108"/>
        <v>0</v>
      </c>
      <c r="AE177" s="1101">
        <f t="shared" si="109"/>
        <v>0</v>
      </c>
      <c r="AF177" s="1101">
        <f t="shared" si="110"/>
        <v>0</v>
      </c>
      <c r="AG177" s="1101">
        <f t="shared" si="111"/>
        <v>0</v>
      </c>
      <c r="AH177" s="1101">
        <f t="shared" si="112"/>
        <v>0</v>
      </c>
      <c r="AI177" s="1101">
        <f t="shared" si="113"/>
        <v>0</v>
      </c>
      <c r="AJ177" s="1101">
        <f t="shared" si="114"/>
        <v>0</v>
      </c>
      <c r="AK177" s="1101">
        <f t="shared" si="115"/>
        <v>0</v>
      </c>
      <c r="AL177" s="1101">
        <f t="shared" si="116"/>
        <v>0</v>
      </c>
      <c r="AM177" s="1101">
        <f t="shared" si="117"/>
        <v>0</v>
      </c>
      <c r="AN177" s="1101">
        <f t="shared" si="118"/>
        <v>0</v>
      </c>
      <c r="AO177" s="1101">
        <f t="shared" si="119"/>
        <v>0</v>
      </c>
      <c r="AP177" s="1101">
        <f t="shared" si="120"/>
        <v>0</v>
      </c>
      <c r="AQ177" s="1101">
        <f t="shared" si="121"/>
        <v>0</v>
      </c>
      <c r="AR177" s="1101">
        <f t="shared" si="122"/>
        <v>0</v>
      </c>
      <c r="AS177" s="1101">
        <f t="shared" si="123"/>
        <v>0</v>
      </c>
      <c r="AT177" s="1101">
        <f t="shared" si="124"/>
        <v>0</v>
      </c>
      <c r="AU177" s="1101">
        <f t="shared" si="125"/>
        <v>0</v>
      </c>
      <c r="AV177" s="1101">
        <f t="shared" si="126"/>
        <v>0</v>
      </c>
      <c r="AW177" s="1101">
        <f t="shared" si="127"/>
        <v>0</v>
      </c>
      <c r="AX177" s="1101">
        <f t="shared" si="128"/>
        <v>0</v>
      </c>
      <c r="AY177" s="1101">
        <f t="shared" si="129"/>
        <v>0</v>
      </c>
      <c r="AZ177" s="1101">
        <f t="shared" si="130"/>
        <v>0</v>
      </c>
      <c r="BA177" s="1101">
        <f t="shared" si="131"/>
        <v>0</v>
      </c>
      <c r="BB177" s="1102">
        <f t="shared" si="132"/>
        <v>0</v>
      </c>
      <c r="BC177" s="1103"/>
    </row>
    <row r="178" spans="2:55" s="1099" customFormat="1" ht="15">
      <c r="B178" s="1074">
        <v>2027</v>
      </c>
      <c r="C178" s="1404" t="s">
        <v>854</v>
      </c>
      <c r="D178" s="1097">
        <v>0</v>
      </c>
      <c r="E178" s="1097">
        <v>0</v>
      </c>
      <c r="F178" s="1097">
        <v>0</v>
      </c>
      <c r="G178" s="1097">
        <v>0</v>
      </c>
      <c r="H178" s="1097">
        <v>0</v>
      </c>
      <c r="I178" s="1097">
        <v>0</v>
      </c>
      <c r="J178" s="1097">
        <v>0</v>
      </c>
      <c r="K178" s="1097">
        <v>0</v>
      </c>
      <c r="L178" s="1097">
        <v>0</v>
      </c>
      <c r="M178" s="1097">
        <v>0</v>
      </c>
      <c r="N178" s="1097">
        <v>0</v>
      </c>
      <c r="O178" s="1097">
        <v>0</v>
      </c>
      <c r="P178" s="1097">
        <v>0</v>
      </c>
      <c r="Q178" s="1097">
        <v>0</v>
      </c>
      <c r="R178" s="1097">
        <v>0</v>
      </c>
      <c r="S178" s="1097">
        <v>0</v>
      </c>
      <c r="T178" s="1097">
        <v>0</v>
      </c>
      <c r="U178" s="1097">
        <v>0</v>
      </c>
      <c r="V178" s="1097">
        <v>0</v>
      </c>
      <c r="W178" s="1097">
        <v>0</v>
      </c>
      <c r="X178" s="1097">
        <v>0</v>
      </c>
      <c r="Y178" s="1097">
        <v>0</v>
      </c>
      <c r="Z178" s="1097">
        <v>0</v>
      </c>
      <c r="AA178" s="1097">
        <v>0</v>
      </c>
      <c r="AB178" s="1098">
        <v>0</v>
      </c>
      <c r="AD178" s="1100">
        <f t="shared" si="108"/>
        <v>0</v>
      </c>
      <c r="AE178" s="1101">
        <f t="shared" si="109"/>
        <v>0</v>
      </c>
      <c r="AF178" s="1101">
        <f t="shared" si="110"/>
        <v>0</v>
      </c>
      <c r="AG178" s="1101">
        <f t="shared" si="111"/>
        <v>0</v>
      </c>
      <c r="AH178" s="1101">
        <f t="shared" si="112"/>
        <v>0</v>
      </c>
      <c r="AI178" s="1101">
        <f t="shared" si="113"/>
        <v>0</v>
      </c>
      <c r="AJ178" s="1101">
        <f t="shared" si="114"/>
        <v>0</v>
      </c>
      <c r="AK178" s="1101">
        <f t="shared" si="115"/>
        <v>0</v>
      </c>
      <c r="AL178" s="1101">
        <f t="shared" si="116"/>
        <v>0</v>
      </c>
      <c r="AM178" s="1101">
        <f t="shared" si="117"/>
        <v>0</v>
      </c>
      <c r="AN178" s="1101">
        <f t="shared" si="118"/>
        <v>0</v>
      </c>
      <c r="AO178" s="1101">
        <f t="shared" si="119"/>
        <v>0</v>
      </c>
      <c r="AP178" s="1101">
        <f t="shared" si="120"/>
        <v>0</v>
      </c>
      <c r="AQ178" s="1101">
        <f t="shared" si="121"/>
        <v>0</v>
      </c>
      <c r="AR178" s="1101">
        <f t="shared" si="122"/>
        <v>0</v>
      </c>
      <c r="AS178" s="1101">
        <f t="shared" si="123"/>
        <v>0</v>
      </c>
      <c r="AT178" s="1101">
        <f t="shared" si="124"/>
        <v>0</v>
      </c>
      <c r="AU178" s="1101">
        <f t="shared" si="125"/>
        <v>0</v>
      </c>
      <c r="AV178" s="1101">
        <f t="shared" si="126"/>
        <v>0</v>
      </c>
      <c r="AW178" s="1101">
        <f t="shared" si="127"/>
        <v>0</v>
      </c>
      <c r="AX178" s="1101">
        <f t="shared" si="128"/>
        <v>0</v>
      </c>
      <c r="AY178" s="1101">
        <f t="shared" si="129"/>
        <v>0</v>
      </c>
      <c r="AZ178" s="1101">
        <f t="shared" si="130"/>
        <v>0</v>
      </c>
      <c r="BA178" s="1101">
        <f t="shared" si="131"/>
        <v>0</v>
      </c>
      <c r="BB178" s="1102">
        <f t="shared" si="132"/>
        <v>0</v>
      </c>
      <c r="BC178" s="1103"/>
    </row>
    <row r="179" spans="2:55" s="1099" customFormat="1" ht="15">
      <c r="B179" s="1074">
        <v>2028</v>
      </c>
      <c r="C179" s="1404" t="s">
        <v>855</v>
      </c>
      <c r="D179" s="1097">
        <v>28.434303000000003</v>
      </c>
      <c r="E179" s="1097">
        <v>28.434303000000003</v>
      </c>
      <c r="F179" s="1097">
        <v>28.434303000000003</v>
      </c>
      <c r="G179" s="1097">
        <v>28.434303000000003</v>
      </c>
      <c r="H179" s="1097">
        <v>28.434303000000003</v>
      </c>
      <c r="I179" s="1097">
        <v>28.434303000000003</v>
      </c>
      <c r="J179" s="1097">
        <v>28.434303000000003</v>
      </c>
      <c r="K179" s="1097">
        <v>28.434303000000003</v>
      </c>
      <c r="L179" s="1097">
        <v>28.434303000000003</v>
      </c>
      <c r="M179" s="1097">
        <v>28.434303000000003</v>
      </c>
      <c r="N179" s="1097">
        <v>28.434303000000003</v>
      </c>
      <c r="O179" s="1097">
        <v>28.434303000000003</v>
      </c>
      <c r="P179" s="1097">
        <v>28.434303000000003</v>
      </c>
      <c r="Q179" s="1097">
        <v>28.434303000000003</v>
      </c>
      <c r="R179" s="1097">
        <v>28.434303000000003</v>
      </c>
      <c r="S179" s="1097">
        <v>28.434303000000003</v>
      </c>
      <c r="T179" s="1097">
        <v>28.434303000000003</v>
      </c>
      <c r="U179" s="1097">
        <v>28.434303000000003</v>
      </c>
      <c r="V179" s="1097">
        <v>28.434303000000003</v>
      </c>
      <c r="W179" s="1097">
        <v>28.434303000000003</v>
      </c>
      <c r="X179" s="1097">
        <v>28.434303000000003</v>
      </c>
      <c r="Y179" s="1097">
        <v>28.434303000000003</v>
      </c>
      <c r="Z179" s="1097">
        <v>28.434303000000003</v>
      </c>
      <c r="AA179" s="1097">
        <v>28.434303000000003</v>
      </c>
      <c r="AB179" s="1098">
        <v>28.434303000000003</v>
      </c>
      <c r="AD179" s="1100">
        <f t="shared" si="108"/>
        <v>36.48294957092444</v>
      </c>
      <c r="AE179" s="1101">
        <f t="shared" si="109"/>
        <v>36.48294957092444</v>
      </c>
      <c r="AF179" s="1101">
        <f t="shared" si="110"/>
        <v>36.48294957092444</v>
      </c>
      <c r="AG179" s="1101">
        <f t="shared" si="111"/>
        <v>36.48294957092444</v>
      </c>
      <c r="AH179" s="1101">
        <f t="shared" si="112"/>
        <v>36.48294957092444</v>
      </c>
      <c r="AI179" s="1101">
        <f t="shared" si="113"/>
        <v>36.48294957092444</v>
      </c>
      <c r="AJ179" s="1101">
        <f t="shared" si="114"/>
        <v>36.48294957092444</v>
      </c>
      <c r="AK179" s="1101">
        <f t="shared" si="115"/>
        <v>36.48294957092444</v>
      </c>
      <c r="AL179" s="1101">
        <f t="shared" si="116"/>
        <v>36.48294957092444</v>
      </c>
      <c r="AM179" s="1101">
        <f t="shared" si="117"/>
        <v>36.48294957092444</v>
      </c>
      <c r="AN179" s="1101">
        <f t="shared" si="118"/>
        <v>36.48294957092444</v>
      </c>
      <c r="AO179" s="1101">
        <f t="shared" si="119"/>
        <v>36.48294957092444</v>
      </c>
      <c r="AP179" s="1101">
        <f t="shared" si="120"/>
        <v>36.48294957092444</v>
      </c>
      <c r="AQ179" s="1101">
        <f t="shared" si="121"/>
        <v>36.48294957092444</v>
      </c>
      <c r="AR179" s="1101">
        <f t="shared" si="122"/>
        <v>36.48294957092444</v>
      </c>
      <c r="AS179" s="1101">
        <f t="shared" si="123"/>
        <v>36.48294957092444</v>
      </c>
      <c r="AT179" s="1101">
        <f t="shared" si="124"/>
        <v>36.48294957092444</v>
      </c>
      <c r="AU179" s="1101">
        <f t="shared" si="125"/>
        <v>36.48294957092444</v>
      </c>
      <c r="AV179" s="1101">
        <f t="shared" si="126"/>
        <v>36.48294957092444</v>
      </c>
      <c r="AW179" s="1101">
        <f t="shared" si="127"/>
        <v>36.48294957092444</v>
      </c>
      <c r="AX179" s="1101">
        <f t="shared" si="128"/>
        <v>36.48294957092444</v>
      </c>
      <c r="AY179" s="1101">
        <f t="shared" si="129"/>
        <v>36.48294957092444</v>
      </c>
      <c r="AZ179" s="1101">
        <f t="shared" si="130"/>
        <v>36.48294957092444</v>
      </c>
      <c r="BA179" s="1101">
        <f t="shared" si="131"/>
        <v>36.48294957092444</v>
      </c>
      <c r="BB179" s="1102">
        <f t="shared" si="132"/>
        <v>36.48294957092444</v>
      </c>
      <c r="BC179" s="1103"/>
    </row>
    <row r="180" spans="2:55" s="1099" customFormat="1" ht="15">
      <c r="B180" s="1074">
        <v>2029</v>
      </c>
      <c r="C180" s="1404" t="s">
        <v>856</v>
      </c>
      <c r="D180" s="1097">
        <v>20.199396</v>
      </c>
      <c r="E180" s="1097">
        <v>50.498489999999997</v>
      </c>
      <c r="F180" s="1097">
        <v>50.498489999999997</v>
      </c>
      <c r="G180" s="1097">
        <v>50.498489999999997</v>
      </c>
      <c r="H180" s="1097">
        <v>50.498489999999997</v>
      </c>
      <c r="I180" s="1097">
        <v>50.498489999999997</v>
      </c>
      <c r="J180" s="1097">
        <v>50.498489999999997</v>
      </c>
      <c r="K180" s="1097">
        <v>50.498489999999997</v>
      </c>
      <c r="L180" s="1097">
        <v>50.498489999999997</v>
      </c>
      <c r="M180" s="1097">
        <v>50.498489999999997</v>
      </c>
      <c r="N180" s="1097">
        <v>50.498489999999997</v>
      </c>
      <c r="O180" s="1097">
        <v>50.498489999999997</v>
      </c>
      <c r="P180" s="1097">
        <v>50.498489999999997</v>
      </c>
      <c r="Q180" s="1097">
        <v>50.498489999999997</v>
      </c>
      <c r="R180" s="1097">
        <v>50.498489999999997</v>
      </c>
      <c r="S180" s="1097">
        <v>50.498489999999997</v>
      </c>
      <c r="T180" s="1097">
        <v>50.498489999999997</v>
      </c>
      <c r="U180" s="1097">
        <v>50.498489999999997</v>
      </c>
      <c r="V180" s="1097">
        <v>50.498489999999997</v>
      </c>
      <c r="W180" s="1097">
        <v>50.498489999999997</v>
      </c>
      <c r="X180" s="1097">
        <v>50.498489999999997</v>
      </c>
      <c r="Y180" s="1097">
        <v>50.498489999999997</v>
      </c>
      <c r="Z180" s="1097">
        <v>50.498489999999997</v>
      </c>
      <c r="AA180" s="1097">
        <v>50.498489999999997</v>
      </c>
      <c r="AB180" s="1098">
        <v>50.498489999999997</v>
      </c>
      <c r="AD180" s="1100">
        <f t="shared" si="108"/>
        <v>25.917060306740517</v>
      </c>
      <c r="AE180" s="1101">
        <f t="shared" si="109"/>
        <v>64.792650766851281</v>
      </c>
      <c r="AF180" s="1101">
        <f t="shared" si="110"/>
        <v>64.792650766851281</v>
      </c>
      <c r="AG180" s="1101">
        <f t="shared" si="111"/>
        <v>64.792650766851281</v>
      </c>
      <c r="AH180" s="1101">
        <f t="shared" si="112"/>
        <v>64.792650766851281</v>
      </c>
      <c r="AI180" s="1101">
        <f t="shared" si="113"/>
        <v>64.792650766851281</v>
      </c>
      <c r="AJ180" s="1101">
        <f t="shared" si="114"/>
        <v>64.792650766851281</v>
      </c>
      <c r="AK180" s="1101">
        <f t="shared" si="115"/>
        <v>64.792650766851281</v>
      </c>
      <c r="AL180" s="1101">
        <f t="shared" si="116"/>
        <v>64.792650766851281</v>
      </c>
      <c r="AM180" s="1101">
        <f t="shared" si="117"/>
        <v>64.792650766851281</v>
      </c>
      <c r="AN180" s="1101">
        <f t="shared" si="118"/>
        <v>64.792650766851281</v>
      </c>
      <c r="AO180" s="1101">
        <f t="shared" si="119"/>
        <v>64.792650766851281</v>
      </c>
      <c r="AP180" s="1101">
        <f t="shared" si="120"/>
        <v>64.792650766851281</v>
      </c>
      <c r="AQ180" s="1101">
        <f t="shared" si="121"/>
        <v>64.792650766851281</v>
      </c>
      <c r="AR180" s="1101">
        <f t="shared" si="122"/>
        <v>64.792650766851281</v>
      </c>
      <c r="AS180" s="1101">
        <f t="shared" si="123"/>
        <v>64.792650766851281</v>
      </c>
      <c r="AT180" s="1101">
        <f t="shared" si="124"/>
        <v>64.792650766851281</v>
      </c>
      <c r="AU180" s="1101">
        <f t="shared" si="125"/>
        <v>64.792650766851281</v>
      </c>
      <c r="AV180" s="1101">
        <f t="shared" si="126"/>
        <v>64.792650766851281</v>
      </c>
      <c r="AW180" s="1101">
        <f t="shared" si="127"/>
        <v>64.792650766851281</v>
      </c>
      <c r="AX180" s="1101">
        <f t="shared" si="128"/>
        <v>64.792650766851281</v>
      </c>
      <c r="AY180" s="1101">
        <f t="shared" si="129"/>
        <v>64.792650766851281</v>
      </c>
      <c r="AZ180" s="1101">
        <f t="shared" si="130"/>
        <v>64.792650766851281</v>
      </c>
      <c r="BA180" s="1101">
        <f t="shared" si="131"/>
        <v>64.792650766851281</v>
      </c>
      <c r="BB180" s="1102">
        <f t="shared" si="132"/>
        <v>64.792650766851281</v>
      </c>
      <c r="BC180" s="1103"/>
    </row>
    <row r="181" spans="2:55" s="1099" customFormat="1" ht="15">
      <c r="B181" s="1074">
        <v>2030</v>
      </c>
      <c r="C181" s="1404" t="s">
        <v>857</v>
      </c>
      <c r="D181" s="1097">
        <v>19.548700000000004</v>
      </c>
      <c r="E181" s="1097">
        <v>39.097400000000007</v>
      </c>
      <c r="F181" s="1097">
        <v>68.420450000000002</v>
      </c>
      <c r="G181" s="1097">
        <v>68.420450000000002</v>
      </c>
      <c r="H181" s="1097">
        <v>68.420450000000002</v>
      </c>
      <c r="I181" s="1097">
        <v>68.420450000000002</v>
      </c>
      <c r="J181" s="1097">
        <v>68.420450000000002</v>
      </c>
      <c r="K181" s="1097">
        <v>68.420450000000002</v>
      </c>
      <c r="L181" s="1097">
        <v>68.420450000000002</v>
      </c>
      <c r="M181" s="1097">
        <v>68.420450000000002</v>
      </c>
      <c r="N181" s="1097">
        <v>68.420450000000002</v>
      </c>
      <c r="O181" s="1097">
        <v>68.420450000000002</v>
      </c>
      <c r="P181" s="1097">
        <v>68.420450000000002</v>
      </c>
      <c r="Q181" s="1097">
        <v>68.420450000000002</v>
      </c>
      <c r="R181" s="1097">
        <v>68.420450000000002</v>
      </c>
      <c r="S181" s="1097">
        <v>68.420450000000002</v>
      </c>
      <c r="T181" s="1097">
        <v>68.420450000000002</v>
      </c>
      <c r="U181" s="1097">
        <v>68.420450000000002</v>
      </c>
      <c r="V181" s="1097">
        <v>68.420450000000002</v>
      </c>
      <c r="W181" s="1097">
        <v>68.420450000000002</v>
      </c>
      <c r="X181" s="1097">
        <v>68.420450000000002</v>
      </c>
      <c r="Y181" s="1097">
        <v>68.420450000000002</v>
      </c>
      <c r="Z181" s="1097">
        <v>68.420450000000002</v>
      </c>
      <c r="AA181" s="1097">
        <v>68.420450000000002</v>
      </c>
      <c r="AB181" s="1098">
        <v>68.420450000000002</v>
      </c>
      <c r="AD181" s="1100">
        <f t="shared" si="108"/>
        <v>25.082177547208762</v>
      </c>
      <c r="AE181" s="1101">
        <f t="shared" si="109"/>
        <v>50.164355094417523</v>
      </c>
      <c r="AF181" s="1101">
        <f t="shared" si="110"/>
        <v>87.787621415230632</v>
      </c>
      <c r="AG181" s="1101">
        <f t="shared" si="111"/>
        <v>87.787621415230632</v>
      </c>
      <c r="AH181" s="1101">
        <f t="shared" si="112"/>
        <v>87.787621415230632</v>
      </c>
      <c r="AI181" s="1101">
        <f t="shared" si="113"/>
        <v>87.787621415230632</v>
      </c>
      <c r="AJ181" s="1101">
        <f t="shared" si="114"/>
        <v>87.787621415230632</v>
      </c>
      <c r="AK181" s="1101">
        <f t="shared" si="115"/>
        <v>87.787621415230632</v>
      </c>
      <c r="AL181" s="1101">
        <f t="shared" si="116"/>
        <v>87.787621415230632</v>
      </c>
      <c r="AM181" s="1101">
        <f t="shared" si="117"/>
        <v>87.787621415230632</v>
      </c>
      <c r="AN181" s="1101">
        <f t="shared" si="118"/>
        <v>87.787621415230632</v>
      </c>
      <c r="AO181" s="1101">
        <f t="shared" si="119"/>
        <v>87.787621415230632</v>
      </c>
      <c r="AP181" s="1101">
        <f t="shared" si="120"/>
        <v>87.787621415230632</v>
      </c>
      <c r="AQ181" s="1101">
        <f t="shared" si="121"/>
        <v>87.787621415230632</v>
      </c>
      <c r="AR181" s="1101">
        <f t="shared" si="122"/>
        <v>87.787621415230632</v>
      </c>
      <c r="AS181" s="1101">
        <f t="shared" si="123"/>
        <v>87.787621415230632</v>
      </c>
      <c r="AT181" s="1101">
        <f t="shared" si="124"/>
        <v>87.787621415230632</v>
      </c>
      <c r="AU181" s="1101">
        <f t="shared" si="125"/>
        <v>87.787621415230632</v>
      </c>
      <c r="AV181" s="1101">
        <f t="shared" si="126"/>
        <v>87.787621415230632</v>
      </c>
      <c r="AW181" s="1101">
        <f t="shared" si="127"/>
        <v>87.787621415230632</v>
      </c>
      <c r="AX181" s="1101">
        <f t="shared" si="128"/>
        <v>87.787621415230632</v>
      </c>
      <c r="AY181" s="1101">
        <f t="shared" si="129"/>
        <v>87.787621415230632</v>
      </c>
      <c r="AZ181" s="1101">
        <f t="shared" si="130"/>
        <v>87.787621415230632</v>
      </c>
      <c r="BA181" s="1101">
        <f t="shared" si="131"/>
        <v>87.787621415230632</v>
      </c>
      <c r="BB181" s="1102">
        <f t="shared" si="132"/>
        <v>87.787621415230632</v>
      </c>
      <c r="BC181" s="1103"/>
    </row>
    <row r="182" spans="2:55" s="1099" customFormat="1" ht="15">
      <c r="B182" s="1074">
        <v>2031</v>
      </c>
      <c r="C182" s="1404" t="s">
        <v>858</v>
      </c>
      <c r="D182" s="1097">
        <v>18.956202000000001</v>
      </c>
      <c r="E182" s="1097">
        <v>37.912404000000002</v>
      </c>
      <c r="F182" s="1097">
        <v>56.868606000000014</v>
      </c>
      <c r="G182" s="1097">
        <v>85.302909000000014</v>
      </c>
      <c r="H182" s="1097">
        <v>85.302909000000014</v>
      </c>
      <c r="I182" s="1097">
        <v>85.302909000000014</v>
      </c>
      <c r="J182" s="1097">
        <v>85.302909000000014</v>
      </c>
      <c r="K182" s="1097">
        <v>85.302909000000014</v>
      </c>
      <c r="L182" s="1097">
        <v>85.302909000000014</v>
      </c>
      <c r="M182" s="1097">
        <v>85.302909000000014</v>
      </c>
      <c r="N182" s="1097">
        <v>85.302909000000014</v>
      </c>
      <c r="O182" s="1097">
        <v>85.302909000000014</v>
      </c>
      <c r="P182" s="1097">
        <v>85.302909000000014</v>
      </c>
      <c r="Q182" s="1097">
        <v>85.302909000000014</v>
      </c>
      <c r="R182" s="1097">
        <v>85.302909000000014</v>
      </c>
      <c r="S182" s="1097">
        <v>85.302909000000014</v>
      </c>
      <c r="T182" s="1097">
        <v>85.302909000000014</v>
      </c>
      <c r="U182" s="1097">
        <v>85.302909000000014</v>
      </c>
      <c r="V182" s="1097">
        <v>85.302909000000014</v>
      </c>
      <c r="W182" s="1097">
        <v>85.302909000000014</v>
      </c>
      <c r="X182" s="1097">
        <v>85.302909000000014</v>
      </c>
      <c r="Y182" s="1097">
        <v>85.302909000000014</v>
      </c>
      <c r="Z182" s="1097">
        <v>85.302909000000014</v>
      </c>
      <c r="AA182" s="1097">
        <v>85.302909000000014</v>
      </c>
      <c r="AB182" s="1098">
        <v>85.302909000000014</v>
      </c>
      <c r="AD182" s="1100">
        <f t="shared" si="108"/>
        <v>24.321966380616288</v>
      </c>
      <c r="AE182" s="1101">
        <f t="shared" si="109"/>
        <v>48.643932761232577</v>
      </c>
      <c r="AF182" s="1101">
        <f t="shared" si="110"/>
        <v>72.96589914184888</v>
      </c>
      <c r="AG182" s="1101">
        <f t="shared" si="111"/>
        <v>109.44884871277333</v>
      </c>
      <c r="AH182" s="1101">
        <f t="shared" si="112"/>
        <v>109.44884871277333</v>
      </c>
      <c r="AI182" s="1101">
        <f t="shared" si="113"/>
        <v>109.44884871277333</v>
      </c>
      <c r="AJ182" s="1101">
        <f t="shared" si="114"/>
        <v>109.44884871277333</v>
      </c>
      <c r="AK182" s="1101">
        <f t="shared" si="115"/>
        <v>109.44884871277333</v>
      </c>
      <c r="AL182" s="1101">
        <f t="shared" si="116"/>
        <v>109.44884871277333</v>
      </c>
      <c r="AM182" s="1101">
        <f t="shared" si="117"/>
        <v>109.44884871277333</v>
      </c>
      <c r="AN182" s="1101">
        <f t="shared" si="118"/>
        <v>109.44884871277333</v>
      </c>
      <c r="AO182" s="1101">
        <f t="shared" si="119"/>
        <v>109.44884871277333</v>
      </c>
      <c r="AP182" s="1101">
        <f t="shared" si="120"/>
        <v>109.44884871277333</v>
      </c>
      <c r="AQ182" s="1101">
        <f t="shared" si="121"/>
        <v>109.44884871277333</v>
      </c>
      <c r="AR182" s="1101">
        <f t="shared" si="122"/>
        <v>109.44884871277333</v>
      </c>
      <c r="AS182" s="1101">
        <f t="shared" si="123"/>
        <v>109.44884871277333</v>
      </c>
      <c r="AT182" s="1101">
        <f t="shared" si="124"/>
        <v>109.44884871277333</v>
      </c>
      <c r="AU182" s="1101">
        <f t="shared" si="125"/>
        <v>109.44884871277333</v>
      </c>
      <c r="AV182" s="1101">
        <f t="shared" si="126"/>
        <v>109.44884871277333</v>
      </c>
      <c r="AW182" s="1101">
        <f t="shared" si="127"/>
        <v>109.44884871277333</v>
      </c>
      <c r="AX182" s="1101">
        <f t="shared" si="128"/>
        <v>109.44884871277333</v>
      </c>
      <c r="AY182" s="1101">
        <f t="shared" si="129"/>
        <v>109.44884871277333</v>
      </c>
      <c r="AZ182" s="1101">
        <f t="shared" si="130"/>
        <v>109.44884871277333</v>
      </c>
      <c r="BA182" s="1101">
        <f t="shared" si="131"/>
        <v>109.44884871277333</v>
      </c>
      <c r="BB182" s="1102">
        <f t="shared" si="132"/>
        <v>109.44884871277333</v>
      </c>
      <c r="BC182" s="1103"/>
    </row>
    <row r="183" spans="2:55" s="1099" customFormat="1" ht="15">
      <c r="B183" s="1074">
        <v>2032</v>
      </c>
      <c r="C183" s="1404" t="s">
        <v>859</v>
      </c>
      <c r="D183" s="1097">
        <v>10.099698</v>
      </c>
      <c r="E183" s="1097">
        <v>30.299094000000004</v>
      </c>
      <c r="F183" s="1097">
        <v>50.498489999999997</v>
      </c>
      <c r="G183" s="1097">
        <v>70.697885999999997</v>
      </c>
      <c r="H183" s="1097">
        <v>100.99697999999999</v>
      </c>
      <c r="I183" s="1097">
        <v>100.99697999999999</v>
      </c>
      <c r="J183" s="1097">
        <v>100.99697999999999</v>
      </c>
      <c r="K183" s="1097">
        <v>100.99697999999999</v>
      </c>
      <c r="L183" s="1097">
        <v>100.99697999999999</v>
      </c>
      <c r="M183" s="1097">
        <v>100.99697999999999</v>
      </c>
      <c r="N183" s="1097">
        <v>100.99697999999999</v>
      </c>
      <c r="O183" s="1097">
        <v>100.99697999999999</v>
      </c>
      <c r="P183" s="1097">
        <v>100.99697999999999</v>
      </c>
      <c r="Q183" s="1097">
        <v>100.99697999999999</v>
      </c>
      <c r="R183" s="1097">
        <v>100.99697999999999</v>
      </c>
      <c r="S183" s="1097">
        <v>100.99697999999999</v>
      </c>
      <c r="T183" s="1097">
        <v>100.99697999999999</v>
      </c>
      <c r="U183" s="1097">
        <v>100.99697999999999</v>
      </c>
      <c r="V183" s="1097">
        <v>100.99697999999999</v>
      </c>
      <c r="W183" s="1097">
        <v>100.99697999999999</v>
      </c>
      <c r="X183" s="1097">
        <v>100.99697999999999</v>
      </c>
      <c r="Y183" s="1097">
        <v>100.99697999999999</v>
      </c>
      <c r="Z183" s="1097">
        <v>100.99697999999999</v>
      </c>
      <c r="AA183" s="1097">
        <v>100.99697999999999</v>
      </c>
      <c r="AB183" s="1098">
        <v>100.99697999999999</v>
      </c>
      <c r="AD183" s="1100">
        <f t="shared" si="108"/>
        <v>12.958530153370258</v>
      </c>
      <c r="AE183" s="1101">
        <f t="shared" si="109"/>
        <v>38.875590460110779</v>
      </c>
      <c r="AF183" s="1101">
        <f t="shared" si="110"/>
        <v>64.792650766851281</v>
      </c>
      <c r="AG183" s="1101">
        <f t="shared" si="111"/>
        <v>90.709711073591805</v>
      </c>
      <c r="AH183" s="1101">
        <f t="shared" si="112"/>
        <v>129.58530153370256</v>
      </c>
      <c r="AI183" s="1101">
        <f t="shared" si="113"/>
        <v>129.58530153370256</v>
      </c>
      <c r="AJ183" s="1101">
        <f t="shared" si="114"/>
        <v>129.58530153370256</v>
      </c>
      <c r="AK183" s="1101">
        <f t="shared" si="115"/>
        <v>129.58530153370256</v>
      </c>
      <c r="AL183" s="1101">
        <f t="shared" si="116"/>
        <v>129.58530153370256</v>
      </c>
      <c r="AM183" s="1101">
        <f t="shared" si="117"/>
        <v>129.58530153370256</v>
      </c>
      <c r="AN183" s="1101">
        <f t="shared" si="118"/>
        <v>129.58530153370256</v>
      </c>
      <c r="AO183" s="1101">
        <f t="shared" si="119"/>
        <v>129.58530153370256</v>
      </c>
      <c r="AP183" s="1101">
        <f t="shared" si="120"/>
        <v>129.58530153370256</v>
      </c>
      <c r="AQ183" s="1101">
        <f t="shared" si="121"/>
        <v>129.58530153370256</v>
      </c>
      <c r="AR183" s="1101">
        <f t="shared" si="122"/>
        <v>129.58530153370256</v>
      </c>
      <c r="AS183" s="1101">
        <f t="shared" si="123"/>
        <v>129.58530153370256</v>
      </c>
      <c r="AT183" s="1101">
        <f t="shared" si="124"/>
        <v>129.58530153370256</v>
      </c>
      <c r="AU183" s="1101">
        <f t="shared" si="125"/>
        <v>129.58530153370256</v>
      </c>
      <c r="AV183" s="1101">
        <f t="shared" si="126"/>
        <v>129.58530153370256</v>
      </c>
      <c r="AW183" s="1101">
        <f t="shared" si="127"/>
        <v>129.58530153370256</v>
      </c>
      <c r="AX183" s="1101">
        <f t="shared" si="128"/>
        <v>129.58530153370256</v>
      </c>
      <c r="AY183" s="1101">
        <f t="shared" si="129"/>
        <v>129.58530153370256</v>
      </c>
      <c r="AZ183" s="1101">
        <f t="shared" si="130"/>
        <v>129.58530153370256</v>
      </c>
      <c r="BA183" s="1101">
        <f t="shared" si="131"/>
        <v>129.58530153370256</v>
      </c>
      <c r="BB183" s="1102">
        <f t="shared" si="132"/>
        <v>129.58530153370256</v>
      </c>
      <c r="BC183" s="1103"/>
    </row>
    <row r="184" spans="2:55" s="1099" customFormat="1" ht="15">
      <c r="B184" s="1074">
        <v>2033</v>
      </c>
      <c r="C184" s="1404" t="s">
        <v>860</v>
      </c>
      <c r="D184" s="1097">
        <v>0</v>
      </c>
      <c r="E184" s="1097">
        <v>9.7743500000000019</v>
      </c>
      <c r="F184" s="1097">
        <v>29.323050000000009</v>
      </c>
      <c r="G184" s="1097">
        <v>48.871750000000006</v>
      </c>
      <c r="H184" s="1097">
        <v>68.420450000000002</v>
      </c>
      <c r="I184" s="1097">
        <v>97.743500000000012</v>
      </c>
      <c r="J184" s="1097">
        <v>97.743500000000012</v>
      </c>
      <c r="K184" s="1097">
        <v>97.743500000000012</v>
      </c>
      <c r="L184" s="1097">
        <v>97.743500000000012</v>
      </c>
      <c r="M184" s="1097">
        <v>97.743500000000012</v>
      </c>
      <c r="N184" s="1097">
        <v>97.743500000000012</v>
      </c>
      <c r="O184" s="1097">
        <v>97.743500000000012</v>
      </c>
      <c r="P184" s="1097">
        <v>97.743500000000012</v>
      </c>
      <c r="Q184" s="1097">
        <v>97.743500000000012</v>
      </c>
      <c r="R184" s="1097">
        <v>97.743500000000012</v>
      </c>
      <c r="S184" s="1097">
        <v>97.743500000000012</v>
      </c>
      <c r="T184" s="1097">
        <v>97.743500000000012</v>
      </c>
      <c r="U184" s="1097">
        <v>97.743500000000012</v>
      </c>
      <c r="V184" s="1097">
        <v>97.743500000000012</v>
      </c>
      <c r="W184" s="1097">
        <v>97.743500000000012</v>
      </c>
      <c r="X184" s="1097">
        <v>97.743500000000012</v>
      </c>
      <c r="Y184" s="1097">
        <v>97.743500000000012</v>
      </c>
      <c r="Z184" s="1097">
        <v>97.743500000000012</v>
      </c>
      <c r="AA184" s="1097">
        <v>97.743500000000012</v>
      </c>
      <c r="AB184" s="1098">
        <v>97.743500000000012</v>
      </c>
      <c r="AD184" s="1100">
        <f t="shared" si="108"/>
        <v>0</v>
      </c>
      <c r="AE184" s="1101">
        <f t="shared" si="109"/>
        <v>12.541088773604381</v>
      </c>
      <c r="AF184" s="1101">
        <f t="shared" si="110"/>
        <v>37.623266320813144</v>
      </c>
      <c r="AG184" s="1101">
        <f t="shared" si="111"/>
        <v>62.705443868021881</v>
      </c>
      <c r="AH184" s="1101">
        <f t="shared" si="112"/>
        <v>87.787621415230632</v>
      </c>
      <c r="AI184" s="1101">
        <f t="shared" si="113"/>
        <v>125.41088773604376</v>
      </c>
      <c r="AJ184" s="1101">
        <f t="shared" si="114"/>
        <v>125.41088773604376</v>
      </c>
      <c r="AK184" s="1101">
        <f t="shared" si="115"/>
        <v>125.41088773604376</v>
      </c>
      <c r="AL184" s="1101">
        <f t="shared" si="116"/>
        <v>125.41088773604376</v>
      </c>
      <c r="AM184" s="1101">
        <f t="shared" si="117"/>
        <v>125.41088773604376</v>
      </c>
      <c r="AN184" s="1101">
        <f t="shared" si="118"/>
        <v>125.41088773604376</v>
      </c>
      <c r="AO184" s="1101">
        <f t="shared" si="119"/>
        <v>125.41088773604376</v>
      </c>
      <c r="AP184" s="1101">
        <f t="shared" si="120"/>
        <v>125.41088773604376</v>
      </c>
      <c r="AQ184" s="1101">
        <f t="shared" si="121"/>
        <v>125.41088773604376</v>
      </c>
      <c r="AR184" s="1101">
        <f t="shared" si="122"/>
        <v>125.41088773604376</v>
      </c>
      <c r="AS184" s="1101">
        <f t="shared" si="123"/>
        <v>125.41088773604376</v>
      </c>
      <c r="AT184" s="1101">
        <f t="shared" si="124"/>
        <v>125.41088773604376</v>
      </c>
      <c r="AU184" s="1101">
        <f t="shared" si="125"/>
        <v>125.41088773604376</v>
      </c>
      <c r="AV184" s="1101">
        <f t="shared" si="126"/>
        <v>125.41088773604376</v>
      </c>
      <c r="AW184" s="1101">
        <f t="shared" si="127"/>
        <v>125.41088773604376</v>
      </c>
      <c r="AX184" s="1101">
        <f t="shared" si="128"/>
        <v>125.41088773604376</v>
      </c>
      <c r="AY184" s="1101">
        <f t="shared" si="129"/>
        <v>125.41088773604376</v>
      </c>
      <c r="AZ184" s="1101">
        <f t="shared" si="130"/>
        <v>125.41088773604376</v>
      </c>
      <c r="BA184" s="1101">
        <f t="shared" si="131"/>
        <v>125.41088773604376</v>
      </c>
      <c r="BB184" s="1102">
        <f t="shared" si="132"/>
        <v>125.41088773604376</v>
      </c>
      <c r="BC184" s="1103"/>
    </row>
    <row r="185" spans="2:55" s="1099" customFormat="1" ht="15">
      <c r="B185" s="1074">
        <v>2034</v>
      </c>
      <c r="C185" s="1404" t="s">
        <v>861</v>
      </c>
      <c r="D185" s="1097">
        <v>0</v>
      </c>
      <c r="E185" s="1097">
        <v>0</v>
      </c>
      <c r="F185" s="1097">
        <v>9.4781010000000006</v>
      </c>
      <c r="G185" s="1097">
        <v>28.434303000000007</v>
      </c>
      <c r="H185" s="1097">
        <v>47.390505000000005</v>
      </c>
      <c r="I185" s="1097">
        <v>66.346707000000009</v>
      </c>
      <c r="J185" s="1097">
        <v>94.781010000000009</v>
      </c>
      <c r="K185" s="1097">
        <v>94.781010000000009</v>
      </c>
      <c r="L185" s="1097">
        <v>94.781010000000009</v>
      </c>
      <c r="M185" s="1097">
        <v>94.781010000000009</v>
      </c>
      <c r="N185" s="1097">
        <v>94.781010000000009</v>
      </c>
      <c r="O185" s="1097">
        <v>94.781010000000009</v>
      </c>
      <c r="P185" s="1097">
        <v>94.781010000000009</v>
      </c>
      <c r="Q185" s="1097">
        <v>94.781010000000009</v>
      </c>
      <c r="R185" s="1097">
        <v>94.781010000000009</v>
      </c>
      <c r="S185" s="1097">
        <v>94.781010000000009</v>
      </c>
      <c r="T185" s="1097">
        <v>94.781010000000009</v>
      </c>
      <c r="U185" s="1097">
        <v>94.781010000000009</v>
      </c>
      <c r="V185" s="1097">
        <v>94.781010000000009</v>
      </c>
      <c r="W185" s="1097">
        <v>94.781010000000009</v>
      </c>
      <c r="X185" s="1097">
        <v>94.781010000000009</v>
      </c>
      <c r="Y185" s="1097">
        <v>94.781010000000009</v>
      </c>
      <c r="Z185" s="1097">
        <v>94.781010000000009</v>
      </c>
      <c r="AA185" s="1097">
        <v>94.781010000000009</v>
      </c>
      <c r="AB185" s="1098">
        <v>94.781010000000009</v>
      </c>
      <c r="AD185" s="1100">
        <f t="shared" si="108"/>
        <v>0</v>
      </c>
      <c r="AE185" s="1101">
        <f t="shared" si="109"/>
        <v>0</v>
      </c>
      <c r="AF185" s="1101">
        <f t="shared" si="110"/>
        <v>12.160983190308144</v>
      </c>
      <c r="AG185" s="1101">
        <f t="shared" si="111"/>
        <v>36.48294957092444</v>
      </c>
      <c r="AH185" s="1101">
        <f t="shared" si="112"/>
        <v>60.804915951540735</v>
      </c>
      <c r="AI185" s="1101">
        <f t="shared" si="113"/>
        <v>85.126882332157024</v>
      </c>
      <c r="AJ185" s="1101">
        <f t="shared" si="114"/>
        <v>121.60983190308147</v>
      </c>
      <c r="AK185" s="1101">
        <f t="shared" si="115"/>
        <v>121.60983190308147</v>
      </c>
      <c r="AL185" s="1101">
        <f t="shared" si="116"/>
        <v>121.60983190308147</v>
      </c>
      <c r="AM185" s="1101">
        <f t="shared" si="117"/>
        <v>121.60983190308147</v>
      </c>
      <c r="AN185" s="1101">
        <f t="shared" si="118"/>
        <v>121.60983190308147</v>
      </c>
      <c r="AO185" s="1101">
        <f t="shared" si="119"/>
        <v>121.60983190308147</v>
      </c>
      <c r="AP185" s="1101">
        <f t="shared" si="120"/>
        <v>121.60983190308147</v>
      </c>
      <c r="AQ185" s="1101">
        <f t="shared" si="121"/>
        <v>121.60983190308147</v>
      </c>
      <c r="AR185" s="1101">
        <f t="shared" si="122"/>
        <v>121.60983190308147</v>
      </c>
      <c r="AS185" s="1101">
        <f t="shared" si="123"/>
        <v>121.60983190308147</v>
      </c>
      <c r="AT185" s="1101">
        <f t="shared" si="124"/>
        <v>121.60983190308147</v>
      </c>
      <c r="AU185" s="1101">
        <f t="shared" si="125"/>
        <v>121.60983190308147</v>
      </c>
      <c r="AV185" s="1101">
        <f t="shared" si="126"/>
        <v>121.60983190308147</v>
      </c>
      <c r="AW185" s="1101">
        <f t="shared" si="127"/>
        <v>121.60983190308147</v>
      </c>
      <c r="AX185" s="1101">
        <f t="shared" si="128"/>
        <v>121.60983190308147</v>
      </c>
      <c r="AY185" s="1101">
        <f t="shared" si="129"/>
        <v>121.60983190308147</v>
      </c>
      <c r="AZ185" s="1101">
        <f t="shared" si="130"/>
        <v>121.60983190308147</v>
      </c>
      <c r="BA185" s="1101">
        <f t="shared" si="131"/>
        <v>121.60983190308147</v>
      </c>
      <c r="BB185" s="1102">
        <f t="shared" si="132"/>
        <v>121.60983190308147</v>
      </c>
      <c r="BC185" s="1103"/>
    </row>
    <row r="186" spans="2:55" s="1099" customFormat="1" ht="15">
      <c r="B186" s="1074">
        <v>2035</v>
      </c>
      <c r="C186" s="1404" t="s">
        <v>862</v>
      </c>
      <c r="D186" s="1097">
        <v>0</v>
      </c>
      <c r="E186" s="1097">
        <v>0</v>
      </c>
      <c r="F186" s="1097">
        <v>0</v>
      </c>
      <c r="G186" s="1097">
        <v>10.099698</v>
      </c>
      <c r="H186" s="1097">
        <v>30.299094000000004</v>
      </c>
      <c r="I186" s="1097">
        <v>50.498489999999997</v>
      </c>
      <c r="J186" s="1097">
        <v>70.697885999999997</v>
      </c>
      <c r="K186" s="1097">
        <v>100.99697999999999</v>
      </c>
      <c r="L186" s="1097">
        <v>100.99697999999999</v>
      </c>
      <c r="M186" s="1097">
        <v>100.99697999999999</v>
      </c>
      <c r="N186" s="1097">
        <v>100.99697999999999</v>
      </c>
      <c r="O186" s="1097">
        <v>100.99697999999999</v>
      </c>
      <c r="P186" s="1097">
        <v>100.99697999999999</v>
      </c>
      <c r="Q186" s="1097">
        <v>100.99697999999999</v>
      </c>
      <c r="R186" s="1097">
        <v>100.99697999999999</v>
      </c>
      <c r="S186" s="1097">
        <v>100.99697999999999</v>
      </c>
      <c r="T186" s="1097">
        <v>100.99697999999999</v>
      </c>
      <c r="U186" s="1097">
        <v>100.99697999999999</v>
      </c>
      <c r="V186" s="1097">
        <v>100.99697999999999</v>
      </c>
      <c r="W186" s="1097">
        <v>100.99697999999999</v>
      </c>
      <c r="X186" s="1097">
        <v>100.99697999999999</v>
      </c>
      <c r="Y186" s="1097">
        <v>100.99697999999999</v>
      </c>
      <c r="Z186" s="1097">
        <v>100.99697999999999</v>
      </c>
      <c r="AA186" s="1097">
        <v>100.99697999999999</v>
      </c>
      <c r="AB186" s="1098">
        <v>100.99697999999999</v>
      </c>
      <c r="AD186" s="1100">
        <f t="shared" si="108"/>
        <v>0</v>
      </c>
      <c r="AE186" s="1101">
        <f t="shared" si="109"/>
        <v>0</v>
      </c>
      <c r="AF186" s="1101">
        <f t="shared" si="110"/>
        <v>0</v>
      </c>
      <c r="AG186" s="1101">
        <f t="shared" si="111"/>
        <v>12.958530153370258</v>
      </c>
      <c r="AH186" s="1101">
        <f t="shared" si="112"/>
        <v>38.875590460110779</v>
      </c>
      <c r="AI186" s="1101">
        <f t="shared" si="113"/>
        <v>64.792650766851281</v>
      </c>
      <c r="AJ186" s="1101">
        <f t="shared" si="114"/>
        <v>90.709711073591805</v>
      </c>
      <c r="AK186" s="1101">
        <f t="shared" si="115"/>
        <v>129.58530153370256</v>
      </c>
      <c r="AL186" s="1101">
        <f t="shared" si="116"/>
        <v>129.58530153370256</v>
      </c>
      <c r="AM186" s="1101">
        <f t="shared" si="117"/>
        <v>129.58530153370256</v>
      </c>
      <c r="AN186" s="1101">
        <f t="shared" si="118"/>
        <v>129.58530153370256</v>
      </c>
      <c r="AO186" s="1101">
        <f t="shared" si="119"/>
        <v>129.58530153370256</v>
      </c>
      <c r="AP186" s="1101">
        <f t="shared" si="120"/>
        <v>129.58530153370256</v>
      </c>
      <c r="AQ186" s="1101">
        <f t="shared" si="121"/>
        <v>129.58530153370256</v>
      </c>
      <c r="AR186" s="1101">
        <f t="shared" si="122"/>
        <v>129.58530153370256</v>
      </c>
      <c r="AS186" s="1101">
        <f t="shared" si="123"/>
        <v>129.58530153370256</v>
      </c>
      <c r="AT186" s="1101">
        <f t="shared" si="124"/>
        <v>129.58530153370256</v>
      </c>
      <c r="AU186" s="1101">
        <f t="shared" si="125"/>
        <v>129.58530153370256</v>
      </c>
      <c r="AV186" s="1101">
        <f t="shared" si="126"/>
        <v>129.58530153370256</v>
      </c>
      <c r="AW186" s="1101">
        <f t="shared" si="127"/>
        <v>129.58530153370256</v>
      </c>
      <c r="AX186" s="1101">
        <f t="shared" si="128"/>
        <v>129.58530153370256</v>
      </c>
      <c r="AY186" s="1101">
        <f t="shared" si="129"/>
        <v>129.58530153370256</v>
      </c>
      <c r="AZ186" s="1101">
        <f t="shared" si="130"/>
        <v>129.58530153370256</v>
      </c>
      <c r="BA186" s="1101">
        <f t="shared" si="131"/>
        <v>129.58530153370256</v>
      </c>
      <c r="BB186" s="1102">
        <f t="shared" si="132"/>
        <v>129.58530153370256</v>
      </c>
      <c r="BC186" s="1103"/>
    </row>
    <row r="187" spans="2:55" s="1099" customFormat="1" ht="15">
      <c r="B187" s="1074">
        <v>2036</v>
      </c>
      <c r="C187" s="1404" t="s">
        <v>863</v>
      </c>
      <c r="D187" s="1097">
        <v>0</v>
      </c>
      <c r="E187" s="1097">
        <v>0</v>
      </c>
      <c r="F187" s="1097">
        <v>0</v>
      </c>
      <c r="G187" s="1097">
        <v>0</v>
      </c>
      <c r="H187" s="1097">
        <v>10.261439391310571</v>
      </c>
      <c r="I187" s="1097">
        <v>30.784318173931716</v>
      </c>
      <c r="J187" s="1097">
        <v>51.307196956552851</v>
      </c>
      <c r="K187" s="1097">
        <v>71.830075739173992</v>
      </c>
      <c r="L187" s="1097">
        <v>102.6143939131057</v>
      </c>
      <c r="M187" s="1097">
        <v>102.6143939131057</v>
      </c>
      <c r="N187" s="1097">
        <v>102.6143939131057</v>
      </c>
      <c r="O187" s="1097">
        <v>102.6143939131057</v>
      </c>
      <c r="P187" s="1097">
        <v>102.6143939131057</v>
      </c>
      <c r="Q187" s="1097">
        <v>102.6143939131057</v>
      </c>
      <c r="R187" s="1097">
        <v>102.6143939131057</v>
      </c>
      <c r="S187" s="1097">
        <v>102.6143939131057</v>
      </c>
      <c r="T187" s="1097">
        <v>102.6143939131057</v>
      </c>
      <c r="U187" s="1097">
        <v>102.6143939131057</v>
      </c>
      <c r="V187" s="1097">
        <v>102.6143939131057</v>
      </c>
      <c r="W187" s="1097">
        <v>102.6143939131057</v>
      </c>
      <c r="X187" s="1097">
        <v>102.6143939131057</v>
      </c>
      <c r="Y187" s="1097">
        <v>102.6143939131057</v>
      </c>
      <c r="Z187" s="1097">
        <v>102.6143939131057</v>
      </c>
      <c r="AA187" s="1097">
        <v>102.6143939131057</v>
      </c>
      <c r="AB187" s="1098">
        <v>102.6143939131057</v>
      </c>
      <c r="AD187" s="1100">
        <f t="shared" si="108"/>
        <v>0</v>
      </c>
      <c r="AE187" s="1101">
        <f t="shared" si="109"/>
        <v>0</v>
      </c>
      <c r="AF187" s="1101">
        <f t="shared" si="110"/>
        <v>0</v>
      </c>
      <c r="AG187" s="1101">
        <f t="shared" si="111"/>
        <v>0</v>
      </c>
      <c r="AH187" s="1101">
        <f t="shared" si="112"/>
        <v>13.166054249273531</v>
      </c>
      <c r="AI187" s="1101">
        <f t="shared" si="113"/>
        <v>39.498162747820594</v>
      </c>
      <c r="AJ187" s="1101">
        <f t="shared" si="114"/>
        <v>65.830271246367644</v>
      </c>
      <c r="AK187" s="1101">
        <f t="shared" si="115"/>
        <v>92.162379744914716</v>
      </c>
      <c r="AL187" s="1101">
        <f t="shared" si="116"/>
        <v>131.66054249273529</v>
      </c>
      <c r="AM187" s="1101">
        <f t="shared" si="117"/>
        <v>131.66054249273529</v>
      </c>
      <c r="AN187" s="1101">
        <f t="shared" si="118"/>
        <v>131.66054249273529</v>
      </c>
      <c r="AO187" s="1101">
        <f t="shared" si="119"/>
        <v>131.66054249273529</v>
      </c>
      <c r="AP187" s="1101">
        <f t="shared" si="120"/>
        <v>131.66054249273529</v>
      </c>
      <c r="AQ187" s="1101">
        <f t="shared" si="121"/>
        <v>131.66054249273529</v>
      </c>
      <c r="AR187" s="1101">
        <f t="shared" si="122"/>
        <v>131.66054249273529</v>
      </c>
      <c r="AS187" s="1101">
        <f t="shared" si="123"/>
        <v>131.66054249273529</v>
      </c>
      <c r="AT187" s="1101">
        <f t="shared" si="124"/>
        <v>131.66054249273529</v>
      </c>
      <c r="AU187" s="1101">
        <f t="shared" si="125"/>
        <v>131.66054249273529</v>
      </c>
      <c r="AV187" s="1101">
        <f t="shared" si="126"/>
        <v>131.66054249273529</v>
      </c>
      <c r="AW187" s="1101">
        <f t="shared" si="127"/>
        <v>131.66054249273529</v>
      </c>
      <c r="AX187" s="1101">
        <f t="shared" si="128"/>
        <v>131.66054249273529</v>
      </c>
      <c r="AY187" s="1101">
        <f t="shared" si="129"/>
        <v>131.66054249273529</v>
      </c>
      <c r="AZ187" s="1101">
        <f t="shared" si="130"/>
        <v>131.66054249273529</v>
      </c>
      <c r="BA187" s="1101">
        <f t="shared" si="131"/>
        <v>131.66054249273529</v>
      </c>
      <c r="BB187" s="1102">
        <f t="shared" si="132"/>
        <v>131.66054249273529</v>
      </c>
      <c r="BC187" s="1103"/>
    </row>
    <row r="188" spans="2:55" s="1099" customFormat="1" ht="15">
      <c r="B188" s="1074">
        <v>2037</v>
      </c>
      <c r="C188" s="1404" t="s">
        <v>864</v>
      </c>
      <c r="D188" s="1097">
        <v>0</v>
      </c>
      <c r="E188" s="1097">
        <v>0</v>
      </c>
      <c r="F188" s="1097">
        <v>0</v>
      </c>
      <c r="G188" s="1097">
        <v>0</v>
      </c>
      <c r="H188" s="1097">
        <v>0</v>
      </c>
      <c r="I188" s="1097">
        <v>10.425800841378164</v>
      </c>
      <c r="J188" s="1097">
        <v>31.277402524134498</v>
      </c>
      <c r="K188" s="1097">
        <v>52.129004206890819</v>
      </c>
      <c r="L188" s="1097">
        <v>72.980605889647137</v>
      </c>
      <c r="M188" s="1097">
        <v>104.25800841378164</v>
      </c>
      <c r="N188" s="1097">
        <v>104.25800841378164</v>
      </c>
      <c r="O188" s="1097">
        <v>104.25800841378164</v>
      </c>
      <c r="P188" s="1097">
        <v>104.25800841378164</v>
      </c>
      <c r="Q188" s="1097">
        <v>104.25800841378164</v>
      </c>
      <c r="R188" s="1097">
        <v>104.25800841378164</v>
      </c>
      <c r="S188" s="1097">
        <v>104.25800841378164</v>
      </c>
      <c r="T188" s="1097">
        <v>104.25800841378164</v>
      </c>
      <c r="U188" s="1097">
        <v>104.25800841378164</v>
      </c>
      <c r="V188" s="1097">
        <v>104.25800841378164</v>
      </c>
      <c r="W188" s="1097">
        <v>104.25800841378164</v>
      </c>
      <c r="X188" s="1097">
        <v>104.25800841378164</v>
      </c>
      <c r="Y188" s="1097">
        <v>104.25800841378164</v>
      </c>
      <c r="Z188" s="1097">
        <v>104.25800841378164</v>
      </c>
      <c r="AA188" s="1097">
        <v>104.25800841378164</v>
      </c>
      <c r="AB188" s="1098">
        <v>104.25800841378164</v>
      </c>
      <c r="AD188" s="1100">
        <f t="shared" si="108"/>
        <v>0</v>
      </c>
      <c r="AE188" s="1101">
        <f t="shared" si="109"/>
        <v>0</v>
      </c>
      <c r="AF188" s="1101">
        <f t="shared" si="110"/>
        <v>0</v>
      </c>
      <c r="AG188" s="1101">
        <f t="shared" si="111"/>
        <v>0</v>
      </c>
      <c r="AH188" s="1101">
        <f t="shared" si="112"/>
        <v>0</v>
      </c>
      <c r="AI188" s="1101">
        <f t="shared" si="113"/>
        <v>13.37694004078458</v>
      </c>
      <c r="AJ188" s="1101">
        <f t="shared" si="114"/>
        <v>40.130820122353754</v>
      </c>
      <c r="AK188" s="1101">
        <f t="shared" si="115"/>
        <v>66.88470020392289</v>
      </c>
      <c r="AL188" s="1101">
        <f t="shared" si="116"/>
        <v>93.638580285492054</v>
      </c>
      <c r="AM188" s="1101">
        <f t="shared" si="117"/>
        <v>133.76940040784578</v>
      </c>
      <c r="AN188" s="1101">
        <f t="shared" si="118"/>
        <v>133.76940040784578</v>
      </c>
      <c r="AO188" s="1101">
        <f t="shared" si="119"/>
        <v>133.76940040784578</v>
      </c>
      <c r="AP188" s="1101">
        <f t="shared" si="120"/>
        <v>133.76940040784578</v>
      </c>
      <c r="AQ188" s="1101">
        <f t="shared" si="121"/>
        <v>133.76940040784578</v>
      </c>
      <c r="AR188" s="1101">
        <f t="shared" si="122"/>
        <v>133.76940040784578</v>
      </c>
      <c r="AS188" s="1101">
        <f t="shared" si="123"/>
        <v>133.76940040784578</v>
      </c>
      <c r="AT188" s="1101">
        <f t="shared" si="124"/>
        <v>133.76940040784578</v>
      </c>
      <c r="AU188" s="1101">
        <f t="shared" si="125"/>
        <v>133.76940040784578</v>
      </c>
      <c r="AV188" s="1101">
        <f t="shared" si="126"/>
        <v>133.76940040784578</v>
      </c>
      <c r="AW188" s="1101">
        <f t="shared" si="127"/>
        <v>133.76940040784578</v>
      </c>
      <c r="AX188" s="1101">
        <f t="shared" si="128"/>
        <v>133.76940040784578</v>
      </c>
      <c r="AY188" s="1101">
        <f t="shared" si="129"/>
        <v>133.76940040784578</v>
      </c>
      <c r="AZ188" s="1101">
        <f t="shared" si="130"/>
        <v>133.76940040784578</v>
      </c>
      <c r="BA188" s="1101">
        <f t="shared" si="131"/>
        <v>133.76940040784578</v>
      </c>
      <c r="BB188" s="1102">
        <f t="shared" si="132"/>
        <v>133.76940040784578</v>
      </c>
      <c r="BC188" s="1103"/>
    </row>
    <row r="189" spans="2:55" s="1099" customFormat="1" ht="15">
      <c r="B189" s="1074">
        <v>2038</v>
      </c>
      <c r="C189" s="1404" t="s">
        <v>865</v>
      </c>
      <c r="D189" s="1097">
        <v>0</v>
      </c>
      <c r="E189" s="1097">
        <v>0</v>
      </c>
      <c r="F189" s="1097">
        <v>0</v>
      </c>
      <c r="G189" s="1097">
        <v>0</v>
      </c>
      <c r="H189" s="1097">
        <v>0</v>
      </c>
      <c r="I189" s="1097">
        <v>0</v>
      </c>
      <c r="J189" s="1097">
        <v>10.592825150571835</v>
      </c>
      <c r="K189" s="1097">
        <v>31.778475451715511</v>
      </c>
      <c r="L189" s="1097">
        <v>52.964125752859175</v>
      </c>
      <c r="M189" s="1097">
        <v>74.149776054002842</v>
      </c>
      <c r="N189" s="1097">
        <v>105.92825150571835</v>
      </c>
      <c r="O189" s="1097">
        <v>105.92825150571835</v>
      </c>
      <c r="P189" s="1097">
        <v>105.92825150571835</v>
      </c>
      <c r="Q189" s="1097">
        <v>105.92825150571835</v>
      </c>
      <c r="R189" s="1097">
        <v>105.92825150571835</v>
      </c>
      <c r="S189" s="1097">
        <v>105.92825150571835</v>
      </c>
      <c r="T189" s="1097">
        <v>105.92825150571835</v>
      </c>
      <c r="U189" s="1097">
        <v>105.92825150571835</v>
      </c>
      <c r="V189" s="1097">
        <v>105.92825150571835</v>
      </c>
      <c r="W189" s="1097">
        <v>105.92825150571835</v>
      </c>
      <c r="X189" s="1097">
        <v>105.92825150571835</v>
      </c>
      <c r="Y189" s="1097">
        <v>105.92825150571835</v>
      </c>
      <c r="Z189" s="1097">
        <v>105.92825150571835</v>
      </c>
      <c r="AA189" s="1097">
        <v>105.92825150571835</v>
      </c>
      <c r="AB189" s="1098">
        <v>105.92825150571835</v>
      </c>
      <c r="AD189" s="1100">
        <f t="shared" si="108"/>
        <v>0</v>
      </c>
      <c r="AE189" s="1101">
        <f t="shared" si="109"/>
        <v>0</v>
      </c>
      <c r="AF189" s="1101">
        <f t="shared" si="110"/>
        <v>0</v>
      </c>
      <c r="AG189" s="1101">
        <f t="shared" si="111"/>
        <v>0</v>
      </c>
      <c r="AH189" s="1101">
        <f t="shared" si="112"/>
        <v>0</v>
      </c>
      <c r="AI189" s="1101">
        <f t="shared" si="113"/>
        <v>0</v>
      </c>
      <c r="AJ189" s="1101">
        <f t="shared" si="114"/>
        <v>13.591242443394243</v>
      </c>
      <c r="AK189" s="1101">
        <f t="shared" si="115"/>
        <v>40.773727330182744</v>
      </c>
      <c r="AL189" s="1101">
        <f t="shared" si="116"/>
        <v>67.95621221697121</v>
      </c>
      <c r="AM189" s="1101">
        <f t="shared" si="117"/>
        <v>95.138697103759696</v>
      </c>
      <c r="AN189" s="1101">
        <f t="shared" si="118"/>
        <v>135.91242443394242</v>
      </c>
      <c r="AO189" s="1101">
        <f t="shared" si="119"/>
        <v>135.91242443394242</v>
      </c>
      <c r="AP189" s="1101">
        <f t="shared" si="120"/>
        <v>135.91242443394242</v>
      </c>
      <c r="AQ189" s="1101">
        <f t="shared" si="121"/>
        <v>135.91242443394242</v>
      </c>
      <c r="AR189" s="1101">
        <f t="shared" si="122"/>
        <v>135.91242443394242</v>
      </c>
      <c r="AS189" s="1101">
        <f t="shared" si="123"/>
        <v>135.91242443394242</v>
      </c>
      <c r="AT189" s="1101">
        <f t="shared" si="124"/>
        <v>135.91242443394242</v>
      </c>
      <c r="AU189" s="1101">
        <f t="shared" si="125"/>
        <v>135.91242443394242</v>
      </c>
      <c r="AV189" s="1101">
        <f t="shared" si="126"/>
        <v>135.91242443394242</v>
      </c>
      <c r="AW189" s="1101">
        <f t="shared" si="127"/>
        <v>135.91242443394242</v>
      </c>
      <c r="AX189" s="1101">
        <f t="shared" si="128"/>
        <v>135.91242443394242</v>
      </c>
      <c r="AY189" s="1101">
        <f t="shared" si="129"/>
        <v>135.91242443394242</v>
      </c>
      <c r="AZ189" s="1101">
        <f t="shared" si="130"/>
        <v>135.91242443394242</v>
      </c>
      <c r="BA189" s="1101">
        <f t="shared" si="131"/>
        <v>135.91242443394242</v>
      </c>
      <c r="BB189" s="1102">
        <f t="shared" si="132"/>
        <v>135.91242443394242</v>
      </c>
      <c r="BC189" s="1103"/>
    </row>
    <row r="190" spans="2:55" s="1099" customFormat="1" ht="15">
      <c r="B190" s="1074">
        <v>2039</v>
      </c>
      <c r="C190" s="1404" t="s">
        <v>866</v>
      </c>
      <c r="D190" s="1097">
        <v>0</v>
      </c>
      <c r="E190" s="1097">
        <v>0</v>
      </c>
      <c r="F190" s="1097">
        <v>0</v>
      </c>
      <c r="G190" s="1097">
        <v>0</v>
      </c>
      <c r="H190" s="1097">
        <v>0</v>
      </c>
      <c r="I190" s="1097">
        <v>0</v>
      </c>
      <c r="J190" s="1097">
        <v>0</v>
      </c>
      <c r="K190" s="1097">
        <v>10.762555822673646</v>
      </c>
      <c r="L190" s="1097">
        <v>32.287667468020935</v>
      </c>
      <c r="M190" s="1097">
        <v>53.812779113368222</v>
      </c>
      <c r="N190" s="1097">
        <v>75.337890758715503</v>
      </c>
      <c r="O190" s="1097">
        <v>107.62555822673644</v>
      </c>
      <c r="P190" s="1097">
        <v>107.62555822673644</v>
      </c>
      <c r="Q190" s="1097">
        <v>107.62555822673644</v>
      </c>
      <c r="R190" s="1097">
        <v>107.62555822673644</v>
      </c>
      <c r="S190" s="1097">
        <v>107.62555822673644</v>
      </c>
      <c r="T190" s="1097">
        <v>107.62555822673644</v>
      </c>
      <c r="U190" s="1097">
        <v>107.62555822673644</v>
      </c>
      <c r="V190" s="1097">
        <v>107.62555822673644</v>
      </c>
      <c r="W190" s="1097">
        <v>107.62555822673644</v>
      </c>
      <c r="X190" s="1097">
        <v>107.62555822673644</v>
      </c>
      <c r="Y190" s="1097">
        <v>107.62555822673644</v>
      </c>
      <c r="Z190" s="1097">
        <v>107.62555822673644</v>
      </c>
      <c r="AA190" s="1097">
        <v>107.62555822673644</v>
      </c>
      <c r="AB190" s="1098">
        <v>107.62555822673644</v>
      </c>
      <c r="AD190" s="1100">
        <f t="shared" si="108"/>
        <v>0</v>
      </c>
      <c r="AE190" s="1101">
        <f t="shared" si="109"/>
        <v>0</v>
      </c>
      <c r="AF190" s="1101">
        <f t="shared" si="110"/>
        <v>0</v>
      </c>
      <c r="AG190" s="1101">
        <f t="shared" si="111"/>
        <v>0</v>
      </c>
      <c r="AH190" s="1101">
        <f t="shared" si="112"/>
        <v>0</v>
      </c>
      <c r="AI190" s="1101">
        <f t="shared" si="113"/>
        <v>0</v>
      </c>
      <c r="AJ190" s="1101">
        <f t="shared" si="114"/>
        <v>0</v>
      </c>
      <c r="AK190" s="1101">
        <f t="shared" si="115"/>
        <v>13.809017275115263</v>
      </c>
      <c r="AL190" s="1101">
        <f t="shared" si="116"/>
        <v>41.427051825345792</v>
      </c>
      <c r="AM190" s="1101">
        <f t="shared" si="117"/>
        <v>69.045086375576304</v>
      </c>
      <c r="AN190" s="1101">
        <f t="shared" si="118"/>
        <v>96.663120925806837</v>
      </c>
      <c r="AO190" s="1101">
        <f t="shared" si="119"/>
        <v>138.09017275115261</v>
      </c>
      <c r="AP190" s="1101">
        <f t="shared" si="120"/>
        <v>138.09017275115261</v>
      </c>
      <c r="AQ190" s="1101">
        <f t="shared" si="121"/>
        <v>138.09017275115261</v>
      </c>
      <c r="AR190" s="1101">
        <f t="shared" si="122"/>
        <v>138.09017275115261</v>
      </c>
      <c r="AS190" s="1101">
        <f t="shared" si="123"/>
        <v>138.09017275115261</v>
      </c>
      <c r="AT190" s="1101">
        <f t="shared" si="124"/>
        <v>138.09017275115261</v>
      </c>
      <c r="AU190" s="1101">
        <f t="shared" si="125"/>
        <v>138.09017275115261</v>
      </c>
      <c r="AV190" s="1101">
        <f t="shared" si="126"/>
        <v>138.09017275115261</v>
      </c>
      <c r="AW190" s="1101">
        <f t="shared" si="127"/>
        <v>138.09017275115261</v>
      </c>
      <c r="AX190" s="1101">
        <f t="shared" si="128"/>
        <v>138.09017275115261</v>
      </c>
      <c r="AY190" s="1101">
        <f t="shared" si="129"/>
        <v>138.09017275115261</v>
      </c>
      <c r="AZ190" s="1101">
        <f t="shared" si="130"/>
        <v>138.09017275115261</v>
      </c>
      <c r="BA190" s="1101">
        <f t="shared" si="131"/>
        <v>138.09017275115261</v>
      </c>
      <c r="BB190" s="1102">
        <f t="shared" si="132"/>
        <v>138.09017275115261</v>
      </c>
      <c r="BC190" s="1103"/>
    </row>
    <row r="191" spans="2:55" s="1099" customFormat="1" ht="15">
      <c r="B191" s="1074">
        <v>2040</v>
      </c>
      <c r="C191" s="1404" t="s">
        <v>867</v>
      </c>
      <c r="D191" s="1097">
        <v>0</v>
      </c>
      <c r="E191" s="1097">
        <v>0</v>
      </c>
      <c r="F191" s="1097">
        <v>0</v>
      </c>
      <c r="G191" s="1097">
        <v>0</v>
      </c>
      <c r="H191" s="1097">
        <v>0</v>
      </c>
      <c r="I191" s="1097">
        <v>0</v>
      </c>
      <c r="J191" s="1097">
        <v>0</v>
      </c>
      <c r="K191" s="1097">
        <v>0</v>
      </c>
      <c r="L191" s="1097">
        <v>10.935037076488896</v>
      </c>
      <c r="M191" s="1097">
        <v>32.805111229466696</v>
      </c>
      <c r="N191" s="1097">
        <v>54.675185382444482</v>
      </c>
      <c r="O191" s="1097">
        <v>76.545259535422275</v>
      </c>
      <c r="P191" s="1097">
        <v>109.35037076488896</v>
      </c>
      <c r="Q191" s="1097">
        <v>109.35037076488896</v>
      </c>
      <c r="R191" s="1097">
        <v>109.35037076488896</v>
      </c>
      <c r="S191" s="1097">
        <v>109.35037076488896</v>
      </c>
      <c r="T191" s="1097">
        <v>109.35037076488896</v>
      </c>
      <c r="U191" s="1097">
        <v>109.35037076488896</v>
      </c>
      <c r="V191" s="1097">
        <v>109.35037076488896</v>
      </c>
      <c r="W191" s="1097">
        <v>109.35037076488896</v>
      </c>
      <c r="X191" s="1097">
        <v>109.35037076488896</v>
      </c>
      <c r="Y191" s="1097">
        <v>109.35037076488896</v>
      </c>
      <c r="Z191" s="1097">
        <v>109.35037076488896</v>
      </c>
      <c r="AA191" s="1097">
        <v>109.35037076488896</v>
      </c>
      <c r="AB191" s="1098">
        <v>109.35037076488896</v>
      </c>
      <c r="AD191" s="1100">
        <f t="shared" si="108"/>
        <v>0</v>
      </c>
      <c r="AE191" s="1101">
        <f t="shared" si="109"/>
        <v>0</v>
      </c>
      <c r="AF191" s="1101">
        <f t="shared" si="110"/>
        <v>0</v>
      </c>
      <c r="AG191" s="1101">
        <f t="shared" si="111"/>
        <v>0</v>
      </c>
      <c r="AH191" s="1101">
        <f t="shared" si="112"/>
        <v>0</v>
      </c>
      <c r="AI191" s="1101">
        <f t="shared" si="113"/>
        <v>0</v>
      </c>
      <c r="AJ191" s="1101">
        <f t="shared" si="114"/>
        <v>0</v>
      </c>
      <c r="AK191" s="1101">
        <f t="shared" si="115"/>
        <v>0</v>
      </c>
      <c r="AL191" s="1101">
        <f t="shared" si="116"/>
        <v>14.030321271378916</v>
      </c>
      <c r="AM191" s="1101">
        <f t="shared" si="117"/>
        <v>42.090963814136757</v>
      </c>
      <c r="AN191" s="1101">
        <f t="shared" si="118"/>
        <v>70.15160635689459</v>
      </c>
      <c r="AO191" s="1101">
        <f t="shared" si="119"/>
        <v>98.212248899652423</v>
      </c>
      <c r="AP191" s="1101">
        <f t="shared" si="120"/>
        <v>140.30321271378918</v>
      </c>
      <c r="AQ191" s="1101">
        <f t="shared" si="121"/>
        <v>140.30321271378918</v>
      </c>
      <c r="AR191" s="1101">
        <f t="shared" si="122"/>
        <v>140.30321271378918</v>
      </c>
      <c r="AS191" s="1101">
        <f t="shared" si="123"/>
        <v>140.30321271378918</v>
      </c>
      <c r="AT191" s="1101">
        <f t="shared" si="124"/>
        <v>140.30321271378918</v>
      </c>
      <c r="AU191" s="1101">
        <f t="shared" si="125"/>
        <v>140.30321271378918</v>
      </c>
      <c r="AV191" s="1101">
        <f t="shared" si="126"/>
        <v>140.30321271378918</v>
      </c>
      <c r="AW191" s="1101">
        <f t="shared" si="127"/>
        <v>140.30321271378918</v>
      </c>
      <c r="AX191" s="1101">
        <f t="shared" si="128"/>
        <v>140.30321271378918</v>
      </c>
      <c r="AY191" s="1101">
        <f t="shared" si="129"/>
        <v>140.30321271378918</v>
      </c>
      <c r="AZ191" s="1101">
        <f t="shared" si="130"/>
        <v>140.30321271378918</v>
      </c>
      <c r="BA191" s="1101">
        <f t="shared" si="131"/>
        <v>140.30321271378918</v>
      </c>
      <c r="BB191" s="1102">
        <f t="shared" si="132"/>
        <v>140.30321271378918</v>
      </c>
      <c r="BC191" s="1103"/>
    </row>
    <row r="192" spans="2:55" s="1099" customFormat="1" ht="15">
      <c r="B192" s="1074">
        <v>2041</v>
      </c>
      <c r="C192" s="1404" t="s">
        <v>868</v>
      </c>
      <c r="D192" s="1097">
        <v>0</v>
      </c>
      <c r="E192" s="1097">
        <v>0</v>
      </c>
      <c r="F192" s="1097">
        <v>0</v>
      </c>
      <c r="G192" s="1097">
        <v>0</v>
      </c>
      <c r="H192" s="1097">
        <v>0</v>
      </c>
      <c r="I192" s="1097">
        <v>0</v>
      </c>
      <c r="J192" s="1097">
        <v>0</v>
      </c>
      <c r="K192" s="1097">
        <v>0</v>
      </c>
      <c r="L192" s="1097">
        <v>0</v>
      </c>
      <c r="M192" s="1097">
        <v>11.110313857648622</v>
      </c>
      <c r="N192" s="1097">
        <v>33.330941572945868</v>
      </c>
      <c r="O192" s="1097">
        <v>55.551569288243108</v>
      </c>
      <c r="P192" s="1097">
        <v>77.772197003540342</v>
      </c>
      <c r="Q192" s="1097">
        <v>111.10313857648622</v>
      </c>
      <c r="R192" s="1097">
        <v>111.10313857648622</v>
      </c>
      <c r="S192" s="1097">
        <v>111.10313857648622</v>
      </c>
      <c r="T192" s="1097">
        <v>111.10313857648622</v>
      </c>
      <c r="U192" s="1097">
        <v>111.10313857648622</v>
      </c>
      <c r="V192" s="1097">
        <v>111.10313857648622</v>
      </c>
      <c r="W192" s="1097">
        <v>111.10313857648622</v>
      </c>
      <c r="X192" s="1097">
        <v>111.10313857648622</v>
      </c>
      <c r="Y192" s="1097">
        <v>111.10313857648622</v>
      </c>
      <c r="Z192" s="1097">
        <v>111.10313857648622</v>
      </c>
      <c r="AA192" s="1097">
        <v>111.10313857648622</v>
      </c>
      <c r="AB192" s="1098">
        <v>111.10313857648622</v>
      </c>
      <c r="AD192" s="1100">
        <f t="shared" si="108"/>
        <v>0</v>
      </c>
      <c r="AE192" s="1101">
        <f t="shared" si="109"/>
        <v>0</v>
      </c>
      <c r="AF192" s="1101">
        <f t="shared" si="110"/>
        <v>0</v>
      </c>
      <c r="AG192" s="1101">
        <f t="shared" si="111"/>
        <v>0</v>
      </c>
      <c r="AH192" s="1101">
        <f t="shared" si="112"/>
        <v>0</v>
      </c>
      <c r="AI192" s="1101">
        <f t="shared" si="113"/>
        <v>0</v>
      </c>
      <c r="AJ192" s="1101">
        <f t="shared" si="114"/>
        <v>0</v>
      </c>
      <c r="AK192" s="1101">
        <f t="shared" si="115"/>
        <v>0</v>
      </c>
      <c r="AL192" s="1101">
        <f t="shared" si="116"/>
        <v>0</v>
      </c>
      <c r="AM192" s="1101">
        <f t="shared" si="117"/>
        <v>14.255212100178349</v>
      </c>
      <c r="AN192" s="1101">
        <f t="shared" si="118"/>
        <v>42.765636300535043</v>
      </c>
      <c r="AO192" s="1101">
        <f t="shared" si="119"/>
        <v>71.276060500891759</v>
      </c>
      <c r="AP192" s="1101">
        <f t="shared" si="120"/>
        <v>99.786484701248426</v>
      </c>
      <c r="AQ192" s="1101">
        <f t="shared" si="121"/>
        <v>142.55212100178352</v>
      </c>
      <c r="AR192" s="1101">
        <f t="shared" si="122"/>
        <v>142.55212100178352</v>
      </c>
      <c r="AS192" s="1101">
        <f t="shared" si="123"/>
        <v>142.55212100178352</v>
      </c>
      <c r="AT192" s="1101">
        <f t="shared" si="124"/>
        <v>142.55212100178352</v>
      </c>
      <c r="AU192" s="1101">
        <f t="shared" si="125"/>
        <v>142.55212100178352</v>
      </c>
      <c r="AV192" s="1101">
        <f t="shared" si="126"/>
        <v>142.55212100178352</v>
      </c>
      <c r="AW192" s="1101">
        <f t="shared" si="127"/>
        <v>142.55212100178352</v>
      </c>
      <c r="AX192" s="1101">
        <f t="shared" si="128"/>
        <v>142.55212100178352</v>
      </c>
      <c r="AY192" s="1101">
        <f t="shared" si="129"/>
        <v>142.55212100178352</v>
      </c>
      <c r="AZ192" s="1101">
        <f t="shared" si="130"/>
        <v>142.55212100178352</v>
      </c>
      <c r="BA192" s="1101">
        <f t="shared" si="131"/>
        <v>142.55212100178352</v>
      </c>
      <c r="BB192" s="1102">
        <f t="shared" si="132"/>
        <v>142.55212100178352</v>
      </c>
      <c r="BC192" s="1103"/>
    </row>
    <row r="193" spans="2:55" s="1099" customFormat="1" ht="15">
      <c r="B193" s="1074">
        <v>2042</v>
      </c>
      <c r="C193" s="1404" t="s">
        <v>869</v>
      </c>
      <c r="D193" s="1097">
        <v>0</v>
      </c>
      <c r="E193" s="1097">
        <v>0</v>
      </c>
      <c r="F193" s="1097">
        <v>0</v>
      </c>
      <c r="G193" s="1097">
        <v>0</v>
      </c>
      <c r="H193" s="1097">
        <v>0</v>
      </c>
      <c r="I193" s="1097">
        <v>0</v>
      </c>
      <c r="J193" s="1097">
        <v>0</v>
      </c>
      <c r="K193" s="1097">
        <v>0</v>
      </c>
      <c r="L193" s="1097">
        <v>0</v>
      </c>
      <c r="M193" s="1097">
        <v>0</v>
      </c>
      <c r="N193" s="1097">
        <v>11.288431850607438</v>
      </c>
      <c r="O193" s="1097">
        <v>33.865295551822321</v>
      </c>
      <c r="P193" s="1097">
        <v>56.44215925303719</v>
      </c>
      <c r="Q193" s="1097">
        <v>79.019022954252065</v>
      </c>
      <c r="R193" s="1097">
        <v>112.88431850607438</v>
      </c>
      <c r="S193" s="1097">
        <v>112.88431850607438</v>
      </c>
      <c r="T193" s="1097">
        <v>112.88431850607438</v>
      </c>
      <c r="U193" s="1097">
        <v>112.88431850607438</v>
      </c>
      <c r="V193" s="1097">
        <v>112.88431850607438</v>
      </c>
      <c r="W193" s="1097">
        <v>112.88431850607438</v>
      </c>
      <c r="X193" s="1097">
        <v>112.88431850607438</v>
      </c>
      <c r="Y193" s="1097">
        <v>112.88431850607438</v>
      </c>
      <c r="Z193" s="1097">
        <v>112.88431850607438</v>
      </c>
      <c r="AA193" s="1097">
        <v>112.88431850607438</v>
      </c>
      <c r="AB193" s="1098">
        <v>112.88431850607438</v>
      </c>
      <c r="AD193" s="1100">
        <f t="shared" si="108"/>
        <v>0</v>
      </c>
      <c r="AE193" s="1101">
        <f t="shared" si="109"/>
        <v>0</v>
      </c>
      <c r="AF193" s="1101">
        <f t="shared" si="110"/>
        <v>0</v>
      </c>
      <c r="AG193" s="1101">
        <f t="shared" si="111"/>
        <v>0</v>
      </c>
      <c r="AH193" s="1101">
        <f t="shared" si="112"/>
        <v>0</v>
      </c>
      <c r="AI193" s="1101">
        <f t="shared" si="113"/>
        <v>0</v>
      </c>
      <c r="AJ193" s="1101">
        <f t="shared" si="114"/>
        <v>0</v>
      </c>
      <c r="AK193" s="1101">
        <f t="shared" si="115"/>
        <v>0</v>
      </c>
      <c r="AL193" s="1101">
        <f t="shared" si="116"/>
        <v>0</v>
      </c>
      <c r="AM193" s="1101">
        <f t="shared" si="117"/>
        <v>0</v>
      </c>
      <c r="AN193" s="1101">
        <f t="shared" si="118"/>
        <v>14.483748377462543</v>
      </c>
      <c r="AO193" s="1101">
        <f t="shared" si="119"/>
        <v>43.451245132387641</v>
      </c>
      <c r="AP193" s="1101">
        <f t="shared" si="120"/>
        <v>72.41874188731272</v>
      </c>
      <c r="AQ193" s="1101">
        <f t="shared" si="121"/>
        <v>101.38623864223781</v>
      </c>
      <c r="AR193" s="1101">
        <f t="shared" si="122"/>
        <v>144.83748377462544</v>
      </c>
      <c r="AS193" s="1101">
        <f t="shared" si="123"/>
        <v>144.83748377462544</v>
      </c>
      <c r="AT193" s="1101">
        <f t="shared" si="124"/>
        <v>144.83748377462544</v>
      </c>
      <c r="AU193" s="1101">
        <f t="shared" si="125"/>
        <v>144.83748377462544</v>
      </c>
      <c r="AV193" s="1101">
        <f t="shared" si="126"/>
        <v>144.83748377462544</v>
      </c>
      <c r="AW193" s="1101">
        <f t="shared" si="127"/>
        <v>144.83748377462544</v>
      </c>
      <c r="AX193" s="1101">
        <f t="shared" si="128"/>
        <v>144.83748377462544</v>
      </c>
      <c r="AY193" s="1101">
        <f t="shared" si="129"/>
        <v>144.83748377462544</v>
      </c>
      <c r="AZ193" s="1101">
        <f t="shared" si="130"/>
        <v>144.83748377462544</v>
      </c>
      <c r="BA193" s="1101">
        <f t="shared" si="131"/>
        <v>144.83748377462544</v>
      </c>
      <c r="BB193" s="1102">
        <f t="shared" si="132"/>
        <v>144.83748377462544</v>
      </c>
      <c r="BC193" s="1103"/>
    </row>
    <row r="194" spans="2:55" s="1099" customFormat="1" ht="15">
      <c r="B194" s="1074">
        <v>2043</v>
      </c>
      <c r="C194" s="1404" t="s">
        <v>870</v>
      </c>
      <c r="D194" s="1097">
        <v>0</v>
      </c>
      <c r="E194" s="1097">
        <v>0</v>
      </c>
      <c r="F194" s="1097">
        <v>0</v>
      </c>
      <c r="G194" s="1097">
        <v>0</v>
      </c>
      <c r="H194" s="1097">
        <v>0</v>
      </c>
      <c r="I194" s="1097">
        <v>0</v>
      </c>
      <c r="J194" s="1097">
        <v>0</v>
      </c>
      <c r="K194" s="1097">
        <v>0</v>
      </c>
      <c r="L194" s="1097">
        <v>0</v>
      </c>
      <c r="M194" s="1097">
        <v>0</v>
      </c>
      <c r="N194" s="1097">
        <v>0</v>
      </c>
      <c r="O194" s="1097">
        <v>11.46943749084007</v>
      </c>
      <c r="P194" s="1097">
        <v>34.408312472520215</v>
      </c>
      <c r="Q194" s="1097">
        <v>57.347187454200345</v>
      </c>
      <c r="R194" s="1097">
        <v>80.286062435880481</v>
      </c>
      <c r="S194" s="1097">
        <v>114.69437490840069</v>
      </c>
      <c r="T194" s="1097">
        <v>114.69437490840069</v>
      </c>
      <c r="U194" s="1097">
        <v>114.69437490840069</v>
      </c>
      <c r="V194" s="1097">
        <v>114.69437490840069</v>
      </c>
      <c r="W194" s="1097">
        <v>114.69437490840069</v>
      </c>
      <c r="X194" s="1097">
        <v>114.69437490840069</v>
      </c>
      <c r="Y194" s="1097">
        <v>114.69437490840069</v>
      </c>
      <c r="Z194" s="1097">
        <v>114.69437490840069</v>
      </c>
      <c r="AA194" s="1097">
        <v>114.69437490840069</v>
      </c>
      <c r="AB194" s="1098">
        <v>114.69437490840069</v>
      </c>
      <c r="AD194" s="1100">
        <f t="shared" si="108"/>
        <v>0</v>
      </c>
      <c r="AE194" s="1101">
        <f t="shared" si="109"/>
        <v>0</v>
      </c>
      <c r="AF194" s="1101">
        <f t="shared" si="110"/>
        <v>0</v>
      </c>
      <c r="AG194" s="1101">
        <f t="shared" si="111"/>
        <v>0</v>
      </c>
      <c r="AH194" s="1101">
        <f t="shared" si="112"/>
        <v>0</v>
      </c>
      <c r="AI194" s="1101">
        <f t="shared" si="113"/>
        <v>0</v>
      </c>
      <c r="AJ194" s="1101">
        <f t="shared" si="114"/>
        <v>0</v>
      </c>
      <c r="AK194" s="1101">
        <f t="shared" si="115"/>
        <v>0</v>
      </c>
      <c r="AL194" s="1101">
        <f t="shared" si="116"/>
        <v>0</v>
      </c>
      <c r="AM194" s="1101">
        <f t="shared" si="117"/>
        <v>0</v>
      </c>
      <c r="AN194" s="1101">
        <f t="shared" si="118"/>
        <v>0</v>
      </c>
      <c r="AO194" s="1101">
        <f t="shared" si="119"/>
        <v>14.715989682785203</v>
      </c>
      <c r="AP194" s="1101">
        <f t="shared" si="120"/>
        <v>44.14796904835562</v>
      </c>
      <c r="AQ194" s="1101">
        <f t="shared" si="121"/>
        <v>73.579948413926019</v>
      </c>
      <c r="AR194" s="1101">
        <f t="shared" si="122"/>
        <v>103.01192777949642</v>
      </c>
      <c r="AS194" s="1101">
        <f t="shared" si="123"/>
        <v>147.15989682785204</v>
      </c>
      <c r="AT194" s="1101">
        <f t="shared" si="124"/>
        <v>147.15989682785204</v>
      </c>
      <c r="AU194" s="1101">
        <f t="shared" si="125"/>
        <v>147.15989682785204</v>
      </c>
      <c r="AV194" s="1101">
        <f t="shared" si="126"/>
        <v>147.15989682785204</v>
      </c>
      <c r="AW194" s="1101">
        <f t="shared" si="127"/>
        <v>147.15989682785204</v>
      </c>
      <c r="AX194" s="1101">
        <f t="shared" si="128"/>
        <v>147.15989682785204</v>
      </c>
      <c r="AY194" s="1101">
        <f t="shared" si="129"/>
        <v>147.15989682785204</v>
      </c>
      <c r="AZ194" s="1101">
        <f t="shared" si="130"/>
        <v>147.15989682785204</v>
      </c>
      <c r="BA194" s="1101">
        <f t="shared" si="131"/>
        <v>147.15989682785204</v>
      </c>
      <c r="BB194" s="1102">
        <f t="shared" si="132"/>
        <v>147.15989682785204</v>
      </c>
      <c r="BC194" s="1103"/>
    </row>
    <row r="195" spans="2:55" s="1099" customFormat="1" ht="15">
      <c r="B195" s="1074">
        <v>2044</v>
      </c>
      <c r="C195" s="1404" t="s">
        <v>871</v>
      </c>
      <c r="D195" s="1097">
        <v>0</v>
      </c>
      <c r="E195" s="1097">
        <v>0</v>
      </c>
      <c r="F195" s="1097">
        <v>0</v>
      </c>
      <c r="G195" s="1097">
        <v>0</v>
      </c>
      <c r="H195" s="1097">
        <v>0</v>
      </c>
      <c r="I195" s="1097">
        <v>0</v>
      </c>
      <c r="J195" s="1097">
        <v>0</v>
      </c>
      <c r="K195" s="1097">
        <v>0</v>
      </c>
      <c r="L195" s="1097">
        <v>0</v>
      </c>
      <c r="M195" s="1097">
        <v>0</v>
      </c>
      <c r="N195" s="1097">
        <v>0</v>
      </c>
      <c r="O195" s="1097">
        <v>0</v>
      </c>
      <c r="P195" s="1097">
        <v>11.653377977239813</v>
      </c>
      <c r="Q195" s="1097">
        <v>34.960133931719447</v>
      </c>
      <c r="R195" s="1097">
        <v>58.266889886199067</v>
      </c>
      <c r="S195" s="1097">
        <v>81.573645840678694</v>
      </c>
      <c r="T195" s="1097">
        <v>116.53377977239813</v>
      </c>
      <c r="U195" s="1097">
        <v>116.53377977239813</v>
      </c>
      <c r="V195" s="1097">
        <v>116.53377977239813</v>
      </c>
      <c r="W195" s="1097">
        <v>116.53377977239813</v>
      </c>
      <c r="X195" s="1097">
        <v>116.53377977239813</v>
      </c>
      <c r="Y195" s="1097">
        <v>116.53377977239813</v>
      </c>
      <c r="Z195" s="1097">
        <v>116.53377977239813</v>
      </c>
      <c r="AA195" s="1097">
        <v>116.53377977239813</v>
      </c>
      <c r="AB195" s="1098">
        <v>116.53377977239813</v>
      </c>
      <c r="AD195" s="1100">
        <f t="shared" si="108"/>
        <v>0</v>
      </c>
      <c r="AE195" s="1101">
        <f t="shared" si="109"/>
        <v>0</v>
      </c>
      <c r="AF195" s="1101">
        <f t="shared" si="110"/>
        <v>0</v>
      </c>
      <c r="AG195" s="1101">
        <f t="shared" si="111"/>
        <v>0</v>
      </c>
      <c r="AH195" s="1101">
        <f t="shared" si="112"/>
        <v>0</v>
      </c>
      <c r="AI195" s="1101">
        <f t="shared" si="113"/>
        <v>0</v>
      </c>
      <c r="AJ195" s="1101">
        <f t="shared" si="114"/>
        <v>0</v>
      </c>
      <c r="AK195" s="1101">
        <f t="shared" si="115"/>
        <v>0</v>
      </c>
      <c r="AL195" s="1101">
        <f t="shared" si="116"/>
        <v>0</v>
      </c>
      <c r="AM195" s="1101">
        <f t="shared" si="117"/>
        <v>0</v>
      </c>
      <c r="AN195" s="1101">
        <f t="shared" si="118"/>
        <v>0</v>
      </c>
      <c r="AO195" s="1101">
        <f t="shared" si="119"/>
        <v>0</v>
      </c>
      <c r="AP195" s="1101">
        <f t="shared" si="120"/>
        <v>14.951996575212746</v>
      </c>
      <c r="AQ195" s="1101">
        <f t="shared" si="121"/>
        <v>44.855989725638246</v>
      </c>
      <c r="AR195" s="1101">
        <f t="shared" si="122"/>
        <v>74.759982876063731</v>
      </c>
      <c r="AS195" s="1101">
        <f t="shared" si="123"/>
        <v>104.66397602648921</v>
      </c>
      <c r="AT195" s="1101">
        <f t="shared" si="124"/>
        <v>149.51996575212746</v>
      </c>
      <c r="AU195" s="1101">
        <f t="shared" si="125"/>
        <v>149.51996575212746</v>
      </c>
      <c r="AV195" s="1101">
        <f t="shared" si="126"/>
        <v>149.51996575212746</v>
      </c>
      <c r="AW195" s="1101">
        <f t="shared" si="127"/>
        <v>149.51996575212746</v>
      </c>
      <c r="AX195" s="1101">
        <f t="shared" si="128"/>
        <v>149.51996575212746</v>
      </c>
      <c r="AY195" s="1101">
        <f t="shared" si="129"/>
        <v>149.51996575212746</v>
      </c>
      <c r="AZ195" s="1101">
        <f t="shared" si="130"/>
        <v>149.51996575212746</v>
      </c>
      <c r="BA195" s="1101">
        <f t="shared" si="131"/>
        <v>149.51996575212746</v>
      </c>
      <c r="BB195" s="1102">
        <f t="shared" si="132"/>
        <v>149.51996575212746</v>
      </c>
      <c r="BC195" s="1103"/>
    </row>
    <row r="196" spans="2:55" s="1099" customFormat="1" ht="15">
      <c r="B196" s="1074">
        <v>2045</v>
      </c>
      <c r="C196" s="1404" t="s">
        <v>872</v>
      </c>
      <c r="D196" s="1097">
        <v>0</v>
      </c>
      <c r="E196" s="1097">
        <v>0</v>
      </c>
      <c r="F196" s="1097">
        <v>0</v>
      </c>
      <c r="G196" s="1097">
        <v>0</v>
      </c>
      <c r="H196" s="1097">
        <v>0</v>
      </c>
      <c r="I196" s="1097">
        <v>0</v>
      </c>
      <c r="J196" s="1097">
        <v>0</v>
      </c>
      <c r="K196" s="1097">
        <v>0</v>
      </c>
      <c r="L196" s="1097">
        <v>0</v>
      </c>
      <c r="M196" s="1097">
        <v>0</v>
      </c>
      <c r="N196" s="1097">
        <v>0</v>
      </c>
      <c r="O196" s="1097">
        <v>0</v>
      </c>
      <c r="P196" s="1097">
        <v>0</v>
      </c>
      <c r="Q196" s="1097">
        <v>11.840301284722292</v>
      </c>
      <c r="R196" s="1097">
        <v>35.520903854166882</v>
      </c>
      <c r="S196" s="1097">
        <v>59.201506423611455</v>
      </c>
      <c r="T196" s="1097">
        <v>82.882108993056036</v>
      </c>
      <c r="U196" s="1097">
        <v>118.40301284722291</v>
      </c>
      <c r="V196" s="1097">
        <v>118.40301284722291</v>
      </c>
      <c r="W196" s="1097">
        <v>118.40301284722291</v>
      </c>
      <c r="X196" s="1097">
        <v>118.40301284722291</v>
      </c>
      <c r="Y196" s="1097">
        <v>118.40301284722291</v>
      </c>
      <c r="Z196" s="1097">
        <v>118.40301284722291</v>
      </c>
      <c r="AA196" s="1097">
        <v>118.40301284722291</v>
      </c>
      <c r="AB196" s="1098">
        <v>118.40301284722291</v>
      </c>
      <c r="AD196" s="1100">
        <f t="shared" si="108"/>
        <v>0</v>
      </c>
      <c r="AE196" s="1101">
        <f t="shared" si="109"/>
        <v>0</v>
      </c>
      <c r="AF196" s="1101">
        <f t="shared" si="110"/>
        <v>0</v>
      </c>
      <c r="AG196" s="1101">
        <f t="shared" si="111"/>
        <v>0</v>
      </c>
      <c r="AH196" s="1101">
        <f t="shared" si="112"/>
        <v>0</v>
      </c>
      <c r="AI196" s="1101">
        <f t="shared" si="113"/>
        <v>0</v>
      </c>
      <c r="AJ196" s="1101">
        <f t="shared" si="114"/>
        <v>0</v>
      </c>
      <c r="AK196" s="1101">
        <f t="shared" si="115"/>
        <v>0</v>
      </c>
      <c r="AL196" s="1101">
        <f t="shared" si="116"/>
        <v>0</v>
      </c>
      <c r="AM196" s="1101">
        <f t="shared" si="117"/>
        <v>0</v>
      </c>
      <c r="AN196" s="1101">
        <f t="shared" si="118"/>
        <v>0</v>
      </c>
      <c r="AO196" s="1101">
        <f t="shared" si="119"/>
        <v>0</v>
      </c>
      <c r="AP196" s="1101">
        <f t="shared" si="120"/>
        <v>0</v>
      </c>
      <c r="AQ196" s="1101">
        <f t="shared" si="121"/>
        <v>15.191830609495691</v>
      </c>
      <c r="AR196" s="1101">
        <f t="shared" si="122"/>
        <v>45.575491828487088</v>
      </c>
      <c r="AS196" s="1101">
        <f t="shared" si="123"/>
        <v>75.959153047478438</v>
      </c>
      <c r="AT196" s="1101">
        <f t="shared" si="124"/>
        <v>106.34281426646983</v>
      </c>
      <c r="AU196" s="1101">
        <f t="shared" si="125"/>
        <v>151.91830609495688</v>
      </c>
      <c r="AV196" s="1101">
        <f t="shared" si="126"/>
        <v>151.91830609495688</v>
      </c>
      <c r="AW196" s="1101">
        <f t="shared" si="127"/>
        <v>151.91830609495688</v>
      </c>
      <c r="AX196" s="1101">
        <f t="shared" si="128"/>
        <v>151.91830609495688</v>
      </c>
      <c r="AY196" s="1101">
        <f t="shared" si="129"/>
        <v>151.91830609495688</v>
      </c>
      <c r="AZ196" s="1101">
        <f t="shared" si="130"/>
        <v>151.91830609495688</v>
      </c>
      <c r="BA196" s="1101">
        <f t="shared" si="131"/>
        <v>151.91830609495688</v>
      </c>
      <c r="BB196" s="1102">
        <f t="shared" si="132"/>
        <v>151.91830609495688</v>
      </c>
      <c r="BC196" s="1103"/>
    </row>
    <row r="197" spans="2:55" s="1099" customFormat="1" ht="15">
      <c r="B197" s="1074">
        <v>2046</v>
      </c>
      <c r="C197" s="1404" t="s">
        <v>873</v>
      </c>
      <c r="D197" s="1097">
        <v>0</v>
      </c>
      <c r="E197" s="1097">
        <v>0</v>
      </c>
      <c r="F197" s="1097">
        <v>0</v>
      </c>
      <c r="G197" s="1097">
        <v>0</v>
      </c>
      <c r="H197" s="1097">
        <v>0</v>
      </c>
      <c r="I197" s="1097">
        <v>0</v>
      </c>
      <c r="J197" s="1097">
        <v>0</v>
      </c>
      <c r="K197" s="1097">
        <v>0</v>
      </c>
      <c r="L197" s="1097">
        <v>0</v>
      </c>
      <c r="M197" s="1097">
        <v>0</v>
      </c>
      <c r="N197" s="1097">
        <v>0</v>
      </c>
      <c r="O197" s="1097">
        <v>0</v>
      </c>
      <c r="P197" s="1097">
        <v>0</v>
      </c>
      <c r="Q197" s="1097">
        <v>0</v>
      </c>
      <c r="R197" s="1097">
        <v>12.030256177037906</v>
      </c>
      <c r="S197" s="1097">
        <v>36.090768531113724</v>
      </c>
      <c r="T197" s="1097">
        <v>60.151280885189529</v>
      </c>
      <c r="U197" s="1097">
        <v>84.211793239265333</v>
      </c>
      <c r="V197" s="1097">
        <v>120.30256177037906</v>
      </c>
      <c r="W197" s="1097">
        <v>120.30256177037906</v>
      </c>
      <c r="X197" s="1097">
        <v>120.30256177037906</v>
      </c>
      <c r="Y197" s="1097">
        <v>120.30256177037906</v>
      </c>
      <c r="Z197" s="1097">
        <v>120.30256177037906</v>
      </c>
      <c r="AA197" s="1097">
        <v>120.30256177037906</v>
      </c>
      <c r="AB197" s="1098">
        <v>120.30256177037906</v>
      </c>
      <c r="AD197" s="1100">
        <f t="shared" si="108"/>
        <v>0</v>
      </c>
      <c r="AE197" s="1101">
        <f t="shared" si="109"/>
        <v>0</v>
      </c>
      <c r="AF197" s="1101">
        <f t="shared" si="110"/>
        <v>0</v>
      </c>
      <c r="AG197" s="1101">
        <f t="shared" si="111"/>
        <v>0</v>
      </c>
      <c r="AH197" s="1101">
        <f t="shared" si="112"/>
        <v>0</v>
      </c>
      <c r="AI197" s="1101">
        <f t="shared" si="113"/>
        <v>0</v>
      </c>
      <c r="AJ197" s="1101">
        <f t="shared" si="114"/>
        <v>0</v>
      </c>
      <c r="AK197" s="1101">
        <f t="shared" si="115"/>
        <v>0</v>
      </c>
      <c r="AL197" s="1101">
        <f t="shared" si="116"/>
        <v>0</v>
      </c>
      <c r="AM197" s="1101">
        <f t="shared" si="117"/>
        <v>0</v>
      </c>
      <c r="AN197" s="1101">
        <f t="shared" si="118"/>
        <v>0</v>
      </c>
      <c r="AO197" s="1101">
        <f t="shared" si="119"/>
        <v>0</v>
      </c>
      <c r="AP197" s="1101">
        <f t="shared" si="120"/>
        <v>0</v>
      </c>
      <c r="AQ197" s="1101">
        <f t="shared" si="121"/>
        <v>0</v>
      </c>
      <c r="AR197" s="1101">
        <f t="shared" si="122"/>
        <v>15.435554352507816</v>
      </c>
      <c r="AS197" s="1101">
        <f t="shared" si="123"/>
        <v>46.306663057523451</v>
      </c>
      <c r="AT197" s="1101">
        <f t="shared" si="124"/>
        <v>77.177771762539081</v>
      </c>
      <c r="AU197" s="1101">
        <f t="shared" si="125"/>
        <v>108.0488804675547</v>
      </c>
      <c r="AV197" s="1101">
        <f t="shared" si="126"/>
        <v>154.35554352507816</v>
      </c>
      <c r="AW197" s="1101">
        <f t="shared" si="127"/>
        <v>154.35554352507816</v>
      </c>
      <c r="AX197" s="1101">
        <f t="shared" si="128"/>
        <v>154.35554352507816</v>
      </c>
      <c r="AY197" s="1101">
        <f t="shared" si="129"/>
        <v>154.35554352507816</v>
      </c>
      <c r="AZ197" s="1101">
        <f t="shared" si="130"/>
        <v>154.35554352507816</v>
      </c>
      <c r="BA197" s="1101">
        <f t="shared" si="131"/>
        <v>154.35554352507816</v>
      </c>
      <c r="BB197" s="1102">
        <f t="shared" si="132"/>
        <v>154.35554352507816</v>
      </c>
      <c r="BC197" s="1103"/>
    </row>
    <row r="198" spans="2:55" s="1099" customFormat="1" ht="15">
      <c r="B198" s="1074">
        <v>2047</v>
      </c>
      <c r="C198" s="1404" t="s">
        <v>874</v>
      </c>
      <c r="D198" s="1097">
        <v>0</v>
      </c>
      <c r="E198" s="1097">
        <v>0</v>
      </c>
      <c r="F198" s="1097">
        <v>0</v>
      </c>
      <c r="G198" s="1097">
        <v>0</v>
      </c>
      <c r="H198" s="1097">
        <v>0</v>
      </c>
      <c r="I198" s="1097">
        <v>0</v>
      </c>
      <c r="J198" s="1097">
        <v>0</v>
      </c>
      <c r="K198" s="1097">
        <v>0</v>
      </c>
      <c r="L198" s="1097">
        <v>0</v>
      </c>
      <c r="M198" s="1097">
        <v>0</v>
      </c>
      <c r="N198" s="1097">
        <v>0</v>
      </c>
      <c r="O198" s="1097">
        <v>0</v>
      </c>
      <c r="P198" s="1097">
        <v>0</v>
      </c>
      <c r="Q198" s="1097">
        <v>0</v>
      </c>
      <c r="R198" s="1097">
        <v>0</v>
      </c>
      <c r="S198" s="1097">
        <v>12.223292219796464</v>
      </c>
      <c r="T198" s="1097">
        <v>36.669876659389395</v>
      </c>
      <c r="U198" s="1097">
        <v>61.11646109898232</v>
      </c>
      <c r="V198" s="1097">
        <v>85.563045538575238</v>
      </c>
      <c r="W198" s="1097">
        <v>122.23292219796464</v>
      </c>
      <c r="X198" s="1097">
        <v>122.23292219796464</v>
      </c>
      <c r="Y198" s="1097">
        <v>122.23292219796464</v>
      </c>
      <c r="Z198" s="1097">
        <v>122.23292219796464</v>
      </c>
      <c r="AA198" s="1097">
        <v>122.23292219796464</v>
      </c>
      <c r="AB198" s="1098">
        <v>122.23292219796464</v>
      </c>
      <c r="AD198" s="1100">
        <f t="shared" si="108"/>
        <v>0</v>
      </c>
      <c r="AE198" s="1101">
        <f t="shared" si="109"/>
        <v>0</v>
      </c>
      <c r="AF198" s="1101">
        <f t="shared" si="110"/>
        <v>0</v>
      </c>
      <c r="AG198" s="1101">
        <f t="shared" si="111"/>
        <v>0</v>
      </c>
      <c r="AH198" s="1101">
        <f t="shared" si="112"/>
        <v>0</v>
      </c>
      <c r="AI198" s="1101">
        <f t="shared" si="113"/>
        <v>0</v>
      </c>
      <c r="AJ198" s="1101">
        <f t="shared" si="114"/>
        <v>0</v>
      </c>
      <c r="AK198" s="1101">
        <f t="shared" si="115"/>
        <v>0</v>
      </c>
      <c r="AL198" s="1101">
        <f t="shared" si="116"/>
        <v>0</v>
      </c>
      <c r="AM198" s="1101">
        <f t="shared" si="117"/>
        <v>0</v>
      </c>
      <c r="AN198" s="1101">
        <f t="shared" si="118"/>
        <v>0</v>
      </c>
      <c r="AO198" s="1101">
        <f t="shared" si="119"/>
        <v>0</v>
      </c>
      <c r="AP198" s="1101">
        <f t="shared" si="120"/>
        <v>0</v>
      </c>
      <c r="AQ198" s="1101">
        <f t="shared" si="121"/>
        <v>0</v>
      </c>
      <c r="AR198" s="1101">
        <f t="shared" si="122"/>
        <v>0</v>
      </c>
      <c r="AS198" s="1101">
        <f t="shared" si="123"/>
        <v>15.683231399957556</v>
      </c>
      <c r="AT198" s="1101">
        <f t="shared" si="124"/>
        <v>47.049694199872683</v>
      </c>
      <c r="AU198" s="1101">
        <f t="shared" si="125"/>
        <v>78.416156999787788</v>
      </c>
      <c r="AV198" s="1101">
        <f t="shared" si="126"/>
        <v>109.7826197997029</v>
      </c>
      <c r="AW198" s="1101">
        <f t="shared" si="127"/>
        <v>156.83231399957558</v>
      </c>
      <c r="AX198" s="1101">
        <f t="shared" si="128"/>
        <v>156.83231399957558</v>
      </c>
      <c r="AY198" s="1101">
        <f t="shared" si="129"/>
        <v>156.83231399957558</v>
      </c>
      <c r="AZ198" s="1101">
        <f t="shared" si="130"/>
        <v>156.83231399957558</v>
      </c>
      <c r="BA198" s="1101">
        <f t="shared" si="131"/>
        <v>156.83231399957558</v>
      </c>
      <c r="BB198" s="1102">
        <f t="shared" si="132"/>
        <v>156.83231399957558</v>
      </c>
      <c r="BC198" s="1103"/>
    </row>
    <row r="199" spans="2:55" s="1099" customFormat="1" ht="15">
      <c r="B199" s="1074">
        <v>2048</v>
      </c>
      <c r="C199" s="1404" t="s">
        <v>875</v>
      </c>
      <c r="D199" s="1097">
        <v>0</v>
      </c>
      <c r="E199" s="1097">
        <v>0</v>
      </c>
      <c r="F199" s="1097">
        <v>0</v>
      </c>
      <c r="G199" s="1097">
        <v>0</v>
      </c>
      <c r="H199" s="1097">
        <v>0</v>
      </c>
      <c r="I199" s="1097">
        <v>0</v>
      </c>
      <c r="J199" s="1097">
        <v>0</v>
      </c>
      <c r="K199" s="1097">
        <v>0</v>
      </c>
      <c r="L199" s="1097">
        <v>0</v>
      </c>
      <c r="M199" s="1097">
        <v>0</v>
      </c>
      <c r="N199" s="1097">
        <v>0</v>
      </c>
      <c r="O199" s="1097">
        <v>0</v>
      </c>
      <c r="P199" s="1097">
        <v>0</v>
      </c>
      <c r="Q199" s="1097">
        <v>0</v>
      </c>
      <c r="R199" s="1097">
        <v>0</v>
      </c>
      <c r="S199" s="1097">
        <v>0</v>
      </c>
      <c r="T199" s="1097">
        <v>12.419459793707473</v>
      </c>
      <c r="U199" s="1097">
        <v>37.258379381122424</v>
      </c>
      <c r="V199" s="1097">
        <v>62.097298968537359</v>
      </c>
      <c r="W199" s="1097">
        <v>86.936218555952294</v>
      </c>
      <c r="X199" s="1097">
        <v>124.19459793707472</v>
      </c>
      <c r="Y199" s="1097">
        <v>124.19459793707472</v>
      </c>
      <c r="Z199" s="1097">
        <v>124.19459793707472</v>
      </c>
      <c r="AA199" s="1097">
        <v>124.19459793707472</v>
      </c>
      <c r="AB199" s="1098">
        <v>124.19459793707472</v>
      </c>
      <c r="AD199" s="1100">
        <f t="shared" si="108"/>
        <v>0</v>
      </c>
      <c r="AE199" s="1101">
        <f t="shared" si="109"/>
        <v>0</v>
      </c>
      <c r="AF199" s="1101">
        <f t="shared" si="110"/>
        <v>0</v>
      </c>
      <c r="AG199" s="1101">
        <f t="shared" si="111"/>
        <v>0</v>
      </c>
      <c r="AH199" s="1101">
        <f t="shared" si="112"/>
        <v>0</v>
      </c>
      <c r="AI199" s="1101">
        <f t="shared" si="113"/>
        <v>0</v>
      </c>
      <c r="AJ199" s="1101">
        <f t="shared" si="114"/>
        <v>0</v>
      </c>
      <c r="AK199" s="1101">
        <f t="shared" si="115"/>
        <v>0</v>
      </c>
      <c r="AL199" s="1101">
        <f t="shared" si="116"/>
        <v>0</v>
      </c>
      <c r="AM199" s="1101">
        <f t="shared" si="117"/>
        <v>0</v>
      </c>
      <c r="AN199" s="1101">
        <f t="shared" si="118"/>
        <v>0</v>
      </c>
      <c r="AO199" s="1101">
        <f t="shared" si="119"/>
        <v>0</v>
      </c>
      <c r="AP199" s="1101">
        <f t="shared" si="120"/>
        <v>0</v>
      </c>
      <c r="AQ199" s="1101">
        <f t="shared" si="121"/>
        <v>0</v>
      </c>
      <c r="AR199" s="1101">
        <f t="shared" si="122"/>
        <v>0</v>
      </c>
      <c r="AS199" s="1101">
        <f t="shared" si="123"/>
        <v>0</v>
      </c>
      <c r="AT199" s="1101">
        <f t="shared" si="124"/>
        <v>15.934926393376102</v>
      </c>
      <c r="AU199" s="1101">
        <f t="shared" si="125"/>
        <v>47.804779180128314</v>
      </c>
      <c r="AV199" s="1101">
        <f t="shared" si="126"/>
        <v>79.674631966880511</v>
      </c>
      <c r="AW199" s="1101">
        <f t="shared" si="127"/>
        <v>111.5444847536327</v>
      </c>
      <c r="AX199" s="1101">
        <f t="shared" si="128"/>
        <v>159.34926393376102</v>
      </c>
      <c r="AY199" s="1101">
        <f t="shared" si="129"/>
        <v>159.34926393376102</v>
      </c>
      <c r="AZ199" s="1101">
        <f t="shared" si="130"/>
        <v>159.34926393376102</v>
      </c>
      <c r="BA199" s="1101">
        <f t="shared" si="131"/>
        <v>159.34926393376102</v>
      </c>
      <c r="BB199" s="1102">
        <f t="shared" si="132"/>
        <v>159.34926393376102</v>
      </c>
      <c r="BC199" s="1103"/>
    </row>
    <row r="200" spans="2:55" s="1099" customFormat="1" ht="15">
      <c r="B200" s="1074">
        <v>2049</v>
      </c>
      <c r="C200" s="1404" t="s">
        <v>876</v>
      </c>
      <c r="D200" s="1097">
        <v>0</v>
      </c>
      <c r="E200" s="1097">
        <v>0</v>
      </c>
      <c r="F200" s="1097">
        <v>0</v>
      </c>
      <c r="G200" s="1097">
        <v>0</v>
      </c>
      <c r="H200" s="1097">
        <v>0</v>
      </c>
      <c r="I200" s="1097">
        <v>0</v>
      </c>
      <c r="J200" s="1097">
        <v>0</v>
      </c>
      <c r="K200" s="1097">
        <v>0</v>
      </c>
      <c r="L200" s="1097">
        <v>0</v>
      </c>
      <c r="M200" s="1097">
        <v>0</v>
      </c>
      <c r="N200" s="1097">
        <v>0</v>
      </c>
      <c r="O200" s="1097">
        <v>0</v>
      </c>
      <c r="P200" s="1097">
        <v>0</v>
      </c>
      <c r="Q200" s="1097">
        <v>0</v>
      </c>
      <c r="R200" s="1097">
        <v>0</v>
      </c>
      <c r="S200" s="1097">
        <v>0</v>
      </c>
      <c r="T200" s="1097">
        <v>0</v>
      </c>
      <c r="U200" s="1097">
        <v>12.618810108039705</v>
      </c>
      <c r="V200" s="1097">
        <v>37.856430324119117</v>
      </c>
      <c r="W200" s="1097">
        <v>63.094050540198523</v>
      </c>
      <c r="X200" s="1097">
        <v>88.33167075627793</v>
      </c>
      <c r="Y200" s="1097">
        <v>126.18810108039705</v>
      </c>
      <c r="Z200" s="1097">
        <v>126.18810108039705</v>
      </c>
      <c r="AA200" s="1097">
        <v>126.18810108039705</v>
      </c>
      <c r="AB200" s="1098">
        <v>126.18810108039705</v>
      </c>
      <c r="AD200" s="1100">
        <f t="shared" si="108"/>
        <v>0</v>
      </c>
      <c r="AE200" s="1101">
        <f t="shared" si="109"/>
        <v>0</v>
      </c>
      <c r="AF200" s="1101">
        <f t="shared" si="110"/>
        <v>0</v>
      </c>
      <c r="AG200" s="1101">
        <f t="shared" si="111"/>
        <v>0</v>
      </c>
      <c r="AH200" s="1101">
        <f t="shared" si="112"/>
        <v>0</v>
      </c>
      <c r="AI200" s="1101">
        <f t="shared" si="113"/>
        <v>0</v>
      </c>
      <c r="AJ200" s="1101">
        <f t="shared" si="114"/>
        <v>0</v>
      </c>
      <c r="AK200" s="1101">
        <f t="shared" si="115"/>
        <v>0</v>
      </c>
      <c r="AL200" s="1101">
        <f t="shared" si="116"/>
        <v>0</v>
      </c>
      <c r="AM200" s="1101">
        <f t="shared" si="117"/>
        <v>0</v>
      </c>
      <c r="AN200" s="1101">
        <f t="shared" si="118"/>
        <v>0</v>
      </c>
      <c r="AO200" s="1101">
        <f t="shared" si="119"/>
        <v>0</v>
      </c>
      <c r="AP200" s="1101">
        <f t="shared" si="120"/>
        <v>0</v>
      </c>
      <c r="AQ200" s="1101">
        <f t="shared" si="121"/>
        <v>0</v>
      </c>
      <c r="AR200" s="1101">
        <f t="shared" si="122"/>
        <v>0</v>
      </c>
      <c r="AS200" s="1101">
        <f t="shared" si="123"/>
        <v>0</v>
      </c>
      <c r="AT200" s="1101">
        <f t="shared" si="124"/>
        <v>0</v>
      </c>
      <c r="AU200" s="1101">
        <f t="shared" si="125"/>
        <v>16.190705037386852</v>
      </c>
      <c r="AV200" s="1101">
        <f t="shared" si="126"/>
        <v>48.57211511216056</v>
      </c>
      <c r="AW200" s="1101">
        <f t="shared" si="127"/>
        <v>80.953525186934257</v>
      </c>
      <c r="AX200" s="1101">
        <f t="shared" si="128"/>
        <v>113.33493526170794</v>
      </c>
      <c r="AY200" s="1101">
        <f t="shared" si="129"/>
        <v>161.90705037386851</v>
      </c>
      <c r="AZ200" s="1101">
        <f t="shared" si="130"/>
        <v>161.90705037386851</v>
      </c>
      <c r="BA200" s="1101">
        <f t="shared" si="131"/>
        <v>161.90705037386851</v>
      </c>
      <c r="BB200" s="1102">
        <f t="shared" si="132"/>
        <v>161.90705037386851</v>
      </c>
      <c r="BC200" s="1103"/>
    </row>
    <row r="201" spans="2:55" s="1099" customFormat="1" ht="15">
      <c r="B201" s="1081">
        <v>2050</v>
      </c>
      <c r="C201" s="1405" t="s">
        <v>877</v>
      </c>
      <c r="D201" s="1097">
        <v>0</v>
      </c>
      <c r="E201" s="1097">
        <v>0</v>
      </c>
      <c r="F201" s="1097">
        <v>0</v>
      </c>
      <c r="G201" s="1097">
        <v>0</v>
      </c>
      <c r="H201" s="1097">
        <v>0</v>
      </c>
      <c r="I201" s="1097">
        <v>0</v>
      </c>
      <c r="J201" s="1097">
        <v>0</v>
      </c>
      <c r="K201" s="1097">
        <v>0</v>
      </c>
      <c r="L201" s="1097">
        <v>0</v>
      </c>
      <c r="M201" s="1097">
        <v>0</v>
      </c>
      <c r="N201" s="1097">
        <v>0</v>
      </c>
      <c r="O201" s="1097">
        <v>0</v>
      </c>
      <c r="P201" s="1097">
        <v>0</v>
      </c>
      <c r="Q201" s="1097">
        <v>0</v>
      </c>
      <c r="R201" s="1097">
        <v>0</v>
      </c>
      <c r="S201" s="1097">
        <v>0</v>
      </c>
      <c r="T201" s="1097">
        <v>0</v>
      </c>
      <c r="U201" s="1097">
        <v>0</v>
      </c>
      <c r="V201" s="1097">
        <v>12.821395214303678</v>
      </c>
      <c r="W201" s="1097">
        <v>38.46418564291104</v>
      </c>
      <c r="X201" s="1097">
        <v>64.106976071518389</v>
      </c>
      <c r="Y201" s="1097">
        <v>89.749766500125745</v>
      </c>
      <c r="Z201" s="1097">
        <v>128.21395214303678</v>
      </c>
      <c r="AA201" s="1097">
        <v>128.21395214303678</v>
      </c>
      <c r="AB201" s="1098">
        <v>128.21395214303678</v>
      </c>
      <c r="AD201" s="1100">
        <f t="shared" si="108"/>
        <v>0</v>
      </c>
      <c r="AE201" s="1101">
        <f t="shared" si="109"/>
        <v>0</v>
      </c>
      <c r="AF201" s="1101">
        <f t="shared" si="110"/>
        <v>0</v>
      </c>
      <c r="AG201" s="1101">
        <f t="shared" si="111"/>
        <v>0</v>
      </c>
      <c r="AH201" s="1101">
        <f t="shared" si="112"/>
        <v>0</v>
      </c>
      <c r="AI201" s="1101">
        <f t="shared" si="113"/>
        <v>0</v>
      </c>
      <c r="AJ201" s="1101">
        <f t="shared" si="114"/>
        <v>0</v>
      </c>
      <c r="AK201" s="1101">
        <f t="shared" si="115"/>
        <v>0</v>
      </c>
      <c r="AL201" s="1101">
        <f t="shared" si="116"/>
        <v>0</v>
      </c>
      <c r="AM201" s="1101">
        <f t="shared" si="117"/>
        <v>0</v>
      </c>
      <c r="AN201" s="1101">
        <f t="shared" si="118"/>
        <v>0</v>
      </c>
      <c r="AO201" s="1101">
        <f t="shared" si="119"/>
        <v>0</v>
      </c>
      <c r="AP201" s="1101">
        <f t="shared" si="120"/>
        <v>0</v>
      </c>
      <c r="AQ201" s="1101">
        <f t="shared" si="121"/>
        <v>0</v>
      </c>
      <c r="AR201" s="1101">
        <f t="shared" si="122"/>
        <v>0</v>
      </c>
      <c r="AS201" s="1101">
        <f t="shared" si="123"/>
        <v>0</v>
      </c>
      <c r="AT201" s="1101">
        <f t="shared" si="124"/>
        <v>0</v>
      </c>
      <c r="AU201" s="1101">
        <f t="shared" si="125"/>
        <v>0</v>
      </c>
      <c r="AV201" s="1101">
        <f t="shared" si="126"/>
        <v>16.450634117260865</v>
      </c>
      <c r="AW201" s="1101">
        <f t="shared" si="127"/>
        <v>49.351902351782606</v>
      </c>
      <c r="AX201" s="1101">
        <f t="shared" si="128"/>
        <v>82.253170586304336</v>
      </c>
      <c r="AY201" s="1101">
        <f t="shared" si="129"/>
        <v>115.15443882082607</v>
      </c>
      <c r="AZ201" s="1101">
        <f t="shared" si="130"/>
        <v>164.50634117260867</v>
      </c>
      <c r="BA201" s="1101">
        <f t="shared" si="131"/>
        <v>164.50634117260867</v>
      </c>
      <c r="BB201" s="1102">
        <f t="shared" si="132"/>
        <v>164.50634117260867</v>
      </c>
      <c r="BC201" s="1103"/>
    </row>
    <row r="202" spans="2:55" s="1099" customFormat="1" ht="15">
      <c r="B202" s="1074" t="s">
        <v>880</v>
      </c>
      <c r="C202" s="1096"/>
      <c r="D202" s="1105">
        <f>NPV(realdiscrt3,D169:D201)/(1+realdiscrt3)^-Half_Year</f>
        <v>82.044364265415737</v>
      </c>
      <c r="E202" s="1105">
        <f t="shared" ref="E202:AB202" si="133">NPV(realdiscrt3,E169:E201)/(1+realdiscrt3)^-Half_Year</f>
        <v>164.24748222890506</v>
      </c>
      <c r="F202" s="1105">
        <f t="shared" si="133"/>
        <v>244.25084454630024</v>
      </c>
      <c r="G202" s="1105">
        <f t="shared" si="133"/>
        <v>322.91010981961585</v>
      </c>
      <c r="H202" s="1105">
        <f t="shared" si="133"/>
        <v>402.09721336395341</v>
      </c>
      <c r="I202" s="1105">
        <f t="shared" si="133"/>
        <v>480.27161270793954</v>
      </c>
      <c r="J202" s="1105">
        <f t="shared" si="133"/>
        <v>558.24778507074825</v>
      </c>
      <c r="K202" s="1105">
        <f t="shared" si="133"/>
        <v>637.47028191858487</v>
      </c>
      <c r="L202" s="1105">
        <f t="shared" si="133"/>
        <v>716.83925971975839</v>
      </c>
      <c r="M202" s="1105">
        <f t="shared" si="133"/>
        <v>796.35521563285943</v>
      </c>
      <c r="N202" s="1105">
        <f t="shared" si="133"/>
        <v>876.01864771301791</v>
      </c>
      <c r="O202" s="1105">
        <f t="shared" si="133"/>
        <v>955.83005491502422</v>
      </c>
      <c r="P202" s="1105">
        <f t="shared" si="133"/>
        <v>1035.7899370964583</v>
      </c>
      <c r="Q202" s="1105">
        <f t="shared" si="133"/>
        <v>1115.8987950208204</v>
      </c>
      <c r="R202" s="1105">
        <f t="shared" si="133"/>
        <v>1196.157130360672</v>
      </c>
      <c r="S202" s="1105">
        <f t="shared" si="133"/>
        <v>1276.5654457007799</v>
      </c>
      <c r="T202" s="1105">
        <f t="shared" si="133"/>
        <v>1357.1242445412645</v>
      </c>
      <c r="U202" s="1105">
        <f t="shared" si="133"/>
        <v>1437.8340313007561</v>
      </c>
      <c r="V202" s="1105">
        <f t="shared" si="133"/>
        <v>1518.6953113195559</v>
      </c>
      <c r="W202" s="1105">
        <f t="shared" si="133"/>
        <v>1591.5706227885989</v>
      </c>
      <c r="X202" s="1105">
        <f t="shared" si="133"/>
        <v>1648.3071321345924</v>
      </c>
      <c r="Y202" s="1105">
        <f t="shared" si="133"/>
        <v>1688.874551060472</v>
      </c>
      <c r="Z202" s="1105">
        <f t="shared" si="133"/>
        <v>1713.2424900354943</v>
      </c>
      <c r="AA202" s="1105">
        <f t="shared" si="133"/>
        <v>1713.2424900354943</v>
      </c>
      <c r="AB202" s="1105">
        <f t="shared" si="133"/>
        <v>1713.2424900354943</v>
      </c>
      <c r="AD202" s="1105">
        <f t="shared" ref="AD202:BB202" si="134">NPV(realdiscrt3,AD169:AD201)/(1+realdiscrt3)^-Half_Year</f>
        <v>105.26793655092293</v>
      </c>
      <c r="AE202" s="1105">
        <f t="shared" si="134"/>
        <v>210.73956380462192</v>
      </c>
      <c r="AF202" s="1105">
        <f t="shared" si="134"/>
        <v>313.38877004435017</v>
      </c>
      <c r="AG202" s="1105">
        <f t="shared" si="134"/>
        <v>414.31341758195072</v>
      </c>
      <c r="AH202" s="1105">
        <f t="shared" si="134"/>
        <v>515.91531389977638</v>
      </c>
      <c r="AI202" s="1105">
        <f t="shared" si="134"/>
        <v>616.21784879939923</v>
      </c>
      <c r="AJ202" s="1105">
        <f t="shared" si="134"/>
        <v>716.26604636014383</v>
      </c>
      <c r="AK202" s="1105">
        <f t="shared" si="134"/>
        <v>817.91335445073923</v>
      </c>
      <c r="AL202" s="1105">
        <f t="shared" si="134"/>
        <v>919.74860656210728</v>
      </c>
      <c r="AM202" s="1105">
        <f t="shared" si="134"/>
        <v>1021.7724405791224</v>
      </c>
      <c r="AN202" s="1105">
        <f t="shared" si="134"/>
        <v>1123.9854955369733</v>
      </c>
      <c r="AO202" s="1105">
        <f t="shared" si="134"/>
        <v>1226.3884116251686</v>
      </c>
      <c r="AP202" s="1105">
        <f t="shared" si="134"/>
        <v>1328.9818301915498</v>
      </c>
      <c r="AQ202" s="1105">
        <f t="shared" si="134"/>
        <v>1431.7663937463117</v>
      </c>
      <c r="AR202" s="1105">
        <f t="shared" si="134"/>
        <v>1534.7427459660287</v>
      </c>
      <c r="AS202" s="1105">
        <f t="shared" si="134"/>
        <v>1637.9115316976904</v>
      </c>
      <c r="AT202" s="1105">
        <f t="shared" si="134"/>
        <v>1741.2733969627418</v>
      </c>
      <c r="AU202" s="1105">
        <f t="shared" si="134"/>
        <v>1844.8289889611319</v>
      </c>
      <c r="AV202" s="1105">
        <f t="shared" si="134"/>
        <v>1948.5789560753699</v>
      </c>
      <c r="AW202" s="1105">
        <f t="shared" si="134"/>
        <v>2042.0824371802346</v>
      </c>
      <c r="AX202" s="1105">
        <f t="shared" si="134"/>
        <v>2114.8788482369837</v>
      </c>
      <c r="AY202" s="1105">
        <f t="shared" si="134"/>
        <v>2166.9293275082864</v>
      </c>
      <c r="AZ202" s="1105">
        <f t="shared" si="134"/>
        <v>2198.1948833678093</v>
      </c>
      <c r="BA202" s="1105">
        <f t="shared" si="134"/>
        <v>2198.1948833678093</v>
      </c>
      <c r="BB202" s="1105">
        <f t="shared" si="134"/>
        <v>2198.1948833678093</v>
      </c>
      <c r="BC202" s="1103"/>
    </row>
    <row r="203" spans="2:55" s="1099" customFormat="1" ht="15" hidden="1">
      <c r="B203" s="1106"/>
      <c r="C203" s="1096"/>
      <c r="D203" s="1105"/>
      <c r="E203" s="1105"/>
      <c r="F203" s="1105"/>
      <c r="G203" s="1105"/>
      <c r="H203" s="1105"/>
      <c r="I203" s="1105"/>
      <c r="J203" s="1105"/>
      <c r="K203" s="1105"/>
      <c r="L203" s="1105"/>
      <c r="M203" s="1105"/>
      <c r="N203" s="1105"/>
      <c r="O203" s="1105"/>
      <c r="P203" s="1105"/>
      <c r="Q203" s="1105"/>
      <c r="R203" s="1105"/>
      <c r="S203" s="1105"/>
      <c r="T203" s="1105"/>
      <c r="U203" s="1105"/>
      <c r="V203" s="1105"/>
      <c r="W203" s="1105"/>
      <c r="X203" s="1105"/>
      <c r="Y203" s="1105"/>
      <c r="Z203" s="1105"/>
      <c r="AA203" s="1105"/>
      <c r="AB203" s="1105"/>
      <c r="AD203" s="1105"/>
      <c r="AE203" s="1105"/>
      <c r="AF203" s="1105"/>
      <c r="AG203" s="1105"/>
      <c r="AH203" s="1105"/>
      <c r="AI203" s="1105"/>
      <c r="AJ203" s="1105"/>
      <c r="AK203" s="1105"/>
      <c r="AL203" s="1105"/>
      <c r="AM203" s="1105"/>
      <c r="AN203" s="1105"/>
      <c r="AO203" s="1105"/>
      <c r="AP203" s="1105"/>
      <c r="AQ203" s="1105"/>
      <c r="AR203" s="1105"/>
      <c r="AS203" s="1105"/>
      <c r="AT203" s="1105"/>
      <c r="AU203" s="1105"/>
      <c r="AV203" s="1105"/>
      <c r="AW203" s="1105"/>
      <c r="AX203" s="1105"/>
      <c r="AY203" s="1105"/>
      <c r="AZ203" s="1105"/>
      <c r="BA203" s="1105"/>
      <c r="BB203" s="1105"/>
    </row>
    <row r="204" spans="2:55" s="1099" customFormat="1" ht="15" hidden="1">
      <c r="B204" s="1106"/>
      <c r="C204" s="1096"/>
      <c r="D204" s="1105"/>
      <c r="E204" s="1105"/>
      <c r="F204" s="1105"/>
      <c r="G204" s="1105"/>
      <c r="H204" s="1105"/>
      <c r="I204" s="1105"/>
      <c r="J204" s="1105"/>
      <c r="K204" s="1105"/>
      <c r="L204" s="1105"/>
      <c r="M204" s="1105"/>
      <c r="N204" s="1105"/>
      <c r="O204" s="1105"/>
      <c r="P204" s="1105"/>
      <c r="Q204" s="1105"/>
      <c r="R204" s="1105"/>
      <c r="S204" s="1105"/>
      <c r="T204" s="1105"/>
      <c r="U204" s="1105"/>
      <c r="V204" s="1105"/>
      <c r="W204" s="1105"/>
      <c r="X204" s="1105"/>
      <c r="Y204" s="1105"/>
      <c r="Z204" s="1105"/>
      <c r="AA204" s="1105"/>
      <c r="AB204" s="1105"/>
      <c r="AD204" s="1105"/>
      <c r="AE204" s="1105"/>
      <c r="AF204" s="1105"/>
      <c r="AG204" s="1105"/>
      <c r="AH204" s="1105"/>
      <c r="AI204" s="1105"/>
      <c r="AJ204" s="1105"/>
      <c r="AK204" s="1105"/>
      <c r="AL204" s="1105"/>
      <c r="AM204" s="1105"/>
      <c r="AN204" s="1105"/>
      <c r="AO204" s="1105"/>
      <c r="AP204" s="1105"/>
      <c r="AQ204" s="1105"/>
      <c r="AR204" s="1105"/>
      <c r="AS204" s="1105"/>
      <c r="AT204" s="1105"/>
      <c r="AU204" s="1105"/>
      <c r="AV204" s="1105"/>
      <c r="AW204" s="1105"/>
      <c r="AX204" s="1105"/>
      <c r="AY204" s="1105"/>
      <c r="AZ204" s="1105"/>
      <c r="BA204" s="1105"/>
      <c r="BB204" s="1105"/>
    </row>
    <row r="205" spans="2:55" s="1099" customFormat="1" ht="15" hidden="1">
      <c r="B205" s="1107"/>
      <c r="C205" s="1104"/>
      <c r="D205" s="1105"/>
      <c r="E205" s="1105"/>
      <c r="F205" s="1105"/>
      <c r="G205" s="1105"/>
      <c r="H205" s="1105"/>
      <c r="I205" s="1105"/>
      <c r="J205" s="1105"/>
      <c r="K205" s="1105"/>
      <c r="L205" s="1105"/>
      <c r="M205" s="1105"/>
      <c r="N205" s="1105"/>
      <c r="O205" s="1105"/>
      <c r="P205" s="1105"/>
      <c r="Q205" s="1105"/>
      <c r="R205" s="1105"/>
      <c r="S205" s="1105"/>
      <c r="T205" s="1105"/>
      <c r="U205" s="1105"/>
      <c r="V205" s="1105"/>
      <c r="W205" s="1105"/>
      <c r="X205" s="1105"/>
      <c r="Y205" s="1105"/>
      <c r="Z205" s="1105"/>
      <c r="AA205" s="1105"/>
      <c r="AB205" s="1105"/>
      <c r="AD205" s="1105"/>
      <c r="AE205" s="1105"/>
      <c r="AF205" s="1105"/>
      <c r="AG205" s="1105"/>
      <c r="AH205" s="1105"/>
      <c r="AI205" s="1105"/>
      <c r="AJ205" s="1105"/>
      <c r="AK205" s="1105"/>
      <c r="AL205" s="1105"/>
      <c r="AM205" s="1105"/>
      <c r="AN205" s="1105"/>
      <c r="AO205" s="1105"/>
      <c r="AP205" s="1105"/>
      <c r="AQ205" s="1105"/>
      <c r="AR205" s="1105"/>
      <c r="AS205" s="1105"/>
      <c r="AT205" s="1105"/>
      <c r="AU205" s="1105"/>
      <c r="AV205" s="1105"/>
      <c r="AW205" s="1105"/>
      <c r="AX205" s="1105"/>
      <c r="AY205" s="1105"/>
      <c r="AZ205" s="1105"/>
      <c r="BA205" s="1105"/>
      <c r="BB205" s="1105"/>
    </row>
    <row r="207" spans="2:55" s="1093" customFormat="1" ht="31.5" customHeight="1" thickBot="1">
      <c r="B207" s="1089"/>
      <c r="C207" s="1090"/>
      <c r="D207" s="1091" t="s">
        <v>883</v>
      </c>
      <c r="E207" s="1090"/>
      <c r="F207" s="1090"/>
      <c r="G207" s="1090"/>
      <c r="H207" s="1090"/>
      <c r="I207" s="1090"/>
      <c r="J207" s="1090"/>
      <c r="K207" s="1090"/>
      <c r="L207" s="1090"/>
      <c r="M207" s="1090"/>
      <c r="N207" s="1090"/>
      <c r="O207" s="1090"/>
      <c r="P207" s="1090"/>
      <c r="Q207" s="1090"/>
      <c r="R207" s="1090"/>
      <c r="S207" s="1090"/>
      <c r="T207" s="1090"/>
      <c r="U207" s="1090"/>
      <c r="V207" s="1090"/>
      <c r="W207" s="1090"/>
      <c r="X207" s="1090"/>
      <c r="Y207" s="1090"/>
      <c r="Z207" s="1090"/>
      <c r="AA207" s="1090"/>
      <c r="AB207" s="1092"/>
      <c r="AD207" s="1091" t="s">
        <v>882</v>
      </c>
      <c r="AE207" s="1094"/>
      <c r="AF207" s="1094"/>
      <c r="AG207" s="1094"/>
      <c r="AH207" s="1094"/>
      <c r="AI207" s="1094"/>
      <c r="AJ207" s="1094"/>
      <c r="AK207" s="1094"/>
      <c r="AL207" s="1094"/>
      <c r="AM207" s="1094"/>
      <c r="AN207" s="1094"/>
      <c r="AO207" s="1094"/>
      <c r="AP207" s="1094"/>
      <c r="AQ207" s="1094"/>
      <c r="AR207" s="1094"/>
      <c r="AS207" s="1094"/>
      <c r="AT207" s="1094"/>
      <c r="AU207" s="1094"/>
      <c r="AV207" s="1094"/>
      <c r="AW207" s="1094"/>
      <c r="AX207" s="1094"/>
      <c r="AY207" s="1094"/>
      <c r="AZ207" s="1094"/>
      <c r="BA207" s="1094"/>
      <c r="BB207" s="1095"/>
    </row>
    <row r="208" spans="2:55" s="1099" customFormat="1" ht="15.75" thickTop="1">
      <c r="B208" s="1074">
        <v>2018</v>
      </c>
      <c r="C208" s="1404" t="s">
        <v>31</v>
      </c>
      <c r="D208" s="1097">
        <v>0</v>
      </c>
      <c r="E208" s="1097">
        <v>0</v>
      </c>
      <c r="F208" s="1097">
        <v>0</v>
      </c>
      <c r="G208" s="1097">
        <v>0</v>
      </c>
      <c r="H208" s="1097">
        <v>0</v>
      </c>
      <c r="I208" s="1097">
        <v>0</v>
      </c>
      <c r="J208" s="1097">
        <v>0</v>
      </c>
      <c r="K208" s="1097">
        <v>0</v>
      </c>
      <c r="L208" s="1097">
        <v>0</v>
      </c>
      <c r="M208" s="1097">
        <v>0</v>
      </c>
      <c r="N208" s="1097">
        <v>0</v>
      </c>
      <c r="O208" s="1097">
        <v>0</v>
      </c>
      <c r="P208" s="1097">
        <v>0</v>
      </c>
      <c r="Q208" s="1097">
        <v>0</v>
      </c>
      <c r="R208" s="1097">
        <v>0</v>
      </c>
      <c r="S208" s="1097">
        <v>0</v>
      </c>
      <c r="T208" s="1097">
        <v>0</v>
      </c>
      <c r="U208" s="1097">
        <v>0</v>
      </c>
      <c r="V208" s="1097">
        <v>0</v>
      </c>
      <c r="W208" s="1097">
        <v>0</v>
      </c>
      <c r="X208" s="1097">
        <v>0</v>
      </c>
      <c r="Y208" s="1097">
        <v>0</v>
      </c>
      <c r="Z208" s="1097">
        <v>0</v>
      </c>
      <c r="AA208" s="1097">
        <v>0</v>
      </c>
      <c r="AB208" s="1098">
        <v>0</v>
      </c>
      <c r="AD208" s="1100">
        <f t="shared" ref="AD208:AD240" si="135">D208*(1+PTFlosses)*(1+WholesaleRiskPremium)*(1+DistributionLosses)*(1+Inflation3)^(Year3-Real_Year)</f>
        <v>0</v>
      </c>
      <c r="AE208" s="1101">
        <f t="shared" ref="AE208:AE240" si="136">E208*(1+PTFlosses)*(1+WholesaleRiskPremium)*(1+DistributionLosses)*(1+Inflation3)^(Year3-Real_Year)</f>
        <v>0</v>
      </c>
      <c r="AF208" s="1101">
        <f t="shared" ref="AF208:AF240" si="137">F208*(1+PTFlosses)*(1+WholesaleRiskPremium)*(1+DistributionLosses)*(1+Inflation3)^(Year3-Real_Year)</f>
        <v>0</v>
      </c>
      <c r="AG208" s="1101">
        <f t="shared" ref="AG208:AG240" si="138">G208*(1+PTFlosses)*(1+WholesaleRiskPremium)*(1+DistributionLosses)*(1+Inflation3)^(Year3-Real_Year)</f>
        <v>0</v>
      </c>
      <c r="AH208" s="1101">
        <f t="shared" ref="AH208:AH240" si="139">H208*(1+PTFlosses)*(1+WholesaleRiskPremium)*(1+DistributionLosses)*(1+Inflation3)^(Year3-Real_Year)</f>
        <v>0</v>
      </c>
      <c r="AI208" s="1101">
        <f t="shared" ref="AI208:AI240" si="140">I208*(1+PTFlosses)*(1+WholesaleRiskPremium)*(1+DistributionLosses)*(1+Inflation3)^(Year3-Real_Year)</f>
        <v>0</v>
      </c>
      <c r="AJ208" s="1101">
        <f t="shared" ref="AJ208:AJ240" si="141">J208*(1+PTFlosses)*(1+WholesaleRiskPremium)*(1+DistributionLosses)*(1+Inflation3)^(Year3-Real_Year)</f>
        <v>0</v>
      </c>
      <c r="AK208" s="1101">
        <f t="shared" ref="AK208:AK240" si="142">K208*(1+PTFlosses)*(1+WholesaleRiskPremium)*(1+DistributionLosses)*(1+Inflation3)^(Year3-Real_Year)</f>
        <v>0</v>
      </c>
      <c r="AL208" s="1101">
        <f t="shared" ref="AL208:AL240" si="143">L208*(1+PTFlosses)*(1+WholesaleRiskPremium)*(1+DistributionLosses)*(1+Inflation3)^(Year3-Real_Year)</f>
        <v>0</v>
      </c>
      <c r="AM208" s="1101">
        <f t="shared" ref="AM208:AM240" si="144">M208*(1+PTFlosses)*(1+WholesaleRiskPremium)*(1+DistributionLosses)*(1+Inflation3)^(Year3-Real_Year)</f>
        <v>0</v>
      </c>
      <c r="AN208" s="1101">
        <f t="shared" ref="AN208:AN240" si="145">N208*(1+PTFlosses)*(1+WholesaleRiskPremium)*(1+DistributionLosses)*(1+Inflation3)^(Year3-Real_Year)</f>
        <v>0</v>
      </c>
      <c r="AO208" s="1101">
        <f t="shared" ref="AO208:AO240" si="146">O208*(1+PTFlosses)*(1+WholesaleRiskPremium)*(1+DistributionLosses)*(1+Inflation3)^(Year3-Real_Year)</f>
        <v>0</v>
      </c>
      <c r="AP208" s="1101">
        <f t="shared" ref="AP208:AP240" si="147">P208*(1+PTFlosses)*(1+WholesaleRiskPremium)*(1+DistributionLosses)*(1+Inflation3)^(Year3-Real_Year)</f>
        <v>0</v>
      </c>
      <c r="AQ208" s="1101">
        <f t="shared" ref="AQ208:AQ240" si="148">Q208*(1+PTFlosses)*(1+WholesaleRiskPremium)*(1+DistributionLosses)*(1+Inflation3)^(Year3-Real_Year)</f>
        <v>0</v>
      </c>
      <c r="AR208" s="1101">
        <f t="shared" ref="AR208:AR240" si="149">R208*(1+PTFlosses)*(1+WholesaleRiskPremium)*(1+DistributionLosses)*(1+Inflation3)^(Year3-Real_Year)</f>
        <v>0</v>
      </c>
      <c r="AS208" s="1101">
        <f t="shared" ref="AS208:AS240" si="150">S208*(1+PTFlosses)*(1+WholesaleRiskPremium)*(1+DistributionLosses)*(1+Inflation3)^(Year3-Real_Year)</f>
        <v>0</v>
      </c>
      <c r="AT208" s="1101">
        <f t="shared" ref="AT208:AT240" si="151">T208*(1+PTFlosses)*(1+WholesaleRiskPremium)*(1+DistributionLosses)*(1+Inflation3)^(Year3-Real_Year)</f>
        <v>0</v>
      </c>
      <c r="AU208" s="1101">
        <f t="shared" ref="AU208:AU240" si="152">U208*(1+PTFlosses)*(1+WholesaleRiskPremium)*(1+DistributionLosses)*(1+Inflation3)^(Year3-Real_Year)</f>
        <v>0</v>
      </c>
      <c r="AV208" s="1101">
        <f t="shared" ref="AV208:AV240" si="153">V208*(1+PTFlosses)*(1+WholesaleRiskPremium)*(1+DistributionLosses)*(1+Inflation3)^(Year3-Real_Year)</f>
        <v>0</v>
      </c>
      <c r="AW208" s="1101">
        <f t="shared" ref="AW208:AW240" si="154">W208*(1+PTFlosses)*(1+WholesaleRiskPremium)*(1+DistributionLosses)*(1+Inflation3)^(Year3-Real_Year)</f>
        <v>0</v>
      </c>
      <c r="AX208" s="1101">
        <f t="shared" ref="AX208:AX240" si="155">X208*(1+PTFlosses)*(1+WholesaleRiskPremium)*(1+DistributionLosses)*(1+Inflation3)^(Year3-Real_Year)</f>
        <v>0</v>
      </c>
      <c r="AY208" s="1101">
        <f t="shared" ref="AY208:AY240" si="156">Y208*(1+PTFlosses)*(1+WholesaleRiskPremium)*(1+DistributionLosses)*(1+Inflation3)^(Year3-Real_Year)</f>
        <v>0</v>
      </c>
      <c r="AZ208" s="1101">
        <f t="shared" ref="AZ208:AZ240" si="157">Z208*(1+PTFlosses)*(1+WholesaleRiskPremium)*(1+DistributionLosses)*(1+Inflation3)^(Year3-Real_Year)</f>
        <v>0</v>
      </c>
      <c r="BA208" s="1101">
        <f t="shared" ref="BA208:BA240" si="158">AA208*(1+PTFlosses)*(1+WholesaleRiskPremium)*(1+DistributionLosses)*(1+Inflation3)^(Year3-Real_Year)</f>
        <v>0</v>
      </c>
      <c r="BB208" s="1102">
        <f t="shared" ref="BB208:BB240" si="159">AB208*(1+PTFlosses)*(1+WholesaleRiskPremium)*(1+DistributionLosses)*(1+Inflation3)^(Year3-Real_Year)</f>
        <v>0</v>
      </c>
      <c r="BC208" s="1103"/>
    </row>
    <row r="209" spans="2:55" s="1099" customFormat="1" ht="15">
      <c r="B209" s="1074">
        <v>2019</v>
      </c>
      <c r="C209" s="1404" t="s">
        <v>31</v>
      </c>
      <c r="D209" s="1097">
        <v>0</v>
      </c>
      <c r="E209" s="1097">
        <v>0</v>
      </c>
      <c r="F209" s="1097">
        <v>0</v>
      </c>
      <c r="G209" s="1097">
        <v>0</v>
      </c>
      <c r="H209" s="1097">
        <v>0</v>
      </c>
      <c r="I209" s="1097">
        <v>0</v>
      </c>
      <c r="J209" s="1097">
        <v>0</v>
      </c>
      <c r="K209" s="1097">
        <v>0</v>
      </c>
      <c r="L209" s="1097">
        <v>0</v>
      </c>
      <c r="M209" s="1097">
        <v>0</v>
      </c>
      <c r="N209" s="1097">
        <v>0</v>
      </c>
      <c r="O209" s="1097">
        <v>0</v>
      </c>
      <c r="P209" s="1097">
        <v>0</v>
      </c>
      <c r="Q209" s="1097">
        <v>0</v>
      </c>
      <c r="R209" s="1097">
        <v>0</v>
      </c>
      <c r="S209" s="1097">
        <v>0</v>
      </c>
      <c r="T209" s="1097">
        <v>0</v>
      </c>
      <c r="U209" s="1097">
        <v>0</v>
      </c>
      <c r="V209" s="1097">
        <v>0</v>
      </c>
      <c r="W209" s="1097">
        <v>0</v>
      </c>
      <c r="X209" s="1097">
        <v>0</v>
      </c>
      <c r="Y209" s="1097">
        <v>0</v>
      </c>
      <c r="Z209" s="1097">
        <v>0</v>
      </c>
      <c r="AA209" s="1097">
        <v>0</v>
      </c>
      <c r="AB209" s="1098">
        <v>0</v>
      </c>
      <c r="AD209" s="1100">
        <f t="shared" si="135"/>
        <v>0</v>
      </c>
      <c r="AE209" s="1101">
        <f t="shared" si="136"/>
        <v>0</v>
      </c>
      <c r="AF209" s="1101">
        <f t="shared" si="137"/>
        <v>0</v>
      </c>
      <c r="AG209" s="1101">
        <f t="shared" si="138"/>
        <v>0</v>
      </c>
      <c r="AH209" s="1101">
        <f t="shared" si="139"/>
        <v>0</v>
      </c>
      <c r="AI209" s="1101">
        <f t="shared" si="140"/>
        <v>0</v>
      </c>
      <c r="AJ209" s="1101">
        <f t="shared" si="141"/>
        <v>0</v>
      </c>
      <c r="AK209" s="1101">
        <f t="shared" si="142"/>
        <v>0</v>
      </c>
      <c r="AL209" s="1101">
        <f t="shared" si="143"/>
        <v>0</v>
      </c>
      <c r="AM209" s="1101">
        <f t="shared" si="144"/>
        <v>0</v>
      </c>
      <c r="AN209" s="1101">
        <f t="shared" si="145"/>
        <v>0</v>
      </c>
      <c r="AO209" s="1101">
        <f t="shared" si="146"/>
        <v>0</v>
      </c>
      <c r="AP209" s="1101">
        <f t="shared" si="147"/>
        <v>0</v>
      </c>
      <c r="AQ209" s="1101">
        <f t="shared" si="148"/>
        <v>0</v>
      </c>
      <c r="AR209" s="1101">
        <f t="shared" si="149"/>
        <v>0</v>
      </c>
      <c r="AS209" s="1101">
        <f t="shared" si="150"/>
        <v>0</v>
      </c>
      <c r="AT209" s="1101">
        <f t="shared" si="151"/>
        <v>0</v>
      </c>
      <c r="AU209" s="1101">
        <f t="shared" si="152"/>
        <v>0</v>
      </c>
      <c r="AV209" s="1101">
        <f t="shared" si="153"/>
        <v>0</v>
      </c>
      <c r="AW209" s="1101">
        <f t="shared" si="154"/>
        <v>0</v>
      </c>
      <c r="AX209" s="1101">
        <f t="shared" si="155"/>
        <v>0</v>
      </c>
      <c r="AY209" s="1101">
        <f t="shared" si="156"/>
        <v>0</v>
      </c>
      <c r="AZ209" s="1101">
        <f t="shared" si="157"/>
        <v>0</v>
      </c>
      <c r="BA209" s="1101">
        <f t="shared" si="158"/>
        <v>0</v>
      </c>
      <c r="BB209" s="1102">
        <f t="shared" si="159"/>
        <v>0</v>
      </c>
      <c r="BC209" s="1103"/>
    </row>
    <row r="210" spans="2:55" s="1099" customFormat="1" ht="15">
      <c r="B210" s="1074">
        <v>2020</v>
      </c>
      <c r="C210" s="1404" t="s">
        <v>31</v>
      </c>
      <c r="D210" s="1097">
        <v>0</v>
      </c>
      <c r="E210" s="1097">
        <v>0</v>
      </c>
      <c r="F210" s="1097">
        <v>0</v>
      </c>
      <c r="G210" s="1097">
        <v>0</v>
      </c>
      <c r="H210" s="1097">
        <v>0</v>
      </c>
      <c r="I210" s="1097">
        <v>0</v>
      </c>
      <c r="J210" s="1097">
        <v>0</v>
      </c>
      <c r="K210" s="1097">
        <v>0</v>
      </c>
      <c r="L210" s="1097">
        <v>0</v>
      </c>
      <c r="M210" s="1097">
        <v>0</v>
      </c>
      <c r="N210" s="1097">
        <v>0</v>
      </c>
      <c r="O210" s="1097">
        <v>0</v>
      </c>
      <c r="P210" s="1097">
        <v>0</v>
      </c>
      <c r="Q210" s="1097">
        <v>0</v>
      </c>
      <c r="R210" s="1097">
        <v>0</v>
      </c>
      <c r="S210" s="1097">
        <v>0</v>
      </c>
      <c r="T210" s="1097">
        <v>0</v>
      </c>
      <c r="U210" s="1097">
        <v>0</v>
      </c>
      <c r="V210" s="1097">
        <v>0</v>
      </c>
      <c r="W210" s="1097">
        <v>0</v>
      </c>
      <c r="X210" s="1097">
        <v>0</v>
      </c>
      <c r="Y210" s="1097">
        <v>0</v>
      </c>
      <c r="Z210" s="1097">
        <v>0</v>
      </c>
      <c r="AA210" s="1097">
        <v>0</v>
      </c>
      <c r="AB210" s="1098">
        <v>0</v>
      </c>
      <c r="AD210" s="1100">
        <f t="shared" si="135"/>
        <v>0</v>
      </c>
      <c r="AE210" s="1101">
        <f t="shared" si="136"/>
        <v>0</v>
      </c>
      <c r="AF210" s="1101">
        <f t="shared" si="137"/>
        <v>0</v>
      </c>
      <c r="AG210" s="1101">
        <f t="shared" si="138"/>
        <v>0</v>
      </c>
      <c r="AH210" s="1101">
        <f t="shared" si="139"/>
        <v>0</v>
      </c>
      <c r="AI210" s="1101">
        <f t="shared" si="140"/>
        <v>0</v>
      </c>
      <c r="AJ210" s="1101">
        <f t="shared" si="141"/>
        <v>0</v>
      </c>
      <c r="AK210" s="1101">
        <f t="shared" si="142"/>
        <v>0</v>
      </c>
      <c r="AL210" s="1101">
        <f t="shared" si="143"/>
        <v>0</v>
      </c>
      <c r="AM210" s="1101">
        <f t="shared" si="144"/>
        <v>0</v>
      </c>
      <c r="AN210" s="1101">
        <f t="shared" si="145"/>
        <v>0</v>
      </c>
      <c r="AO210" s="1101">
        <f t="shared" si="146"/>
        <v>0</v>
      </c>
      <c r="AP210" s="1101">
        <f t="shared" si="147"/>
        <v>0</v>
      </c>
      <c r="AQ210" s="1101">
        <f t="shared" si="148"/>
        <v>0</v>
      </c>
      <c r="AR210" s="1101">
        <f t="shared" si="149"/>
        <v>0</v>
      </c>
      <c r="AS210" s="1101">
        <f t="shared" si="150"/>
        <v>0</v>
      </c>
      <c r="AT210" s="1101">
        <f t="shared" si="151"/>
        <v>0</v>
      </c>
      <c r="AU210" s="1101">
        <f t="shared" si="152"/>
        <v>0</v>
      </c>
      <c r="AV210" s="1101">
        <f t="shared" si="153"/>
        <v>0</v>
      </c>
      <c r="AW210" s="1101">
        <f t="shared" si="154"/>
        <v>0</v>
      </c>
      <c r="AX210" s="1101">
        <f t="shared" si="155"/>
        <v>0</v>
      </c>
      <c r="AY210" s="1101">
        <f t="shared" si="156"/>
        <v>0</v>
      </c>
      <c r="AZ210" s="1101">
        <f t="shared" si="157"/>
        <v>0</v>
      </c>
      <c r="BA210" s="1101">
        <f t="shared" si="158"/>
        <v>0</v>
      </c>
      <c r="BB210" s="1102">
        <f t="shared" si="159"/>
        <v>0</v>
      </c>
      <c r="BC210" s="1103"/>
    </row>
    <row r="211" spans="2:55" s="1099" customFormat="1" ht="15">
      <c r="B211" s="1074">
        <v>2021</v>
      </c>
      <c r="C211" s="1404" t="s">
        <v>31</v>
      </c>
      <c r="D211" s="1097">
        <v>0</v>
      </c>
      <c r="E211" s="1097">
        <v>0</v>
      </c>
      <c r="F211" s="1097">
        <v>0</v>
      </c>
      <c r="G211" s="1097">
        <v>0</v>
      </c>
      <c r="H211" s="1097">
        <v>0</v>
      </c>
      <c r="I211" s="1097">
        <v>0</v>
      </c>
      <c r="J211" s="1097">
        <v>0</v>
      </c>
      <c r="K211" s="1097">
        <v>0</v>
      </c>
      <c r="L211" s="1097">
        <v>0</v>
      </c>
      <c r="M211" s="1097">
        <v>0</v>
      </c>
      <c r="N211" s="1097">
        <v>0</v>
      </c>
      <c r="O211" s="1097">
        <v>0</v>
      </c>
      <c r="P211" s="1097">
        <v>0</v>
      </c>
      <c r="Q211" s="1097">
        <v>0</v>
      </c>
      <c r="R211" s="1097">
        <v>0</v>
      </c>
      <c r="S211" s="1097">
        <v>0</v>
      </c>
      <c r="T211" s="1097">
        <v>0</v>
      </c>
      <c r="U211" s="1097">
        <v>0</v>
      </c>
      <c r="V211" s="1097">
        <v>0</v>
      </c>
      <c r="W211" s="1097">
        <v>0</v>
      </c>
      <c r="X211" s="1097">
        <v>0</v>
      </c>
      <c r="Y211" s="1097">
        <v>0</v>
      </c>
      <c r="Z211" s="1097">
        <v>0</v>
      </c>
      <c r="AA211" s="1097">
        <v>0</v>
      </c>
      <c r="AB211" s="1098">
        <v>0</v>
      </c>
      <c r="AD211" s="1100">
        <f t="shared" si="135"/>
        <v>0</v>
      </c>
      <c r="AE211" s="1101">
        <f t="shared" si="136"/>
        <v>0</v>
      </c>
      <c r="AF211" s="1101">
        <f t="shared" si="137"/>
        <v>0</v>
      </c>
      <c r="AG211" s="1101">
        <f t="shared" si="138"/>
        <v>0</v>
      </c>
      <c r="AH211" s="1101">
        <f t="shared" si="139"/>
        <v>0</v>
      </c>
      <c r="AI211" s="1101">
        <f t="shared" si="140"/>
        <v>0</v>
      </c>
      <c r="AJ211" s="1101">
        <f t="shared" si="141"/>
        <v>0</v>
      </c>
      <c r="AK211" s="1101">
        <f t="shared" si="142"/>
        <v>0</v>
      </c>
      <c r="AL211" s="1101">
        <f t="shared" si="143"/>
        <v>0</v>
      </c>
      <c r="AM211" s="1101">
        <f t="shared" si="144"/>
        <v>0</v>
      </c>
      <c r="AN211" s="1101">
        <f t="shared" si="145"/>
        <v>0</v>
      </c>
      <c r="AO211" s="1101">
        <f t="shared" si="146"/>
        <v>0</v>
      </c>
      <c r="AP211" s="1101">
        <f t="shared" si="147"/>
        <v>0</v>
      </c>
      <c r="AQ211" s="1101">
        <f t="shared" si="148"/>
        <v>0</v>
      </c>
      <c r="AR211" s="1101">
        <f t="shared" si="149"/>
        <v>0</v>
      </c>
      <c r="AS211" s="1101">
        <f t="shared" si="150"/>
        <v>0</v>
      </c>
      <c r="AT211" s="1101">
        <f t="shared" si="151"/>
        <v>0</v>
      </c>
      <c r="AU211" s="1101">
        <f t="shared" si="152"/>
        <v>0</v>
      </c>
      <c r="AV211" s="1101">
        <f t="shared" si="153"/>
        <v>0</v>
      </c>
      <c r="AW211" s="1101">
        <f t="shared" si="154"/>
        <v>0</v>
      </c>
      <c r="AX211" s="1101">
        <f t="shared" si="155"/>
        <v>0</v>
      </c>
      <c r="AY211" s="1101">
        <f t="shared" si="156"/>
        <v>0</v>
      </c>
      <c r="AZ211" s="1101">
        <f t="shared" si="157"/>
        <v>0</v>
      </c>
      <c r="BA211" s="1101">
        <f t="shared" si="158"/>
        <v>0</v>
      </c>
      <c r="BB211" s="1102">
        <f t="shared" si="159"/>
        <v>0</v>
      </c>
      <c r="BC211" s="1103"/>
    </row>
    <row r="212" spans="2:55" s="1099" customFormat="1" ht="15">
      <c r="B212" s="1074">
        <v>2022</v>
      </c>
      <c r="C212" s="1404" t="s">
        <v>31</v>
      </c>
      <c r="D212" s="1097">
        <v>0</v>
      </c>
      <c r="E212" s="1097">
        <v>0</v>
      </c>
      <c r="F212" s="1097">
        <v>0</v>
      </c>
      <c r="G212" s="1097">
        <v>0</v>
      </c>
      <c r="H212" s="1097">
        <v>0</v>
      </c>
      <c r="I212" s="1097">
        <v>0</v>
      </c>
      <c r="J212" s="1097">
        <v>0</v>
      </c>
      <c r="K212" s="1097">
        <v>0</v>
      </c>
      <c r="L212" s="1097">
        <v>0</v>
      </c>
      <c r="M212" s="1097">
        <v>0</v>
      </c>
      <c r="N212" s="1097">
        <v>0</v>
      </c>
      <c r="O212" s="1097">
        <v>0</v>
      </c>
      <c r="P212" s="1097">
        <v>0</v>
      </c>
      <c r="Q212" s="1097">
        <v>0</v>
      </c>
      <c r="R212" s="1097">
        <v>0</v>
      </c>
      <c r="S212" s="1097">
        <v>0</v>
      </c>
      <c r="T212" s="1097">
        <v>0</v>
      </c>
      <c r="U212" s="1097">
        <v>0</v>
      </c>
      <c r="V212" s="1097">
        <v>0</v>
      </c>
      <c r="W212" s="1097">
        <v>0</v>
      </c>
      <c r="X212" s="1097">
        <v>0</v>
      </c>
      <c r="Y212" s="1097">
        <v>0</v>
      </c>
      <c r="Z212" s="1097">
        <v>0</v>
      </c>
      <c r="AA212" s="1097">
        <v>0</v>
      </c>
      <c r="AB212" s="1098">
        <v>0</v>
      </c>
      <c r="AD212" s="1100">
        <f t="shared" si="135"/>
        <v>0</v>
      </c>
      <c r="AE212" s="1101">
        <f t="shared" si="136"/>
        <v>0</v>
      </c>
      <c r="AF212" s="1101">
        <f t="shared" si="137"/>
        <v>0</v>
      </c>
      <c r="AG212" s="1101">
        <f t="shared" si="138"/>
        <v>0</v>
      </c>
      <c r="AH212" s="1101">
        <f t="shared" si="139"/>
        <v>0</v>
      </c>
      <c r="AI212" s="1101">
        <f t="shared" si="140"/>
        <v>0</v>
      </c>
      <c r="AJ212" s="1101">
        <f t="shared" si="141"/>
        <v>0</v>
      </c>
      <c r="AK212" s="1101">
        <f t="shared" si="142"/>
        <v>0</v>
      </c>
      <c r="AL212" s="1101">
        <f t="shared" si="143"/>
        <v>0</v>
      </c>
      <c r="AM212" s="1101">
        <f t="shared" si="144"/>
        <v>0</v>
      </c>
      <c r="AN212" s="1101">
        <f t="shared" si="145"/>
        <v>0</v>
      </c>
      <c r="AO212" s="1101">
        <f t="shared" si="146"/>
        <v>0</v>
      </c>
      <c r="AP212" s="1101">
        <f t="shared" si="147"/>
        <v>0</v>
      </c>
      <c r="AQ212" s="1101">
        <f t="shared" si="148"/>
        <v>0</v>
      </c>
      <c r="AR212" s="1101">
        <f t="shared" si="149"/>
        <v>0</v>
      </c>
      <c r="AS212" s="1101">
        <f t="shared" si="150"/>
        <v>0</v>
      </c>
      <c r="AT212" s="1101">
        <f t="shared" si="151"/>
        <v>0</v>
      </c>
      <c r="AU212" s="1101">
        <f t="shared" si="152"/>
        <v>0</v>
      </c>
      <c r="AV212" s="1101">
        <f t="shared" si="153"/>
        <v>0</v>
      </c>
      <c r="AW212" s="1101">
        <f t="shared" si="154"/>
        <v>0</v>
      </c>
      <c r="AX212" s="1101">
        <f t="shared" si="155"/>
        <v>0</v>
      </c>
      <c r="AY212" s="1101">
        <f t="shared" si="156"/>
        <v>0</v>
      </c>
      <c r="AZ212" s="1101">
        <f t="shared" si="157"/>
        <v>0</v>
      </c>
      <c r="BA212" s="1101">
        <f t="shared" si="158"/>
        <v>0</v>
      </c>
      <c r="BB212" s="1102">
        <f t="shared" si="159"/>
        <v>0</v>
      </c>
      <c r="BC212" s="1103"/>
    </row>
    <row r="213" spans="2:55" s="1099" customFormat="1" ht="15">
      <c r="B213" s="1074">
        <v>2023</v>
      </c>
      <c r="C213" s="1404" t="s">
        <v>850</v>
      </c>
      <c r="D213" s="1097">
        <v>0</v>
      </c>
      <c r="E213" s="1097">
        <v>0</v>
      </c>
      <c r="F213" s="1097">
        <v>0</v>
      </c>
      <c r="G213" s="1097">
        <v>0</v>
      </c>
      <c r="H213" s="1097">
        <v>0</v>
      </c>
      <c r="I213" s="1097">
        <v>0</v>
      </c>
      <c r="J213" s="1097">
        <v>0</v>
      </c>
      <c r="K213" s="1097">
        <v>0</v>
      </c>
      <c r="L213" s="1097">
        <v>0</v>
      </c>
      <c r="M213" s="1097">
        <v>0</v>
      </c>
      <c r="N213" s="1097">
        <v>0</v>
      </c>
      <c r="O213" s="1097">
        <v>0</v>
      </c>
      <c r="P213" s="1097">
        <v>0</v>
      </c>
      <c r="Q213" s="1097">
        <v>0</v>
      </c>
      <c r="R213" s="1097">
        <v>0</v>
      </c>
      <c r="S213" s="1097">
        <v>0</v>
      </c>
      <c r="T213" s="1097">
        <v>0</v>
      </c>
      <c r="U213" s="1097">
        <v>0</v>
      </c>
      <c r="V213" s="1097">
        <v>0</v>
      </c>
      <c r="W213" s="1097">
        <v>0</v>
      </c>
      <c r="X213" s="1097">
        <v>0</v>
      </c>
      <c r="Y213" s="1097">
        <v>0</v>
      </c>
      <c r="Z213" s="1097">
        <v>0</v>
      </c>
      <c r="AA213" s="1097">
        <v>0</v>
      </c>
      <c r="AB213" s="1098">
        <v>0</v>
      </c>
      <c r="AD213" s="1100">
        <f t="shared" si="135"/>
        <v>0</v>
      </c>
      <c r="AE213" s="1101">
        <f t="shared" si="136"/>
        <v>0</v>
      </c>
      <c r="AF213" s="1101">
        <f t="shared" si="137"/>
        <v>0</v>
      </c>
      <c r="AG213" s="1101">
        <f t="shared" si="138"/>
        <v>0</v>
      </c>
      <c r="AH213" s="1101">
        <f t="shared" si="139"/>
        <v>0</v>
      </c>
      <c r="AI213" s="1101">
        <f t="shared" si="140"/>
        <v>0</v>
      </c>
      <c r="AJ213" s="1101">
        <f t="shared" si="141"/>
        <v>0</v>
      </c>
      <c r="AK213" s="1101">
        <f t="shared" si="142"/>
        <v>0</v>
      </c>
      <c r="AL213" s="1101">
        <f t="shared" si="143"/>
        <v>0</v>
      </c>
      <c r="AM213" s="1101">
        <f t="shared" si="144"/>
        <v>0</v>
      </c>
      <c r="AN213" s="1101">
        <f t="shared" si="145"/>
        <v>0</v>
      </c>
      <c r="AO213" s="1101">
        <f t="shared" si="146"/>
        <v>0</v>
      </c>
      <c r="AP213" s="1101">
        <f t="shared" si="147"/>
        <v>0</v>
      </c>
      <c r="AQ213" s="1101">
        <f t="shared" si="148"/>
        <v>0</v>
      </c>
      <c r="AR213" s="1101">
        <f t="shared" si="149"/>
        <v>0</v>
      </c>
      <c r="AS213" s="1101">
        <f t="shared" si="150"/>
        <v>0</v>
      </c>
      <c r="AT213" s="1101">
        <f t="shared" si="151"/>
        <v>0</v>
      </c>
      <c r="AU213" s="1101">
        <f t="shared" si="152"/>
        <v>0</v>
      </c>
      <c r="AV213" s="1101">
        <f t="shared" si="153"/>
        <v>0</v>
      </c>
      <c r="AW213" s="1101">
        <f t="shared" si="154"/>
        <v>0</v>
      </c>
      <c r="AX213" s="1101">
        <f t="shared" si="155"/>
        <v>0</v>
      </c>
      <c r="AY213" s="1101">
        <f t="shared" si="156"/>
        <v>0</v>
      </c>
      <c r="AZ213" s="1101">
        <f t="shared" si="157"/>
        <v>0</v>
      </c>
      <c r="BA213" s="1101">
        <f t="shared" si="158"/>
        <v>0</v>
      </c>
      <c r="BB213" s="1102">
        <f t="shared" si="159"/>
        <v>0</v>
      </c>
      <c r="BC213" s="1103"/>
    </row>
    <row r="214" spans="2:55" s="1099" customFormat="1" ht="15">
      <c r="B214" s="1074">
        <v>2024</v>
      </c>
      <c r="C214" s="1404" t="s">
        <v>851</v>
      </c>
      <c r="D214" s="1097">
        <v>0</v>
      </c>
      <c r="E214" s="1097">
        <v>0</v>
      </c>
      <c r="F214" s="1097">
        <v>0</v>
      </c>
      <c r="G214" s="1097">
        <v>0</v>
      </c>
      <c r="H214" s="1097">
        <v>0</v>
      </c>
      <c r="I214" s="1097">
        <v>0</v>
      </c>
      <c r="J214" s="1097">
        <v>0</v>
      </c>
      <c r="K214" s="1097">
        <v>0</v>
      </c>
      <c r="L214" s="1097">
        <v>0</v>
      </c>
      <c r="M214" s="1097">
        <v>0</v>
      </c>
      <c r="N214" s="1097">
        <v>0</v>
      </c>
      <c r="O214" s="1097">
        <v>0</v>
      </c>
      <c r="P214" s="1097">
        <v>0</v>
      </c>
      <c r="Q214" s="1097">
        <v>0</v>
      </c>
      <c r="R214" s="1097">
        <v>0</v>
      </c>
      <c r="S214" s="1097">
        <v>0</v>
      </c>
      <c r="T214" s="1097">
        <v>0</v>
      </c>
      <c r="U214" s="1097">
        <v>0</v>
      </c>
      <c r="V214" s="1097">
        <v>0</v>
      </c>
      <c r="W214" s="1097">
        <v>0</v>
      </c>
      <c r="X214" s="1097">
        <v>0</v>
      </c>
      <c r="Y214" s="1097">
        <v>0</v>
      </c>
      <c r="Z214" s="1097">
        <v>0</v>
      </c>
      <c r="AA214" s="1097">
        <v>0</v>
      </c>
      <c r="AB214" s="1098">
        <v>0</v>
      </c>
      <c r="AD214" s="1100">
        <f t="shared" si="135"/>
        <v>0</v>
      </c>
      <c r="AE214" s="1101">
        <f t="shared" si="136"/>
        <v>0</v>
      </c>
      <c r="AF214" s="1101">
        <f t="shared" si="137"/>
        <v>0</v>
      </c>
      <c r="AG214" s="1101">
        <f t="shared" si="138"/>
        <v>0</v>
      </c>
      <c r="AH214" s="1101">
        <f t="shared" si="139"/>
        <v>0</v>
      </c>
      <c r="AI214" s="1101">
        <f t="shared" si="140"/>
        <v>0</v>
      </c>
      <c r="AJ214" s="1101">
        <f t="shared" si="141"/>
        <v>0</v>
      </c>
      <c r="AK214" s="1101">
        <f t="shared" si="142"/>
        <v>0</v>
      </c>
      <c r="AL214" s="1101">
        <f t="shared" si="143"/>
        <v>0</v>
      </c>
      <c r="AM214" s="1101">
        <f t="shared" si="144"/>
        <v>0</v>
      </c>
      <c r="AN214" s="1101">
        <f t="shared" si="145"/>
        <v>0</v>
      </c>
      <c r="AO214" s="1101">
        <f t="shared" si="146"/>
        <v>0</v>
      </c>
      <c r="AP214" s="1101">
        <f t="shared" si="147"/>
        <v>0</v>
      </c>
      <c r="AQ214" s="1101">
        <f t="shared" si="148"/>
        <v>0</v>
      </c>
      <c r="AR214" s="1101">
        <f t="shared" si="149"/>
        <v>0</v>
      </c>
      <c r="AS214" s="1101">
        <f t="shared" si="150"/>
        <v>0</v>
      </c>
      <c r="AT214" s="1101">
        <f t="shared" si="151"/>
        <v>0</v>
      </c>
      <c r="AU214" s="1101">
        <f t="shared" si="152"/>
        <v>0</v>
      </c>
      <c r="AV214" s="1101">
        <f t="shared" si="153"/>
        <v>0</v>
      </c>
      <c r="AW214" s="1101">
        <f t="shared" si="154"/>
        <v>0</v>
      </c>
      <c r="AX214" s="1101">
        <f t="shared" si="155"/>
        <v>0</v>
      </c>
      <c r="AY214" s="1101">
        <f t="shared" si="156"/>
        <v>0</v>
      </c>
      <c r="AZ214" s="1101">
        <f t="shared" si="157"/>
        <v>0</v>
      </c>
      <c r="BA214" s="1101">
        <f t="shared" si="158"/>
        <v>0</v>
      </c>
      <c r="BB214" s="1102">
        <f t="shared" si="159"/>
        <v>0</v>
      </c>
      <c r="BC214" s="1103"/>
    </row>
    <row r="215" spans="2:55" s="1099" customFormat="1" ht="15">
      <c r="B215" s="1074">
        <v>2025</v>
      </c>
      <c r="C215" s="1404" t="s">
        <v>852</v>
      </c>
      <c r="D215" s="1097">
        <v>0</v>
      </c>
      <c r="E215" s="1097">
        <v>0</v>
      </c>
      <c r="F215" s="1097">
        <v>0</v>
      </c>
      <c r="G215" s="1097">
        <v>0</v>
      </c>
      <c r="H215" s="1097">
        <v>0</v>
      </c>
      <c r="I215" s="1097">
        <v>0</v>
      </c>
      <c r="J215" s="1097">
        <v>0</v>
      </c>
      <c r="K215" s="1097">
        <v>0</v>
      </c>
      <c r="L215" s="1097">
        <v>0</v>
      </c>
      <c r="M215" s="1097">
        <v>0</v>
      </c>
      <c r="N215" s="1097">
        <v>0</v>
      </c>
      <c r="O215" s="1097">
        <v>0</v>
      </c>
      <c r="P215" s="1097">
        <v>0</v>
      </c>
      <c r="Q215" s="1097">
        <v>0</v>
      </c>
      <c r="R215" s="1097">
        <v>0</v>
      </c>
      <c r="S215" s="1097">
        <v>0</v>
      </c>
      <c r="T215" s="1097">
        <v>0</v>
      </c>
      <c r="U215" s="1097">
        <v>0</v>
      </c>
      <c r="V215" s="1097">
        <v>0</v>
      </c>
      <c r="W215" s="1097">
        <v>0</v>
      </c>
      <c r="X215" s="1097">
        <v>0</v>
      </c>
      <c r="Y215" s="1097">
        <v>0</v>
      </c>
      <c r="Z215" s="1097">
        <v>0</v>
      </c>
      <c r="AA215" s="1097">
        <v>0</v>
      </c>
      <c r="AB215" s="1098">
        <v>0</v>
      </c>
      <c r="AD215" s="1100">
        <f t="shared" si="135"/>
        <v>0</v>
      </c>
      <c r="AE215" s="1101">
        <f t="shared" si="136"/>
        <v>0</v>
      </c>
      <c r="AF215" s="1101">
        <f t="shared" si="137"/>
        <v>0</v>
      </c>
      <c r="AG215" s="1101">
        <f t="shared" si="138"/>
        <v>0</v>
      </c>
      <c r="AH215" s="1101">
        <f t="shared" si="139"/>
        <v>0</v>
      </c>
      <c r="AI215" s="1101">
        <f t="shared" si="140"/>
        <v>0</v>
      </c>
      <c r="AJ215" s="1101">
        <f t="shared" si="141"/>
        <v>0</v>
      </c>
      <c r="AK215" s="1101">
        <f t="shared" si="142"/>
        <v>0</v>
      </c>
      <c r="AL215" s="1101">
        <f t="shared" si="143"/>
        <v>0</v>
      </c>
      <c r="AM215" s="1101">
        <f t="shared" si="144"/>
        <v>0</v>
      </c>
      <c r="AN215" s="1101">
        <f t="shared" si="145"/>
        <v>0</v>
      </c>
      <c r="AO215" s="1101">
        <f t="shared" si="146"/>
        <v>0</v>
      </c>
      <c r="AP215" s="1101">
        <f t="shared" si="147"/>
        <v>0</v>
      </c>
      <c r="AQ215" s="1101">
        <f t="shared" si="148"/>
        <v>0</v>
      </c>
      <c r="AR215" s="1101">
        <f t="shared" si="149"/>
        <v>0</v>
      </c>
      <c r="AS215" s="1101">
        <f t="shared" si="150"/>
        <v>0</v>
      </c>
      <c r="AT215" s="1101">
        <f t="shared" si="151"/>
        <v>0</v>
      </c>
      <c r="AU215" s="1101">
        <f t="shared" si="152"/>
        <v>0</v>
      </c>
      <c r="AV215" s="1101">
        <f t="shared" si="153"/>
        <v>0</v>
      </c>
      <c r="AW215" s="1101">
        <f t="shared" si="154"/>
        <v>0</v>
      </c>
      <c r="AX215" s="1101">
        <f t="shared" si="155"/>
        <v>0</v>
      </c>
      <c r="AY215" s="1101">
        <f t="shared" si="156"/>
        <v>0</v>
      </c>
      <c r="AZ215" s="1101">
        <f t="shared" si="157"/>
        <v>0</v>
      </c>
      <c r="BA215" s="1101">
        <f t="shared" si="158"/>
        <v>0</v>
      </c>
      <c r="BB215" s="1102">
        <f t="shared" si="159"/>
        <v>0</v>
      </c>
      <c r="BC215" s="1103"/>
    </row>
    <row r="216" spans="2:55" s="1099" customFormat="1" ht="15">
      <c r="B216" s="1074">
        <v>2026</v>
      </c>
      <c r="C216" s="1404" t="s">
        <v>853</v>
      </c>
      <c r="D216" s="1097">
        <v>0</v>
      </c>
      <c r="E216" s="1097">
        <v>0</v>
      </c>
      <c r="F216" s="1097">
        <v>0</v>
      </c>
      <c r="G216" s="1097">
        <v>0</v>
      </c>
      <c r="H216" s="1097">
        <v>0</v>
      </c>
      <c r="I216" s="1097">
        <v>0</v>
      </c>
      <c r="J216" s="1097">
        <v>0</v>
      </c>
      <c r="K216" s="1097">
        <v>0</v>
      </c>
      <c r="L216" s="1097">
        <v>0</v>
      </c>
      <c r="M216" s="1097">
        <v>0</v>
      </c>
      <c r="N216" s="1097">
        <v>0</v>
      </c>
      <c r="O216" s="1097">
        <v>0</v>
      </c>
      <c r="P216" s="1097">
        <v>0</v>
      </c>
      <c r="Q216" s="1097">
        <v>0</v>
      </c>
      <c r="R216" s="1097">
        <v>0</v>
      </c>
      <c r="S216" s="1097">
        <v>0</v>
      </c>
      <c r="T216" s="1097">
        <v>0</v>
      </c>
      <c r="U216" s="1097">
        <v>0</v>
      </c>
      <c r="V216" s="1097">
        <v>0</v>
      </c>
      <c r="W216" s="1097">
        <v>0</v>
      </c>
      <c r="X216" s="1097">
        <v>0</v>
      </c>
      <c r="Y216" s="1097">
        <v>0</v>
      </c>
      <c r="Z216" s="1097">
        <v>0</v>
      </c>
      <c r="AA216" s="1097">
        <v>0</v>
      </c>
      <c r="AB216" s="1098">
        <v>0</v>
      </c>
      <c r="AD216" s="1100">
        <f t="shared" si="135"/>
        <v>0</v>
      </c>
      <c r="AE216" s="1101">
        <f t="shared" si="136"/>
        <v>0</v>
      </c>
      <c r="AF216" s="1101">
        <f t="shared" si="137"/>
        <v>0</v>
      </c>
      <c r="AG216" s="1101">
        <f t="shared" si="138"/>
        <v>0</v>
      </c>
      <c r="AH216" s="1101">
        <f t="shared" si="139"/>
        <v>0</v>
      </c>
      <c r="AI216" s="1101">
        <f t="shared" si="140"/>
        <v>0</v>
      </c>
      <c r="AJ216" s="1101">
        <f t="shared" si="141"/>
        <v>0</v>
      </c>
      <c r="AK216" s="1101">
        <f t="shared" si="142"/>
        <v>0</v>
      </c>
      <c r="AL216" s="1101">
        <f t="shared" si="143"/>
        <v>0</v>
      </c>
      <c r="AM216" s="1101">
        <f t="shared" si="144"/>
        <v>0</v>
      </c>
      <c r="AN216" s="1101">
        <f t="shared" si="145"/>
        <v>0</v>
      </c>
      <c r="AO216" s="1101">
        <f t="shared" si="146"/>
        <v>0</v>
      </c>
      <c r="AP216" s="1101">
        <f t="shared" si="147"/>
        <v>0</v>
      </c>
      <c r="AQ216" s="1101">
        <f t="shared" si="148"/>
        <v>0</v>
      </c>
      <c r="AR216" s="1101">
        <f t="shared" si="149"/>
        <v>0</v>
      </c>
      <c r="AS216" s="1101">
        <f t="shared" si="150"/>
        <v>0</v>
      </c>
      <c r="AT216" s="1101">
        <f t="shared" si="151"/>
        <v>0</v>
      </c>
      <c r="AU216" s="1101">
        <f t="shared" si="152"/>
        <v>0</v>
      </c>
      <c r="AV216" s="1101">
        <f t="shared" si="153"/>
        <v>0</v>
      </c>
      <c r="AW216" s="1101">
        <f t="shared" si="154"/>
        <v>0</v>
      </c>
      <c r="AX216" s="1101">
        <f t="shared" si="155"/>
        <v>0</v>
      </c>
      <c r="AY216" s="1101">
        <f t="shared" si="156"/>
        <v>0</v>
      </c>
      <c r="AZ216" s="1101">
        <f t="shared" si="157"/>
        <v>0</v>
      </c>
      <c r="BA216" s="1101">
        <f t="shared" si="158"/>
        <v>0</v>
      </c>
      <c r="BB216" s="1102">
        <f t="shared" si="159"/>
        <v>0</v>
      </c>
      <c r="BC216" s="1103"/>
    </row>
    <row r="217" spans="2:55" s="1099" customFormat="1" ht="15">
      <c r="B217" s="1074">
        <v>2027</v>
      </c>
      <c r="C217" s="1404" t="s">
        <v>854</v>
      </c>
      <c r="D217" s="1097">
        <v>0</v>
      </c>
      <c r="E217" s="1097">
        <v>0</v>
      </c>
      <c r="F217" s="1097">
        <v>0</v>
      </c>
      <c r="G217" s="1097">
        <v>0</v>
      </c>
      <c r="H217" s="1097">
        <v>0</v>
      </c>
      <c r="I217" s="1097">
        <v>0</v>
      </c>
      <c r="J217" s="1097">
        <v>0</v>
      </c>
      <c r="K217" s="1097">
        <v>0</v>
      </c>
      <c r="L217" s="1097">
        <v>0</v>
      </c>
      <c r="M217" s="1097">
        <v>0</v>
      </c>
      <c r="N217" s="1097">
        <v>0</v>
      </c>
      <c r="O217" s="1097">
        <v>0</v>
      </c>
      <c r="P217" s="1097">
        <v>0</v>
      </c>
      <c r="Q217" s="1097">
        <v>0</v>
      </c>
      <c r="R217" s="1097">
        <v>0</v>
      </c>
      <c r="S217" s="1097">
        <v>0</v>
      </c>
      <c r="T217" s="1097">
        <v>0</v>
      </c>
      <c r="U217" s="1097">
        <v>0</v>
      </c>
      <c r="V217" s="1097">
        <v>0</v>
      </c>
      <c r="W217" s="1097">
        <v>0</v>
      </c>
      <c r="X217" s="1097">
        <v>0</v>
      </c>
      <c r="Y217" s="1097">
        <v>0</v>
      </c>
      <c r="Z217" s="1097">
        <v>0</v>
      </c>
      <c r="AA217" s="1097">
        <v>0</v>
      </c>
      <c r="AB217" s="1098">
        <v>0</v>
      </c>
      <c r="AD217" s="1100">
        <f t="shared" si="135"/>
        <v>0</v>
      </c>
      <c r="AE217" s="1101">
        <f t="shared" si="136"/>
        <v>0</v>
      </c>
      <c r="AF217" s="1101">
        <f t="shared" si="137"/>
        <v>0</v>
      </c>
      <c r="AG217" s="1101">
        <f t="shared" si="138"/>
        <v>0</v>
      </c>
      <c r="AH217" s="1101">
        <f t="shared" si="139"/>
        <v>0</v>
      </c>
      <c r="AI217" s="1101">
        <f t="shared" si="140"/>
        <v>0</v>
      </c>
      <c r="AJ217" s="1101">
        <f t="shared" si="141"/>
        <v>0</v>
      </c>
      <c r="AK217" s="1101">
        <f t="shared" si="142"/>
        <v>0</v>
      </c>
      <c r="AL217" s="1101">
        <f t="shared" si="143"/>
        <v>0</v>
      </c>
      <c r="AM217" s="1101">
        <f t="shared" si="144"/>
        <v>0</v>
      </c>
      <c r="AN217" s="1101">
        <f t="shared" si="145"/>
        <v>0</v>
      </c>
      <c r="AO217" s="1101">
        <f t="shared" si="146"/>
        <v>0</v>
      </c>
      <c r="AP217" s="1101">
        <f t="shared" si="147"/>
        <v>0</v>
      </c>
      <c r="AQ217" s="1101">
        <f t="shared" si="148"/>
        <v>0</v>
      </c>
      <c r="AR217" s="1101">
        <f t="shared" si="149"/>
        <v>0</v>
      </c>
      <c r="AS217" s="1101">
        <f t="shared" si="150"/>
        <v>0</v>
      </c>
      <c r="AT217" s="1101">
        <f t="shared" si="151"/>
        <v>0</v>
      </c>
      <c r="AU217" s="1101">
        <f t="shared" si="152"/>
        <v>0</v>
      </c>
      <c r="AV217" s="1101">
        <f t="shared" si="153"/>
        <v>0</v>
      </c>
      <c r="AW217" s="1101">
        <f t="shared" si="154"/>
        <v>0</v>
      </c>
      <c r="AX217" s="1101">
        <f t="shared" si="155"/>
        <v>0</v>
      </c>
      <c r="AY217" s="1101">
        <f t="shared" si="156"/>
        <v>0</v>
      </c>
      <c r="AZ217" s="1101">
        <f t="shared" si="157"/>
        <v>0</v>
      </c>
      <c r="BA217" s="1101">
        <f t="shared" si="158"/>
        <v>0</v>
      </c>
      <c r="BB217" s="1102">
        <f t="shared" si="159"/>
        <v>0</v>
      </c>
      <c r="BC217" s="1103"/>
    </row>
    <row r="218" spans="2:55" s="1099" customFormat="1" ht="15">
      <c r="B218" s="1074">
        <v>2028</v>
      </c>
      <c r="C218" s="1404" t="s">
        <v>855</v>
      </c>
      <c r="D218" s="1097">
        <v>58.14</v>
      </c>
      <c r="E218" s="1097">
        <v>58.14</v>
      </c>
      <c r="F218" s="1097">
        <v>58.14</v>
      </c>
      <c r="G218" s="1097">
        <v>58.14</v>
      </c>
      <c r="H218" s="1097">
        <v>58.14</v>
      </c>
      <c r="I218" s="1097">
        <v>58.14</v>
      </c>
      <c r="J218" s="1097">
        <v>58.14</v>
      </c>
      <c r="K218" s="1097">
        <v>58.14</v>
      </c>
      <c r="L218" s="1097">
        <v>58.14</v>
      </c>
      <c r="M218" s="1097">
        <v>58.14</v>
      </c>
      <c r="N218" s="1097">
        <v>58.14</v>
      </c>
      <c r="O218" s="1097">
        <v>58.14</v>
      </c>
      <c r="P218" s="1097">
        <v>58.14</v>
      </c>
      <c r="Q218" s="1097">
        <v>58.14</v>
      </c>
      <c r="R218" s="1097">
        <v>58.14</v>
      </c>
      <c r="S218" s="1097">
        <v>58.14</v>
      </c>
      <c r="T218" s="1097">
        <v>58.14</v>
      </c>
      <c r="U218" s="1097">
        <v>58.14</v>
      </c>
      <c r="V218" s="1097">
        <v>58.14</v>
      </c>
      <c r="W218" s="1097">
        <v>58.14</v>
      </c>
      <c r="X218" s="1097">
        <v>58.14</v>
      </c>
      <c r="Y218" s="1097">
        <v>58.14</v>
      </c>
      <c r="Z218" s="1097">
        <v>58.14</v>
      </c>
      <c r="AA218" s="1097">
        <v>58.14</v>
      </c>
      <c r="AB218" s="1098">
        <v>58.14</v>
      </c>
      <c r="AD218" s="1100">
        <f t="shared" si="135"/>
        <v>74.597175392466852</v>
      </c>
      <c r="AE218" s="1101">
        <f t="shared" si="136"/>
        <v>74.597175392466852</v>
      </c>
      <c r="AF218" s="1101">
        <f t="shared" si="137"/>
        <v>74.597175392466852</v>
      </c>
      <c r="AG218" s="1101">
        <f t="shared" si="138"/>
        <v>74.597175392466852</v>
      </c>
      <c r="AH218" s="1101">
        <f t="shared" si="139"/>
        <v>74.597175392466852</v>
      </c>
      <c r="AI218" s="1101">
        <f t="shared" si="140"/>
        <v>74.597175392466852</v>
      </c>
      <c r="AJ218" s="1101">
        <f t="shared" si="141"/>
        <v>74.597175392466852</v>
      </c>
      <c r="AK218" s="1101">
        <f t="shared" si="142"/>
        <v>74.597175392466852</v>
      </c>
      <c r="AL218" s="1101">
        <f t="shared" si="143"/>
        <v>74.597175392466852</v>
      </c>
      <c r="AM218" s="1101">
        <f t="shared" si="144"/>
        <v>74.597175392466852</v>
      </c>
      <c r="AN218" s="1101">
        <f t="shared" si="145"/>
        <v>74.597175392466852</v>
      </c>
      <c r="AO218" s="1101">
        <f t="shared" si="146"/>
        <v>74.597175392466852</v>
      </c>
      <c r="AP218" s="1101">
        <f t="shared" si="147"/>
        <v>74.597175392466852</v>
      </c>
      <c r="AQ218" s="1101">
        <f t="shared" si="148"/>
        <v>74.597175392466852</v>
      </c>
      <c r="AR218" s="1101">
        <f t="shared" si="149"/>
        <v>74.597175392466852</v>
      </c>
      <c r="AS218" s="1101">
        <f t="shared" si="150"/>
        <v>74.597175392466852</v>
      </c>
      <c r="AT218" s="1101">
        <f t="shared" si="151"/>
        <v>74.597175392466852</v>
      </c>
      <c r="AU218" s="1101">
        <f t="shared" si="152"/>
        <v>74.597175392466852</v>
      </c>
      <c r="AV218" s="1101">
        <f t="shared" si="153"/>
        <v>74.597175392466852</v>
      </c>
      <c r="AW218" s="1101">
        <f t="shared" si="154"/>
        <v>74.597175392466852</v>
      </c>
      <c r="AX218" s="1101">
        <f t="shared" si="155"/>
        <v>74.597175392466852</v>
      </c>
      <c r="AY218" s="1101">
        <f t="shared" si="156"/>
        <v>74.597175392466852</v>
      </c>
      <c r="AZ218" s="1101">
        <f t="shared" si="157"/>
        <v>74.597175392466852</v>
      </c>
      <c r="BA218" s="1101">
        <f t="shared" si="158"/>
        <v>74.597175392466852</v>
      </c>
      <c r="BB218" s="1102">
        <f t="shared" si="159"/>
        <v>74.597175392466852</v>
      </c>
      <c r="BC218" s="1103"/>
    </row>
    <row r="219" spans="2:55" s="1099" customFormat="1" ht="15">
      <c r="B219" s="1074">
        <v>2029</v>
      </c>
      <c r="C219" s="1404" t="s">
        <v>856</v>
      </c>
      <c r="D219" s="1097">
        <v>51.625</v>
      </c>
      <c r="E219" s="1097">
        <v>92.924999999999997</v>
      </c>
      <c r="F219" s="1097">
        <v>92.924999999999997</v>
      </c>
      <c r="G219" s="1097">
        <v>92.924999999999997</v>
      </c>
      <c r="H219" s="1097">
        <v>92.924999999999997</v>
      </c>
      <c r="I219" s="1097">
        <v>92.924999999999997</v>
      </c>
      <c r="J219" s="1097">
        <v>92.924999999999997</v>
      </c>
      <c r="K219" s="1097">
        <v>92.924999999999997</v>
      </c>
      <c r="L219" s="1097">
        <v>92.924999999999997</v>
      </c>
      <c r="M219" s="1097">
        <v>92.924999999999997</v>
      </c>
      <c r="N219" s="1097">
        <v>92.924999999999997</v>
      </c>
      <c r="O219" s="1097">
        <v>92.924999999999997</v>
      </c>
      <c r="P219" s="1097">
        <v>92.924999999999997</v>
      </c>
      <c r="Q219" s="1097">
        <v>92.924999999999997</v>
      </c>
      <c r="R219" s="1097">
        <v>92.924999999999997</v>
      </c>
      <c r="S219" s="1097">
        <v>92.924999999999997</v>
      </c>
      <c r="T219" s="1097">
        <v>92.924999999999997</v>
      </c>
      <c r="U219" s="1097">
        <v>92.924999999999997</v>
      </c>
      <c r="V219" s="1097">
        <v>92.924999999999997</v>
      </c>
      <c r="W219" s="1097">
        <v>92.924999999999997</v>
      </c>
      <c r="X219" s="1097">
        <v>92.924999999999997</v>
      </c>
      <c r="Y219" s="1097">
        <v>92.924999999999997</v>
      </c>
      <c r="Z219" s="1097">
        <v>92.924999999999997</v>
      </c>
      <c r="AA219" s="1097">
        <v>92.924999999999997</v>
      </c>
      <c r="AB219" s="1098">
        <v>92.924999999999997</v>
      </c>
      <c r="AD219" s="1100">
        <f t="shared" si="135"/>
        <v>66.238031985485065</v>
      </c>
      <c r="AE219" s="1101">
        <f t="shared" si="136"/>
        <v>119.22845757387313</v>
      </c>
      <c r="AF219" s="1101">
        <f t="shared" si="137"/>
        <v>119.22845757387313</v>
      </c>
      <c r="AG219" s="1101">
        <f t="shared" si="138"/>
        <v>119.22845757387313</v>
      </c>
      <c r="AH219" s="1101">
        <f t="shared" si="139"/>
        <v>119.22845757387313</v>
      </c>
      <c r="AI219" s="1101">
        <f t="shared" si="140"/>
        <v>119.22845757387313</v>
      </c>
      <c r="AJ219" s="1101">
        <f t="shared" si="141"/>
        <v>119.22845757387313</v>
      </c>
      <c r="AK219" s="1101">
        <f t="shared" si="142"/>
        <v>119.22845757387313</v>
      </c>
      <c r="AL219" s="1101">
        <f t="shared" si="143"/>
        <v>119.22845757387313</v>
      </c>
      <c r="AM219" s="1101">
        <f t="shared" si="144"/>
        <v>119.22845757387313</v>
      </c>
      <c r="AN219" s="1101">
        <f t="shared" si="145"/>
        <v>119.22845757387313</v>
      </c>
      <c r="AO219" s="1101">
        <f t="shared" si="146"/>
        <v>119.22845757387313</v>
      </c>
      <c r="AP219" s="1101">
        <f t="shared" si="147"/>
        <v>119.22845757387313</v>
      </c>
      <c r="AQ219" s="1101">
        <f t="shared" si="148"/>
        <v>119.22845757387313</v>
      </c>
      <c r="AR219" s="1101">
        <f t="shared" si="149"/>
        <v>119.22845757387313</v>
      </c>
      <c r="AS219" s="1101">
        <f t="shared" si="150"/>
        <v>119.22845757387313</v>
      </c>
      <c r="AT219" s="1101">
        <f t="shared" si="151"/>
        <v>119.22845757387313</v>
      </c>
      <c r="AU219" s="1101">
        <f t="shared" si="152"/>
        <v>119.22845757387313</v>
      </c>
      <c r="AV219" s="1101">
        <f t="shared" si="153"/>
        <v>119.22845757387313</v>
      </c>
      <c r="AW219" s="1101">
        <f t="shared" si="154"/>
        <v>119.22845757387313</v>
      </c>
      <c r="AX219" s="1101">
        <f t="shared" si="155"/>
        <v>119.22845757387313</v>
      </c>
      <c r="AY219" s="1101">
        <f t="shared" si="156"/>
        <v>119.22845757387313</v>
      </c>
      <c r="AZ219" s="1101">
        <f t="shared" si="157"/>
        <v>119.22845757387313</v>
      </c>
      <c r="BA219" s="1101">
        <f t="shared" si="158"/>
        <v>119.22845757387313</v>
      </c>
      <c r="BB219" s="1102">
        <f t="shared" si="159"/>
        <v>119.22845757387313</v>
      </c>
      <c r="BC219" s="1103"/>
    </row>
    <row r="220" spans="2:55" s="1099" customFormat="1" ht="15">
      <c r="B220" s="1074">
        <v>2030</v>
      </c>
      <c r="C220" s="1404" t="s">
        <v>857</v>
      </c>
      <c r="D220" s="1097">
        <v>36.82</v>
      </c>
      <c r="E220" s="1097">
        <v>68.11699999999999</v>
      </c>
      <c r="F220" s="1097">
        <v>104.93699999999998</v>
      </c>
      <c r="G220" s="1097">
        <v>104.93699999999998</v>
      </c>
      <c r="H220" s="1097">
        <v>104.93699999999998</v>
      </c>
      <c r="I220" s="1097">
        <v>104.93699999999998</v>
      </c>
      <c r="J220" s="1097">
        <v>104.93699999999998</v>
      </c>
      <c r="K220" s="1097">
        <v>104.93699999999998</v>
      </c>
      <c r="L220" s="1097">
        <v>104.93699999999998</v>
      </c>
      <c r="M220" s="1097">
        <v>104.93699999999998</v>
      </c>
      <c r="N220" s="1097">
        <v>104.93699999999998</v>
      </c>
      <c r="O220" s="1097">
        <v>104.93699999999998</v>
      </c>
      <c r="P220" s="1097">
        <v>104.93699999999998</v>
      </c>
      <c r="Q220" s="1097">
        <v>104.93699999999998</v>
      </c>
      <c r="R220" s="1097">
        <v>104.93699999999998</v>
      </c>
      <c r="S220" s="1097">
        <v>104.93699999999998</v>
      </c>
      <c r="T220" s="1097">
        <v>104.93699999999998</v>
      </c>
      <c r="U220" s="1097">
        <v>104.93699999999998</v>
      </c>
      <c r="V220" s="1097">
        <v>104.93699999999998</v>
      </c>
      <c r="W220" s="1097">
        <v>104.93699999999998</v>
      </c>
      <c r="X220" s="1097">
        <v>104.93699999999998</v>
      </c>
      <c r="Y220" s="1097">
        <v>104.93699999999998</v>
      </c>
      <c r="Z220" s="1097">
        <v>104.93699999999998</v>
      </c>
      <c r="AA220" s="1097">
        <v>104.93699999999998</v>
      </c>
      <c r="AB220" s="1098">
        <v>104.93699999999998</v>
      </c>
      <c r="AD220" s="1100">
        <f t="shared" si="135"/>
        <v>47.242311626257823</v>
      </c>
      <c r="AE220" s="1101">
        <f t="shared" si="136"/>
        <v>87.398276508576956</v>
      </c>
      <c r="AF220" s="1101">
        <f t="shared" si="137"/>
        <v>134.64058813483479</v>
      </c>
      <c r="AG220" s="1101">
        <f t="shared" si="138"/>
        <v>134.64058813483479</v>
      </c>
      <c r="AH220" s="1101">
        <f t="shared" si="139"/>
        <v>134.64058813483479</v>
      </c>
      <c r="AI220" s="1101">
        <f t="shared" si="140"/>
        <v>134.64058813483479</v>
      </c>
      <c r="AJ220" s="1101">
        <f t="shared" si="141"/>
        <v>134.64058813483479</v>
      </c>
      <c r="AK220" s="1101">
        <f t="shared" si="142"/>
        <v>134.64058813483479</v>
      </c>
      <c r="AL220" s="1101">
        <f t="shared" si="143"/>
        <v>134.64058813483479</v>
      </c>
      <c r="AM220" s="1101">
        <f t="shared" si="144"/>
        <v>134.64058813483479</v>
      </c>
      <c r="AN220" s="1101">
        <f t="shared" si="145"/>
        <v>134.64058813483479</v>
      </c>
      <c r="AO220" s="1101">
        <f t="shared" si="146"/>
        <v>134.64058813483479</v>
      </c>
      <c r="AP220" s="1101">
        <f t="shared" si="147"/>
        <v>134.64058813483479</v>
      </c>
      <c r="AQ220" s="1101">
        <f t="shared" si="148"/>
        <v>134.64058813483479</v>
      </c>
      <c r="AR220" s="1101">
        <f t="shared" si="149"/>
        <v>134.64058813483479</v>
      </c>
      <c r="AS220" s="1101">
        <f t="shared" si="150"/>
        <v>134.64058813483479</v>
      </c>
      <c r="AT220" s="1101">
        <f t="shared" si="151"/>
        <v>134.64058813483479</v>
      </c>
      <c r="AU220" s="1101">
        <f t="shared" si="152"/>
        <v>134.64058813483479</v>
      </c>
      <c r="AV220" s="1101">
        <f t="shared" si="153"/>
        <v>134.64058813483479</v>
      </c>
      <c r="AW220" s="1101">
        <f t="shared" si="154"/>
        <v>134.64058813483479</v>
      </c>
      <c r="AX220" s="1101">
        <f t="shared" si="155"/>
        <v>134.64058813483479</v>
      </c>
      <c r="AY220" s="1101">
        <f t="shared" si="156"/>
        <v>134.64058813483479</v>
      </c>
      <c r="AZ220" s="1101">
        <f t="shared" si="157"/>
        <v>134.64058813483479</v>
      </c>
      <c r="BA220" s="1101">
        <f t="shared" si="158"/>
        <v>134.64058813483479</v>
      </c>
      <c r="BB220" s="1102">
        <f t="shared" si="159"/>
        <v>134.64058813483479</v>
      </c>
      <c r="BC220" s="1103"/>
    </row>
    <row r="221" spans="2:55" s="1099" customFormat="1" ht="15">
      <c r="B221" s="1074">
        <v>2031</v>
      </c>
      <c r="C221" s="1404" t="s">
        <v>858</v>
      </c>
      <c r="D221" s="1097">
        <v>29.07</v>
      </c>
      <c r="E221" s="1097">
        <v>54.26400000000001</v>
      </c>
      <c r="F221" s="1097">
        <v>87.210000000000008</v>
      </c>
      <c r="G221" s="1097">
        <v>125.97000000000001</v>
      </c>
      <c r="H221" s="1097">
        <v>125.97000000000001</v>
      </c>
      <c r="I221" s="1097">
        <v>125.97000000000001</v>
      </c>
      <c r="J221" s="1097">
        <v>125.97000000000001</v>
      </c>
      <c r="K221" s="1097">
        <v>125.97000000000001</v>
      </c>
      <c r="L221" s="1097">
        <v>125.97000000000001</v>
      </c>
      <c r="M221" s="1097">
        <v>125.97000000000001</v>
      </c>
      <c r="N221" s="1097">
        <v>125.97000000000001</v>
      </c>
      <c r="O221" s="1097">
        <v>125.97000000000001</v>
      </c>
      <c r="P221" s="1097">
        <v>125.97000000000001</v>
      </c>
      <c r="Q221" s="1097">
        <v>125.97000000000001</v>
      </c>
      <c r="R221" s="1097">
        <v>125.97000000000001</v>
      </c>
      <c r="S221" s="1097">
        <v>125.97000000000001</v>
      </c>
      <c r="T221" s="1097">
        <v>125.97000000000001</v>
      </c>
      <c r="U221" s="1097">
        <v>125.97000000000001</v>
      </c>
      <c r="V221" s="1097">
        <v>125.97000000000001</v>
      </c>
      <c r="W221" s="1097">
        <v>125.97000000000001</v>
      </c>
      <c r="X221" s="1097">
        <v>125.97000000000001</v>
      </c>
      <c r="Y221" s="1097">
        <v>125.97000000000001</v>
      </c>
      <c r="Z221" s="1097">
        <v>125.97000000000001</v>
      </c>
      <c r="AA221" s="1097">
        <v>125.97000000000001</v>
      </c>
      <c r="AB221" s="1098">
        <v>125.97000000000001</v>
      </c>
      <c r="AD221" s="1100">
        <f t="shared" si="135"/>
        <v>37.298587696233426</v>
      </c>
      <c r="AE221" s="1101">
        <f t="shared" si="136"/>
        <v>69.624030366302406</v>
      </c>
      <c r="AF221" s="1101">
        <f t="shared" si="137"/>
        <v>111.89576308870029</v>
      </c>
      <c r="AG221" s="1101">
        <f t="shared" si="138"/>
        <v>161.62721335034485</v>
      </c>
      <c r="AH221" s="1101">
        <f t="shared" si="139"/>
        <v>161.62721335034485</v>
      </c>
      <c r="AI221" s="1101">
        <f t="shared" si="140"/>
        <v>161.62721335034485</v>
      </c>
      <c r="AJ221" s="1101">
        <f t="shared" si="141"/>
        <v>161.62721335034485</v>
      </c>
      <c r="AK221" s="1101">
        <f t="shared" si="142"/>
        <v>161.62721335034485</v>
      </c>
      <c r="AL221" s="1101">
        <f t="shared" si="143"/>
        <v>161.62721335034485</v>
      </c>
      <c r="AM221" s="1101">
        <f t="shared" si="144"/>
        <v>161.62721335034485</v>
      </c>
      <c r="AN221" s="1101">
        <f t="shared" si="145"/>
        <v>161.62721335034485</v>
      </c>
      <c r="AO221" s="1101">
        <f t="shared" si="146"/>
        <v>161.62721335034485</v>
      </c>
      <c r="AP221" s="1101">
        <f t="shared" si="147"/>
        <v>161.62721335034485</v>
      </c>
      <c r="AQ221" s="1101">
        <f t="shared" si="148"/>
        <v>161.62721335034485</v>
      </c>
      <c r="AR221" s="1101">
        <f t="shared" si="149"/>
        <v>161.62721335034485</v>
      </c>
      <c r="AS221" s="1101">
        <f t="shared" si="150"/>
        <v>161.62721335034485</v>
      </c>
      <c r="AT221" s="1101">
        <f t="shared" si="151"/>
        <v>161.62721335034485</v>
      </c>
      <c r="AU221" s="1101">
        <f t="shared" si="152"/>
        <v>161.62721335034485</v>
      </c>
      <c r="AV221" s="1101">
        <f t="shared" si="153"/>
        <v>161.62721335034485</v>
      </c>
      <c r="AW221" s="1101">
        <f t="shared" si="154"/>
        <v>161.62721335034485</v>
      </c>
      <c r="AX221" s="1101">
        <f t="shared" si="155"/>
        <v>161.62721335034485</v>
      </c>
      <c r="AY221" s="1101">
        <f t="shared" si="156"/>
        <v>161.62721335034485</v>
      </c>
      <c r="AZ221" s="1101">
        <f t="shared" si="157"/>
        <v>161.62721335034485</v>
      </c>
      <c r="BA221" s="1101">
        <f t="shared" si="158"/>
        <v>161.62721335034485</v>
      </c>
      <c r="BB221" s="1102">
        <f t="shared" si="159"/>
        <v>161.62721335034485</v>
      </c>
      <c r="BC221" s="1103"/>
    </row>
    <row r="222" spans="2:55" s="1099" customFormat="1" ht="15">
      <c r="B222" s="1074">
        <v>2032</v>
      </c>
      <c r="C222" s="1404" t="s">
        <v>859</v>
      </c>
      <c r="D222" s="1097">
        <v>20.650000000000002</v>
      </c>
      <c r="E222" s="1097">
        <v>41.300000000000004</v>
      </c>
      <c r="F222" s="1097">
        <v>68.14500000000001</v>
      </c>
      <c r="G222" s="1097">
        <v>103.25</v>
      </c>
      <c r="H222" s="1097">
        <v>123.89999999999999</v>
      </c>
      <c r="I222" s="1097">
        <v>123.89999999999999</v>
      </c>
      <c r="J222" s="1097">
        <v>123.89999999999999</v>
      </c>
      <c r="K222" s="1097">
        <v>123.89999999999999</v>
      </c>
      <c r="L222" s="1097">
        <v>123.89999999999999</v>
      </c>
      <c r="M222" s="1097">
        <v>123.89999999999999</v>
      </c>
      <c r="N222" s="1097">
        <v>123.89999999999999</v>
      </c>
      <c r="O222" s="1097">
        <v>123.89999999999999</v>
      </c>
      <c r="P222" s="1097">
        <v>123.89999999999999</v>
      </c>
      <c r="Q222" s="1097">
        <v>123.89999999999999</v>
      </c>
      <c r="R222" s="1097">
        <v>123.89999999999999</v>
      </c>
      <c r="S222" s="1097">
        <v>123.89999999999999</v>
      </c>
      <c r="T222" s="1097">
        <v>123.89999999999999</v>
      </c>
      <c r="U222" s="1097">
        <v>123.89999999999999</v>
      </c>
      <c r="V222" s="1097">
        <v>123.89999999999999</v>
      </c>
      <c r="W222" s="1097">
        <v>123.89999999999999</v>
      </c>
      <c r="X222" s="1097">
        <v>123.89999999999999</v>
      </c>
      <c r="Y222" s="1097">
        <v>123.89999999999999</v>
      </c>
      <c r="Z222" s="1097">
        <v>123.89999999999999</v>
      </c>
      <c r="AA222" s="1097">
        <v>123.89999999999999</v>
      </c>
      <c r="AB222" s="1098">
        <v>123.89999999999999</v>
      </c>
      <c r="AD222" s="1100">
        <f t="shared" si="135"/>
        <v>26.495212794194028</v>
      </c>
      <c r="AE222" s="1101">
        <f t="shared" si="136"/>
        <v>52.990425588388057</v>
      </c>
      <c r="AF222" s="1101">
        <f t="shared" si="137"/>
        <v>87.434202220840305</v>
      </c>
      <c r="AG222" s="1101">
        <f t="shared" si="138"/>
        <v>132.47606397097013</v>
      </c>
      <c r="AH222" s="1101">
        <f t="shared" si="139"/>
        <v>158.97127676516413</v>
      </c>
      <c r="AI222" s="1101">
        <f t="shared" si="140"/>
        <v>158.97127676516413</v>
      </c>
      <c r="AJ222" s="1101">
        <f t="shared" si="141"/>
        <v>158.97127676516413</v>
      </c>
      <c r="AK222" s="1101">
        <f t="shared" si="142"/>
        <v>158.97127676516413</v>
      </c>
      <c r="AL222" s="1101">
        <f t="shared" si="143"/>
        <v>158.97127676516413</v>
      </c>
      <c r="AM222" s="1101">
        <f t="shared" si="144"/>
        <v>158.97127676516413</v>
      </c>
      <c r="AN222" s="1101">
        <f t="shared" si="145"/>
        <v>158.97127676516413</v>
      </c>
      <c r="AO222" s="1101">
        <f t="shared" si="146"/>
        <v>158.97127676516413</v>
      </c>
      <c r="AP222" s="1101">
        <f t="shared" si="147"/>
        <v>158.97127676516413</v>
      </c>
      <c r="AQ222" s="1101">
        <f t="shared" si="148"/>
        <v>158.97127676516413</v>
      </c>
      <c r="AR222" s="1101">
        <f t="shared" si="149"/>
        <v>158.97127676516413</v>
      </c>
      <c r="AS222" s="1101">
        <f t="shared" si="150"/>
        <v>158.97127676516413</v>
      </c>
      <c r="AT222" s="1101">
        <f t="shared" si="151"/>
        <v>158.97127676516413</v>
      </c>
      <c r="AU222" s="1101">
        <f t="shared" si="152"/>
        <v>158.97127676516413</v>
      </c>
      <c r="AV222" s="1101">
        <f t="shared" si="153"/>
        <v>158.97127676516413</v>
      </c>
      <c r="AW222" s="1101">
        <f t="shared" si="154"/>
        <v>158.97127676516413</v>
      </c>
      <c r="AX222" s="1101">
        <f t="shared" si="155"/>
        <v>158.97127676516413</v>
      </c>
      <c r="AY222" s="1101">
        <f t="shared" si="156"/>
        <v>158.97127676516413</v>
      </c>
      <c r="AZ222" s="1101">
        <f t="shared" si="157"/>
        <v>158.97127676516413</v>
      </c>
      <c r="BA222" s="1101">
        <f t="shared" si="158"/>
        <v>158.97127676516413</v>
      </c>
      <c r="BB222" s="1102">
        <f t="shared" si="159"/>
        <v>158.97127676516413</v>
      </c>
      <c r="BC222" s="1103"/>
    </row>
    <row r="223" spans="2:55" s="1099" customFormat="1" ht="15">
      <c r="B223" s="1074">
        <v>2033</v>
      </c>
      <c r="C223" s="1404" t="s">
        <v>860</v>
      </c>
      <c r="D223" s="1097">
        <v>9.2050000000000001</v>
      </c>
      <c r="E223" s="1097">
        <v>22.091999999999999</v>
      </c>
      <c r="F223" s="1097">
        <v>40.502000000000002</v>
      </c>
      <c r="G223" s="1097">
        <v>64.434999999999988</v>
      </c>
      <c r="H223" s="1097">
        <v>79.162999999999997</v>
      </c>
      <c r="I223" s="1097">
        <v>79.162999999999997</v>
      </c>
      <c r="J223" s="1097">
        <v>79.162999999999997</v>
      </c>
      <c r="K223" s="1097">
        <v>79.162999999999997</v>
      </c>
      <c r="L223" s="1097">
        <v>79.162999999999997</v>
      </c>
      <c r="M223" s="1097">
        <v>79.162999999999997</v>
      </c>
      <c r="N223" s="1097">
        <v>79.162999999999997</v>
      </c>
      <c r="O223" s="1097">
        <v>79.162999999999997</v>
      </c>
      <c r="P223" s="1097">
        <v>79.162999999999997</v>
      </c>
      <c r="Q223" s="1097">
        <v>79.162999999999997</v>
      </c>
      <c r="R223" s="1097">
        <v>79.162999999999997</v>
      </c>
      <c r="S223" s="1097">
        <v>79.162999999999997</v>
      </c>
      <c r="T223" s="1097">
        <v>79.162999999999997</v>
      </c>
      <c r="U223" s="1097">
        <v>79.162999999999997</v>
      </c>
      <c r="V223" s="1097">
        <v>79.162999999999997</v>
      </c>
      <c r="W223" s="1097">
        <v>79.162999999999997</v>
      </c>
      <c r="X223" s="1097">
        <v>79.162999999999997</v>
      </c>
      <c r="Y223" s="1097">
        <v>79.162999999999997</v>
      </c>
      <c r="Z223" s="1097">
        <v>79.162999999999997</v>
      </c>
      <c r="AA223" s="1097">
        <v>79.162999999999997</v>
      </c>
      <c r="AB223" s="1098">
        <v>79.162999999999997</v>
      </c>
      <c r="AD223" s="1100">
        <f t="shared" si="135"/>
        <v>11.810577906564456</v>
      </c>
      <c r="AE223" s="1101">
        <f t="shared" si="136"/>
        <v>28.345386975754693</v>
      </c>
      <c r="AF223" s="1101">
        <f t="shared" si="137"/>
        <v>51.966542788883608</v>
      </c>
      <c r="AG223" s="1101">
        <f t="shared" si="138"/>
        <v>82.674045345951185</v>
      </c>
      <c r="AH223" s="1101">
        <f t="shared" si="139"/>
        <v>101.57096999645431</v>
      </c>
      <c r="AI223" s="1101">
        <f t="shared" si="140"/>
        <v>101.57096999645431</v>
      </c>
      <c r="AJ223" s="1101">
        <f t="shared" si="141"/>
        <v>101.57096999645431</v>
      </c>
      <c r="AK223" s="1101">
        <f t="shared" si="142"/>
        <v>101.57096999645431</v>
      </c>
      <c r="AL223" s="1101">
        <f t="shared" si="143"/>
        <v>101.57096999645431</v>
      </c>
      <c r="AM223" s="1101">
        <f t="shared" si="144"/>
        <v>101.57096999645431</v>
      </c>
      <c r="AN223" s="1101">
        <f t="shared" si="145"/>
        <v>101.57096999645431</v>
      </c>
      <c r="AO223" s="1101">
        <f t="shared" si="146"/>
        <v>101.57096999645431</v>
      </c>
      <c r="AP223" s="1101">
        <f t="shared" si="147"/>
        <v>101.57096999645431</v>
      </c>
      <c r="AQ223" s="1101">
        <f t="shared" si="148"/>
        <v>101.57096999645431</v>
      </c>
      <c r="AR223" s="1101">
        <f t="shared" si="149"/>
        <v>101.57096999645431</v>
      </c>
      <c r="AS223" s="1101">
        <f t="shared" si="150"/>
        <v>101.57096999645431</v>
      </c>
      <c r="AT223" s="1101">
        <f t="shared" si="151"/>
        <v>101.57096999645431</v>
      </c>
      <c r="AU223" s="1101">
        <f t="shared" si="152"/>
        <v>101.57096999645431</v>
      </c>
      <c r="AV223" s="1101">
        <f t="shared" si="153"/>
        <v>101.57096999645431</v>
      </c>
      <c r="AW223" s="1101">
        <f t="shared" si="154"/>
        <v>101.57096999645431</v>
      </c>
      <c r="AX223" s="1101">
        <f t="shared" si="155"/>
        <v>101.57096999645431</v>
      </c>
      <c r="AY223" s="1101">
        <f t="shared" si="156"/>
        <v>101.57096999645431</v>
      </c>
      <c r="AZ223" s="1101">
        <f t="shared" si="157"/>
        <v>101.57096999645431</v>
      </c>
      <c r="BA223" s="1101">
        <f t="shared" si="158"/>
        <v>101.57096999645431</v>
      </c>
      <c r="BB223" s="1102">
        <f t="shared" si="159"/>
        <v>101.57096999645431</v>
      </c>
      <c r="BC223" s="1103"/>
    </row>
    <row r="224" spans="2:55" s="1099" customFormat="1" ht="15">
      <c r="B224" s="1074">
        <v>2034</v>
      </c>
      <c r="C224" s="1404" t="s">
        <v>861</v>
      </c>
      <c r="D224" s="1097">
        <v>0</v>
      </c>
      <c r="E224" s="1097">
        <v>5.8140000000000001</v>
      </c>
      <c r="F224" s="1097">
        <v>19.380000000000003</v>
      </c>
      <c r="G224" s="1097">
        <v>38.760000000000005</v>
      </c>
      <c r="H224" s="1097">
        <v>52.326000000000008</v>
      </c>
      <c r="I224" s="1097">
        <v>52.326000000000008</v>
      </c>
      <c r="J224" s="1097">
        <v>52.326000000000008</v>
      </c>
      <c r="K224" s="1097">
        <v>52.326000000000008</v>
      </c>
      <c r="L224" s="1097">
        <v>52.326000000000008</v>
      </c>
      <c r="M224" s="1097">
        <v>52.326000000000008</v>
      </c>
      <c r="N224" s="1097">
        <v>52.326000000000008</v>
      </c>
      <c r="O224" s="1097">
        <v>52.326000000000008</v>
      </c>
      <c r="P224" s="1097">
        <v>52.326000000000008</v>
      </c>
      <c r="Q224" s="1097">
        <v>52.326000000000008</v>
      </c>
      <c r="R224" s="1097">
        <v>52.326000000000008</v>
      </c>
      <c r="S224" s="1097">
        <v>52.326000000000008</v>
      </c>
      <c r="T224" s="1097">
        <v>52.326000000000008</v>
      </c>
      <c r="U224" s="1097">
        <v>52.326000000000008</v>
      </c>
      <c r="V224" s="1097">
        <v>52.326000000000008</v>
      </c>
      <c r="W224" s="1097">
        <v>52.326000000000008</v>
      </c>
      <c r="X224" s="1097">
        <v>52.326000000000008</v>
      </c>
      <c r="Y224" s="1097">
        <v>52.326000000000008</v>
      </c>
      <c r="Z224" s="1097">
        <v>52.326000000000008</v>
      </c>
      <c r="AA224" s="1097">
        <v>52.326000000000008</v>
      </c>
      <c r="AB224" s="1098">
        <v>52.326000000000008</v>
      </c>
      <c r="AD224" s="1100">
        <f t="shared" si="135"/>
        <v>0</v>
      </c>
      <c r="AE224" s="1101">
        <f t="shared" si="136"/>
        <v>7.459717539246685</v>
      </c>
      <c r="AF224" s="1101">
        <f t="shared" si="137"/>
        <v>24.865725130822288</v>
      </c>
      <c r="AG224" s="1101">
        <f t="shared" si="138"/>
        <v>49.731450261644575</v>
      </c>
      <c r="AH224" s="1101">
        <f t="shared" si="139"/>
        <v>67.137457853220184</v>
      </c>
      <c r="AI224" s="1101">
        <f t="shared" si="140"/>
        <v>67.137457853220184</v>
      </c>
      <c r="AJ224" s="1101">
        <f t="shared" si="141"/>
        <v>67.137457853220184</v>
      </c>
      <c r="AK224" s="1101">
        <f t="shared" si="142"/>
        <v>67.137457853220184</v>
      </c>
      <c r="AL224" s="1101">
        <f t="shared" si="143"/>
        <v>67.137457853220184</v>
      </c>
      <c r="AM224" s="1101">
        <f t="shared" si="144"/>
        <v>67.137457853220184</v>
      </c>
      <c r="AN224" s="1101">
        <f t="shared" si="145"/>
        <v>67.137457853220184</v>
      </c>
      <c r="AO224" s="1101">
        <f t="shared" si="146"/>
        <v>67.137457853220184</v>
      </c>
      <c r="AP224" s="1101">
        <f t="shared" si="147"/>
        <v>67.137457853220184</v>
      </c>
      <c r="AQ224" s="1101">
        <f t="shared" si="148"/>
        <v>67.137457853220184</v>
      </c>
      <c r="AR224" s="1101">
        <f t="shared" si="149"/>
        <v>67.137457853220184</v>
      </c>
      <c r="AS224" s="1101">
        <f t="shared" si="150"/>
        <v>67.137457853220184</v>
      </c>
      <c r="AT224" s="1101">
        <f t="shared" si="151"/>
        <v>67.137457853220184</v>
      </c>
      <c r="AU224" s="1101">
        <f t="shared" si="152"/>
        <v>67.137457853220184</v>
      </c>
      <c r="AV224" s="1101">
        <f t="shared" si="153"/>
        <v>67.137457853220184</v>
      </c>
      <c r="AW224" s="1101">
        <f t="shared" si="154"/>
        <v>67.137457853220184</v>
      </c>
      <c r="AX224" s="1101">
        <f t="shared" si="155"/>
        <v>67.137457853220184</v>
      </c>
      <c r="AY224" s="1101">
        <f t="shared" si="156"/>
        <v>67.137457853220184</v>
      </c>
      <c r="AZ224" s="1101">
        <f t="shared" si="157"/>
        <v>67.137457853220184</v>
      </c>
      <c r="BA224" s="1101">
        <f t="shared" si="158"/>
        <v>67.137457853220184</v>
      </c>
      <c r="BB224" s="1102">
        <f t="shared" si="159"/>
        <v>67.137457853220184</v>
      </c>
      <c r="BC224" s="1103"/>
    </row>
    <row r="225" spans="2:55" s="1099" customFormat="1" ht="15">
      <c r="B225" s="1074">
        <v>2035</v>
      </c>
      <c r="C225" s="1404" t="s">
        <v>862</v>
      </c>
      <c r="D225" s="1097">
        <v>0</v>
      </c>
      <c r="E225" s="1097">
        <v>0</v>
      </c>
      <c r="F225" s="1097">
        <v>6.1949999999999994</v>
      </c>
      <c r="G225" s="1097">
        <v>20.650000000000002</v>
      </c>
      <c r="H225" s="1097">
        <v>30.974999999999998</v>
      </c>
      <c r="I225" s="1097">
        <v>30.974999999999998</v>
      </c>
      <c r="J225" s="1097">
        <v>30.974999999999998</v>
      </c>
      <c r="K225" s="1097">
        <v>30.974999999999998</v>
      </c>
      <c r="L225" s="1097">
        <v>30.974999999999998</v>
      </c>
      <c r="M225" s="1097">
        <v>30.974999999999998</v>
      </c>
      <c r="N225" s="1097">
        <v>30.974999999999998</v>
      </c>
      <c r="O225" s="1097">
        <v>30.974999999999998</v>
      </c>
      <c r="P225" s="1097">
        <v>30.974999999999998</v>
      </c>
      <c r="Q225" s="1097">
        <v>30.974999999999998</v>
      </c>
      <c r="R225" s="1097">
        <v>30.974999999999998</v>
      </c>
      <c r="S225" s="1097">
        <v>30.974999999999998</v>
      </c>
      <c r="T225" s="1097">
        <v>30.974999999999998</v>
      </c>
      <c r="U225" s="1097">
        <v>30.974999999999998</v>
      </c>
      <c r="V225" s="1097">
        <v>30.974999999999998</v>
      </c>
      <c r="W225" s="1097">
        <v>30.974999999999998</v>
      </c>
      <c r="X225" s="1097">
        <v>30.974999999999998</v>
      </c>
      <c r="Y225" s="1097">
        <v>30.974999999999998</v>
      </c>
      <c r="Z225" s="1097">
        <v>30.974999999999998</v>
      </c>
      <c r="AA225" s="1097">
        <v>30.974999999999998</v>
      </c>
      <c r="AB225" s="1098">
        <v>30.974999999999998</v>
      </c>
      <c r="AD225" s="1100">
        <f t="shared" si="135"/>
        <v>0</v>
      </c>
      <c r="AE225" s="1101">
        <f t="shared" si="136"/>
        <v>0</v>
      </c>
      <c r="AF225" s="1101">
        <f t="shared" si="137"/>
        <v>7.9485638382582069</v>
      </c>
      <c r="AG225" s="1101">
        <f t="shared" si="138"/>
        <v>26.495212794194028</v>
      </c>
      <c r="AH225" s="1101">
        <f t="shared" si="139"/>
        <v>39.742819191291034</v>
      </c>
      <c r="AI225" s="1101">
        <f t="shared" si="140"/>
        <v>39.742819191291034</v>
      </c>
      <c r="AJ225" s="1101">
        <f t="shared" si="141"/>
        <v>39.742819191291034</v>
      </c>
      <c r="AK225" s="1101">
        <f t="shared" si="142"/>
        <v>39.742819191291034</v>
      </c>
      <c r="AL225" s="1101">
        <f t="shared" si="143"/>
        <v>39.742819191291034</v>
      </c>
      <c r="AM225" s="1101">
        <f t="shared" si="144"/>
        <v>39.742819191291034</v>
      </c>
      <c r="AN225" s="1101">
        <f t="shared" si="145"/>
        <v>39.742819191291034</v>
      </c>
      <c r="AO225" s="1101">
        <f t="shared" si="146"/>
        <v>39.742819191291034</v>
      </c>
      <c r="AP225" s="1101">
        <f t="shared" si="147"/>
        <v>39.742819191291034</v>
      </c>
      <c r="AQ225" s="1101">
        <f t="shared" si="148"/>
        <v>39.742819191291034</v>
      </c>
      <c r="AR225" s="1101">
        <f t="shared" si="149"/>
        <v>39.742819191291034</v>
      </c>
      <c r="AS225" s="1101">
        <f t="shared" si="150"/>
        <v>39.742819191291034</v>
      </c>
      <c r="AT225" s="1101">
        <f t="shared" si="151"/>
        <v>39.742819191291034</v>
      </c>
      <c r="AU225" s="1101">
        <f t="shared" si="152"/>
        <v>39.742819191291034</v>
      </c>
      <c r="AV225" s="1101">
        <f t="shared" si="153"/>
        <v>39.742819191291034</v>
      </c>
      <c r="AW225" s="1101">
        <f t="shared" si="154"/>
        <v>39.742819191291034</v>
      </c>
      <c r="AX225" s="1101">
        <f t="shared" si="155"/>
        <v>39.742819191291034</v>
      </c>
      <c r="AY225" s="1101">
        <f t="shared" si="156"/>
        <v>39.742819191291034</v>
      </c>
      <c r="AZ225" s="1101">
        <f t="shared" si="157"/>
        <v>39.742819191291034</v>
      </c>
      <c r="BA225" s="1101">
        <f t="shared" si="158"/>
        <v>39.742819191291034</v>
      </c>
      <c r="BB225" s="1102">
        <f t="shared" si="159"/>
        <v>39.742819191291034</v>
      </c>
      <c r="BC225" s="1103"/>
    </row>
    <row r="226" spans="2:55" s="1099" customFormat="1" ht="15">
      <c r="B226" s="1074">
        <v>2036</v>
      </c>
      <c r="C226" s="1404" t="s">
        <v>863</v>
      </c>
      <c r="D226" s="1097">
        <v>0</v>
      </c>
      <c r="E226" s="1097">
        <v>0</v>
      </c>
      <c r="F226" s="1097">
        <v>0</v>
      </c>
      <c r="G226" s="1097">
        <v>0</v>
      </c>
      <c r="H226" s="1097">
        <v>0</v>
      </c>
      <c r="I226" s="1097">
        <v>0</v>
      </c>
      <c r="J226" s="1097">
        <v>0</v>
      </c>
      <c r="K226" s="1097">
        <v>0</v>
      </c>
      <c r="L226" s="1097">
        <v>0</v>
      </c>
      <c r="M226" s="1097">
        <v>0</v>
      </c>
      <c r="N226" s="1097">
        <v>0</v>
      </c>
      <c r="O226" s="1097">
        <v>0</v>
      </c>
      <c r="P226" s="1097">
        <v>0</v>
      </c>
      <c r="Q226" s="1097">
        <v>0</v>
      </c>
      <c r="R226" s="1097">
        <v>0</v>
      </c>
      <c r="S226" s="1097">
        <v>0</v>
      </c>
      <c r="T226" s="1097">
        <v>0</v>
      </c>
      <c r="U226" s="1097">
        <v>0</v>
      </c>
      <c r="V226" s="1097">
        <v>0</v>
      </c>
      <c r="W226" s="1097">
        <v>0</v>
      </c>
      <c r="X226" s="1097">
        <v>0</v>
      </c>
      <c r="Y226" s="1097">
        <v>0</v>
      </c>
      <c r="Z226" s="1097">
        <v>0</v>
      </c>
      <c r="AA226" s="1097">
        <v>0</v>
      </c>
      <c r="AB226" s="1098">
        <v>0</v>
      </c>
      <c r="AD226" s="1100">
        <f t="shared" si="135"/>
        <v>0</v>
      </c>
      <c r="AE226" s="1101">
        <f t="shared" si="136"/>
        <v>0</v>
      </c>
      <c r="AF226" s="1101">
        <f t="shared" si="137"/>
        <v>0</v>
      </c>
      <c r="AG226" s="1101">
        <f t="shared" si="138"/>
        <v>0</v>
      </c>
      <c r="AH226" s="1101">
        <f t="shared" si="139"/>
        <v>0</v>
      </c>
      <c r="AI226" s="1101">
        <f t="shared" si="140"/>
        <v>0</v>
      </c>
      <c r="AJ226" s="1101">
        <f t="shared" si="141"/>
        <v>0</v>
      </c>
      <c r="AK226" s="1101">
        <f t="shared" si="142"/>
        <v>0</v>
      </c>
      <c r="AL226" s="1101">
        <f t="shared" si="143"/>
        <v>0</v>
      </c>
      <c r="AM226" s="1101">
        <f t="shared" si="144"/>
        <v>0</v>
      </c>
      <c r="AN226" s="1101">
        <f t="shared" si="145"/>
        <v>0</v>
      </c>
      <c r="AO226" s="1101">
        <f t="shared" si="146"/>
        <v>0</v>
      </c>
      <c r="AP226" s="1101">
        <f t="shared" si="147"/>
        <v>0</v>
      </c>
      <c r="AQ226" s="1101">
        <f t="shared" si="148"/>
        <v>0</v>
      </c>
      <c r="AR226" s="1101">
        <f t="shared" si="149"/>
        <v>0</v>
      </c>
      <c r="AS226" s="1101">
        <f t="shared" si="150"/>
        <v>0</v>
      </c>
      <c r="AT226" s="1101">
        <f t="shared" si="151"/>
        <v>0</v>
      </c>
      <c r="AU226" s="1101">
        <f t="shared" si="152"/>
        <v>0</v>
      </c>
      <c r="AV226" s="1101">
        <f t="shared" si="153"/>
        <v>0</v>
      </c>
      <c r="AW226" s="1101">
        <f t="shared" si="154"/>
        <v>0</v>
      </c>
      <c r="AX226" s="1101">
        <f t="shared" si="155"/>
        <v>0</v>
      </c>
      <c r="AY226" s="1101">
        <f t="shared" si="156"/>
        <v>0</v>
      </c>
      <c r="AZ226" s="1101">
        <f t="shared" si="157"/>
        <v>0</v>
      </c>
      <c r="BA226" s="1101">
        <f t="shared" si="158"/>
        <v>0</v>
      </c>
      <c r="BB226" s="1102">
        <f t="shared" si="159"/>
        <v>0</v>
      </c>
      <c r="BC226" s="1103"/>
    </row>
    <row r="227" spans="2:55" s="1099" customFormat="1" ht="15">
      <c r="B227" s="1074">
        <v>2037</v>
      </c>
      <c r="C227" s="1404" t="s">
        <v>864</v>
      </c>
      <c r="D227" s="1097">
        <v>0</v>
      </c>
      <c r="E227" s="1097">
        <v>0</v>
      </c>
      <c r="F227" s="1097">
        <v>0</v>
      </c>
      <c r="G227" s="1097">
        <v>0</v>
      </c>
      <c r="H227" s="1097">
        <v>0</v>
      </c>
      <c r="I227" s="1097">
        <v>0</v>
      </c>
      <c r="J227" s="1097">
        <v>0</v>
      </c>
      <c r="K227" s="1097">
        <v>0</v>
      </c>
      <c r="L227" s="1097">
        <v>0</v>
      </c>
      <c r="M227" s="1097">
        <v>0</v>
      </c>
      <c r="N227" s="1097">
        <v>0</v>
      </c>
      <c r="O227" s="1097">
        <v>0</v>
      </c>
      <c r="P227" s="1097">
        <v>0</v>
      </c>
      <c r="Q227" s="1097">
        <v>0</v>
      </c>
      <c r="R227" s="1097">
        <v>0</v>
      </c>
      <c r="S227" s="1097">
        <v>0</v>
      </c>
      <c r="T227" s="1097">
        <v>0</v>
      </c>
      <c r="U227" s="1097">
        <v>0</v>
      </c>
      <c r="V227" s="1097">
        <v>0</v>
      </c>
      <c r="W227" s="1097">
        <v>0</v>
      </c>
      <c r="X227" s="1097">
        <v>0</v>
      </c>
      <c r="Y227" s="1097">
        <v>0</v>
      </c>
      <c r="Z227" s="1097">
        <v>0</v>
      </c>
      <c r="AA227" s="1097">
        <v>0</v>
      </c>
      <c r="AB227" s="1098">
        <v>0</v>
      </c>
      <c r="AD227" s="1100">
        <f t="shared" si="135"/>
        <v>0</v>
      </c>
      <c r="AE227" s="1101">
        <f t="shared" si="136"/>
        <v>0</v>
      </c>
      <c r="AF227" s="1101">
        <f t="shared" si="137"/>
        <v>0</v>
      </c>
      <c r="AG227" s="1101">
        <f t="shared" si="138"/>
        <v>0</v>
      </c>
      <c r="AH227" s="1101">
        <f t="shared" si="139"/>
        <v>0</v>
      </c>
      <c r="AI227" s="1101">
        <f t="shared" si="140"/>
        <v>0</v>
      </c>
      <c r="AJ227" s="1101">
        <f t="shared" si="141"/>
        <v>0</v>
      </c>
      <c r="AK227" s="1101">
        <f t="shared" si="142"/>
        <v>0</v>
      </c>
      <c r="AL227" s="1101">
        <f t="shared" si="143"/>
        <v>0</v>
      </c>
      <c r="AM227" s="1101">
        <f t="shared" si="144"/>
        <v>0</v>
      </c>
      <c r="AN227" s="1101">
        <f t="shared" si="145"/>
        <v>0</v>
      </c>
      <c r="AO227" s="1101">
        <f t="shared" si="146"/>
        <v>0</v>
      </c>
      <c r="AP227" s="1101">
        <f t="shared" si="147"/>
        <v>0</v>
      </c>
      <c r="AQ227" s="1101">
        <f t="shared" si="148"/>
        <v>0</v>
      </c>
      <c r="AR227" s="1101">
        <f t="shared" si="149"/>
        <v>0</v>
      </c>
      <c r="AS227" s="1101">
        <f t="shared" si="150"/>
        <v>0</v>
      </c>
      <c r="AT227" s="1101">
        <f t="shared" si="151"/>
        <v>0</v>
      </c>
      <c r="AU227" s="1101">
        <f t="shared" si="152"/>
        <v>0</v>
      </c>
      <c r="AV227" s="1101">
        <f t="shared" si="153"/>
        <v>0</v>
      </c>
      <c r="AW227" s="1101">
        <f t="shared" si="154"/>
        <v>0</v>
      </c>
      <c r="AX227" s="1101">
        <f t="shared" si="155"/>
        <v>0</v>
      </c>
      <c r="AY227" s="1101">
        <f t="shared" si="156"/>
        <v>0</v>
      </c>
      <c r="AZ227" s="1101">
        <f t="shared" si="157"/>
        <v>0</v>
      </c>
      <c r="BA227" s="1101">
        <f t="shared" si="158"/>
        <v>0</v>
      </c>
      <c r="BB227" s="1102">
        <f t="shared" si="159"/>
        <v>0</v>
      </c>
      <c r="BC227" s="1103"/>
    </row>
    <row r="228" spans="2:55" s="1099" customFormat="1" ht="15">
      <c r="B228" s="1074">
        <v>2038</v>
      </c>
      <c r="C228" s="1404" t="s">
        <v>865</v>
      </c>
      <c r="D228" s="1097">
        <v>0</v>
      </c>
      <c r="E228" s="1097">
        <v>0</v>
      </c>
      <c r="F228" s="1097">
        <v>0</v>
      </c>
      <c r="G228" s="1097">
        <v>0</v>
      </c>
      <c r="H228" s="1097">
        <v>0</v>
      </c>
      <c r="I228" s="1097">
        <v>0</v>
      </c>
      <c r="J228" s="1097">
        <v>0</v>
      </c>
      <c r="K228" s="1097">
        <v>0</v>
      </c>
      <c r="L228" s="1097">
        <v>0</v>
      </c>
      <c r="M228" s="1097">
        <v>0</v>
      </c>
      <c r="N228" s="1097">
        <v>0</v>
      </c>
      <c r="O228" s="1097">
        <v>0</v>
      </c>
      <c r="P228" s="1097">
        <v>0</v>
      </c>
      <c r="Q228" s="1097">
        <v>0</v>
      </c>
      <c r="R228" s="1097">
        <v>0</v>
      </c>
      <c r="S228" s="1097">
        <v>0</v>
      </c>
      <c r="T228" s="1097">
        <v>0</v>
      </c>
      <c r="U228" s="1097">
        <v>0</v>
      </c>
      <c r="V228" s="1097">
        <v>0</v>
      </c>
      <c r="W228" s="1097">
        <v>0</v>
      </c>
      <c r="X228" s="1097">
        <v>0</v>
      </c>
      <c r="Y228" s="1097">
        <v>0</v>
      </c>
      <c r="Z228" s="1097">
        <v>0</v>
      </c>
      <c r="AA228" s="1097">
        <v>0</v>
      </c>
      <c r="AB228" s="1098">
        <v>0</v>
      </c>
      <c r="AD228" s="1100">
        <f t="shared" si="135"/>
        <v>0</v>
      </c>
      <c r="AE228" s="1101">
        <f t="shared" si="136"/>
        <v>0</v>
      </c>
      <c r="AF228" s="1101">
        <f t="shared" si="137"/>
        <v>0</v>
      </c>
      <c r="AG228" s="1101">
        <f t="shared" si="138"/>
        <v>0</v>
      </c>
      <c r="AH228" s="1101">
        <f t="shared" si="139"/>
        <v>0</v>
      </c>
      <c r="AI228" s="1101">
        <f t="shared" si="140"/>
        <v>0</v>
      </c>
      <c r="AJ228" s="1101">
        <f t="shared" si="141"/>
        <v>0</v>
      </c>
      <c r="AK228" s="1101">
        <f t="shared" si="142"/>
        <v>0</v>
      </c>
      <c r="AL228" s="1101">
        <f t="shared" si="143"/>
        <v>0</v>
      </c>
      <c r="AM228" s="1101">
        <f t="shared" si="144"/>
        <v>0</v>
      </c>
      <c r="AN228" s="1101">
        <f t="shared" si="145"/>
        <v>0</v>
      </c>
      <c r="AO228" s="1101">
        <f t="shared" si="146"/>
        <v>0</v>
      </c>
      <c r="AP228" s="1101">
        <f t="shared" si="147"/>
        <v>0</v>
      </c>
      <c r="AQ228" s="1101">
        <f t="shared" si="148"/>
        <v>0</v>
      </c>
      <c r="AR228" s="1101">
        <f t="shared" si="149"/>
        <v>0</v>
      </c>
      <c r="AS228" s="1101">
        <f t="shared" si="150"/>
        <v>0</v>
      </c>
      <c r="AT228" s="1101">
        <f t="shared" si="151"/>
        <v>0</v>
      </c>
      <c r="AU228" s="1101">
        <f t="shared" si="152"/>
        <v>0</v>
      </c>
      <c r="AV228" s="1101">
        <f t="shared" si="153"/>
        <v>0</v>
      </c>
      <c r="AW228" s="1101">
        <f t="shared" si="154"/>
        <v>0</v>
      </c>
      <c r="AX228" s="1101">
        <f t="shared" si="155"/>
        <v>0</v>
      </c>
      <c r="AY228" s="1101">
        <f t="shared" si="156"/>
        <v>0</v>
      </c>
      <c r="AZ228" s="1101">
        <f t="shared" si="157"/>
        <v>0</v>
      </c>
      <c r="BA228" s="1101">
        <f t="shared" si="158"/>
        <v>0</v>
      </c>
      <c r="BB228" s="1102">
        <f t="shared" si="159"/>
        <v>0</v>
      </c>
      <c r="BC228" s="1103"/>
    </row>
    <row r="229" spans="2:55" s="1099" customFormat="1" ht="15">
      <c r="B229" s="1074">
        <v>2039</v>
      </c>
      <c r="C229" s="1404" t="s">
        <v>866</v>
      </c>
      <c r="D229" s="1097">
        <v>0</v>
      </c>
      <c r="E229" s="1097">
        <v>0</v>
      </c>
      <c r="F229" s="1097">
        <v>0</v>
      </c>
      <c r="G229" s="1097">
        <v>0</v>
      </c>
      <c r="H229" s="1097">
        <v>0</v>
      </c>
      <c r="I229" s="1097">
        <v>0</v>
      </c>
      <c r="J229" s="1097">
        <v>0</v>
      </c>
      <c r="K229" s="1097">
        <v>0</v>
      </c>
      <c r="L229" s="1097">
        <v>0</v>
      </c>
      <c r="M229" s="1097">
        <v>0</v>
      </c>
      <c r="N229" s="1097">
        <v>0</v>
      </c>
      <c r="O229" s="1097">
        <v>0</v>
      </c>
      <c r="P229" s="1097">
        <v>0</v>
      </c>
      <c r="Q229" s="1097">
        <v>0</v>
      </c>
      <c r="R229" s="1097">
        <v>0</v>
      </c>
      <c r="S229" s="1097">
        <v>0</v>
      </c>
      <c r="T229" s="1097">
        <v>0</v>
      </c>
      <c r="U229" s="1097">
        <v>0</v>
      </c>
      <c r="V229" s="1097">
        <v>0</v>
      </c>
      <c r="W229" s="1097">
        <v>0</v>
      </c>
      <c r="X229" s="1097">
        <v>0</v>
      </c>
      <c r="Y229" s="1097">
        <v>0</v>
      </c>
      <c r="Z229" s="1097">
        <v>0</v>
      </c>
      <c r="AA229" s="1097">
        <v>0</v>
      </c>
      <c r="AB229" s="1098">
        <v>0</v>
      </c>
      <c r="AD229" s="1100">
        <f t="shared" si="135"/>
        <v>0</v>
      </c>
      <c r="AE229" s="1101">
        <f t="shared" si="136"/>
        <v>0</v>
      </c>
      <c r="AF229" s="1101">
        <f t="shared" si="137"/>
        <v>0</v>
      </c>
      <c r="AG229" s="1101">
        <f t="shared" si="138"/>
        <v>0</v>
      </c>
      <c r="AH229" s="1101">
        <f t="shared" si="139"/>
        <v>0</v>
      </c>
      <c r="AI229" s="1101">
        <f t="shared" si="140"/>
        <v>0</v>
      </c>
      <c r="AJ229" s="1101">
        <f t="shared" si="141"/>
        <v>0</v>
      </c>
      <c r="AK229" s="1101">
        <f t="shared" si="142"/>
        <v>0</v>
      </c>
      <c r="AL229" s="1101">
        <f t="shared" si="143"/>
        <v>0</v>
      </c>
      <c r="AM229" s="1101">
        <f t="shared" si="144"/>
        <v>0</v>
      </c>
      <c r="AN229" s="1101">
        <f t="shared" si="145"/>
        <v>0</v>
      </c>
      <c r="AO229" s="1101">
        <f t="shared" si="146"/>
        <v>0</v>
      </c>
      <c r="AP229" s="1101">
        <f t="shared" si="147"/>
        <v>0</v>
      </c>
      <c r="AQ229" s="1101">
        <f t="shared" si="148"/>
        <v>0</v>
      </c>
      <c r="AR229" s="1101">
        <f t="shared" si="149"/>
        <v>0</v>
      </c>
      <c r="AS229" s="1101">
        <f t="shared" si="150"/>
        <v>0</v>
      </c>
      <c r="AT229" s="1101">
        <f t="shared" si="151"/>
        <v>0</v>
      </c>
      <c r="AU229" s="1101">
        <f t="shared" si="152"/>
        <v>0</v>
      </c>
      <c r="AV229" s="1101">
        <f t="shared" si="153"/>
        <v>0</v>
      </c>
      <c r="AW229" s="1101">
        <f t="shared" si="154"/>
        <v>0</v>
      </c>
      <c r="AX229" s="1101">
        <f t="shared" si="155"/>
        <v>0</v>
      </c>
      <c r="AY229" s="1101">
        <f t="shared" si="156"/>
        <v>0</v>
      </c>
      <c r="AZ229" s="1101">
        <f t="shared" si="157"/>
        <v>0</v>
      </c>
      <c r="BA229" s="1101">
        <f t="shared" si="158"/>
        <v>0</v>
      </c>
      <c r="BB229" s="1102">
        <f t="shared" si="159"/>
        <v>0</v>
      </c>
      <c r="BC229" s="1103"/>
    </row>
    <row r="230" spans="2:55" s="1099" customFormat="1" ht="15">
      <c r="B230" s="1074">
        <v>2040</v>
      </c>
      <c r="C230" s="1404" t="s">
        <v>867</v>
      </c>
      <c r="D230" s="1097">
        <v>0</v>
      </c>
      <c r="E230" s="1097">
        <v>0</v>
      </c>
      <c r="F230" s="1097">
        <v>0</v>
      </c>
      <c r="G230" s="1097">
        <v>0</v>
      </c>
      <c r="H230" s="1097">
        <v>0</v>
      </c>
      <c r="I230" s="1097">
        <v>0</v>
      </c>
      <c r="J230" s="1097">
        <v>0</v>
      </c>
      <c r="K230" s="1097">
        <v>0</v>
      </c>
      <c r="L230" s="1097">
        <v>0</v>
      </c>
      <c r="M230" s="1097">
        <v>0</v>
      </c>
      <c r="N230" s="1097">
        <v>0</v>
      </c>
      <c r="O230" s="1097">
        <v>0</v>
      </c>
      <c r="P230" s="1097">
        <v>0</v>
      </c>
      <c r="Q230" s="1097">
        <v>0</v>
      </c>
      <c r="R230" s="1097">
        <v>0</v>
      </c>
      <c r="S230" s="1097">
        <v>0</v>
      </c>
      <c r="T230" s="1097">
        <v>0</v>
      </c>
      <c r="U230" s="1097">
        <v>0</v>
      </c>
      <c r="V230" s="1097">
        <v>0</v>
      </c>
      <c r="W230" s="1097">
        <v>0</v>
      </c>
      <c r="X230" s="1097">
        <v>0</v>
      </c>
      <c r="Y230" s="1097">
        <v>0</v>
      </c>
      <c r="Z230" s="1097">
        <v>0</v>
      </c>
      <c r="AA230" s="1097">
        <v>0</v>
      </c>
      <c r="AB230" s="1098">
        <v>0</v>
      </c>
      <c r="AD230" s="1100">
        <f t="shared" si="135"/>
        <v>0</v>
      </c>
      <c r="AE230" s="1101">
        <f t="shared" si="136"/>
        <v>0</v>
      </c>
      <c r="AF230" s="1101">
        <f t="shared" si="137"/>
        <v>0</v>
      </c>
      <c r="AG230" s="1101">
        <f t="shared" si="138"/>
        <v>0</v>
      </c>
      <c r="AH230" s="1101">
        <f t="shared" si="139"/>
        <v>0</v>
      </c>
      <c r="AI230" s="1101">
        <f t="shared" si="140"/>
        <v>0</v>
      </c>
      <c r="AJ230" s="1101">
        <f t="shared" si="141"/>
        <v>0</v>
      </c>
      <c r="AK230" s="1101">
        <f t="shared" si="142"/>
        <v>0</v>
      </c>
      <c r="AL230" s="1101">
        <f t="shared" si="143"/>
        <v>0</v>
      </c>
      <c r="AM230" s="1101">
        <f t="shared" si="144"/>
        <v>0</v>
      </c>
      <c r="AN230" s="1101">
        <f t="shared" si="145"/>
        <v>0</v>
      </c>
      <c r="AO230" s="1101">
        <f t="shared" si="146"/>
        <v>0</v>
      </c>
      <c r="AP230" s="1101">
        <f t="shared" si="147"/>
        <v>0</v>
      </c>
      <c r="AQ230" s="1101">
        <f t="shared" si="148"/>
        <v>0</v>
      </c>
      <c r="AR230" s="1101">
        <f t="shared" si="149"/>
        <v>0</v>
      </c>
      <c r="AS230" s="1101">
        <f t="shared" si="150"/>
        <v>0</v>
      </c>
      <c r="AT230" s="1101">
        <f t="shared" si="151"/>
        <v>0</v>
      </c>
      <c r="AU230" s="1101">
        <f t="shared" si="152"/>
        <v>0</v>
      </c>
      <c r="AV230" s="1101">
        <f t="shared" si="153"/>
        <v>0</v>
      </c>
      <c r="AW230" s="1101">
        <f t="shared" si="154"/>
        <v>0</v>
      </c>
      <c r="AX230" s="1101">
        <f t="shared" si="155"/>
        <v>0</v>
      </c>
      <c r="AY230" s="1101">
        <f t="shared" si="156"/>
        <v>0</v>
      </c>
      <c r="AZ230" s="1101">
        <f t="shared" si="157"/>
        <v>0</v>
      </c>
      <c r="BA230" s="1101">
        <f t="shared" si="158"/>
        <v>0</v>
      </c>
      <c r="BB230" s="1102">
        <f t="shared" si="159"/>
        <v>0</v>
      </c>
      <c r="BC230" s="1103"/>
    </row>
    <row r="231" spans="2:55" s="1099" customFormat="1" ht="15">
      <c r="B231" s="1074">
        <v>2041</v>
      </c>
      <c r="C231" s="1404" t="s">
        <v>868</v>
      </c>
      <c r="D231" s="1097">
        <v>0</v>
      </c>
      <c r="E231" s="1097">
        <v>0</v>
      </c>
      <c r="F231" s="1097">
        <v>0</v>
      </c>
      <c r="G231" s="1097">
        <v>0</v>
      </c>
      <c r="H231" s="1097">
        <v>0</v>
      </c>
      <c r="I231" s="1097">
        <v>0</v>
      </c>
      <c r="J231" s="1097">
        <v>0</v>
      </c>
      <c r="K231" s="1097">
        <v>0</v>
      </c>
      <c r="L231" s="1097">
        <v>0</v>
      </c>
      <c r="M231" s="1097">
        <v>0</v>
      </c>
      <c r="N231" s="1097">
        <v>0</v>
      </c>
      <c r="O231" s="1097">
        <v>0</v>
      </c>
      <c r="P231" s="1097">
        <v>0</v>
      </c>
      <c r="Q231" s="1097">
        <v>0</v>
      </c>
      <c r="R231" s="1097">
        <v>0</v>
      </c>
      <c r="S231" s="1097">
        <v>0</v>
      </c>
      <c r="T231" s="1097">
        <v>0</v>
      </c>
      <c r="U231" s="1097">
        <v>0</v>
      </c>
      <c r="V231" s="1097">
        <v>0</v>
      </c>
      <c r="W231" s="1097">
        <v>0</v>
      </c>
      <c r="X231" s="1097">
        <v>0</v>
      </c>
      <c r="Y231" s="1097">
        <v>0</v>
      </c>
      <c r="Z231" s="1097">
        <v>0</v>
      </c>
      <c r="AA231" s="1097">
        <v>0</v>
      </c>
      <c r="AB231" s="1098">
        <v>0</v>
      </c>
      <c r="AD231" s="1100">
        <f t="shared" si="135"/>
        <v>0</v>
      </c>
      <c r="AE231" s="1101">
        <f t="shared" si="136"/>
        <v>0</v>
      </c>
      <c r="AF231" s="1101">
        <f t="shared" si="137"/>
        <v>0</v>
      </c>
      <c r="AG231" s="1101">
        <f t="shared" si="138"/>
        <v>0</v>
      </c>
      <c r="AH231" s="1101">
        <f t="shared" si="139"/>
        <v>0</v>
      </c>
      <c r="AI231" s="1101">
        <f t="shared" si="140"/>
        <v>0</v>
      </c>
      <c r="AJ231" s="1101">
        <f t="shared" si="141"/>
        <v>0</v>
      </c>
      <c r="AK231" s="1101">
        <f t="shared" si="142"/>
        <v>0</v>
      </c>
      <c r="AL231" s="1101">
        <f t="shared" si="143"/>
        <v>0</v>
      </c>
      <c r="AM231" s="1101">
        <f t="shared" si="144"/>
        <v>0</v>
      </c>
      <c r="AN231" s="1101">
        <f t="shared" si="145"/>
        <v>0</v>
      </c>
      <c r="AO231" s="1101">
        <f t="shared" si="146"/>
        <v>0</v>
      </c>
      <c r="AP231" s="1101">
        <f t="shared" si="147"/>
        <v>0</v>
      </c>
      <c r="AQ231" s="1101">
        <f t="shared" si="148"/>
        <v>0</v>
      </c>
      <c r="AR231" s="1101">
        <f t="shared" si="149"/>
        <v>0</v>
      </c>
      <c r="AS231" s="1101">
        <f t="shared" si="150"/>
        <v>0</v>
      </c>
      <c r="AT231" s="1101">
        <f t="shared" si="151"/>
        <v>0</v>
      </c>
      <c r="AU231" s="1101">
        <f t="shared" si="152"/>
        <v>0</v>
      </c>
      <c r="AV231" s="1101">
        <f t="shared" si="153"/>
        <v>0</v>
      </c>
      <c r="AW231" s="1101">
        <f t="shared" si="154"/>
        <v>0</v>
      </c>
      <c r="AX231" s="1101">
        <f t="shared" si="155"/>
        <v>0</v>
      </c>
      <c r="AY231" s="1101">
        <f t="shared" si="156"/>
        <v>0</v>
      </c>
      <c r="AZ231" s="1101">
        <f t="shared" si="157"/>
        <v>0</v>
      </c>
      <c r="BA231" s="1101">
        <f t="shared" si="158"/>
        <v>0</v>
      </c>
      <c r="BB231" s="1102">
        <f t="shared" si="159"/>
        <v>0</v>
      </c>
      <c r="BC231" s="1103"/>
    </row>
    <row r="232" spans="2:55" s="1099" customFormat="1" ht="15">
      <c r="B232" s="1074">
        <v>2042</v>
      </c>
      <c r="C232" s="1404" t="s">
        <v>869</v>
      </c>
      <c r="D232" s="1097">
        <v>0</v>
      </c>
      <c r="E232" s="1097">
        <v>0</v>
      </c>
      <c r="F232" s="1097">
        <v>0</v>
      </c>
      <c r="G232" s="1097">
        <v>0</v>
      </c>
      <c r="H232" s="1097">
        <v>0</v>
      </c>
      <c r="I232" s="1097">
        <v>0</v>
      </c>
      <c r="J232" s="1097">
        <v>0</v>
      </c>
      <c r="K232" s="1097">
        <v>0</v>
      </c>
      <c r="L232" s="1097">
        <v>0</v>
      </c>
      <c r="M232" s="1097">
        <v>0</v>
      </c>
      <c r="N232" s="1097">
        <v>0</v>
      </c>
      <c r="O232" s="1097">
        <v>0</v>
      </c>
      <c r="P232" s="1097">
        <v>0</v>
      </c>
      <c r="Q232" s="1097">
        <v>0</v>
      </c>
      <c r="R232" s="1097">
        <v>0</v>
      </c>
      <c r="S232" s="1097">
        <v>0</v>
      </c>
      <c r="T232" s="1097">
        <v>0</v>
      </c>
      <c r="U232" s="1097">
        <v>0</v>
      </c>
      <c r="V232" s="1097">
        <v>0</v>
      </c>
      <c r="W232" s="1097">
        <v>0</v>
      </c>
      <c r="X232" s="1097">
        <v>0</v>
      </c>
      <c r="Y232" s="1097">
        <v>0</v>
      </c>
      <c r="Z232" s="1097">
        <v>0</v>
      </c>
      <c r="AA232" s="1097">
        <v>0</v>
      </c>
      <c r="AB232" s="1098">
        <v>0</v>
      </c>
      <c r="AD232" s="1100">
        <f t="shared" si="135"/>
        <v>0</v>
      </c>
      <c r="AE232" s="1101">
        <f t="shared" si="136"/>
        <v>0</v>
      </c>
      <c r="AF232" s="1101">
        <f t="shared" si="137"/>
        <v>0</v>
      </c>
      <c r="AG232" s="1101">
        <f t="shared" si="138"/>
        <v>0</v>
      </c>
      <c r="AH232" s="1101">
        <f t="shared" si="139"/>
        <v>0</v>
      </c>
      <c r="AI232" s="1101">
        <f t="shared" si="140"/>
        <v>0</v>
      </c>
      <c r="AJ232" s="1101">
        <f t="shared" si="141"/>
        <v>0</v>
      </c>
      <c r="AK232" s="1101">
        <f t="shared" si="142"/>
        <v>0</v>
      </c>
      <c r="AL232" s="1101">
        <f t="shared" si="143"/>
        <v>0</v>
      </c>
      <c r="AM232" s="1101">
        <f t="shared" si="144"/>
        <v>0</v>
      </c>
      <c r="AN232" s="1101">
        <f t="shared" si="145"/>
        <v>0</v>
      </c>
      <c r="AO232" s="1101">
        <f t="shared" si="146"/>
        <v>0</v>
      </c>
      <c r="AP232" s="1101">
        <f t="shared" si="147"/>
        <v>0</v>
      </c>
      <c r="AQ232" s="1101">
        <f t="shared" si="148"/>
        <v>0</v>
      </c>
      <c r="AR232" s="1101">
        <f t="shared" si="149"/>
        <v>0</v>
      </c>
      <c r="AS232" s="1101">
        <f t="shared" si="150"/>
        <v>0</v>
      </c>
      <c r="AT232" s="1101">
        <f t="shared" si="151"/>
        <v>0</v>
      </c>
      <c r="AU232" s="1101">
        <f t="shared" si="152"/>
        <v>0</v>
      </c>
      <c r="AV232" s="1101">
        <f t="shared" si="153"/>
        <v>0</v>
      </c>
      <c r="AW232" s="1101">
        <f t="shared" si="154"/>
        <v>0</v>
      </c>
      <c r="AX232" s="1101">
        <f t="shared" si="155"/>
        <v>0</v>
      </c>
      <c r="AY232" s="1101">
        <f t="shared" si="156"/>
        <v>0</v>
      </c>
      <c r="AZ232" s="1101">
        <f t="shared" si="157"/>
        <v>0</v>
      </c>
      <c r="BA232" s="1101">
        <f t="shared" si="158"/>
        <v>0</v>
      </c>
      <c r="BB232" s="1102">
        <f t="shared" si="159"/>
        <v>0</v>
      </c>
      <c r="BC232" s="1103"/>
    </row>
    <row r="233" spans="2:55" s="1099" customFormat="1" ht="15">
      <c r="B233" s="1074">
        <v>2043</v>
      </c>
      <c r="C233" s="1404" t="s">
        <v>870</v>
      </c>
      <c r="D233" s="1097">
        <v>0</v>
      </c>
      <c r="E233" s="1097">
        <v>0</v>
      </c>
      <c r="F233" s="1097">
        <v>0</v>
      </c>
      <c r="G233" s="1097">
        <v>0</v>
      </c>
      <c r="H233" s="1097">
        <v>0</v>
      </c>
      <c r="I233" s="1097">
        <v>0</v>
      </c>
      <c r="J233" s="1097">
        <v>0</v>
      </c>
      <c r="K233" s="1097">
        <v>0</v>
      </c>
      <c r="L233" s="1097">
        <v>0</v>
      </c>
      <c r="M233" s="1097">
        <v>0</v>
      </c>
      <c r="N233" s="1097">
        <v>0</v>
      </c>
      <c r="O233" s="1097">
        <v>0</v>
      </c>
      <c r="P233" s="1097">
        <v>0</v>
      </c>
      <c r="Q233" s="1097">
        <v>0</v>
      </c>
      <c r="R233" s="1097">
        <v>0</v>
      </c>
      <c r="S233" s="1097">
        <v>0</v>
      </c>
      <c r="T233" s="1097">
        <v>0</v>
      </c>
      <c r="U233" s="1097">
        <v>0</v>
      </c>
      <c r="V233" s="1097">
        <v>0</v>
      </c>
      <c r="W233" s="1097">
        <v>0</v>
      </c>
      <c r="X233" s="1097">
        <v>0</v>
      </c>
      <c r="Y233" s="1097">
        <v>0</v>
      </c>
      <c r="Z233" s="1097">
        <v>0</v>
      </c>
      <c r="AA233" s="1097">
        <v>0</v>
      </c>
      <c r="AB233" s="1098">
        <v>0</v>
      </c>
      <c r="AD233" s="1100">
        <f t="shared" si="135"/>
        <v>0</v>
      </c>
      <c r="AE233" s="1101">
        <f t="shared" si="136"/>
        <v>0</v>
      </c>
      <c r="AF233" s="1101">
        <f t="shared" si="137"/>
        <v>0</v>
      </c>
      <c r="AG233" s="1101">
        <f t="shared" si="138"/>
        <v>0</v>
      </c>
      <c r="AH233" s="1101">
        <f t="shared" si="139"/>
        <v>0</v>
      </c>
      <c r="AI233" s="1101">
        <f t="shared" si="140"/>
        <v>0</v>
      </c>
      <c r="AJ233" s="1101">
        <f t="shared" si="141"/>
        <v>0</v>
      </c>
      <c r="AK233" s="1101">
        <f t="shared" si="142"/>
        <v>0</v>
      </c>
      <c r="AL233" s="1101">
        <f t="shared" si="143"/>
        <v>0</v>
      </c>
      <c r="AM233" s="1101">
        <f t="shared" si="144"/>
        <v>0</v>
      </c>
      <c r="AN233" s="1101">
        <f t="shared" si="145"/>
        <v>0</v>
      </c>
      <c r="AO233" s="1101">
        <f t="shared" si="146"/>
        <v>0</v>
      </c>
      <c r="AP233" s="1101">
        <f t="shared" si="147"/>
        <v>0</v>
      </c>
      <c r="AQ233" s="1101">
        <f t="shared" si="148"/>
        <v>0</v>
      </c>
      <c r="AR233" s="1101">
        <f t="shared" si="149"/>
        <v>0</v>
      </c>
      <c r="AS233" s="1101">
        <f t="shared" si="150"/>
        <v>0</v>
      </c>
      <c r="AT233" s="1101">
        <f t="shared" si="151"/>
        <v>0</v>
      </c>
      <c r="AU233" s="1101">
        <f t="shared" si="152"/>
        <v>0</v>
      </c>
      <c r="AV233" s="1101">
        <f t="shared" si="153"/>
        <v>0</v>
      </c>
      <c r="AW233" s="1101">
        <f t="shared" si="154"/>
        <v>0</v>
      </c>
      <c r="AX233" s="1101">
        <f t="shared" si="155"/>
        <v>0</v>
      </c>
      <c r="AY233" s="1101">
        <f t="shared" si="156"/>
        <v>0</v>
      </c>
      <c r="AZ233" s="1101">
        <f t="shared" si="157"/>
        <v>0</v>
      </c>
      <c r="BA233" s="1101">
        <f t="shared" si="158"/>
        <v>0</v>
      </c>
      <c r="BB233" s="1102">
        <f t="shared" si="159"/>
        <v>0</v>
      </c>
      <c r="BC233" s="1103"/>
    </row>
    <row r="234" spans="2:55" s="1099" customFormat="1" ht="15">
      <c r="B234" s="1074">
        <v>2044</v>
      </c>
      <c r="C234" s="1404" t="s">
        <v>871</v>
      </c>
      <c r="D234" s="1097">
        <v>0</v>
      </c>
      <c r="E234" s="1097">
        <v>0</v>
      </c>
      <c r="F234" s="1097">
        <v>0</v>
      </c>
      <c r="G234" s="1097">
        <v>0</v>
      </c>
      <c r="H234" s="1097">
        <v>0</v>
      </c>
      <c r="I234" s="1097">
        <v>0</v>
      </c>
      <c r="J234" s="1097">
        <v>0</v>
      </c>
      <c r="K234" s="1097">
        <v>0</v>
      </c>
      <c r="L234" s="1097">
        <v>0</v>
      </c>
      <c r="M234" s="1097">
        <v>0</v>
      </c>
      <c r="N234" s="1097">
        <v>0</v>
      </c>
      <c r="O234" s="1097">
        <v>0</v>
      </c>
      <c r="P234" s="1097">
        <v>0</v>
      </c>
      <c r="Q234" s="1097">
        <v>0</v>
      </c>
      <c r="R234" s="1097">
        <v>0</v>
      </c>
      <c r="S234" s="1097">
        <v>0</v>
      </c>
      <c r="T234" s="1097">
        <v>0</v>
      </c>
      <c r="U234" s="1097">
        <v>0</v>
      </c>
      <c r="V234" s="1097">
        <v>0</v>
      </c>
      <c r="W234" s="1097">
        <v>0</v>
      </c>
      <c r="X234" s="1097">
        <v>0</v>
      </c>
      <c r="Y234" s="1097">
        <v>0</v>
      </c>
      <c r="Z234" s="1097">
        <v>0</v>
      </c>
      <c r="AA234" s="1097">
        <v>0</v>
      </c>
      <c r="AB234" s="1098">
        <v>0</v>
      </c>
      <c r="AD234" s="1100">
        <f t="shared" si="135"/>
        <v>0</v>
      </c>
      <c r="AE234" s="1101">
        <f t="shared" si="136"/>
        <v>0</v>
      </c>
      <c r="AF234" s="1101">
        <f t="shared" si="137"/>
        <v>0</v>
      </c>
      <c r="AG234" s="1101">
        <f t="shared" si="138"/>
        <v>0</v>
      </c>
      <c r="AH234" s="1101">
        <f t="shared" si="139"/>
        <v>0</v>
      </c>
      <c r="AI234" s="1101">
        <f t="shared" si="140"/>
        <v>0</v>
      </c>
      <c r="AJ234" s="1101">
        <f t="shared" si="141"/>
        <v>0</v>
      </c>
      <c r="AK234" s="1101">
        <f t="shared" si="142"/>
        <v>0</v>
      </c>
      <c r="AL234" s="1101">
        <f t="shared" si="143"/>
        <v>0</v>
      </c>
      <c r="AM234" s="1101">
        <f t="shared" si="144"/>
        <v>0</v>
      </c>
      <c r="AN234" s="1101">
        <f t="shared" si="145"/>
        <v>0</v>
      </c>
      <c r="AO234" s="1101">
        <f t="shared" si="146"/>
        <v>0</v>
      </c>
      <c r="AP234" s="1101">
        <f t="shared" si="147"/>
        <v>0</v>
      </c>
      <c r="AQ234" s="1101">
        <f t="shared" si="148"/>
        <v>0</v>
      </c>
      <c r="AR234" s="1101">
        <f t="shared" si="149"/>
        <v>0</v>
      </c>
      <c r="AS234" s="1101">
        <f t="shared" si="150"/>
        <v>0</v>
      </c>
      <c r="AT234" s="1101">
        <f t="shared" si="151"/>
        <v>0</v>
      </c>
      <c r="AU234" s="1101">
        <f t="shared" si="152"/>
        <v>0</v>
      </c>
      <c r="AV234" s="1101">
        <f t="shared" si="153"/>
        <v>0</v>
      </c>
      <c r="AW234" s="1101">
        <f t="shared" si="154"/>
        <v>0</v>
      </c>
      <c r="AX234" s="1101">
        <f t="shared" si="155"/>
        <v>0</v>
      </c>
      <c r="AY234" s="1101">
        <f t="shared" si="156"/>
        <v>0</v>
      </c>
      <c r="AZ234" s="1101">
        <f t="shared" si="157"/>
        <v>0</v>
      </c>
      <c r="BA234" s="1101">
        <f t="shared" si="158"/>
        <v>0</v>
      </c>
      <c r="BB234" s="1102">
        <f t="shared" si="159"/>
        <v>0</v>
      </c>
      <c r="BC234" s="1103"/>
    </row>
    <row r="235" spans="2:55" s="1099" customFormat="1" ht="15">
      <c r="B235" s="1074">
        <v>2045</v>
      </c>
      <c r="C235" s="1404" t="s">
        <v>872</v>
      </c>
      <c r="D235" s="1097">
        <v>0</v>
      </c>
      <c r="E235" s="1097">
        <v>0</v>
      </c>
      <c r="F235" s="1097">
        <v>0</v>
      </c>
      <c r="G235" s="1097">
        <v>0</v>
      </c>
      <c r="H235" s="1097">
        <v>0</v>
      </c>
      <c r="I235" s="1097">
        <v>0</v>
      </c>
      <c r="J235" s="1097">
        <v>0</v>
      </c>
      <c r="K235" s="1097">
        <v>0</v>
      </c>
      <c r="L235" s="1097">
        <v>0</v>
      </c>
      <c r="M235" s="1097">
        <v>0</v>
      </c>
      <c r="N235" s="1097">
        <v>0</v>
      </c>
      <c r="O235" s="1097">
        <v>0</v>
      </c>
      <c r="P235" s="1097">
        <v>0</v>
      </c>
      <c r="Q235" s="1097">
        <v>0</v>
      </c>
      <c r="R235" s="1097">
        <v>0</v>
      </c>
      <c r="S235" s="1097">
        <v>0</v>
      </c>
      <c r="T235" s="1097">
        <v>0</v>
      </c>
      <c r="U235" s="1097">
        <v>0</v>
      </c>
      <c r="V235" s="1097">
        <v>0</v>
      </c>
      <c r="W235" s="1097">
        <v>0</v>
      </c>
      <c r="X235" s="1097">
        <v>0</v>
      </c>
      <c r="Y235" s="1097">
        <v>0</v>
      </c>
      <c r="Z235" s="1097">
        <v>0</v>
      </c>
      <c r="AA235" s="1097">
        <v>0</v>
      </c>
      <c r="AB235" s="1098">
        <v>0</v>
      </c>
      <c r="AD235" s="1100">
        <f t="shared" si="135"/>
        <v>0</v>
      </c>
      <c r="AE235" s="1101">
        <f t="shared" si="136"/>
        <v>0</v>
      </c>
      <c r="AF235" s="1101">
        <f t="shared" si="137"/>
        <v>0</v>
      </c>
      <c r="AG235" s="1101">
        <f t="shared" si="138"/>
        <v>0</v>
      </c>
      <c r="AH235" s="1101">
        <f t="shared" si="139"/>
        <v>0</v>
      </c>
      <c r="AI235" s="1101">
        <f t="shared" si="140"/>
        <v>0</v>
      </c>
      <c r="AJ235" s="1101">
        <f t="shared" si="141"/>
        <v>0</v>
      </c>
      <c r="AK235" s="1101">
        <f t="shared" si="142"/>
        <v>0</v>
      </c>
      <c r="AL235" s="1101">
        <f t="shared" si="143"/>
        <v>0</v>
      </c>
      <c r="AM235" s="1101">
        <f t="shared" si="144"/>
        <v>0</v>
      </c>
      <c r="AN235" s="1101">
        <f t="shared" si="145"/>
        <v>0</v>
      </c>
      <c r="AO235" s="1101">
        <f t="shared" si="146"/>
        <v>0</v>
      </c>
      <c r="AP235" s="1101">
        <f t="shared" si="147"/>
        <v>0</v>
      </c>
      <c r="AQ235" s="1101">
        <f t="shared" si="148"/>
        <v>0</v>
      </c>
      <c r="AR235" s="1101">
        <f t="shared" si="149"/>
        <v>0</v>
      </c>
      <c r="AS235" s="1101">
        <f t="shared" si="150"/>
        <v>0</v>
      </c>
      <c r="AT235" s="1101">
        <f t="shared" si="151"/>
        <v>0</v>
      </c>
      <c r="AU235" s="1101">
        <f t="shared" si="152"/>
        <v>0</v>
      </c>
      <c r="AV235" s="1101">
        <f t="shared" si="153"/>
        <v>0</v>
      </c>
      <c r="AW235" s="1101">
        <f t="shared" si="154"/>
        <v>0</v>
      </c>
      <c r="AX235" s="1101">
        <f t="shared" si="155"/>
        <v>0</v>
      </c>
      <c r="AY235" s="1101">
        <f t="shared" si="156"/>
        <v>0</v>
      </c>
      <c r="AZ235" s="1101">
        <f t="shared" si="157"/>
        <v>0</v>
      </c>
      <c r="BA235" s="1101">
        <f t="shared" si="158"/>
        <v>0</v>
      </c>
      <c r="BB235" s="1102">
        <f t="shared" si="159"/>
        <v>0</v>
      </c>
      <c r="BC235" s="1103"/>
    </row>
    <row r="236" spans="2:55" s="1099" customFormat="1" ht="15">
      <c r="B236" s="1074">
        <v>2046</v>
      </c>
      <c r="C236" s="1404" t="s">
        <v>873</v>
      </c>
      <c r="D236" s="1097">
        <v>0</v>
      </c>
      <c r="E236" s="1097">
        <v>0</v>
      </c>
      <c r="F236" s="1097">
        <v>0</v>
      </c>
      <c r="G236" s="1097">
        <v>0</v>
      </c>
      <c r="H236" s="1097">
        <v>0</v>
      </c>
      <c r="I236" s="1097">
        <v>0</v>
      </c>
      <c r="J236" s="1097">
        <v>0</v>
      </c>
      <c r="K236" s="1097">
        <v>0</v>
      </c>
      <c r="L236" s="1097">
        <v>0</v>
      </c>
      <c r="M236" s="1097">
        <v>0</v>
      </c>
      <c r="N236" s="1097">
        <v>0</v>
      </c>
      <c r="O236" s="1097">
        <v>0</v>
      </c>
      <c r="P236" s="1097">
        <v>0</v>
      </c>
      <c r="Q236" s="1097">
        <v>0</v>
      </c>
      <c r="R236" s="1097">
        <v>0</v>
      </c>
      <c r="S236" s="1097">
        <v>0</v>
      </c>
      <c r="T236" s="1097">
        <v>0</v>
      </c>
      <c r="U236" s="1097">
        <v>0</v>
      </c>
      <c r="V236" s="1097">
        <v>0</v>
      </c>
      <c r="W236" s="1097">
        <v>0</v>
      </c>
      <c r="X236" s="1097">
        <v>0</v>
      </c>
      <c r="Y236" s="1097">
        <v>0</v>
      </c>
      <c r="Z236" s="1097">
        <v>0</v>
      </c>
      <c r="AA236" s="1097">
        <v>0</v>
      </c>
      <c r="AB236" s="1098">
        <v>0</v>
      </c>
      <c r="AD236" s="1100">
        <f t="shared" si="135"/>
        <v>0</v>
      </c>
      <c r="AE236" s="1101">
        <f t="shared" si="136"/>
        <v>0</v>
      </c>
      <c r="AF236" s="1101">
        <f t="shared" si="137"/>
        <v>0</v>
      </c>
      <c r="AG236" s="1101">
        <f t="shared" si="138"/>
        <v>0</v>
      </c>
      <c r="AH236" s="1101">
        <f t="shared" si="139"/>
        <v>0</v>
      </c>
      <c r="AI236" s="1101">
        <f t="shared" si="140"/>
        <v>0</v>
      </c>
      <c r="AJ236" s="1101">
        <f t="shared" si="141"/>
        <v>0</v>
      </c>
      <c r="AK236" s="1101">
        <f t="shared" si="142"/>
        <v>0</v>
      </c>
      <c r="AL236" s="1101">
        <f t="shared" si="143"/>
        <v>0</v>
      </c>
      <c r="AM236" s="1101">
        <f t="shared" si="144"/>
        <v>0</v>
      </c>
      <c r="AN236" s="1101">
        <f t="shared" si="145"/>
        <v>0</v>
      </c>
      <c r="AO236" s="1101">
        <f t="shared" si="146"/>
        <v>0</v>
      </c>
      <c r="AP236" s="1101">
        <f t="shared" si="147"/>
        <v>0</v>
      </c>
      <c r="AQ236" s="1101">
        <f t="shared" si="148"/>
        <v>0</v>
      </c>
      <c r="AR236" s="1101">
        <f t="shared" si="149"/>
        <v>0</v>
      </c>
      <c r="AS236" s="1101">
        <f t="shared" si="150"/>
        <v>0</v>
      </c>
      <c r="AT236" s="1101">
        <f t="shared" si="151"/>
        <v>0</v>
      </c>
      <c r="AU236" s="1101">
        <f t="shared" si="152"/>
        <v>0</v>
      </c>
      <c r="AV236" s="1101">
        <f t="shared" si="153"/>
        <v>0</v>
      </c>
      <c r="AW236" s="1101">
        <f t="shared" si="154"/>
        <v>0</v>
      </c>
      <c r="AX236" s="1101">
        <f t="shared" si="155"/>
        <v>0</v>
      </c>
      <c r="AY236" s="1101">
        <f t="shared" si="156"/>
        <v>0</v>
      </c>
      <c r="AZ236" s="1101">
        <f t="shared" si="157"/>
        <v>0</v>
      </c>
      <c r="BA236" s="1101">
        <f t="shared" si="158"/>
        <v>0</v>
      </c>
      <c r="BB236" s="1102">
        <f t="shared" si="159"/>
        <v>0</v>
      </c>
      <c r="BC236" s="1103"/>
    </row>
    <row r="237" spans="2:55" s="1099" customFormat="1" ht="15">
      <c r="B237" s="1074">
        <v>2047</v>
      </c>
      <c r="C237" s="1404" t="s">
        <v>874</v>
      </c>
      <c r="D237" s="1097">
        <v>0</v>
      </c>
      <c r="E237" s="1097">
        <v>0</v>
      </c>
      <c r="F237" s="1097">
        <v>0</v>
      </c>
      <c r="G237" s="1097">
        <v>0</v>
      </c>
      <c r="H237" s="1097">
        <v>0</v>
      </c>
      <c r="I237" s="1097">
        <v>0</v>
      </c>
      <c r="J237" s="1097">
        <v>0</v>
      </c>
      <c r="K237" s="1097">
        <v>0</v>
      </c>
      <c r="L237" s="1097">
        <v>0</v>
      </c>
      <c r="M237" s="1097">
        <v>0</v>
      </c>
      <c r="N237" s="1097">
        <v>0</v>
      </c>
      <c r="O237" s="1097">
        <v>0</v>
      </c>
      <c r="P237" s="1097">
        <v>0</v>
      </c>
      <c r="Q237" s="1097">
        <v>0</v>
      </c>
      <c r="R237" s="1097">
        <v>0</v>
      </c>
      <c r="S237" s="1097">
        <v>0</v>
      </c>
      <c r="T237" s="1097">
        <v>0</v>
      </c>
      <c r="U237" s="1097">
        <v>0</v>
      </c>
      <c r="V237" s="1097">
        <v>0</v>
      </c>
      <c r="W237" s="1097">
        <v>0</v>
      </c>
      <c r="X237" s="1097">
        <v>0</v>
      </c>
      <c r="Y237" s="1097">
        <v>0</v>
      </c>
      <c r="Z237" s="1097">
        <v>0</v>
      </c>
      <c r="AA237" s="1097">
        <v>0</v>
      </c>
      <c r="AB237" s="1098">
        <v>0</v>
      </c>
      <c r="AD237" s="1100">
        <f t="shared" si="135"/>
        <v>0</v>
      </c>
      <c r="AE237" s="1101">
        <f t="shared" si="136"/>
        <v>0</v>
      </c>
      <c r="AF237" s="1101">
        <f t="shared" si="137"/>
        <v>0</v>
      </c>
      <c r="AG237" s="1101">
        <f t="shared" si="138"/>
        <v>0</v>
      </c>
      <c r="AH237" s="1101">
        <f t="shared" si="139"/>
        <v>0</v>
      </c>
      <c r="AI237" s="1101">
        <f t="shared" si="140"/>
        <v>0</v>
      </c>
      <c r="AJ237" s="1101">
        <f t="shared" si="141"/>
        <v>0</v>
      </c>
      <c r="AK237" s="1101">
        <f t="shared" si="142"/>
        <v>0</v>
      </c>
      <c r="AL237" s="1101">
        <f t="shared" si="143"/>
        <v>0</v>
      </c>
      <c r="AM237" s="1101">
        <f t="shared" si="144"/>
        <v>0</v>
      </c>
      <c r="AN237" s="1101">
        <f t="shared" si="145"/>
        <v>0</v>
      </c>
      <c r="AO237" s="1101">
        <f t="shared" si="146"/>
        <v>0</v>
      </c>
      <c r="AP237" s="1101">
        <f t="shared" si="147"/>
        <v>0</v>
      </c>
      <c r="AQ237" s="1101">
        <f t="shared" si="148"/>
        <v>0</v>
      </c>
      <c r="AR237" s="1101">
        <f t="shared" si="149"/>
        <v>0</v>
      </c>
      <c r="AS237" s="1101">
        <f t="shared" si="150"/>
        <v>0</v>
      </c>
      <c r="AT237" s="1101">
        <f t="shared" si="151"/>
        <v>0</v>
      </c>
      <c r="AU237" s="1101">
        <f t="shared" si="152"/>
        <v>0</v>
      </c>
      <c r="AV237" s="1101">
        <f t="shared" si="153"/>
        <v>0</v>
      </c>
      <c r="AW237" s="1101">
        <f t="shared" si="154"/>
        <v>0</v>
      </c>
      <c r="AX237" s="1101">
        <f t="shared" si="155"/>
        <v>0</v>
      </c>
      <c r="AY237" s="1101">
        <f t="shared" si="156"/>
        <v>0</v>
      </c>
      <c r="AZ237" s="1101">
        <f t="shared" si="157"/>
        <v>0</v>
      </c>
      <c r="BA237" s="1101">
        <f t="shared" si="158"/>
        <v>0</v>
      </c>
      <c r="BB237" s="1102">
        <f t="shared" si="159"/>
        <v>0</v>
      </c>
      <c r="BC237" s="1103"/>
    </row>
    <row r="238" spans="2:55" s="1099" customFormat="1" ht="15">
      <c r="B238" s="1074">
        <v>2048</v>
      </c>
      <c r="C238" s="1404" t="s">
        <v>875</v>
      </c>
      <c r="D238" s="1097">
        <v>0</v>
      </c>
      <c r="E238" s="1097">
        <v>0</v>
      </c>
      <c r="F238" s="1097">
        <v>0</v>
      </c>
      <c r="G238" s="1097">
        <v>0</v>
      </c>
      <c r="H238" s="1097">
        <v>0</v>
      </c>
      <c r="I238" s="1097">
        <v>0</v>
      </c>
      <c r="J238" s="1097">
        <v>0</v>
      </c>
      <c r="K238" s="1097">
        <v>0</v>
      </c>
      <c r="L238" s="1097">
        <v>0</v>
      </c>
      <c r="M238" s="1097">
        <v>0</v>
      </c>
      <c r="N238" s="1097">
        <v>0</v>
      </c>
      <c r="O238" s="1097">
        <v>0</v>
      </c>
      <c r="P238" s="1097">
        <v>0</v>
      </c>
      <c r="Q238" s="1097">
        <v>0</v>
      </c>
      <c r="R238" s="1097">
        <v>0</v>
      </c>
      <c r="S238" s="1097">
        <v>0</v>
      </c>
      <c r="T238" s="1097">
        <v>0</v>
      </c>
      <c r="U238" s="1097">
        <v>0</v>
      </c>
      <c r="V238" s="1097">
        <v>0</v>
      </c>
      <c r="W238" s="1097">
        <v>0</v>
      </c>
      <c r="X238" s="1097">
        <v>0</v>
      </c>
      <c r="Y238" s="1097">
        <v>0</v>
      </c>
      <c r="Z238" s="1097">
        <v>0</v>
      </c>
      <c r="AA238" s="1097">
        <v>0</v>
      </c>
      <c r="AB238" s="1098">
        <v>0</v>
      </c>
      <c r="AD238" s="1100">
        <f t="shared" si="135"/>
        <v>0</v>
      </c>
      <c r="AE238" s="1101">
        <f t="shared" si="136"/>
        <v>0</v>
      </c>
      <c r="AF238" s="1101">
        <f t="shared" si="137"/>
        <v>0</v>
      </c>
      <c r="AG238" s="1101">
        <f t="shared" si="138"/>
        <v>0</v>
      </c>
      <c r="AH238" s="1101">
        <f t="shared" si="139"/>
        <v>0</v>
      </c>
      <c r="AI238" s="1101">
        <f t="shared" si="140"/>
        <v>0</v>
      </c>
      <c r="AJ238" s="1101">
        <f t="shared" si="141"/>
        <v>0</v>
      </c>
      <c r="AK238" s="1101">
        <f t="shared" si="142"/>
        <v>0</v>
      </c>
      <c r="AL238" s="1101">
        <f t="shared" si="143"/>
        <v>0</v>
      </c>
      <c r="AM238" s="1101">
        <f t="shared" si="144"/>
        <v>0</v>
      </c>
      <c r="AN238" s="1101">
        <f t="shared" si="145"/>
        <v>0</v>
      </c>
      <c r="AO238" s="1101">
        <f t="shared" si="146"/>
        <v>0</v>
      </c>
      <c r="AP238" s="1101">
        <f t="shared" si="147"/>
        <v>0</v>
      </c>
      <c r="AQ238" s="1101">
        <f t="shared" si="148"/>
        <v>0</v>
      </c>
      <c r="AR238" s="1101">
        <f t="shared" si="149"/>
        <v>0</v>
      </c>
      <c r="AS238" s="1101">
        <f t="shared" si="150"/>
        <v>0</v>
      </c>
      <c r="AT238" s="1101">
        <f t="shared" si="151"/>
        <v>0</v>
      </c>
      <c r="AU238" s="1101">
        <f t="shared" si="152"/>
        <v>0</v>
      </c>
      <c r="AV238" s="1101">
        <f t="shared" si="153"/>
        <v>0</v>
      </c>
      <c r="AW238" s="1101">
        <f t="shared" si="154"/>
        <v>0</v>
      </c>
      <c r="AX238" s="1101">
        <f t="shared" si="155"/>
        <v>0</v>
      </c>
      <c r="AY238" s="1101">
        <f t="shared" si="156"/>
        <v>0</v>
      </c>
      <c r="AZ238" s="1101">
        <f t="shared" si="157"/>
        <v>0</v>
      </c>
      <c r="BA238" s="1101">
        <f t="shared" si="158"/>
        <v>0</v>
      </c>
      <c r="BB238" s="1102">
        <f t="shared" si="159"/>
        <v>0</v>
      </c>
      <c r="BC238" s="1103"/>
    </row>
    <row r="239" spans="2:55" s="1099" customFormat="1" ht="15">
      <c r="B239" s="1074">
        <v>2049</v>
      </c>
      <c r="C239" s="1404" t="s">
        <v>876</v>
      </c>
      <c r="D239" s="1097">
        <v>0</v>
      </c>
      <c r="E239" s="1097">
        <v>0</v>
      </c>
      <c r="F239" s="1097">
        <v>0</v>
      </c>
      <c r="G239" s="1097">
        <v>0</v>
      </c>
      <c r="H239" s="1097">
        <v>0</v>
      </c>
      <c r="I239" s="1097">
        <v>0</v>
      </c>
      <c r="J239" s="1097">
        <v>0</v>
      </c>
      <c r="K239" s="1097">
        <v>0</v>
      </c>
      <c r="L239" s="1097">
        <v>0</v>
      </c>
      <c r="M239" s="1097">
        <v>0</v>
      </c>
      <c r="N239" s="1097">
        <v>0</v>
      </c>
      <c r="O239" s="1097">
        <v>0</v>
      </c>
      <c r="P239" s="1097">
        <v>0</v>
      </c>
      <c r="Q239" s="1097">
        <v>0</v>
      </c>
      <c r="R239" s="1097">
        <v>0</v>
      </c>
      <c r="S239" s="1097">
        <v>0</v>
      </c>
      <c r="T239" s="1097">
        <v>0</v>
      </c>
      <c r="U239" s="1097">
        <v>0</v>
      </c>
      <c r="V239" s="1097">
        <v>0</v>
      </c>
      <c r="W239" s="1097">
        <v>0</v>
      </c>
      <c r="X239" s="1097">
        <v>0</v>
      </c>
      <c r="Y239" s="1097">
        <v>0</v>
      </c>
      <c r="Z239" s="1097">
        <v>0</v>
      </c>
      <c r="AA239" s="1097">
        <v>0</v>
      </c>
      <c r="AB239" s="1098">
        <v>0</v>
      </c>
      <c r="AD239" s="1100">
        <f t="shared" si="135"/>
        <v>0</v>
      </c>
      <c r="AE239" s="1101">
        <f t="shared" si="136"/>
        <v>0</v>
      </c>
      <c r="AF239" s="1101">
        <f t="shared" si="137"/>
        <v>0</v>
      </c>
      <c r="AG239" s="1101">
        <f t="shared" si="138"/>
        <v>0</v>
      </c>
      <c r="AH239" s="1101">
        <f t="shared" si="139"/>
        <v>0</v>
      </c>
      <c r="AI239" s="1101">
        <f t="shared" si="140"/>
        <v>0</v>
      </c>
      <c r="AJ239" s="1101">
        <f t="shared" si="141"/>
        <v>0</v>
      </c>
      <c r="AK239" s="1101">
        <f t="shared" si="142"/>
        <v>0</v>
      </c>
      <c r="AL239" s="1101">
        <f t="shared" si="143"/>
        <v>0</v>
      </c>
      <c r="AM239" s="1101">
        <f t="shared" si="144"/>
        <v>0</v>
      </c>
      <c r="AN239" s="1101">
        <f t="shared" si="145"/>
        <v>0</v>
      </c>
      <c r="AO239" s="1101">
        <f t="shared" si="146"/>
        <v>0</v>
      </c>
      <c r="AP239" s="1101">
        <f t="shared" si="147"/>
        <v>0</v>
      </c>
      <c r="AQ239" s="1101">
        <f t="shared" si="148"/>
        <v>0</v>
      </c>
      <c r="AR239" s="1101">
        <f t="shared" si="149"/>
        <v>0</v>
      </c>
      <c r="AS239" s="1101">
        <f t="shared" si="150"/>
        <v>0</v>
      </c>
      <c r="AT239" s="1101">
        <f t="shared" si="151"/>
        <v>0</v>
      </c>
      <c r="AU239" s="1101">
        <f t="shared" si="152"/>
        <v>0</v>
      </c>
      <c r="AV239" s="1101">
        <f t="shared" si="153"/>
        <v>0</v>
      </c>
      <c r="AW239" s="1101">
        <f t="shared" si="154"/>
        <v>0</v>
      </c>
      <c r="AX239" s="1101">
        <f t="shared" si="155"/>
        <v>0</v>
      </c>
      <c r="AY239" s="1101">
        <f t="shared" si="156"/>
        <v>0</v>
      </c>
      <c r="AZ239" s="1101">
        <f t="shared" si="157"/>
        <v>0</v>
      </c>
      <c r="BA239" s="1101">
        <f t="shared" si="158"/>
        <v>0</v>
      </c>
      <c r="BB239" s="1102">
        <f t="shared" si="159"/>
        <v>0</v>
      </c>
      <c r="BC239" s="1103"/>
    </row>
    <row r="240" spans="2:55" s="1099" customFormat="1" ht="15">
      <c r="B240" s="1081">
        <v>2050</v>
      </c>
      <c r="C240" s="1405" t="s">
        <v>877</v>
      </c>
      <c r="D240" s="1097">
        <v>0</v>
      </c>
      <c r="E240" s="1097">
        <v>0</v>
      </c>
      <c r="F240" s="1097">
        <v>0</v>
      </c>
      <c r="G240" s="1097">
        <v>0</v>
      </c>
      <c r="H240" s="1097">
        <v>0</v>
      </c>
      <c r="I240" s="1097">
        <v>0</v>
      </c>
      <c r="J240" s="1097">
        <v>0</v>
      </c>
      <c r="K240" s="1097">
        <v>0</v>
      </c>
      <c r="L240" s="1097">
        <v>0</v>
      </c>
      <c r="M240" s="1097">
        <v>0</v>
      </c>
      <c r="N240" s="1097">
        <v>0</v>
      </c>
      <c r="O240" s="1097">
        <v>0</v>
      </c>
      <c r="P240" s="1097">
        <v>0</v>
      </c>
      <c r="Q240" s="1097">
        <v>0</v>
      </c>
      <c r="R240" s="1097">
        <v>0</v>
      </c>
      <c r="S240" s="1097">
        <v>0</v>
      </c>
      <c r="T240" s="1097">
        <v>0</v>
      </c>
      <c r="U240" s="1097">
        <v>0</v>
      </c>
      <c r="V240" s="1097">
        <v>0</v>
      </c>
      <c r="W240" s="1097">
        <v>0</v>
      </c>
      <c r="X240" s="1097">
        <v>0</v>
      </c>
      <c r="Y240" s="1097">
        <v>0</v>
      </c>
      <c r="Z240" s="1097">
        <v>0</v>
      </c>
      <c r="AA240" s="1097">
        <v>0</v>
      </c>
      <c r="AB240" s="1098">
        <v>0</v>
      </c>
      <c r="AD240" s="1100">
        <f t="shared" si="135"/>
        <v>0</v>
      </c>
      <c r="AE240" s="1101">
        <f t="shared" si="136"/>
        <v>0</v>
      </c>
      <c r="AF240" s="1101">
        <f t="shared" si="137"/>
        <v>0</v>
      </c>
      <c r="AG240" s="1101">
        <f t="shared" si="138"/>
        <v>0</v>
      </c>
      <c r="AH240" s="1101">
        <f t="shared" si="139"/>
        <v>0</v>
      </c>
      <c r="AI240" s="1101">
        <f t="shared" si="140"/>
        <v>0</v>
      </c>
      <c r="AJ240" s="1101">
        <f t="shared" si="141"/>
        <v>0</v>
      </c>
      <c r="AK240" s="1101">
        <f t="shared" si="142"/>
        <v>0</v>
      </c>
      <c r="AL240" s="1101">
        <f t="shared" si="143"/>
        <v>0</v>
      </c>
      <c r="AM240" s="1101">
        <f t="shared" si="144"/>
        <v>0</v>
      </c>
      <c r="AN240" s="1101">
        <f t="shared" si="145"/>
        <v>0</v>
      </c>
      <c r="AO240" s="1101">
        <f t="shared" si="146"/>
        <v>0</v>
      </c>
      <c r="AP240" s="1101">
        <f t="shared" si="147"/>
        <v>0</v>
      </c>
      <c r="AQ240" s="1101">
        <f t="shared" si="148"/>
        <v>0</v>
      </c>
      <c r="AR240" s="1101">
        <f t="shared" si="149"/>
        <v>0</v>
      </c>
      <c r="AS240" s="1101">
        <f t="shared" si="150"/>
        <v>0</v>
      </c>
      <c r="AT240" s="1101">
        <f t="shared" si="151"/>
        <v>0</v>
      </c>
      <c r="AU240" s="1101">
        <f t="shared" si="152"/>
        <v>0</v>
      </c>
      <c r="AV240" s="1101">
        <f t="shared" si="153"/>
        <v>0</v>
      </c>
      <c r="AW240" s="1101">
        <f t="shared" si="154"/>
        <v>0</v>
      </c>
      <c r="AX240" s="1101">
        <f t="shared" si="155"/>
        <v>0</v>
      </c>
      <c r="AY240" s="1101">
        <f t="shared" si="156"/>
        <v>0</v>
      </c>
      <c r="AZ240" s="1101">
        <f t="shared" si="157"/>
        <v>0</v>
      </c>
      <c r="BA240" s="1101">
        <f t="shared" si="158"/>
        <v>0</v>
      </c>
      <c r="BB240" s="1102">
        <f t="shared" si="159"/>
        <v>0</v>
      </c>
      <c r="BC240" s="1103"/>
    </row>
    <row r="241" spans="2:55" s="1099" customFormat="1" ht="15">
      <c r="B241" s="1074" t="s">
        <v>880</v>
      </c>
      <c r="C241" s="1096"/>
      <c r="D241" s="1105">
        <f t="shared" ref="D241:AB241" si="160">NPV(realdiscrt3,D208:D240)/(1+realdiscrt3)^-Half_Year</f>
        <v>173.28355682799963</v>
      </c>
      <c r="E241" s="1105">
        <f t="shared" si="160"/>
        <v>287.3466042566227</v>
      </c>
      <c r="F241" s="1105">
        <f t="shared" si="160"/>
        <v>397.80591619962189</v>
      </c>
      <c r="G241" s="1105">
        <f t="shared" si="160"/>
        <v>504.43564823015538</v>
      </c>
      <c r="H241" s="1105">
        <f t="shared" si="160"/>
        <v>551.96255576596002</v>
      </c>
      <c r="I241" s="1105">
        <f t="shared" si="160"/>
        <v>551.96255576596002</v>
      </c>
      <c r="J241" s="1105">
        <f t="shared" si="160"/>
        <v>551.96255576596002</v>
      </c>
      <c r="K241" s="1105">
        <f t="shared" si="160"/>
        <v>551.96255576596002</v>
      </c>
      <c r="L241" s="1105">
        <f t="shared" si="160"/>
        <v>551.96255576596002</v>
      </c>
      <c r="M241" s="1105">
        <f t="shared" si="160"/>
        <v>551.96255576596002</v>
      </c>
      <c r="N241" s="1105">
        <f t="shared" si="160"/>
        <v>551.96255576596002</v>
      </c>
      <c r="O241" s="1105">
        <f t="shared" si="160"/>
        <v>551.96255576596002</v>
      </c>
      <c r="P241" s="1105">
        <f t="shared" si="160"/>
        <v>551.96255576596002</v>
      </c>
      <c r="Q241" s="1105">
        <f t="shared" si="160"/>
        <v>551.96255576596002</v>
      </c>
      <c r="R241" s="1105">
        <f t="shared" si="160"/>
        <v>551.96255576596002</v>
      </c>
      <c r="S241" s="1105">
        <f t="shared" si="160"/>
        <v>551.96255576596002</v>
      </c>
      <c r="T241" s="1105">
        <f t="shared" si="160"/>
        <v>551.96255576596002</v>
      </c>
      <c r="U241" s="1105">
        <f t="shared" si="160"/>
        <v>551.96255576596002</v>
      </c>
      <c r="V241" s="1105">
        <f t="shared" si="160"/>
        <v>551.96255576596002</v>
      </c>
      <c r="W241" s="1105">
        <f t="shared" si="160"/>
        <v>551.96255576596002</v>
      </c>
      <c r="X241" s="1105">
        <f t="shared" si="160"/>
        <v>551.96255576596002</v>
      </c>
      <c r="Y241" s="1105">
        <f t="shared" si="160"/>
        <v>551.96255576596002</v>
      </c>
      <c r="Z241" s="1105">
        <f t="shared" si="160"/>
        <v>551.96255576596002</v>
      </c>
      <c r="AA241" s="1105">
        <f t="shared" si="160"/>
        <v>551.96255576596002</v>
      </c>
      <c r="AB241" s="1105">
        <f t="shared" si="160"/>
        <v>551.96255576596002</v>
      </c>
      <c r="AD241" s="1105">
        <f t="shared" ref="AD241:BB241" si="161">NPV(realdiscrt3,AD208:AD240)/(1+realdiscrt3)^-Half_Year</f>
        <v>222.3334000916544</v>
      </c>
      <c r="AE241" s="1105">
        <f t="shared" si="161"/>
        <v>368.68326515584886</v>
      </c>
      <c r="AF241" s="1105">
        <f t="shared" si="161"/>
        <v>510.40931721541403</v>
      </c>
      <c r="AG241" s="1105">
        <f t="shared" si="161"/>
        <v>647.22178405981447</v>
      </c>
      <c r="AH241" s="1105">
        <f t="shared" si="161"/>
        <v>708.20171280611589</v>
      </c>
      <c r="AI241" s="1105">
        <f t="shared" si="161"/>
        <v>708.20171280611589</v>
      </c>
      <c r="AJ241" s="1105">
        <f t="shared" si="161"/>
        <v>708.20171280611589</v>
      </c>
      <c r="AK241" s="1105">
        <f t="shared" si="161"/>
        <v>708.20171280611589</v>
      </c>
      <c r="AL241" s="1105">
        <f t="shared" si="161"/>
        <v>708.20171280611589</v>
      </c>
      <c r="AM241" s="1105">
        <f t="shared" si="161"/>
        <v>708.20171280611589</v>
      </c>
      <c r="AN241" s="1105">
        <f t="shared" si="161"/>
        <v>708.20171280611589</v>
      </c>
      <c r="AO241" s="1105">
        <f t="shared" si="161"/>
        <v>708.20171280611589</v>
      </c>
      <c r="AP241" s="1105">
        <f t="shared" si="161"/>
        <v>708.20171280611589</v>
      </c>
      <c r="AQ241" s="1105">
        <f t="shared" si="161"/>
        <v>708.20171280611589</v>
      </c>
      <c r="AR241" s="1105">
        <f t="shared" si="161"/>
        <v>708.20171280611589</v>
      </c>
      <c r="AS241" s="1105">
        <f t="shared" si="161"/>
        <v>708.20171280611589</v>
      </c>
      <c r="AT241" s="1105">
        <f t="shared" si="161"/>
        <v>708.20171280611589</v>
      </c>
      <c r="AU241" s="1105">
        <f t="shared" si="161"/>
        <v>708.20171280611589</v>
      </c>
      <c r="AV241" s="1105">
        <f t="shared" si="161"/>
        <v>708.20171280611589</v>
      </c>
      <c r="AW241" s="1105">
        <f t="shared" si="161"/>
        <v>708.20171280611589</v>
      </c>
      <c r="AX241" s="1105">
        <f t="shared" si="161"/>
        <v>708.20171280611589</v>
      </c>
      <c r="AY241" s="1105">
        <f t="shared" si="161"/>
        <v>708.20171280611589</v>
      </c>
      <c r="AZ241" s="1105">
        <f t="shared" si="161"/>
        <v>708.20171280611589</v>
      </c>
      <c r="BA241" s="1105">
        <f t="shared" si="161"/>
        <v>708.20171280611589</v>
      </c>
      <c r="BB241" s="1105">
        <f t="shared" si="161"/>
        <v>708.20171280611589</v>
      </c>
      <c r="BC241" s="1103"/>
    </row>
    <row r="242" spans="2:55" s="1099" customFormat="1" ht="15" hidden="1">
      <c r="B242" s="1106"/>
      <c r="C242" s="1096"/>
      <c r="D242" s="1105"/>
      <c r="E242" s="1105"/>
      <c r="F242" s="1105"/>
      <c r="G242" s="1105"/>
      <c r="H242" s="1105"/>
      <c r="I242" s="1105"/>
      <c r="J242" s="1105"/>
      <c r="K242" s="1105"/>
      <c r="L242" s="1105"/>
      <c r="M242" s="1105"/>
      <c r="N242" s="1105"/>
      <c r="O242" s="1105"/>
      <c r="P242" s="1105"/>
      <c r="Q242" s="1105"/>
      <c r="R242" s="1105"/>
      <c r="S242" s="1105"/>
      <c r="T242" s="1105"/>
      <c r="U242" s="1105"/>
      <c r="V242" s="1105"/>
      <c r="W242" s="1105"/>
      <c r="X242" s="1105"/>
      <c r="Y242" s="1105"/>
      <c r="Z242" s="1105"/>
      <c r="AA242" s="1105"/>
      <c r="AB242" s="1105"/>
      <c r="AD242" s="1105"/>
      <c r="AE242" s="1105"/>
      <c r="AF242" s="1105"/>
      <c r="AG242" s="1105"/>
      <c r="AH242" s="1105"/>
      <c r="AI242" s="1105"/>
      <c r="AJ242" s="1105"/>
      <c r="AK242" s="1105"/>
      <c r="AL242" s="1105"/>
      <c r="AM242" s="1105"/>
      <c r="AN242" s="1105"/>
      <c r="AO242" s="1105"/>
      <c r="AP242" s="1105"/>
      <c r="AQ242" s="1105"/>
      <c r="AR242" s="1105"/>
      <c r="AS242" s="1105"/>
      <c r="AT242" s="1105"/>
      <c r="AU242" s="1105"/>
      <c r="AV242" s="1105"/>
      <c r="AW242" s="1105"/>
      <c r="AX242" s="1105"/>
      <c r="AY242" s="1105"/>
      <c r="AZ242" s="1105"/>
      <c r="BA242" s="1105"/>
      <c r="BB242" s="1105"/>
    </row>
    <row r="243" spans="2:55" s="1099" customFormat="1" ht="15" hidden="1">
      <c r="B243" s="1106"/>
      <c r="C243" s="1096"/>
      <c r="D243" s="1105"/>
      <c r="E243" s="1105"/>
      <c r="F243" s="1105"/>
      <c r="G243" s="1105"/>
      <c r="H243" s="1105"/>
      <c r="I243" s="1105"/>
      <c r="J243" s="1105"/>
      <c r="K243" s="1105"/>
      <c r="L243" s="1105"/>
      <c r="M243" s="1105"/>
      <c r="N243" s="1105"/>
      <c r="O243" s="1105"/>
      <c r="P243" s="1105"/>
      <c r="Q243" s="1105"/>
      <c r="R243" s="1105"/>
      <c r="S243" s="1105"/>
      <c r="T243" s="1105"/>
      <c r="U243" s="1105"/>
      <c r="V243" s="1105"/>
      <c r="W243" s="1105"/>
      <c r="X243" s="1105"/>
      <c r="Y243" s="1105"/>
      <c r="Z243" s="1105"/>
      <c r="AA243" s="1105"/>
      <c r="AB243" s="1105"/>
      <c r="AD243" s="1105"/>
      <c r="AE243" s="1105"/>
      <c r="AF243" s="1105"/>
      <c r="AG243" s="1105"/>
      <c r="AH243" s="1105"/>
      <c r="AI243" s="1105"/>
      <c r="AJ243" s="1105"/>
      <c r="AK243" s="1105"/>
      <c r="AL243" s="1105"/>
      <c r="AM243" s="1105"/>
      <c r="AN243" s="1105"/>
      <c r="AO243" s="1105"/>
      <c r="AP243" s="1105"/>
      <c r="AQ243" s="1105"/>
      <c r="AR243" s="1105"/>
      <c r="AS243" s="1105"/>
      <c r="AT243" s="1105"/>
      <c r="AU243" s="1105"/>
      <c r="AV243" s="1105"/>
      <c r="AW243" s="1105"/>
      <c r="AX243" s="1105"/>
      <c r="AY243" s="1105"/>
      <c r="AZ243" s="1105"/>
      <c r="BA243" s="1105"/>
      <c r="BB243" s="1105"/>
    </row>
    <row r="244" spans="2:55" s="1099" customFormat="1" ht="15" hidden="1">
      <c r="B244" s="1107"/>
      <c r="C244" s="1104"/>
      <c r="D244" s="1105"/>
      <c r="E244" s="1105"/>
      <c r="F244" s="1105"/>
      <c r="G244" s="1105"/>
      <c r="H244" s="1105"/>
      <c r="I244" s="1105"/>
      <c r="J244" s="1105"/>
      <c r="K244" s="1105"/>
      <c r="L244" s="1105"/>
      <c r="M244" s="1105"/>
      <c r="N244" s="1105"/>
      <c r="O244" s="1105"/>
      <c r="P244" s="1105"/>
      <c r="Q244" s="1105"/>
      <c r="R244" s="1105"/>
      <c r="S244" s="1105"/>
      <c r="T244" s="1105"/>
      <c r="U244" s="1105"/>
      <c r="V244" s="1105"/>
      <c r="W244" s="1105"/>
      <c r="X244" s="1105"/>
      <c r="Y244" s="1105"/>
      <c r="Z244" s="1105"/>
      <c r="AA244" s="1105"/>
      <c r="AB244" s="1105"/>
      <c r="AD244" s="1105"/>
      <c r="AE244" s="1105"/>
      <c r="AF244" s="1105"/>
      <c r="AG244" s="1105"/>
      <c r="AH244" s="1105"/>
      <c r="AI244" s="1105"/>
      <c r="AJ244" s="1105"/>
      <c r="AK244" s="1105"/>
      <c r="AL244" s="1105"/>
      <c r="AM244" s="1105"/>
      <c r="AN244" s="1105"/>
      <c r="AO244" s="1105"/>
      <c r="AP244" s="1105"/>
      <c r="AQ244" s="1105"/>
      <c r="AR244" s="1105"/>
      <c r="AS244" s="1105"/>
      <c r="AT244" s="1105"/>
      <c r="AU244" s="1105"/>
      <c r="AV244" s="1105"/>
      <c r="AW244" s="1105"/>
      <c r="AX244" s="1105"/>
      <c r="AY244" s="1105"/>
      <c r="AZ244" s="1105"/>
      <c r="BA244" s="1105"/>
      <c r="BB244" s="1105"/>
    </row>
  </sheetData>
  <mergeCells count="5">
    <mergeCell ref="B4:AB4"/>
    <mergeCell ref="AD4:BB4"/>
    <mergeCell ref="B7:C7"/>
    <mergeCell ref="B87:C87"/>
    <mergeCell ref="B167:C16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2:V620"/>
  <sheetViews>
    <sheetView showGridLines="0" zoomScale="85" zoomScaleNormal="85" workbookViewId="0">
      <pane ySplit="12" topLeftCell="A13" activePane="bottomLeft" state="frozen"/>
      <selection pane="bottomLeft" activeCell="A13" sqref="A13:N13"/>
    </sheetView>
  </sheetViews>
  <sheetFormatPr defaultColWidth="9.140625" defaultRowHeight="14.25"/>
  <cols>
    <col min="1" max="1" width="25.85546875" style="1144" customWidth="1"/>
    <col min="2" max="2" width="10.28515625" style="1144" customWidth="1"/>
    <col min="3" max="3" width="16.28515625" style="1144" bestFit="1" customWidth="1"/>
    <col min="4" max="6" width="19.5703125" style="1144" customWidth="1"/>
    <col min="7" max="7" width="33.5703125" style="1144" bestFit="1" customWidth="1"/>
    <col min="8" max="8" width="13.5703125" style="1144" bestFit="1" customWidth="1"/>
    <col min="9" max="9" width="12" style="1144" bestFit="1" customWidth="1"/>
    <col min="10" max="10" width="21" style="1144" customWidth="1"/>
    <col min="11" max="12" width="22.5703125" style="1144" customWidth="1"/>
    <col min="13" max="13" width="26.28515625" style="1144" customWidth="1"/>
    <col min="14" max="14" width="13.85546875" style="1144" customWidth="1"/>
    <col min="15" max="15" width="12.140625" style="1144" bestFit="1" customWidth="1"/>
    <col min="16" max="16" width="12.140625" style="1144" customWidth="1"/>
    <col min="17" max="17" width="8.85546875" style="1144" bestFit="1" customWidth="1"/>
    <col min="18" max="18" width="12.140625" style="1144" bestFit="1" customWidth="1"/>
    <col min="19" max="19" width="10" style="1144" bestFit="1" customWidth="1"/>
    <col min="20" max="20" width="12.140625" style="1144" bestFit="1" customWidth="1"/>
    <col min="21" max="21" width="13.85546875" style="1144" customWidth="1"/>
    <col min="22" max="22" width="2.7109375" style="1144" customWidth="1"/>
    <col min="23" max="16384" width="9.140625" style="1144"/>
  </cols>
  <sheetData>
    <row r="2" spans="1:22" ht="20.25">
      <c r="A2" s="1142" t="s">
        <v>885</v>
      </c>
      <c r="B2" s="1143"/>
      <c r="C2" s="1143"/>
      <c r="D2" s="1143"/>
      <c r="E2" s="1143"/>
      <c r="F2" s="1143"/>
      <c r="G2" s="1143"/>
      <c r="H2" s="1339"/>
      <c r="Q2" s="1340"/>
    </row>
    <row r="3" spans="1:22" s="1148" customFormat="1" ht="15">
      <c r="A3" s="1145" t="s">
        <v>841</v>
      </c>
      <c r="B3" s="1146" t="s">
        <v>886</v>
      </c>
      <c r="C3" s="1146" t="s">
        <v>887</v>
      </c>
      <c r="D3" s="1146" t="s">
        <v>888</v>
      </c>
      <c r="E3" s="1146" t="s">
        <v>889</v>
      </c>
      <c r="F3" s="1146" t="s">
        <v>890</v>
      </c>
      <c r="G3" s="1146" t="s">
        <v>936</v>
      </c>
      <c r="H3" s="1147" t="s">
        <v>935</v>
      </c>
      <c r="I3" s="1144"/>
      <c r="J3" s="1144"/>
      <c r="K3" s="1144"/>
      <c r="L3" s="1144"/>
      <c r="M3" s="1144"/>
      <c r="Q3" s="1341"/>
    </row>
    <row r="4" spans="1:22">
      <c r="A4" s="1149" t="s">
        <v>891</v>
      </c>
      <c r="B4" s="1150" t="s">
        <v>892</v>
      </c>
      <c r="C4" s="1151" t="s">
        <v>893</v>
      </c>
      <c r="D4" s="1151" t="s">
        <v>894</v>
      </c>
      <c r="E4" s="1152">
        <v>2.3E-3</v>
      </c>
      <c r="F4" s="1338" t="s">
        <v>895</v>
      </c>
      <c r="G4" s="1338" t="s">
        <v>57</v>
      </c>
      <c r="H4" s="1342">
        <f>INDEX(Lookups!$G$45:$G$48,MATCH(G4,Lookups!$E$45:$E$48,0))</f>
        <v>0.08</v>
      </c>
      <c r="Q4" s="1340"/>
    </row>
    <row r="5" spans="1:22">
      <c r="A5" s="1149" t="s">
        <v>923</v>
      </c>
      <c r="B5" s="1109" t="s">
        <v>897</v>
      </c>
      <c r="C5" s="1151" t="s">
        <v>893</v>
      </c>
      <c r="D5" s="1151" t="s">
        <v>894</v>
      </c>
      <c r="E5" s="1152">
        <f>20/2928</f>
        <v>6.8306010928961746E-3</v>
      </c>
      <c r="F5" s="1338" t="s">
        <v>925</v>
      </c>
      <c r="G5" s="1338" t="s">
        <v>57</v>
      </c>
      <c r="H5" s="1342">
        <f>INDEX(Lookups!$G$45:$G$48,MATCH(G5,Lookups!$E$45:$E$48,0))</f>
        <v>0.08</v>
      </c>
      <c r="Q5" s="1340"/>
    </row>
    <row r="6" spans="1:22">
      <c r="A6" s="1149" t="s">
        <v>896</v>
      </c>
      <c r="B6" s="1109" t="s">
        <v>901</v>
      </c>
      <c r="C6" s="1151" t="s">
        <v>893</v>
      </c>
      <c r="D6" s="1151" t="s">
        <v>898</v>
      </c>
      <c r="E6" s="1151" t="s">
        <v>899</v>
      </c>
      <c r="F6" s="1338" t="s">
        <v>87</v>
      </c>
      <c r="G6" s="1338" t="s">
        <v>57</v>
      </c>
      <c r="H6" s="1342">
        <f>INDEX(Lookups!$G$45:$G$48,MATCH(G6,Lookups!$E$45:$E$48,0))</f>
        <v>0.08</v>
      </c>
    </row>
    <row r="7" spans="1:22">
      <c r="A7" s="1149" t="s">
        <v>900</v>
      </c>
      <c r="B7" s="1109" t="s">
        <v>904</v>
      </c>
      <c r="C7" s="1151" t="s">
        <v>893</v>
      </c>
      <c r="D7" s="1151" t="s">
        <v>898</v>
      </c>
      <c r="E7" s="1151" t="s">
        <v>902</v>
      </c>
      <c r="F7" s="1338" t="s">
        <v>87</v>
      </c>
      <c r="G7" s="1338" t="s">
        <v>58</v>
      </c>
      <c r="H7" s="1342">
        <f>INDEX(Lookups!$G$45:$G$48,MATCH(G7,Lookups!$E$45:$E$48,0))</f>
        <v>0.08</v>
      </c>
    </row>
    <row r="8" spans="1:22">
      <c r="A8" s="1149" t="s">
        <v>903</v>
      </c>
      <c r="B8" s="1109" t="s">
        <v>907</v>
      </c>
      <c r="C8" s="1151" t="s">
        <v>893</v>
      </c>
      <c r="D8" s="1151" t="s">
        <v>898</v>
      </c>
      <c r="E8" s="1151" t="s">
        <v>905</v>
      </c>
      <c r="F8" s="1338" t="s">
        <v>87</v>
      </c>
      <c r="G8" s="1338" t="s">
        <v>58</v>
      </c>
      <c r="H8" s="1342">
        <f>INDEX(Lookups!$G$45:$G$48,MATCH(G8,Lookups!$E$45:$E$48,0))</f>
        <v>0.08</v>
      </c>
      <c r="K8" s="1631" t="s">
        <v>910</v>
      </c>
      <c r="L8" s="1632"/>
      <c r="M8" s="1633"/>
    </row>
    <row r="9" spans="1:22">
      <c r="A9" s="1149" t="s">
        <v>906</v>
      </c>
      <c r="B9" s="1109" t="s">
        <v>912</v>
      </c>
      <c r="C9" s="1151" t="s">
        <v>893</v>
      </c>
      <c r="D9" s="1151" t="s">
        <v>894</v>
      </c>
      <c r="E9" s="1153" t="s">
        <v>908</v>
      </c>
      <c r="F9" s="1338" t="s">
        <v>909</v>
      </c>
      <c r="G9" s="1338" t="s">
        <v>55</v>
      </c>
      <c r="H9" s="1342">
        <f>INDEX(Lookups!$G$45:$G$48,MATCH(G9,Lookups!$E$45:$E$48,0))</f>
        <v>0.08</v>
      </c>
      <c r="K9" s="1634"/>
      <c r="L9" s="1635"/>
      <c r="M9" s="1636"/>
    </row>
    <row r="10" spans="1:22">
      <c r="A10" s="1154" t="s">
        <v>911</v>
      </c>
      <c r="B10" s="1110" t="s">
        <v>924</v>
      </c>
      <c r="C10" s="1155" t="s">
        <v>893</v>
      </c>
      <c r="D10" s="1155" t="s">
        <v>898</v>
      </c>
      <c r="E10" s="1155" t="s">
        <v>913</v>
      </c>
      <c r="F10" s="1155" t="s">
        <v>87</v>
      </c>
      <c r="G10" s="1155" t="s">
        <v>56</v>
      </c>
      <c r="H10" s="1343">
        <f>INDEX(Lookups!$G$45:$G$48,MATCH(G10,Lookups!$E$45:$E$48,0))</f>
        <v>0.08</v>
      </c>
    </row>
    <row r="11" spans="1:22" ht="15" customHeight="1">
      <c r="A11" s="1156">
        <v>1</v>
      </c>
      <c r="B11" s="1157">
        <f t="shared" ref="B11:G11" si="0">A11+1</f>
        <v>2</v>
      </c>
      <c r="C11" s="1157">
        <f t="shared" si="0"/>
        <v>3</v>
      </c>
      <c r="D11" s="1157">
        <f t="shared" si="0"/>
        <v>4</v>
      </c>
      <c r="E11" s="1157">
        <f t="shared" si="0"/>
        <v>5</v>
      </c>
      <c r="F11" s="1157">
        <f t="shared" si="0"/>
        <v>6</v>
      </c>
      <c r="G11" s="1157">
        <f t="shared" si="0"/>
        <v>7</v>
      </c>
      <c r="H11" s="1157"/>
      <c r="I11" s="1157">
        <v>1</v>
      </c>
      <c r="J11" s="1157">
        <f>I11+1</f>
        <v>2</v>
      </c>
      <c r="K11" s="1157">
        <f>J11+1</f>
        <v>3</v>
      </c>
      <c r="L11" s="1157">
        <f>K11+1</f>
        <v>4</v>
      </c>
      <c r="M11" s="1157">
        <f>L11+1</f>
        <v>5</v>
      </c>
      <c r="N11" s="1157">
        <f>M11+1</f>
        <v>6</v>
      </c>
      <c r="O11" s="1157"/>
      <c r="P11" s="1157"/>
      <c r="Q11" s="1157"/>
      <c r="R11" s="1157"/>
      <c r="S11" s="1157"/>
      <c r="T11" s="1157"/>
      <c r="U11" s="1157"/>
      <c r="V11" s="541"/>
    </row>
    <row r="12" spans="1:22" s="1157" customFormat="1" ht="15" customHeight="1">
      <c r="C12" s="1157">
        <v>2</v>
      </c>
      <c r="D12" s="1157">
        <v>4</v>
      </c>
      <c r="V12" s="541"/>
    </row>
    <row r="13" spans="1:22" s="541" customFormat="1" ht="21" customHeight="1">
      <c r="A13" s="1641" t="str">
        <f>A4</f>
        <v>Top 20 All Hours</v>
      </c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3"/>
    </row>
    <row r="14" spans="1:22" s="1161" customFormat="1" ht="15" customHeight="1">
      <c r="A14" s="1639" t="s">
        <v>593</v>
      </c>
      <c r="B14" s="1640"/>
      <c r="C14" s="1158" t="s">
        <v>918</v>
      </c>
      <c r="D14" s="1159" t="s">
        <v>63</v>
      </c>
      <c r="E14" s="1158" t="s">
        <v>918</v>
      </c>
      <c r="F14" s="1158" t="s">
        <v>63</v>
      </c>
      <c r="G14" s="1160" t="s">
        <v>704</v>
      </c>
      <c r="I14" s="1637" t="s">
        <v>76</v>
      </c>
      <c r="J14" s="1162" t="s">
        <v>914</v>
      </c>
      <c r="K14" s="1162" t="s">
        <v>915</v>
      </c>
      <c r="L14" s="1163" t="s">
        <v>942</v>
      </c>
      <c r="M14" s="1163" t="s">
        <v>916</v>
      </c>
      <c r="N14" s="1638" t="s">
        <v>917</v>
      </c>
    </row>
    <row r="15" spans="1:22" s="541" customFormat="1" ht="15">
      <c r="A15" s="1164"/>
      <c r="B15" s="1165"/>
      <c r="C15" s="1166" t="s">
        <v>71</v>
      </c>
      <c r="D15" s="1167" t="s">
        <v>71</v>
      </c>
      <c r="E15" s="1166" t="s">
        <v>71</v>
      </c>
      <c r="F15" s="1166" t="s">
        <v>71</v>
      </c>
      <c r="G15" s="1168"/>
      <c r="I15" s="1637"/>
      <c r="J15" s="1169" t="s">
        <v>919</v>
      </c>
      <c r="K15" s="1169" t="s">
        <v>919</v>
      </c>
      <c r="L15" s="1170" t="s">
        <v>919</v>
      </c>
      <c r="M15" s="1170" t="s">
        <v>919</v>
      </c>
      <c r="N15" s="1638"/>
    </row>
    <row r="16" spans="1:22" s="541" customFormat="1" ht="20.25">
      <c r="A16" s="1211" t="s">
        <v>600</v>
      </c>
      <c r="B16" s="1212"/>
      <c r="C16" s="1213"/>
      <c r="D16" s="1214"/>
      <c r="E16" s="1215" t="s">
        <v>633</v>
      </c>
      <c r="F16" s="1138"/>
      <c r="G16" s="1139"/>
      <c r="I16" s="1637"/>
      <c r="J16" s="1171" t="s">
        <v>71</v>
      </c>
      <c r="K16" s="1171" t="s">
        <v>71</v>
      </c>
      <c r="L16" s="1172" t="s">
        <v>71</v>
      </c>
      <c r="M16" s="1172" t="s">
        <v>71</v>
      </c>
      <c r="N16" s="1638"/>
    </row>
    <row r="17" spans="1:14" s="1177" customFormat="1" ht="18">
      <c r="A17" s="1140">
        <f>Year1</f>
        <v>2021</v>
      </c>
      <c r="B17" s="1141" t="str">
        <f>Year1&amp;"$"</f>
        <v>2021$</v>
      </c>
      <c r="C17" s="1173"/>
      <c r="D17" s="1174"/>
      <c r="E17" s="1175"/>
      <c r="F17" s="1176"/>
      <c r="G17" s="1174"/>
      <c r="I17" s="1178" t="s">
        <v>922</v>
      </c>
      <c r="J17" s="1179"/>
      <c r="K17" s="1179"/>
      <c r="L17" s="1179"/>
      <c r="M17" s="1180"/>
      <c r="N17" s="1181"/>
    </row>
    <row r="18" spans="1:14" s="541" customFormat="1">
      <c r="A18" s="1182">
        <v>1</v>
      </c>
      <c r="B18" s="1183">
        <f>Year1</f>
        <v>2021</v>
      </c>
      <c r="C18" s="1184">
        <f t="shared" ref="C18:C44" si="1">VLOOKUP($B18,$I$18:$N$50,C$12,FALSE)*(1+Inflation1)^(Year1-Real_Year)</f>
        <v>0.11179256994190273</v>
      </c>
      <c r="D18" s="1185">
        <f t="shared" ref="D18:D44" si="2">VLOOKUP($B18,$I$18:$N$50,IF($A$17=Year1,D$12,D$12+1),FALSE)*(1+Inflation1)^(Year1-Real_Year)</f>
        <v>2.1881718715162563E-2</v>
      </c>
      <c r="E18" s="1186">
        <f>NPV(realdiscrt1,C$18:C18)/(1+realdiscrt1)^-Half_Year</f>
        <v>0.11101026224219271</v>
      </c>
      <c r="F18" s="1186">
        <f>NPV(realdiscrt1,D$18:D18)/(1+realdiscrt1)^-Half_Year</f>
        <v>2.172859371729681E-2</v>
      </c>
      <c r="G18" s="1187" t="str">
        <f>$A$17&amp;"-"&amp;$A$13&amp;"-"&amp;A18</f>
        <v>2021-Top 20 All Hours-1</v>
      </c>
      <c r="I18" s="1188">
        <v>2018</v>
      </c>
      <c r="J18" s="1189">
        <f t="shared" ref="J18:J50" si="3">(K18+$N18)*(1+WholesaleRiskPremium)</f>
        <v>6.4128875076119168E-2</v>
      </c>
      <c r="K18" s="1190">
        <v>5.1966223821509394E-2</v>
      </c>
      <c r="L18" s="1191">
        <v>7.7141275324333625E-3</v>
      </c>
      <c r="M18" s="1191">
        <v>0</v>
      </c>
      <c r="N18" s="1206">
        <f>INDEX(AESC!$H$184:$H$216,MATCH(I18,AESC!$B$184:$B$216,0))</f>
        <v>7.4123642119342734E-3</v>
      </c>
    </row>
    <row r="19" spans="1:14" s="541" customFormat="1">
      <c r="A19" s="1182">
        <v>2</v>
      </c>
      <c r="B19" s="1183">
        <f t="shared" ref="B19:B44" si="4">B18+1</f>
        <v>2022</v>
      </c>
      <c r="C19" s="1184">
        <f t="shared" si="1"/>
        <v>7.9226277917269605E-2</v>
      </c>
      <c r="D19" s="1185">
        <f t="shared" si="2"/>
        <v>1.4479546498587133E-2</v>
      </c>
      <c r="E19" s="1186">
        <f>NPV(realdiscrt1,C$18:C19)/(1+realdiscrt1)^-Half_Year</f>
        <v>0.18858491115846163</v>
      </c>
      <c r="F19" s="1186">
        <f>NPV(realdiscrt1,D$18:D19)/(1+realdiscrt1)^-Half_Year</f>
        <v>3.5906285332036228E-2</v>
      </c>
      <c r="G19" s="1187" t="str">
        <f t="shared" ref="G19:G42" si="5">$A$17&amp;"-"&amp;$A$13&amp;"-"&amp;A19</f>
        <v>2021-Top 20 All Hours-2</v>
      </c>
      <c r="I19" s="1188">
        <v>2019</v>
      </c>
      <c r="J19" s="1189">
        <f t="shared" si="3"/>
        <v>6.7490540093144064E-2</v>
      </c>
      <c r="K19" s="1190">
        <v>5.1200504775195638E-2</v>
      </c>
      <c r="L19" s="1191">
        <v>1.1264746143512026E-2</v>
      </c>
      <c r="M19" s="1191">
        <v>7.2668459805908074E-3</v>
      </c>
      <c r="N19" s="1192">
        <f>INDEX(AESC!$H$184:$H$216,MATCH(I19,AESC!$B$184:$B$216,0))</f>
        <v>1.1290736051789593E-2</v>
      </c>
    </row>
    <row r="20" spans="1:14" s="541" customFormat="1">
      <c r="A20" s="1182">
        <f t="shared" ref="A20:A44" si="6">A19+1</f>
        <v>3</v>
      </c>
      <c r="B20" s="1183">
        <f t="shared" si="4"/>
        <v>2023</v>
      </c>
      <c r="C20" s="1184">
        <f t="shared" si="1"/>
        <v>6.80877094945639E-2</v>
      </c>
      <c r="D20" s="1185">
        <f t="shared" si="2"/>
        <v>9.760502784745502E-3</v>
      </c>
      <c r="E20" s="1186">
        <f>NPV(realdiscrt1,C$18:C20)/(1+realdiscrt1)^-Half_Year</f>
        <v>0.25432339254960062</v>
      </c>
      <c r="F20" s="1186">
        <f>NPV(realdiscrt1,D$18:D20)/(1+realdiscrt1)^-Half_Year</f>
        <v>4.5330021795580808E-2</v>
      </c>
      <c r="G20" s="1187" t="str">
        <f t="shared" si="5"/>
        <v>2021-Top 20 All Hours-3</v>
      </c>
      <c r="I20" s="1188">
        <v>2020</v>
      </c>
      <c r="J20" s="1189">
        <f t="shared" si="3"/>
        <v>6.9854960422078061E-2</v>
      </c>
      <c r="K20" s="1190">
        <v>5.5998685871064581E-2</v>
      </c>
      <c r="L20" s="1191">
        <v>1.1479761693567462E-2</v>
      </c>
      <c r="M20" s="1191">
        <v>1.0630192054976784E-2</v>
      </c>
      <c r="N20" s="1192">
        <f>INDEX(AESC!$H$184:$H$216,MATCH(I20,AESC!$B$184:$B$216,0))</f>
        <v>8.6818330382669468E-3</v>
      </c>
    </row>
    <row r="21" spans="1:14" s="541" customFormat="1">
      <c r="A21" s="1182">
        <f t="shared" si="6"/>
        <v>4</v>
      </c>
      <c r="B21" s="1183">
        <f t="shared" si="4"/>
        <v>2024</v>
      </c>
      <c r="C21" s="1184">
        <f t="shared" si="1"/>
        <v>6.8375211161279467E-2</v>
      </c>
      <c r="D21" s="1185">
        <f t="shared" si="2"/>
        <v>7.5655266007342327E-3</v>
      </c>
      <c r="E21" s="1186">
        <f>NPV(realdiscrt1,C$18:C21)/(1+realdiscrt1)^-Half_Year</f>
        <v>0.31941874765309303</v>
      </c>
      <c r="F21" s="1186">
        <f>NPV(realdiscrt1,D$18:D21)/(1+realdiscrt1)^-Half_Year</f>
        <v>5.2532641462203523E-2</v>
      </c>
      <c r="G21" s="1187" t="str">
        <f t="shared" si="5"/>
        <v>2021-Top 20 All Hours-4</v>
      </c>
      <c r="I21" s="1188">
        <v>2021</v>
      </c>
      <c r="J21" s="1189">
        <f t="shared" si="3"/>
        <v>0.10593552609177798</v>
      </c>
      <c r="K21" s="1190">
        <v>9.1352144174257785E-2</v>
      </c>
      <c r="L21" s="1191">
        <v>2.0735290235189278E-2</v>
      </c>
      <c r="M21" s="1191">
        <v>2.0406858610342339E-2</v>
      </c>
      <c r="N21" s="1192">
        <f>INDEX(AESC!$H$184:$H$216,MATCH(I21,AESC!$B$184:$B$216,0))</f>
        <v>6.736305910721818E-3</v>
      </c>
    </row>
    <row r="22" spans="1:14" s="541" customFormat="1">
      <c r="A22" s="1182">
        <f t="shared" si="6"/>
        <v>5</v>
      </c>
      <c r="B22" s="1183">
        <f t="shared" si="4"/>
        <v>2025</v>
      </c>
      <c r="C22" s="1184">
        <f t="shared" si="1"/>
        <v>6.8937036814076133E-2</v>
      </c>
      <c r="D22" s="1185">
        <f t="shared" si="2"/>
        <v>4.9612721938307501E-3</v>
      </c>
      <c r="E22" s="1186">
        <f>NPV(realdiscrt1,C$18:C22)/(1+realdiscrt1)^-Half_Year</f>
        <v>0.38413365128748966</v>
      </c>
      <c r="F22" s="1186">
        <f>NPV(realdiscrt1,D$18:D22)/(1+realdiscrt1)^-Half_Year</f>
        <v>5.7190054469288425E-2</v>
      </c>
      <c r="G22" s="1187" t="str">
        <f t="shared" si="5"/>
        <v>2021-Top 20 All Hours-5</v>
      </c>
      <c r="I22" s="1188">
        <v>2022</v>
      </c>
      <c r="J22" s="1189">
        <f t="shared" si="3"/>
        <v>7.5075449431219313E-2</v>
      </c>
      <c r="K22" s="1190">
        <v>6.4399874315776165E-2</v>
      </c>
      <c r="L22" s="1191">
        <v>1.3720933123689154E-2</v>
      </c>
      <c r="M22" s="1191">
        <v>1.511604259783814E-2</v>
      </c>
      <c r="N22" s="1192">
        <f>INDEX(AESC!$H$184:$H$216,MATCH(I22,AESC!$B$184:$B$216,0))</f>
        <v>5.1144307131305942E-3</v>
      </c>
    </row>
    <row r="23" spans="1:14" s="541" customFormat="1">
      <c r="A23" s="1182">
        <f t="shared" si="6"/>
        <v>6</v>
      </c>
      <c r="B23" s="1183">
        <f t="shared" si="4"/>
        <v>2026</v>
      </c>
      <c r="C23" s="1184">
        <f t="shared" si="1"/>
        <v>7.9687530054256425E-2</v>
      </c>
      <c r="D23" s="1185">
        <f t="shared" si="2"/>
        <v>2.9859557083344928E-3</v>
      </c>
      <c r="E23" s="1186">
        <f>NPV(realdiscrt1,C$18:C23)/(1+realdiscrt1)^-Half_Year</f>
        <v>0.45789730834617676</v>
      </c>
      <c r="F23" s="1186">
        <f>NPV(realdiscrt1,D$18:D23)/(1+realdiscrt1)^-Half_Year</f>
        <v>5.9954037901979222E-2</v>
      </c>
      <c r="G23" s="1187" t="str">
        <f t="shared" si="5"/>
        <v>2021-Top 20 All Hours-6</v>
      </c>
      <c r="I23" s="1188">
        <v>2023</v>
      </c>
      <c r="J23" s="1189">
        <f t="shared" si="3"/>
        <v>6.4520453635149771E-2</v>
      </c>
      <c r="K23" s="1190">
        <v>5.4269031556913622E-2</v>
      </c>
      <c r="L23" s="1191">
        <v>9.2491298657829211E-3</v>
      </c>
      <c r="M23" s="1191">
        <v>1.1623814244628132E-2</v>
      </c>
      <c r="N23" s="1192">
        <f>INDEX(AESC!$H$184:$H$216,MATCH(I23,AESC!$B$184:$B$216,0))</f>
        <v>5.4721292163732024E-3</v>
      </c>
    </row>
    <row r="24" spans="1:14" s="541" customFormat="1">
      <c r="A24" s="1182">
        <f t="shared" si="6"/>
        <v>7</v>
      </c>
      <c r="B24" s="1183">
        <f t="shared" si="4"/>
        <v>2027</v>
      </c>
      <c r="C24" s="1184">
        <f t="shared" si="1"/>
        <v>6.9703820176386488E-2</v>
      </c>
      <c r="D24" s="1185">
        <f t="shared" si="2"/>
        <v>1.5909777236885908E-3</v>
      </c>
      <c r="E24" s="1186">
        <f>NPV(realdiscrt1,C$18:C24)/(1+realdiscrt1)^-Half_Year</f>
        <v>0.52151955952204598</v>
      </c>
      <c r="F24" s="1186">
        <f>NPV(realdiscrt1,D$18:D24)/(1+realdiscrt1)^-Half_Year</f>
        <v>6.1406204857758488E-2</v>
      </c>
      <c r="G24" s="1187" t="str">
        <f t="shared" si="5"/>
        <v>2021-Top 20 All Hours-7</v>
      </c>
      <c r="I24" s="1188">
        <v>2024</v>
      </c>
      <c r="J24" s="1189">
        <f t="shared" si="3"/>
        <v>6.4792892495188534E-2</v>
      </c>
      <c r="K24" s="1190">
        <v>5.4979141301942092E-2</v>
      </c>
      <c r="L24" s="1191">
        <v>7.1691530217672765E-3</v>
      </c>
      <c r="M24" s="1191">
        <v>9.2524735079714347E-3</v>
      </c>
      <c r="N24" s="1192">
        <f>INDEX(AESC!$H$184:$H$216,MATCH(I24,AESC!$B$184:$B$216,0))</f>
        <v>5.0142776750843193E-3</v>
      </c>
    </row>
    <row r="25" spans="1:14" s="541" customFormat="1">
      <c r="A25" s="1182">
        <f t="shared" si="6"/>
        <v>8</v>
      </c>
      <c r="B25" s="1183">
        <f t="shared" si="4"/>
        <v>2028</v>
      </c>
      <c r="C25" s="1184">
        <f t="shared" si="1"/>
        <v>7.3721933163441833E-2</v>
      </c>
      <c r="D25" s="1185">
        <f t="shared" si="2"/>
        <v>0</v>
      </c>
      <c r="E25" s="1186">
        <f>NPV(realdiscrt1,C$18:C25)/(1+realdiscrt1)^-Half_Year</f>
        <v>0.58787087587378406</v>
      </c>
      <c r="F25" s="1186">
        <f>NPV(realdiscrt1,D$18:D25)/(1+realdiscrt1)^-Half_Year</f>
        <v>6.1406204857758488E-2</v>
      </c>
      <c r="G25" s="1187" t="str">
        <f t="shared" si="5"/>
        <v>2021-Top 20 All Hours-8</v>
      </c>
      <c r="I25" s="1188">
        <v>2025</v>
      </c>
      <c r="J25" s="1189">
        <f t="shared" si="3"/>
        <v>6.5325282940562515E-2</v>
      </c>
      <c r="K25" s="1190">
        <v>5.6353731999559835E-2</v>
      </c>
      <c r="L25" s="1191">
        <v>4.701340887065259E-3</v>
      </c>
      <c r="M25" s="1191">
        <v>6.4716006847179673E-3</v>
      </c>
      <c r="N25" s="1192">
        <f>INDEX(AESC!$H$184:$H$216,MATCH(I25,AESC!$B$184:$B$216,0))</f>
        <v>4.1326410935536026E-3</v>
      </c>
    </row>
    <row r="26" spans="1:14" s="541" customFormat="1">
      <c r="A26" s="1182">
        <f t="shared" si="6"/>
        <v>9</v>
      </c>
      <c r="B26" s="1183">
        <f t="shared" si="4"/>
        <v>2029</v>
      </c>
      <c r="C26" s="1184">
        <f t="shared" si="1"/>
        <v>9.1012258615488326E-2</v>
      </c>
      <c r="D26" s="1185">
        <f t="shared" si="2"/>
        <v>0</v>
      </c>
      <c r="E26" s="1186">
        <f>NPV(realdiscrt1,C$18:C26)/(1+realdiscrt1)^-Half_Year</f>
        <v>0.66864143657404729</v>
      </c>
      <c r="F26" s="1186">
        <f>NPV(realdiscrt1,D$18:D26)/(1+realdiscrt1)^-Half_Year</f>
        <v>6.1406204857758488E-2</v>
      </c>
      <c r="G26" s="1187" t="str">
        <f t="shared" si="5"/>
        <v>2021-Top 20 All Hours-9</v>
      </c>
      <c r="I26" s="1188">
        <v>2026</v>
      </c>
      <c r="J26" s="1189">
        <f t="shared" si="3"/>
        <v>7.5512535615194235E-2</v>
      </c>
      <c r="K26" s="1190">
        <v>6.6506103758641993E-2</v>
      </c>
      <c r="L26" s="1191">
        <v>2.829515315852826E-3</v>
      </c>
      <c r="M26" s="1191">
        <v>5.242844915278262E-3</v>
      </c>
      <c r="N26" s="1192">
        <f>INDEX(AESC!$H$184:$H$216,MATCH(I26,AESC!$B$184:$B$216,0))</f>
        <v>3.4129106998711735E-3</v>
      </c>
    </row>
    <row r="27" spans="1:14" s="541" customFormat="1">
      <c r="A27" s="1182">
        <f t="shared" si="6"/>
        <v>10</v>
      </c>
      <c r="B27" s="1183">
        <f t="shared" si="4"/>
        <v>2030</v>
      </c>
      <c r="C27" s="1184">
        <f t="shared" si="1"/>
        <v>9.7921792875573316E-2</v>
      </c>
      <c r="D27" s="1185">
        <f t="shared" si="2"/>
        <v>0</v>
      </c>
      <c r="E27" s="1186">
        <f>NPV(realdiscrt1,C$18:C27)/(1+realdiscrt1)^-Half_Year</f>
        <v>0.75433198830385573</v>
      </c>
      <c r="F27" s="1186">
        <f>NPV(realdiscrt1,D$18:D27)/(1+realdiscrt1)^-Half_Year</f>
        <v>6.1406204857758488E-2</v>
      </c>
      <c r="G27" s="1187" t="str">
        <f t="shared" si="5"/>
        <v>2021-Top 20 All Hours-10</v>
      </c>
      <c r="I27" s="1188">
        <v>2027</v>
      </c>
      <c r="J27" s="1189">
        <f t="shared" si="3"/>
        <v>6.6051892937335863E-2</v>
      </c>
      <c r="K27" s="1190">
        <v>5.8456776091502918E-2</v>
      </c>
      <c r="L27" s="1191">
        <v>1.5076231116865728E-3</v>
      </c>
      <c r="M27" s="1191">
        <v>2.543300059792157E-3</v>
      </c>
      <c r="N27" s="1192">
        <f>INDEX(AESC!$H$184:$H$216,MATCH(I27,AESC!$B$184:$B$216,0))</f>
        <v>2.7023840356599142E-3</v>
      </c>
    </row>
    <row r="28" spans="1:14" s="541" customFormat="1">
      <c r="A28" s="1182">
        <f t="shared" si="6"/>
        <v>11</v>
      </c>
      <c r="B28" s="1183">
        <f t="shared" si="4"/>
        <v>2031</v>
      </c>
      <c r="C28" s="1184">
        <f t="shared" si="1"/>
        <v>7.6006692380949481E-2</v>
      </c>
      <c r="D28" s="1185">
        <f t="shared" si="2"/>
        <v>0</v>
      </c>
      <c r="E28" s="1186">
        <f>NPV(realdiscrt1,C$18:C28)/(1+realdiscrt1)^-Half_Year</f>
        <v>0.8199171801537094</v>
      </c>
      <c r="F28" s="1186">
        <f>NPV(realdiscrt1,D$18:D28)/(1+realdiscrt1)^-Half_Year</f>
        <v>6.1406204857758488E-2</v>
      </c>
      <c r="G28" s="1187" t="str">
        <f t="shared" si="5"/>
        <v>2021-Top 20 All Hours-11</v>
      </c>
      <c r="I28" s="1188">
        <v>2028</v>
      </c>
      <c r="J28" s="1189">
        <f t="shared" si="3"/>
        <v>6.9859488678279333E-2</v>
      </c>
      <c r="K28" s="1190">
        <v>6.2278437298861539E-2</v>
      </c>
      <c r="L28" s="1191">
        <v>0</v>
      </c>
      <c r="M28" s="1191">
        <v>1.6578845855953523E-3</v>
      </c>
      <c r="N28" s="1192">
        <f>INDEX(AESC!$H$184:$H$216,MATCH(I28,AESC!$B$184:$B$216,0))</f>
        <v>2.4062744402859834E-3</v>
      </c>
    </row>
    <row r="29" spans="1:14" s="541" customFormat="1">
      <c r="A29" s="1182">
        <f t="shared" si="6"/>
        <v>12</v>
      </c>
      <c r="B29" s="1183">
        <f t="shared" si="4"/>
        <v>2032</v>
      </c>
      <c r="C29" s="1184">
        <f t="shared" si="1"/>
        <v>7.1163030308311864E-2</v>
      </c>
      <c r="D29" s="1185">
        <f t="shared" si="2"/>
        <v>0</v>
      </c>
      <c r="E29" s="1186">
        <f>NPV(realdiscrt1,C$18:C29)/(1+realdiscrt1)^-Half_Year</f>
        <v>0.88046643042959793</v>
      </c>
      <c r="F29" s="1186">
        <f>NPV(realdiscrt1,D$18:D29)/(1+realdiscrt1)^-Half_Year</f>
        <v>6.1406204857758488E-2</v>
      </c>
      <c r="G29" s="1187" t="str">
        <f t="shared" si="5"/>
        <v>2021-Top 20 All Hours-12</v>
      </c>
      <c r="I29" s="1188">
        <v>2029</v>
      </c>
      <c r="J29" s="1189">
        <f t="shared" si="3"/>
        <v>8.624393823528026E-2</v>
      </c>
      <c r="K29" s="1190">
        <v>7.7574299956569559E-2</v>
      </c>
      <c r="L29" s="1191">
        <v>0</v>
      </c>
      <c r="M29" s="1191">
        <v>0</v>
      </c>
      <c r="N29" s="1192">
        <f>INDEX(AESC!$H$184:$H$216,MATCH(I29,AESC!$B$184:$B$216,0))</f>
        <v>2.2811984094306798E-3</v>
      </c>
    </row>
    <row r="30" spans="1:14" s="541" customFormat="1">
      <c r="A30" s="1182">
        <f t="shared" si="6"/>
        <v>13</v>
      </c>
      <c r="B30" s="1183">
        <f t="shared" si="4"/>
        <v>2033</v>
      </c>
      <c r="C30" s="1184">
        <f t="shared" si="1"/>
        <v>7.3387730301116796E-2</v>
      </c>
      <c r="D30" s="1185">
        <f t="shared" si="2"/>
        <v>0</v>
      </c>
      <c r="E30" s="1186">
        <f>NPV(realdiscrt1,C$18:C30)/(1+realdiscrt1)^-Half_Year</f>
        <v>0.94203770873387838</v>
      </c>
      <c r="F30" s="1186">
        <f>NPV(realdiscrt1,D$18:D30)/(1+realdiscrt1)^-Half_Year</f>
        <v>6.1406204857758488E-2</v>
      </c>
      <c r="G30" s="1187" t="str">
        <f t="shared" si="5"/>
        <v>2021-Top 20 All Hours-13</v>
      </c>
      <c r="I30" s="1188">
        <v>2030</v>
      </c>
      <c r="J30" s="1189">
        <f t="shared" si="3"/>
        <v>9.2791467711270129E-2</v>
      </c>
      <c r="K30" s="1190">
        <v>8.3631207477500566E-2</v>
      </c>
      <c r="L30" s="1191">
        <v>0</v>
      </c>
      <c r="M30" s="1191">
        <v>0</v>
      </c>
      <c r="N30" s="1192">
        <f>INDEX(AESC!$H$184:$H$216,MATCH(I30,AESC!$B$184:$B$216,0))</f>
        <v>2.2868181810828765E-3</v>
      </c>
    </row>
    <row r="31" spans="1:14" s="541" customFormat="1">
      <c r="A31" s="1182">
        <f t="shared" si="6"/>
        <v>14</v>
      </c>
      <c r="B31" s="1183">
        <f t="shared" si="4"/>
        <v>2034</v>
      </c>
      <c r="C31" s="1184">
        <f t="shared" si="1"/>
        <v>8.2329039892230491E-2</v>
      </c>
      <c r="D31" s="1185">
        <f t="shared" si="2"/>
        <v>0</v>
      </c>
      <c r="E31" s="1186">
        <f>NPV(realdiscrt1,C$18:C31)/(1+realdiscrt1)^-Half_Year</f>
        <v>1.0101472792704538</v>
      </c>
      <c r="F31" s="1186">
        <f>NPV(realdiscrt1,D$18:D31)/(1+realdiscrt1)^-Half_Year</f>
        <v>6.1406204857758488E-2</v>
      </c>
      <c r="G31" s="1187" t="str">
        <f t="shared" si="5"/>
        <v>2021-Top 20 All Hours-14</v>
      </c>
      <c r="I31" s="1188">
        <v>2031</v>
      </c>
      <c r="J31" s="1189">
        <f t="shared" si="3"/>
        <v>7.2024544637056334E-2</v>
      </c>
      <c r="K31" s="1190">
        <v>6.4350541055958305E-2</v>
      </c>
      <c r="L31" s="1191">
        <v>0</v>
      </c>
      <c r="M31" s="1191">
        <v>0</v>
      </c>
      <c r="N31" s="1192">
        <f>INDEX(AESC!$H$184:$H$216,MATCH(I31,AESC!$B$184:$B$216,0))</f>
        <v>2.3388521265012515E-3</v>
      </c>
    </row>
    <row r="32" spans="1:14" s="541" customFormat="1">
      <c r="A32" s="1182">
        <f t="shared" si="6"/>
        <v>15</v>
      </c>
      <c r="B32" s="1183">
        <f t="shared" si="4"/>
        <v>2035</v>
      </c>
      <c r="C32" s="1184">
        <f t="shared" si="1"/>
        <v>9.2861619469154458E-2</v>
      </c>
      <c r="D32" s="1185">
        <f t="shared" si="2"/>
        <v>0</v>
      </c>
      <c r="E32" s="1186">
        <f>NPV(realdiscrt1,C$18:C32)/(1+realdiscrt1)^-Half_Year</f>
        <v>1.0858988637862197</v>
      </c>
      <c r="F32" s="1186">
        <f>NPV(realdiscrt1,D$18:D32)/(1+realdiscrt1)^-Half_Year</f>
        <v>6.1406204857758488E-2</v>
      </c>
      <c r="G32" s="1187" t="str">
        <f t="shared" si="5"/>
        <v>2021-Top 20 All Hours-15</v>
      </c>
      <c r="I32" s="1188">
        <v>2032</v>
      </c>
      <c r="J32" s="1189">
        <f t="shared" si="3"/>
        <v>6.7434652033797296E-2</v>
      </c>
      <c r="K32" s="1190">
        <v>5.9647222080674724E-2</v>
      </c>
      <c r="L32" s="1191">
        <v>0</v>
      </c>
      <c r="M32" s="1191">
        <v>0</v>
      </c>
      <c r="N32" s="1192">
        <f>INDEX(AESC!$H$184:$H$216,MATCH(I32,AESC!$B$184:$B$216,0))</f>
        <v>2.7922705432116535E-3</v>
      </c>
    </row>
    <row r="33" spans="1:14" s="541" customFormat="1">
      <c r="A33" s="1182">
        <f t="shared" si="6"/>
        <v>16</v>
      </c>
      <c r="B33" s="1183">
        <f t="shared" si="4"/>
        <v>2036</v>
      </c>
      <c r="C33" s="1184">
        <f t="shared" si="1"/>
        <v>9.7634434998754224E-2</v>
      </c>
      <c r="D33" s="1185">
        <f t="shared" si="2"/>
        <v>0</v>
      </c>
      <c r="E33" s="1186">
        <f>NPV(realdiscrt1,C$18:C33)/(1+realdiscrt1)^-Half_Year</f>
        <v>1.1644330707687014</v>
      </c>
      <c r="F33" s="1186">
        <f>NPV(realdiscrt1,D$18:D33)/(1+realdiscrt1)^-Half_Year</f>
        <v>6.1406204857758488E-2</v>
      </c>
      <c r="G33" s="1187" t="str">
        <f t="shared" si="5"/>
        <v>2021-Top 20 All Hours-16</v>
      </c>
      <c r="I33" s="1188">
        <v>2033</v>
      </c>
      <c r="J33" s="1189">
        <f t="shared" si="3"/>
        <v>6.9542795394815324E-2</v>
      </c>
      <c r="K33" s="1190">
        <v>6.1493395821177244E-2</v>
      </c>
      <c r="L33" s="1210">
        <v>0</v>
      </c>
      <c r="M33" s="1191">
        <v>0</v>
      </c>
      <c r="N33" s="1192">
        <f>INDEX(AESC!$H$184:$H$216,MATCH(I33,AESC!$B$184:$B$216,0))</f>
        <v>2.8980813962443596E-3</v>
      </c>
    </row>
    <row r="34" spans="1:14" s="541" customFormat="1">
      <c r="A34" s="1182">
        <f t="shared" si="6"/>
        <v>17</v>
      </c>
      <c r="B34" s="1183">
        <f t="shared" si="4"/>
        <v>2037</v>
      </c>
      <c r="C34" s="1184">
        <f t="shared" si="1"/>
        <v>0.10265459674407244</v>
      </c>
      <c r="D34" s="1185">
        <f t="shared" si="2"/>
        <v>0</v>
      </c>
      <c r="E34" s="1186">
        <f>NPV(realdiscrt1,C$18:C34)/(1+realdiscrt1)^-Half_Year</f>
        <v>1.2458537317572385</v>
      </c>
      <c r="F34" s="1186">
        <f>NPV(realdiscrt1,D$18:D34)/(1+realdiscrt1)^-Half_Year</f>
        <v>6.1406204857758488E-2</v>
      </c>
      <c r="G34" s="1187" t="str">
        <f t="shared" si="5"/>
        <v>2021-Top 20 All Hours-17</v>
      </c>
      <c r="I34" s="1188">
        <v>2034</v>
      </c>
      <c r="J34" s="1189">
        <f t="shared" si="3"/>
        <v>7.8015651291914206E-2</v>
      </c>
      <c r="K34" s="1190">
        <v>6.9228812292479847E-2</v>
      </c>
      <c r="L34" s="1210">
        <v>0</v>
      </c>
      <c r="M34" s="1191">
        <v>0</v>
      </c>
      <c r="N34" s="1192">
        <f>INDEX(AESC!$H$184:$H$216,MATCH(I34,AESC!$B$184:$B$216,0))</f>
        <v>3.0079018666999643E-3</v>
      </c>
    </row>
    <row r="35" spans="1:14" s="541" customFormat="1">
      <c r="A35" s="1182">
        <f t="shared" si="6"/>
        <v>18</v>
      </c>
      <c r="B35" s="1183">
        <f t="shared" si="4"/>
        <v>2038</v>
      </c>
      <c r="C35" s="1184">
        <f t="shared" si="1"/>
        <v>0.10793507292401183</v>
      </c>
      <c r="D35" s="1185">
        <f t="shared" si="2"/>
        <v>0</v>
      </c>
      <c r="E35" s="1186">
        <f>NPV(realdiscrt1,C$18:C35)/(1+realdiscrt1)^-Half_Year</f>
        <v>1.3302686470173468</v>
      </c>
      <c r="F35" s="1186">
        <f>NPV(realdiscrt1,D$18:D35)/(1+realdiscrt1)^-Half_Year</f>
        <v>6.1406204857758488E-2</v>
      </c>
      <c r="G35" s="1187" t="str">
        <f t="shared" si="5"/>
        <v>2021-Top 20 All Hours-18</v>
      </c>
      <c r="I35" s="1188">
        <v>2035</v>
      </c>
      <c r="J35" s="1189">
        <f t="shared" si="3"/>
        <v>8.7996407250604577E-2</v>
      </c>
      <c r="K35" s="1190">
        <v>7.8356270965855623E-2</v>
      </c>
      <c r="L35" s="1210">
        <v>0</v>
      </c>
      <c r="M35" s="1191">
        <v>0</v>
      </c>
      <c r="N35" s="1192">
        <f>INDEX(AESC!$H$184:$H$216,MATCH(I35,AESC!$B$184:$B$216,0))</f>
        <v>3.1218838958152807E-3</v>
      </c>
    </row>
    <row r="36" spans="1:14" s="541" customFormat="1">
      <c r="A36" s="1182">
        <f t="shared" si="6"/>
        <v>19</v>
      </c>
      <c r="B36" s="1183">
        <f t="shared" si="4"/>
        <v>2039</v>
      </c>
      <c r="C36" s="1184">
        <f t="shared" si="1"/>
        <v>0.11348952259052034</v>
      </c>
      <c r="D36" s="1185">
        <f t="shared" si="2"/>
        <v>0</v>
      </c>
      <c r="E36" s="1186">
        <f>NPV(realdiscrt1,C$18:C36)/(1+realdiscrt1)^-Half_Year</f>
        <v>1.4177897426565649</v>
      </c>
      <c r="F36" s="1186">
        <f>NPV(realdiscrt1,D$18:D36)/(1+realdiscrt1)^-Half_Year</f>
        <v>6.1406204857758488E-2</v>
      </c>
      <c r="G36" s="1187" t="str">
        <f t="shared" si="5"/>
        <v>2021-Top 20 All Hours-19</v>
      </c>
      <c r="I36" s="1188">
        <v>2036</v>
      </c>
      <c r="J36" s="1189">
        <f t="shared" si="3"/>
        <v>9.2519165107677895E-2</v>
      </c>
      <c r="K36" s="1190">
        <v>8.2310293174389787E-2</v>
      </c>
      <c r="L36" s="1210">
        <v>0</v>
      </c>
      <c r="M36" s="1191">
        <v>0</v>
      </c>
      <c r="N36" s="1192">
        <f>INDEX(AESC!$H$184:$H$216,MATCH(I36,AESC!$B$184:$B$216,0))</f>
        <v>3.3556004438304809E-3</v>
      </c>
    </row>
    <row r="37" spans="1:14" s="541" customFormat="1">
      <c r="A37" s="1182">
        <f t="shared" si="6"/>
        <v>20</v>
      </c>
      <c r="B37" s="1183">
        <f t="shared" si="4"/>
        <v>2040</v>
      </c>
      <c r="C37" s="1184">
        <f t="shared" si="1"/>
        <v>0.11933233321673158</v>
      </c>
      <c r="D37" s="1185">
        <f t="shared" si="2"/>
        <v>0</v>
      </c>
      <c r="E37" s="1186">
        <f>NPV(realdiscrt1,C$18:C37)/(1+realdiscrt1)^-Half_Year</f>
        <v>1.5085332342643309</v>
      </c>
      <c r="F37" s="1186">
        <f>NPV(realdiscrt1,D$18:D37)/(1+realdiscrt1)^-Half_Year</f>
        <v>6.1406204857758488E-2</v>
      </c>
      <c r="G37" s="1187" t="str">
        <f t="shared" si="5"/>
        <v>2021-Top 20 All Hours-20</v>
      </c>
      <c r="I37" s="1188">
        <v>2037</v>
      </c>
      <c r="J37" s="1189">
        <f t="shared" si="3"/>
        <v>9.727631020088473E-2</v>
      </c>
      <c r="K37" s="1190">
        <v>8.646384365848972E-2</v>
      </c>
      <c r="L37" s="1210">
        <v>0</v>
      </c>
      <c r="M37" s="1191">
        <v>0</v>
      </c>
      <c r="N37" s="1192">
        <f>INDEX(AESC!$H$184:$H$216,MATCH(I37,AESC!$B$184:$B$216,0))</f>
        <v>3.6068139349220594E-3</v>
      </c>
    </row>
    <row r="38" spans="1:14" s="541" customFormat="1">
      <c r="A38" s="1182">
        <f t="shared" si="6"/>
        <v>21</v>
      </c>
      <c r="B38" s="1183">
        <f t="shared" si="4"/>
        <v>2041</v>
      </c>
      <c r="C38" s="1184">
        <f t="shared" si="1"/>
        <v>0.12547866038605485</v>
      </c>
      <c r="D38" s="1185">
        <f t="shared" si="2"/>
        <v>0</v>
      </c>
      <c r="E38" s="1186">
        <f>NPV(realdiscrt1,C$18:C38)/(1+realdiscrt1)^-Half_Year</f>
        <v>1.6026197973632668</v>
      </c>
      <c r="F38" s="1186">
        <f>NPV(realdiscrt1,D$18:D38)/(1+realdiscrt1)^-Half_Year</f>
        <v>6.1406204857758488E-2</v>
      </c>
      <c r="G38" s="1187" t="str">
        <f t="shared" si="5"/>
        <v>2021-Top 20 All Hours-21</v>
      </c>
      <c r="I38" s="1188">
        <v>2038</v>
      </c>
      <c r="J38" s="1189">
        <f t="shared" si="3"/>
        <v>0.10228013131733003</v>
      </c>
      <c r="K38" s="1190">
        <v>9.0826991034528973E-2</v>
      </c>
      <c r="L38" s="1210">
        <v>0</v>
      </c>
      <c r="M38" s="1191">
        <v>0</v>
      </c>
      <c r="N38" s="1192">
        <f>INDEX(AESC!$H$184:$H$216,MATCH(I38,AESC!$B$184:$B$216,0))</f>
        <v>3.8768342592951292E-3</v>
      </c>
    </row>
    <row r="39" spans="1:14" s="541" customFormat="1">
      <c r="A39" s="1182">
        <f t="shared" si="6"/>
        <v>22</v>
      </c>
      <c r="B39" s="1183">
        <f t="shared" si="4"/>
        <v>2042</v>
      </c>
      <c r="C39" s="1184">
        <f t="shared" si="1"/>
        <v>0.131944469703518</v>
      </c>
      <c r="D39" s="1185">
        <f t="shared" si="2"/>
        <v>0</v>
      </c>
      <c r="E39" s="1186">
        <f>NPV(realdiscrt1,C$18:C39)/(1+realdiscrt1)^-Half_Year</f>
        <v>1.7001747449727411</v>
      </c>
      <c r="F39" s="1186">
        <f>NPV(realdiscrt1,D$18:D39)/(1+realdiscrt1)^-Half_Year</f>
        <v>6.1406204857758488E-2</v>
      </c>
      <c r="G39" s="1187" t="str">
        <f t="shared" si="5"/>
        <v>2021-Top 20 All Hours-22</v>
      </c>
      <c r="I39" s="1188">
        <v>2039</v>
      </c>
      <c r="J39" s="1189">
        <f t="shared" si="3"/>
        <v>0.10754357188299259</v>
      </c>
      <c r="K39" s="1190">
        <v>9.5410312002436631E-2</v>
      </c>
      <c r="L39" s="1210">
        <v>0</v>
      </c>
      <c r="M39" s="1191">
        <v>0</v>
      </c>
      <c r="N39" s="1192">
        <f>INDEX(AESC!$H$184:$H$216,MATCH(I39,AESC!$B$184:$B$216,0))</f>
        <v>4.1670693707046456E-3</v>
      </c>
    </row>
    <row r="40" spans="1:14" s="541" customFormat="1">
      <c r="A40" s="1182">
        <f t="shared" si="6"/>
        <v>23</v>
      </c>
      <c r="B40" s="1183">
        <f t="shared" si="4"/>
        <v>2043</v>
      </c>
      <c r="C40" s="1184">
        <f t="shared" si="1"/>
        <v>0.13874658105793269</v>
      </c>
      <c r="D40" s="1185">
        <f t="shared" si="2"/>
        <v>0</v>
      </c>
      <c r="E40" s="1186">
        <f>NPV(realdiscrt1,C$18:C40)/(1+realdiscrt1)^-Half_Year</f>
        <v>1.8013282125997772</v>
      </c>
      <c r="F40" s="1186">
        <f>NPV(realdiscrt1,D$18:D40)/(1+realdiscrt1)^-Half_Year</f>
        <v>6.1406204857758488E-2</v>
      </c>
      <c r="G40" s="1187" t="str">
        <f t="shared" si="5"/>
        <v>2021-Top 20 All Hours-23</v>
      </c>
      <c r="I40" s="1188">
        <v>2040</v>
      </c>
      <c r="J40" s="1189">
        <f t="shared" si="3"/>
        <v>0.11308026558154505</v>
      </c>
      <c r="K40" s="1190">
        <v>0.10022491698466197</v>
      </c>
      <c r="L40" s="1210">
        <v>0</v>
      </c>
      <c r="M40" s="1191">
        <v>0</v>
      </c>
      <c r="N40" s="1192">
        <f>INDEX(AESC!$H$184:$H$216,MATCH(I40,AESC!$B$184:$B$216,0))</f>
        <v>4.4790326278797256E-3</v>
      </c>
    </row>
    <row r="41" spans="1:14" s="541" customFormat="1">
      <c r="A41" s="1182">
        <f t="shared" si="6"/>
        <v>24</v>
      </c>
      <c r="B41" s="1183">
        <f t="shared" si="4"/>
        <v>2044</v>
      </c>
      <c r="C41" s="1184">
        <f t="shared" si="1"/>
        <v>0.14590271537116806</v>
      </c>
      <c r="D41" s="1185">
        <f t="shared" si="2"/>
        <v>0</v>
      </c>
      <c r="E41" s="1186">
        <f>NPV(realdiscrt1,C$18:C41)/(1+realdiscrt1)^-Half_Year</f>
        <v>1.9062153509872681</v>
      </c>
      <c r="F41" s="1186">
        <f>NPV(realdiscrt1,D$18:D41)/(1+realdiscrt1)^-Half_Year</f>
        <v>6.1406204857758488E-2</v>
      </c>
      <c r="G41" s="1187" t="str">
        <f t="shared" si="5"/>
        <v>2021-Top 20 All Hours-24</v>
      </c>
      <c r="I41" s="1188">
        <v>2041</v>
      </c>
      <c r="J41" s="1189">
        <f t="shared" si="3"/>
        <v>0.11890457396405048</v>
      </c>
      <c r="K41" s="1190">
        <v>0.1052824770589352</v>
      </c>
      <c r="L41" s="1210">
        <v>0</v>
      </c>
      <c r="M41" s="1191">
        <v>0</v>
      </c>
      <c r="N41" s="1192">
        <f>INDEX(AESC!$H$184:$H$216,MATCH(I41,AESC!$B$184:$B$216,0))</f>
        <v>4.8143506855559621E-3</v>
      </c>
    </row>
    <row r="42" spans="1:14" s="541" customFormat="1">
      <c r="A42" s="1182">
        <f t="shared" si="6"/>
        <v>25</v>
      </c>
      <c r="B42" s="1183">
        <f t="shared" si="4"/>
        <v>2045</v>
      </c>
      <c r="C42" s="1184">
        <f t="shared" si="1"/>
        <v>0.15343154397902001</v>
      </c>
      <c r="D42" s="1185">
        <f t="shared" si="2"/>
        <v>0</v>
      </c>
      <c r="E42" s="1186">
        <f>NPV(realdiscrt1,C$18:C42)/(1+realdiscrt1)^-Half_Year</f>
        <v>2.0149765269651017</v>
      </c>
      <c r="F42" s="1186">
        <f>NPV(realdiscrt1,D$18:D42)/(1+realdiscrt1)^-Half_Year</f>
        <v>6.1406204857758488E-2</v>
      </c>
      <c r="G42" s="1187" t="str">
        <f t="shared" si="5"/>
        <v>2021-Top 20 All Hours-25</v>
      </c>
      <c r="I42" s="1188">
        <v>2042</v>
      </c>
      <c r="J42" s="1189">
        <f t="shared" si="3"/>
        <v>0.12503162616448335</v>
      </c>
      <c r="K42" s="1190">
        <v>0.11059525225011192</v>
      </c>
      <c r="L42" s="1210">
        <v>0</v>
      </c>
      <c r="M42" s="1191">
        <v>0</v>
      </c>
      <c r="N42" s="1192">
        <f>INDEX(AESC!$H$184:$H$216,MATCH(I42,AESC!$B$184:$B$216,0))</f>
        <v>5.1747719762615567E-3</v>
      </c>
    </row>
    <row r="43" spans="1:14" s="541" customFormat="1">
      <c r="A43" s="1182">
        <f t="shared" si="6"/>
        <v>26</v>
      </c>
      <c r="B43" s="1183">
        <f t="shared" si="4"/>
        <v>2046</v>
      </c>
      <c r="C43" s="1184">
        <f t="shared" si="1"/>
        <v>0.16135274079687414</v>
      </c>
      <c r="D43" s="1185">
        <f t="shared" si="2"/>
        <v>0</v>
      </c>
      <c r="E43" s="1186">
        <f>NPV(realdiscrt1,C$18:C43)/(1+realdiscrt1)^-Half_Year</f>
        <v>2.1277575327662417</v>
      </c>
      <c r="F43" s="1186">
        <f>NPV(realdiscrt1,D$18:D43)/(1+realdiscrt1)^-Half_Year</f>
        <v>6.1406204857758488E-2</v>
      </c>
      <c r="G43" s="1187" t="str">
        <f>$A$17&amp;"-"&amp;$A$13&amp;"-"&amp;A43</f>
        <v>2021-Top 20 All Hours-26</v>
      </c>
      <c r="I43" s="1188">
        <v>2043</v>
      </c>
      <c r="J43" s="1189">
        <f t="shared" si="3"/>
        <v>0.13147736084290837</v>
      </c>
      <c r="K43" s="1190">
        <v>0.11617612124968357</v>
      </c>
      <c r="L43" s="1210">
        <v>0</v>
      </c>
      <c r="M43" s="1191">
        <v>0</v>
      </c>
      <c r="N43" s="1192">
        <f>INDEX(AESC!$H$184:$H$216,MATCH(I43,AESC!$B$184:$B$216,0))</f>
        <v>5.5621758270834355E-3</v>
      </c>
    </row>
    <row r="44" spans="1:14" s="541" customFormat="1">
      <c r="A44" s="1182">
        <f t="shared" si="6"/>
        <v>27</v>
      </c>
      <c r="B44" s="1183">
        <f t="shared" si="4"/>
        <v>2047</v>
      </c>
      <c r="C44" s="1184">
        <f t="shared" si="1"/>
        <v>0.16968703743261851</v>
      </c>
      <c r="D44" s="1222">
        <f t="shared" si="2"/>
        <v>0</v>
      </c>
      <c r="E44" s="1186">
        <f>NPV(realdiscrt1,C$18:C44)/(1+realdiscrt1)^-Half_Year</f>
        <v>2.2447098041870746</v>
      </c>
      <c r="F44" s="1186">
        <f>NPV(realdiscrt1,D$18:D44)/(1+realdiscrt1)^-Half_Year</f>
        <v>6.1406204857758488E-2</v>
      </c>
      <c r="G44" s="1187" t="str">
        <f>$A$17&amp;"-"&amp;$A$13&amp;"-"&amp;A44</f>
        <v>2021-Top 20 All Hours-27</v>
      </c>
      <c r="I44" s="1188">
        <v>2044</v>
      </c>
      <c r="J44" s="1189">
        <f t="shared" si="3"/>
        <v>0.13825857048546317</v>
      </c>
      <c r="K44" s="1190">
        <v>0.12203861263499691</v>
      </c>
      <c r="L44" s="1210">
        <v>0</v>
      </c>
      <c r="M44" s="1191">
        <v>0</v>
      </c>
      <c r="N44" s="1192">
        <f>INDEX(AESC!$H$184:$H$216,MATCH(I44,AESC!$B$184:$B$216,0))</f>
        <v>5.9785822589504493E-3</v>
      </c>
    </row>
    <row r="45" spans="1:14" s="541" customFormat="1" ht="20.25">
      <c r="A45" s="1140">
        <f>Year2</f>
        <v>2022</v>
      </c>
      <c r="B45" s="1141" t="str">
        <f>Year2&amp;"$"</f>
        <v>2022$</v>
      </c>
      <c r="C45" s="1216"/>
      <c r="D45" s="1217"/>
      <c r="E45" s="1216"/>
      <c r="F45" s="1218"/>
      <c r="G45" s="1217"/>
      <c r="I45" s="1188">
        <v>2045</v>
      </c>
      <c r="J45" s="1189">
        <f t="shared" si="3"/>
        <v>0.1453929481980617</v>
      </c>
      <c r="K45" s="1190">
        <v>0.12819693766386087</v>
      </c>
      <c r="L45" s="1210">
        <v>0</v>
      </c>
      <c r="M45" s="1191">
        <v>0</v>
      </c>
      <c r="N45" s="1192">
        <f>INDEX(AESC!$H$184:$H$216,MATCH(I45,AESC!$B$184:$B$216,0))</f>
        <v>6.4261625195295869E-3</v>
      </c>
    </row>
    <row r="46" spans="1:14" s="541" customFormat="1">
      <c r="A46" s="1182">
        <v>1</v>
      </c>
      <c r="B46" s="1183">
        <f>Year2</f>
        <v>2022</v>
      </c>
      <c r="C46" s="1184">
        <f t="shared" ref="C46:C70" si="7">VLOOKUP($B46,$I$18:$N$50,C$12,FALSE)*(1+Inflation2)^(Year2-Real_Year)</f>
        <v>8.0660273547572187E-2</v>
      </c>
      <c r="D46" s="1347">
        <f t="shared" ref="D46:D70" si="8">VLOOKUP($B46,$I$18:$N$50,IF($A$17=Year1,D$12,D$12+1),FALSE)*(1+Inflation1)^(Year1-Real_Year)</f>
        <v>1.4479546498587133E-2</v>
      </c>
      <c r="E46" s="1186">
        <f>NPV(realdiscrt1,C$46:C46)/(1+realdiscrt2)^-Half_Year</f>
        <v>8.0095825006047686E-2</v>
      </c>
      <c r="F46" s="1186">
        <f>NPV(realdiscrt1,D$46:D46)/(1+realdiscrt2)^-Half_Year</f>
        <v>1.4378220795814212E-2</v>
      </c>
      <c r="G46" s="1187" t="str">
        <f t="shared" ref="G46:G70" si="9">$A$45&amp;"-"&amp;$A$13&amp;"-"&amp;A46</f>
        <v>2022-Top 20 All Hours-1</v>
      </c>
      <c r="I46" s="1188">
        <v>2046</v>
      </c>
      <c r="J46" s="1189">
        <f t="shared" si="3"/>
        <v>0.15289913713899028</v>
      </c>
      <c r="K46" s="1190">
        <v>0.13466602472403832</v>
      </c>
      <c r="L46" s="1210">
        <v>0</v>
      </c>
      <c r="M46" s="1191">
        <v>0</v>
      </c>
      <c r="N46" s="1192">
        <f>INDEX(AESC!$H$184:$H$216,MATCH(I46,AESC!$B$184:$B$216,0))</f>
        <v>6.9072504046563642E-3</v>
      </c>
    </row>
    <row r="47" spans="1:14" s="541" customFormat="1">
      <c r="A47" s="1182">
        <v>2</v>
      </c>
      <c r="B47" s="1183">
        <f t="shared" ref="B47:B70" si="10">B46+1</f>
        <v>2023</v>
      </c>
      <c r="C47" s="1184">
        <f t="shared" si="7"/>
        <v>6.9320097036415507E-2</v>
      </c>
      <c r="D47" s="1185">
        <f t="shared" si="8"/>
        <v>9.760502784745502E-3</v>
      </c>
      <c r="E47" s="1186">
        <f>NPV(realdiscrt1,C$46:C47)/(1+realdiscrt2)^-Half_Year</f>
        <v>0.14797080704239868</v>
      </c>
      <c r="F47" s="1186">
        <f>NPV(realdiscrt1,D$46:D47)/(1+realdiscrt2)^-Half_Year</f>
        <v>2.3935246528659495E-2</v>
      </c>
      <c r="G47" s="1187" t="str">
        <f t="shared" si="9"/>
        <v>2022-Top 20 All Hours-2</v>
      </c>
      <c r="I47" s="1188">
        <v>2047</v>
      </c>
      <c r="J47" s="1189">
        <f t="shared" si="3"/>
        <v>0.16079678274434087</v>
      </c>
      <c r="K47" s="1190">
        <v>0.1414615555211316</v>
      </c>
      <c r="L47" s="1210">
        <v>0</v>
      </c>
      <c r="M47" s="1191">
        <v>0</v>
      </c>
      <c r="N47" s="1192">
        <f>INDEX(AESC!$H$184:$H$216,MATCH(I47,AESC!$B$184:$B$216,0))</f>
        <v>7.4243544273321646E-3</v>
      </c>
    </row>
    <row r="48" spans="1:14" s="541" customFormat="1">
      <c r="A48" s="1182">
        <f t="shared" ref="A48:A70" si="11">A47+1</f>
        <v>3</v>
      </c>
      <c r="B48" s="1183">
        <f t="shared" si="10"/>
        <v>2024</v>
      </c>
      <c r="C48" s="1184">
        <f t="shared" si="7"/>
        <v>6.9612802483298625E-2</v>
      </c>
      <c r="D48" s="1185">
        <f t="shared" si="8"/>
        <v>7.5655266007342327E-3</v>
      </c>
      <c r="E48" s="1186">
        <f>NPV(realdiscrt1,C$46:C48)/(1+realdiscrt2)^-Half_Year</f>
        <v>0.21518176118675461</v>
      </c>
      <c r="F48" s="1186">
        <f>NPV(realdiscrt1,D$46:D48)/(1+realdiscrt2)^-Half_Year</f>
        <v>3.1239740002569679E-2</v>
      </c>
      <c r="G48" s="1187" t="str">
        <f t="shared" si="9"/>
        <v>2022-Top 20 All Hours-3</v>
      </c>
      <c r="I48" s="1188">
        <v>2048</v>
      </c>
      <c r="J48" s="1189">
        <f t="shared" si="3"/>
        <v>0.1691065879095516</v>
      </c>
      <c r="K48" s="1190">
        <v>0.14860000309258481</v>
      </c>
      <c r="L48" s="1210">
        <v>0</v>
      </c>
      <c r="M48" s="1191">
        <v>0</v>
      </c>
      <c r="N48" s="1192">
        <f>INDEX(AESC!$H$184:$H$216,MATCH(I48,AESC!$B$184:$B$216,0))</f>
        <v>7.9801708977407463E-3</v>
      </c>
    </row>
    <row r="49" spans="1:14" s="541" customFormat="1">
      <c r="A49" s="1182">
        <f t="shared" si="11"/>
        <v>4</v>
      </c>
      <c r="B49" s="1183">
        <f t="shared" si="10"/>
        <v>2025</v>
      </c>
      <c r="C49" s="1184">
        <f t="shared" si="7"/>
        <v>7.0184797180410916E-2</v>
      </c>
      <c r="D49" s="1185">
        <f t="shared" si="8"/>
        <v>4.9612721938307501E-3</v>
      </c>
      <c r="E49" s="1186">
        <f>NPV(realdiscrt1,C$46:C49)/(1+realdiscrt2)^-Half_Year</f>
        <v>0.28199989918926915</v>
      </c>
      <c r="F49" s="1186">
        <f>NPV(realdiscrt1,D$46:D49)/(1+realdiscrt2)^-Half_Year</f>
        <v>3.5963027429949265E-2</v>
      </c>
      <c r="G49" s="1187" t="str">
        <f t="shared" si="9"/>
        <v>2022-Top 20 All Hours-4</v>
      </c>
      <c r="I49" s="1188">
        <v>2049</v>
      </c>
      <c r="J49" s="1189">
        <f t="shared" si="3"/>
        <v>0.17785037130023423</v>
      </c>
      <c r="K49" s="1190">
        <v>0.1560986717399527</v>
      </c>
      <c r="L49" s="1210">
        <v>0</v>
      </c>
      <c r="M49" s="1191">
        <v>0</v>
      </c>
      <c r="N49" s="1192">
        <f>INDEX(AESC!$H$184:$H$216,MATCH(I49,AESC!$B$184:$B$216,0))</f>
        <v>8.5775979824864006E-3</v>
      </c>
    </row>
    <row r="50" spans="1:14" s="541" customFormat="1">
      <c r="A50" s="1182">
        <f t="shared" si="11"/>
        <v>5</v>
      </c>
      <c r="B50" s="1183">
        <f t="shared" si="10"/>
        <v>2026</v>
      </c>
      <c r="C50" s="1184">
        <f t="shared" si="7"/>
        <v>8.112987434823847E-2</v>
      </c>
      <c r="D50" s="1185">
        <f t="shared" si="8"/>
        <v>2.9859557083344928E-3</v>
      </c>
      <c r="E50" s="1186">
        <f>NPV(realdiscrt1,C$46:C50)/(1+realdiscrt2)^-Half_Year</f>
        <v>0.35816087510236355</v>
      </c>
      <c r="F50" s="1186">
        <f>NPV(realdiscrt1,D$46:D50)/(1+realdiscrt2)^-Half_Year</f>
        <v>3.876610462693704E-2</v>
      </c>
      <c r="G50" s="1187" t="str">
        <f t="shared" si="9"/>
        <v>2022-Top 20 All Hours-5</v>
      </c>
      <c r="I50" s="1193">
        <v>2050</v>
      </c>
      <c r="J50" s="1194">
        <f t="shared" si="3"/>
        <v>0.18705112897600576</v>
      </c>
      <c r="K50" s="1195">
        <v>0.16397573897623574</v>
      </c>
      <c r="L50" s="1196">
        <v>0</v>
      </c>
      <c r="M50" s="1196">
        <v>0</v>
      </c>
      <c r="N50" s="1197">
        <f>INDEX(AESC!$H$184:$H$216,MATCH(I50,AESC!$B$184:$B$216,0))</f>
        <v>9.2197508163621572E-3</v>
      </c>
    </row>
    <row r="51" spans="1:14" s="541" customFormat="1">
      <c r="A51" s="1182">
        <f t="shared" si="11"/>
        <v>6</v>
      </c>
      <c r="B51" s="1183">
        <f t="shared" si="10"/>
        <v>2027</v>
      </c>
      <c r="C51" s="1184">
        <f t="shared" si="7"/>
        <v>7.0965459321579077E-2</v>
      </c>
      <c r="D51" s="1185">
        <f t="shared" si="8"/>
        <v>1.5909777236885908E-3</v>
      </c>
      <c r="E51" s="1186">
        <f>NPV(realdiscrt1,C$46:C51)/(1+realdiscrt2)^-Half_Year</f>
        <v>0.42385084944144857</v>
      </c>
      <c r="F51" s="1186">
        <f>NPV(realdiscrt1,D$46:D51)/(1+realdiscrt2)^-Half_Year</f>
        <v>4.0238811023010197E-2</v>
      </c>
      <c r="G51" s="1187" t="str">
        <f t="shared" si="9"/>
        <v>2022-Top 20 All Hours-6</v>
      </c>
    </row>
    <row r="52" spans="1:14" s="541" customFormat="1">
      <c r="A52" s="1182">
        <f t="shared" si="11"/>
        <v>7</v>
      </c>
      <c r="B52" s="1183">
        <f t="shared" si="10"/>
        <v>2028</v>
      </c>
      <c r="C52" s="1184">
        <f t="shared" si="7"/>
        <v>7.5056300153700128E-2</v>
      </c>
      <c r="D52" s="1185">
        <f t="shared" si="8"/>
        <v>0</v>
      </c>
      <c r="E52" s="1186">
        <f>NPV(realdiscrt1,C$46:C52)/(1+realdiscrt2)^-Half_Year</f>
        <v>0.49235858357461809</v>
      </c>
      <c r="F52" s="1186">
        <f>NPV(realdiscrt1,D$46:D52)/(1+realdiscrt2)^-Half_Year</f>
        <v>4.0238811023010197E-2</v>
      </c>
      <c r="G52" s="1187" t="str">
        <f t="shared" si="9"/>
        <v>2022-Top 20 All Hours-7</v>
      </c>
    </row>
    <row r="53" spans="1:14" s="541" customFormat="1">
      <c r="A53" s="1182">
        <f t="shared" si="11"/>
        <v>8</v>
      </c>
      <c r="B53" s="1183">
        <f t="shared" si="10"/>
        <v>2029</v>
      </c>
      <c r="C53" s="1184">
        <f t="shared" si="7"/>
        <v>9.2659580496428667E-2</v>
      </c>
      <c r="D53" s="1185">
        <f t="shared" si="8"/>
        <v>0</v>
      </c>
      <c r="E53" s="1186">
        <f>NPV(realdiscrt1,C$46:C53)/(1+realdiscrt2)^-Half_Year</f>
        <v>0.57575418749763974</v>
      </c>
      <c r="F53" s="1186">
        <f>NPV(realdiscrt1,D$46:D53)/(1+realdiscrt2)^-Half_Year</f>
        <v>4.0238811023010197E-2</v>
      </c>
      <c r="G53" s="1187" t="str">
        <f t="shared" si="9"/>
        <v>2022-Top 20 All Hours-8</v>
      </c>
    </row>
    <row r="54" spans="1:14" s="541" customFormat="1">
      <c r="A54" s="1182">
        <f t="shared" si="11"/>
        <v>9</v>
      </c>
      <c r="B54" s="1183">
        <f t="shared" si="10"/>
        <v>2030</v>
      </c>
      <c r="C54" s="1184">
        <f t="shared" si="7"/>
        <v>9.9694177326621197E-2</v>
      </c>
      <c r="D54" s="1185">
        <f t="shared" si="8"/>
        <v>0</v>
      </c>
      <c r="E54" s="1186">
        <f>NPV(realdiscrt1,C$46:C54)/(1+realdiscrt2)^-Half_Year</f>
        <v>0.66422968215866685</v>
      </c>
      <c r="F54" s="1186">
        <f>NPV(realdiscrt1,D$46:D54)/(1+realdiscrt2)^-Half_Year</f>
        <v>4.0238811023010197E-2</v>
      </c>
      <c r="G54" s="1187" t="str">
        <f t="shared" si="9"/>
        <v>2022-Top 20 All Hours-9</v>
      </c>
    </row>
    <row r="55" spans="1:14" s="541" customFormat="1">
      <c r="A55" s="1182">
        <f t="shared" si="11"/>
        <v>10</v>
      </c>
      <c r="B55" s="1183">
        <f t="shared" si="10"/>
        <v>2031</v>
      </c>
      <c r="C55" s="1184">
        <f t="shared" si="7"/>
        <v>7.7382413513044673E-2</v>
      </c>
      <c r="D55" s="1185">
        <f t="shared" si="8"/>
        <v>0</v>
      </c>
      <c r="E55" s="1186">
        <f>NPV(realdiscrt1,C$46:C55)/(1+realdiscrt2)^-Half_Year</f>
        <v>0.73194639274364093</v>
      </c>
      <c r="F55" s="1186">
        <f>NPV(realdiscrt1,D$46:D55)/(1+realdiscrt2)^-Half_Year</f>
        <v>4.0238811023010197E-2</v>
      </c>
      <c r="G55" s="1187" t="str">
        <f t="shared" si="9"/>
        <v>2022-Top 20 All Hours-10</v>
      </c>
    </row>
    <row r="56" spans="1:14" s="541" customFormat="1">
      <c r="A56" s="1182">
        <f t="shared" si="11"/>
        <v>11</v>
      </c>
      <c r="B56" s="1183">
        <f t="shared" si="10"/>
        <v>2032</v>
      </c>
      <c r="C56" s="1184">
        <f t="shared" si="7"/>
        <v>7.2451081156892305E-2</v>
      </c>
      <c r="D56" s="1185">
        <f t="shared" si="8"/>
        <v>0</v>
      </c>
      <c r="E56" s="1186">
        <f>NPV(realdiscrt1,C$46:C56)/(1+realdiscrt2)^-Half_Year</f>
        <v>0.79446349365349567</v>
      </c>
      <c r="F56" s="1186">
        <f>NPV(realdiscrt1,D$46:D56)/(1+realdiscrt2)^-Half_Year</f>
        <v>4.0238811023010197E-2</v>
      </c>
      <c r="G56" s="1187" t="str">
        <f t="shared" si="9"/>
        <v>2022-Top 20 All Hours-11</v>
      </c>
    </row>
    <row r="57" spans="1:14" s="541" customFormat="1">
      <c r="A57" s="1182">
        <f t="shared" si="11"/>
        <v>12</v>
      </c>
      <c r="B57" s="1183">
        <f t="shared" si="10"/>
        <v>2033</v>
      </c>
      <c r="C57" s="1184">
        <f t="shared" si="7"/>
        <v>7.4716048219567011E-2</v>
      </c>
      <c r="D57" s="1185">
        <f t="shared" si="8"/>
        <v>0</v>
      </c>
      <c r="E57" s="1186">
        <f>NPV(realdiscrt1,C$46:C57)/(1+realdiscrt2)^-Half_Year</f>
        <v>0.85803583850266529</v>
      </c>
      <c r="F57" s="1186">
        <f>NPV(realdiscrt1,D$46:D57)/(1+realdiscrt2)^-Half_Year</f>
        <v>4.0238811023010197E-2</v>
      </c>
      <c r="G57" s="1187" t="str">
        <f t="shared" si="9"/>
        <v>2022-Top 20 All Hours-12</v>
      </c>
    </row>
    <row r="58" spans="1:14" s="541" customFormat="1">
      <c r="A58" s="1182">
        <f t="shared" si="11"/>
        <v>13</v>
      </c>
      <c r="B58" s="1183">
        <f t="shared" si="10"/>
        <v>2034</v>
      </c>
      <c r="C58" s="1184">
        <f t="shared" si="7"/>
        <v>8.3819195514279868E-2</v>
      </c>
      <c r="D58" s="1185">
        <f t="shared" si="8"/>
        <v>0</v>
      </c>
      <c r="E58" s="1186">
        <f>NPV(realdiscrt1,C$46:C58)/(1+realdiscrt2)^-Half_Year</f>
        <v>0.92835897008167945</v>
      </c>
      <c r="F58" s="1186">
        <f>NPV(realdiscrt1,D$46:D58)/(1+realdiscrt2)^-Half_Year</f>
        <v>4.0238811023010197E-2</v>
      </c>
      <c r="G58" s="1187" t="str">
        <f t="shared" si="9"/>
        <v>2022-Top 20 All Hours-13</v>
      </c>
    </row>
    <row r="59" spans="1:14" s="541" customFormat="1">
      <c r="A59" s="1182">
        <f t="shared" si="11"/>
        <v>14</v>
      </c>
      <c r="B59" s="1183">
        <f t="shared" si="10"/>
        <v>2035</v>
      </c>
      <c r="C59" s="1184">
        <f t="shared" si="7"/>
        <v>9.4542414781546152E-2</v>
      </c>
      <c r="D59" s="1185">
        <f t="shared" si="8"/>
        <v>0</v>
      </c>
      <c r="E59" s="1186">
        <f>NPV(realdiscrt1,C$46:C59)/(1+realdiscrt2)^-Half_Year</f>
        <v>1.0065724810942078</v>
      </c>
      <c r="F59" s="1186">
        <f>NPV(realdiscrt1,D$46:D59)/(1+realdiscrt2)^-Half_Year</f>
        <v>4.0238811023010197E-2</v>
      </c>
      <c r="G59" s="1187" t="str">
        <f t="shared" si="9"/>
        <v>2022-Top 20 All Hours-14</v>
      </c>
    </row>
    <row r="60" spans="1:14" s="541" customFormat="1">
      <c r="A60" s="1182">
        <f t="shared" si="11"/>
        <v>15</v>
      </c>
      <c r="B60" s="1183">
        <f t="shared" si="10"/>
        <v>2036</v>
      </c>
      <c r="C60" s="1184">
        <f t="shared" si="7"/>
        <v>9.9401618272231679E-2</v>
      </c>
      <c r="D60" s="1185">
        <f t="shared" si="8"/>
        <v>0</v>
      </c>
      <c r="E60" s="1186">
        <f>NPV(realdiscrt1,C$46:C60)/(1+realdiscrt2)^-Half_Year</f>
        <v>1.08765904980362</v>
      </c>
      <c r="F60" s="1186">
        <f>NPV(realdiscrt1,D$46:D60)/(1+realdiscrt2)^-Half_Year</f>
        <v>4.0238811023010197E-2</v>
      </c>
      <c r="G60" s="1187" t="str">
        <f t="shared" si="9"/>
        <v>2022-Top 20 All Hours-15</v>
      </c>
    </row>
    <row r="61" spans="1:14" s="541" customFormat="1">
      <c r="A61" s="1182">
        <f t="shared" si="11"/>
        <v>16</v>
      </c>
      <c r="B61" s="1183">
        <f t="shared" si="10"/>
        <v>2037</v>
      </c>
      <c r="C61" s="1184">
        <f t="shared" si="7"/>
        <v>0.10451264494514016</v>
      </c>
      <c r="D61" s="1185">
        <f t="shared" si="8"/>
        <v>0</v>
      </c>
      <c r="E61" s="1186">
        <f>NPV(realdiscrt1,C$46:C61)/(1+realdiscrt2)^-Half_Year</f>
        <v>1.1717258822742844</v>
      </c>
      <c r="F61" s="1186">
        <f>NPV(realdiscrt1,D$46:D61)/(1+realdiscrt2)^-Half_Year</f>
        <v>4.0238811023010197E-2</v>
      </c>
      <c r="G61" s="1187" t="str">
        <f t="shared" si="9"/>
        <v>2022-Top 20 All Hours-16</v>
      </c>
    </row>
    <row r="62" spans="1:14" s="541" customFormat="1">
      <c r="A62" s="1182">
        <f t="shared" si="11"/>
        <v>17</v>
      </c>
      <c r="B62" s="1183">
        <f t="shared" si="10"/>
        <v>2038</v>
      </c>
      <c r="C62" s="1184">
        <f t="shared" si="7"/>
        <v>0.10988869774393645</v>
      </c>
      <c r="D62" s="1185">
        <f t="shared" si="8"/>
        <v>0</v>
      </c>
      <c r="E62" s="1186">
        <f>NPV(realdiscrt1,C$46:C62)/(1+realdiscrt2)^-Half_Year</f>
        <v>1.2588842822803461</v>
      </c>
      <c r="F62" s="1186">
        <f>NPV(realdiscrt1,D$46:D62)/(1+realdiscrt2)^-Half_Year</f>
        <v>4.0238811023010197E-2</v>
      </c>
      <c r="G62" s="1187" t="str">
        <f t="shared" si="9"/>
        <v>2022-Top 20 All Hours-17</v>
      </c>
    </row>
    <row r="63" spans="1:14" s="541" customFormat="1">
      <c r="A63" s="1182">
        <f t="shared" si="11"/>
        <v>18</v>
      </c>
      <c r="B63" s="1183">
        <f t="shared" si="10"/>
        <v>2039</v>
      </c>
      <c r="C63" s="1184">
        <f t="shared" si="7"/>
        <v>0.11554368294940875</v>
      </c>
      <c r="D63" s="1185">
        <f t="shared" si="8"/>
        <v>0</v>
      </c>
      <c r="E63" s="1186">
        <f>NPV(realdiscrt1,C$46:C63)/(1+realdiscrt2)^-Half_Year</f>
        <v>1.3492498135278388</v>
      </c>
      <c r="F63" s="1186">
        <f>NPV(realdiscrt1,D$46:D63)/(1+realdiscrt2)^-Half_Year</f>
        <v>4.0238811023010197E-2</v>
      </c>
      <c r="G63" s="1187" t="str">
        <f t="shared" si="9"/>
        <v>2022-Top 20 All Hours-18</v>
      </c>
    </row>
    <row r="64" spans="1:14" s="541" customFormat="1">
      <c r="A64" s="1182">
        <f t="shared" si="11"/>
        <v>19</v>
      </c>
      <c r="B64" s="1183">
        <f t="shared" si="10"/>
        <v>2040</v>
      </c>
      <c r="C64" s="1184">
        <f t="shared" si="7"/>
        <v>0.12149224844795442</v>
      </c>
      <c r="D64" s="1185">
        <f t="shared" si="8"/>
        <v>0</v>
      </c>
      <c r="E64" s="1186">
        <f>NPV(realdiscrt1,C$46:C64)/(1+realdiscrt2)^-Half_Year</f>
        <v>1.4429424686128574</v>
      </c>
      <c r="F64" s="1186">
        <f>NPV(realdiscrt1,D$46:D64)/(1+realdiscrt2)^-Half_Year</f>
        <v>4.0238811023010197E-2</v>
      </c>
      <c r="G64" s="1187" t="str">
        <f t="shared" si="9"/>
        <v>2022-Top 20 All Hours-19</v>
      </c>
    </row>
    <row r="65" spans="1:7" s="541" customFormat="1">
      <c r="A65" s="1182">
        <f t="shared" si="11"/>
        <v>20</v>
      </c>
      <c r="B65" s="1183">
        <f t="shared" si="10"/>
        <v>2041</v>
      </c>
      <c r="C65" s="1184">
        <f t="shared" si="7"/>
        <v>0.12774982413904243</v>
      </c>
      <c r="D65" s="1185">
        <f t="shared" si="8"/>
        <v>0</v>
      </c>
      <c r="E65" s="1186">
        <f>NPV(realdiscrt1,C$46:C65)/(1+realdiscrt2)^-Half_Year</f>
        <v>1.5400868450125091</v>
      </c>
      <c r="F65" s="1186">
        <f>NPV(realdiscrt1,D$46:D65)/(1+realdiscrt2)^-Half_Year</f>
        <v>4.0238811023010197E-2</v>
      </c>
      <c r="G65" s="1187" t="str">
        <f t="shared" si="9"/>
        <v>2022-Top 20 All Hours-20</v>
      </c>
    </row>
    <row r="66" spans="1:7" s="541" customFormat="1">
      <c r="A66" s="1182">
        <f t="shared" si="11"/>
        <v>21</v>
      </c>
      <c r="B66" s="1183">
        <f t="shared" si="10"/>
        <v>2042</v>
      </c>
      <c r="C66" s="1184">
        <f t="shared" si="7"/>
        <v>0.1343326646051517</v>
      </c>
      <c r="D66" s="1185">
        <f t="shared" si="8"/>
        <v>0</v>
      </c>
      <c r="E66" s="1186">
        <f>NPV(realdiscrt1,C$46:C66)/(1+realdiscrt2)^-Half_Year</f>
        <v>1.6408123284192913</v>
      </c>
      <c r="F66" s="1186">
        <f>NPV(realdiscrt1,D$46:D66)/(1+realdiscrt2)^-Half_Year</f>
        <v>4.0238811023010197E-2</v>
      </c>
      <c r="G66" s="1187" t="str">
        <f t="shared" si="9"/>
        <v>2022-Top 20 All Hours-21</v>
      </c>
    </row>
    <row r="67" spans="1:7" s="541" customFormat="1">
      <c r="A67" s="1182">
        <f t="shared" si="11"/>
        <v>22</v>
      </c>
      <c r="B67" s="1183">
        <f t="shared" si="10"/>
        <v>2043</v>
      </c>
      <c r="C67" s="1184">
        <f t="shared" si="7"/>
        <v>0.14125789417508128</v>
      </c>
      <c r="D67" s="1185">
        <f t="shared" si="8"/>
        <v>0</v>
      </c>
      <c r="E67" s="1186">
        <f>NPV(realdiscrt1,C$46:C67)/(1+realdiscrt2)^-Half_Year</f>
        <v>1.7452532837442061</v>
      </c>
      <c r="F67" s="1186">
        <f>NPV(realdiscrt1,D$46:D67)/(1+realdiscrt2)^-Half_Year</f>
        <v>4.0238811023010197E-2</v>
      </c>
      <c r="G67" s="1187" t="str">
        <f t="shared" si="9"/>
        <v>2022-Top 20 All Hours-22</v>
      </c>
    </row>
    <row r="68" spans="1:7" s="541" customFormat="1">
      <c r="A68" s="1182">
        <f t="shared" si="11"/>
        <v>23</v>
      </c>
      <c r="B68" s="1183">
        <f t="shared" si="10"/>
        <v>2044</v>
      </c>
      <c r="C68" s="1184">
        <f t="shared" si="7"/>
        <v>0.14854355451938622</v>
      </c>
      <c r="D68" s="1185">
        <f t="shared" si="8"/>
        <v>0</v>
      </c>
      <c r="E68" s="1186">
        <f>NPV(realdiscrt1,C$46:C68)/(1+realdiscrt2)^-Half_Year</f>
        <v>1.8535492541292904</v>
      </c>
      <c r="F68" s="1186">
        <f>NPV(realdiscrt1,D$46:D68)/(1+realdiscrt2)^-Half_Year</f>
        <v>4.0238811023010197E-2</v>
      </c>
      <c r="G68" s="1187" t="str">
        <f t="shared" si="9"/>
        <v>2022-Top 20 All Hours-23</v>
      </c>
    </row>
    <row r="69" spans="1:7" s="541" customFormat="1">
      <c r="A69" s="1182">
        <f t="shared" si="11"/>
        <v>24</v>
      </c>
      <c r="B69" s="1183">
        <f t="shared" si="10"/>
        <v>2045</v>
      </c>
      <c r="C69" s="1184">
        <f t="shared" si="7"/>
        <v>0.15620865492504027</v>
      </c>
      <c r="D69" s="1185">
        <f t="shared" si="8"/>
        <v>0</v>
      </c>
      <c r="E69" s="1186">
        <f>NPV(realdiscrt1,C$46:C69)/(1+realdiscrt2)^-Half_Year</f>
        <v>1.9658451683264038</v>
      </c>
      <c r="F69" s="1186">
        <f>NPV(realdiscrt1,D$46:D69)/(1+realdiscrt2)^-Half_Year</f>
        <v>4.0238811023010197E-2</v>
      </c>
      <c r="G69" s="1187" t="str">
        <f t="shared" si="9"/>
        <v>2022-Top 20 All Hours-24</v>
      </c>
    </row>
    <row r="70" spans="1:7" s="541" customFormat="1">
      <c r="A70" s="1182">
        <f t="shared" si="11"/>
        <v>25</v>
      </c>
      <c r="B70" s="1183">
        <f t="shared" si="10"/>
        <v>2046</v>
      </c>
      <c r="C70" s="1184">
        <f t="shared" si="7"/>
        <v>0.16427322540529757</v>
      </c>
      <c r="D70" s="1222">
        <f t="shared" si="8"/>
        <v>0</v>
      </c>
      <c r="E70" s="1186">
        <f>NPV(realdiscrt1,C$46:C70)/(1+realdiscrt2)^-Half_Year</f>
        <v>2.0822915568160805</v>
      </c>
      <c r="F70" s="1186">
        <f>NPV(realdiscrt1,D$46:D70)/(1+realdiscrt2)^-Half_Year</f>
        <v>4.0238811023010197E-2</v>
      </c>
      <c r="G70" s="1187" t="str">
        <f t="shared" si="9"/>
        <v>2022-Top 20 All Hours-25</v>
      </c>
    </row>
    <row r="71" spans="1:7" s="541" customFormat="1" ht="20.25">
      <c r="A71" s="1140">
        <f>Year3</f>
        <v>2023</v>
      </c>
      <c r="B71" s="1141" t="str">
        <f>Year3&amp;"$"</f>
        <v>2023$</v>
      </c>
      <c r="C71" s="1216"/>
      <c r="D71" s="1217"/>
      <c r="E71" s="1216"/>
      <c r="F71" s="1218"/>
      <c r="G71" s="1217"/>
    </row>
    <row r="72" spans="1:7" s="541" customFormat="1">
      <c r="A72" s="1182">
        <v>1</v>
      </c>
      <c r="B72" s="1183">
        <f>Year3</f>
        <v>2023</v>
      </c>
      <c r="C72" s="1219">
        <f t="shared" ref="C72:C96" si="12">VLOOKUP($B72,$I$18:$N$50,C$12,FALSE)*(1+Inflation3)^(Year3-Real_Year)</f>
        <v>7.0574790792774636E-2</v>
      </c>
      <c r="D72" s="1347">
        <f t="shared" ref="D72:D96" si="13">VLOOKUP($B72,$I$18:$N$50,IF($A$17=Year1,D$12,D$12+1),FALSE)*(1+Inflation1)^(Year1-Real_Year)</f>
        <v>9.760502784745502E-3</v>
      </c>
      <c r="E72" s="1225">
        <f>NPV(realdiscrt1,C$72:C72)/(1+realdiscrt3)^-Half_Year</f>
        <v>7.0080918952532434E-2</v>
      </c>
      <c r="F72" s="1226">
        <f>NPV(realdiscrt1,D$72:D72)/(1+realdiscrt3)^-Half_Year</f>
        <v>9.692200244733086E-3</v>
      </c>
      <c r="G72" s="1187" t="str">
        <f t="shared" ref="G72:G96" si="14">$A$71&amp;"-"&amp;$A$13&amp;"-"&amp;A72</f>
        <v>2023-Top 20 All Hours-1</v>
      </c>
    </row>
    <row r="73" spans="1:7" s="541" customFormat="1">
      <c r="A73" s="1182">
        <v>2</v>
      </c>
      <c r="B73" s="1183">
        <f t="shared" ref="B73:B96" si="15">B72+1</f>
        <v>2024</v>
      </c>
      <c r="C73" s="1220">
        <f t="shared" si="12"/>
        <v>7.0872794208246326E-2</v>
      </c>
      <c r="D73" s="1185">
        <f t="shared" si="13"/>
        <v>7.5655266007342327E-3</v>
      </c>
      <c r="E73" s="1227">
        <f>NPV(realdiscrt1,C$72:C73)/(1+realdiscrt3)^-Half_Year</f>
        <v>0.13947622910657992</v>
      </c>
      <c r="F73" s="1198">
        <f>NPV(realdiscrt1,D$72:D73)/(1+realdiscrt3)^-Half_Year</f>
        <v>1.7100008428420608E-2</v>
      </c>
      <c r="G73" s="1187" t="str">
        <f t="shared" si="14"/>
        <v>2023-Top 20 All Hours-2</v>
      </c>
    </row>
    <row r="74" spans="1:7" s="541" customFormat="1">
      <c r="A74" s="1182">
        <f t="shared" ref="A74:A96" si="16">A73+1</f>
        <v>3</v>
      </c>
      <c r="B74" s="1183">
        <f t="shared" si="15"/>
        <v>2025</v>
      </c>
      <c r="C74" s="1220">
        <f t="shared" si="12"/>
        <v>7.1455142009376346E-2</v>
      </c>
      <c r="D74" s="1185">
        <f t="shared" si="13"/>
        <v>4.9612721938307501E-3</v>
      </c>
      <c r="E74" s="1227">
        <f>NPV(realdiscrt1,C$72:C74)/(1+realdiscrt3)^-Half_Year</f>
        <v>0.20846595659417616</v>
      </c>
      <c r="F74" s="1198">
        <f>NPV(realdiscrt1,D$72:D74)/(1+realdiscrt3)^-Half_Year</f>
        <v>2.1890102003481422E-2</v>
      </c>
      <c r="G74" s="1187" t="str">
        <f t="shared" si="14"/>
        <v>2023-Top 20 All Hours-3</v>
      </c>
    </row>
    <row r="75" spans="1:7" s="541" customFormat="1">
      <c r="A75" s="1182">
        <f t="shared" si="16"/>
        <v>4</v>
      </c>
      <c r="B75" s="1183">
        <f t="shared" si="15"/>
        <v>2026</v>
      </c>
      <c r="C75" s="1220">
        <f t="shared" si="12"/>
        <v>8.2598325073941589E-2</v>
      </c>
      <c r="D75" s="1185">
        <f t="shared" si="13"/>
        <v>2.9859557083344928E-3</v>
      </c>
      <c r="E75" s="1227">
        <f>NPV(realdiscrt1,C$72:C75)/(1+realdiscrt3)^-Half_Year</f>
        <v>0.28710216422444618</v>
      </c>
      <c r="F75" s="1198">
        <f>NPV(realdiscrt1,D$72:D75)/(1+realdiscrt3)^-Half_Year</f>
        <v>2.4732825906722627E-2</v>
      </c>
      <c r="G75" s="1187" t="str">
        <f t="shared" si="14"/>
        <v>2023-Top 20 All Hours-4</v>
      </c>
    </row>
    <row r="76" spans="1:7" s="541" customFormat="1">
      <c r="A76" s="1182">
        <f t="shared" si="16"/>
        <v>5</v>
      </c>
      <c r="B76" s="1183">
        <f t="shared" si="15"/>
        <v>2027</v>
      </c>
      <c r="C76" s="1220">
        <f t="shared" si="12"/>
        <v>7.2249934135299676E-2</v>
      </c>
      <c r="D76" s="1185">
        <f t="shared" si="13"/>
        <v>1.5909777236885908E-3</v>
      </c>
      <c r="E76" s="1227">
        <f>NPV(realdiscrt1,C$72:C76)/(1+realdiscrt3)^-Half_Year</f>
        <v>0.35492706272955143</v>
      </c>
      <c r="F76" s="1198">
        <f>NPV(realdiscrt1,D$72:D76)/(1+realdiscrt3)^-Half_Year</f>
        <v>2.6226362252804097E-2</v>
      </c>
      <c r="G76" s="1187" t="str">
        <f t="shared" si="14"/>
        <v>2023-Top 20 All Hours-5</v>
      </c>
    </row>
    <row r="77" spans="1:7" s="541" customFormat="1">
      <c r="A77" s="1182">
        <f t="shared" si="16"/>
        <v>6</v>
      </c>
      <c r="B77" s="1183">
        <f t="shared" si="15"/>
        <v>2028</v>
      </c>
      <c r="C77" s="1220">
        <f t="shared" si="12"/>
        <v>7.6414819186482116E-2</v>
      </c>
      <c r="D77" s="1185">
        <f t="shared" si="13"/>
        <v>0</v>
      </c>
      <c r="E77" s="1227">
        <f>NPV(realdiscrt1,C$72:C77)/(1+realdiscrt3)^-Half_Year</f>
        <v>0.42566129822204907</v>
      </c>
      <c r="F77" s="1198">
        <f>NPV(realdiscrt1,D$72:D77)/(1+realdiscrt3)^-Half_Year</f>
        <v>2.6226362252804097E-2</v>
      </c>
      <c r="G77" s="1187" t="str">
        <f t="shared" si="14"/>
        <v>2023-Top 20 All Hours-6</v>
      </c>
    </row>
    <row r="78" spans="1:7" s="541" customFormat="1">
      <c r="A78" s="1182">
        <f t="shared" si="16"/>
        <v>7</v>
      </c>
      <c r="B78" s="1183">
        <f t="shared" si="15"/>
        <v>2029</v>
      </c>
      <c r="C78" s="1220">
        <f t="shared" si="12"/>
        <v>9.4336718903414024E-2</v>
      </c>
      <c r="D78" s="1185">
        <f t="shared" si="13"/>
        <v>0</v>
      </c>
      <c r="E78" s="1227">
        <f>NPV(realdiscrt1,C$72:C78)/(1+realdiscrt3)^-Half_Year</f>
        <v>0.51176725927256905</v>
      </c>
      <c r="F78" s="1198">
        <f>NPV(realdiscrt1,D$72:D78)/(1+realdiscrt3)^-Half_Year</f>
        <v>2.6226362252804097E-2</v>
      </c>
      <c r="G78" s="1187" t="str">
        <f t="shared" si="14"/>
        <v>2023-Top 20 All Hours-7</v>
      </c>
    </row>
    <row r="79" spans="1:7" s="541" customFormat="1">
      <c r="A79" s="1182">
        <f t="shared" si="16"/>
        <v>8</v>
      </c>
      <c r="B79" s="1183">
        <f t="shared" si="15"/>
        <v>2030</v>
      </c>
      <c r="C79" s="1220">
        <f t="shared" si="12"/>
        <v>0.10149864193623304</v>
      </c>
      <c r="D79" s="1185">
        <f t="shared" si="13"/>
        <v>0</v>
      </c>
      <c r="E79" s="1227">
        <f>NPV(realdiscrt1,C$72:C79)/(1+realdiscrt3)^-Half_Year</f>
        <v>0.6031182075100795</v>
      </c>
      <c r="F79" s="1198">
        <f>NPV(realdiscrt1,D$72:D79)/(1+realdiscrt3)^-Half_Year</f>
        <v>2.6226362252804097E-2</v>
      </c>
      <c r="G79" s="1187" t="str">
        <f t="shared" si="14"/>
        <v>2023-Top 20 All Hours-8</v>
      </c>
    </row>
    <row r="80" spans="1:7" s="541" customFormat="1">
      <c r="A80" s="1182">
        <f t="shared" si="16"/>
        <v>9</v>
      </c>
      <c r="B80" s="1183">
        <f t="shared" si="15"/>
        <v>2031</v>
      </c>
      <c r="C80" s="1220">
        <f t="shared" si="12"/>
        <v>7.8783035197630774E-2</v>
      </c>
      <c r="D80" s="1185">
        <f t="shared" si="13"/>
        <v>0</v>
      </c>
      <c r="E80" s="1227">
        <f>NPV(realdiscrt1,C$72:C80)/(1+realdiscrt3)^-Half_Year</f>
        <v>0.67303571118906524</v>
      </c>
      <c r="F80" s="1198">
        <f>NPV(realdiscrt1,D$72:D80)/(1+realdiscrt3)^-Half_Year</f>
        <v>2.6226362252804097E-2</v>
      </c>
      <c r="G80" s="1187" t="str">
        <f t="shared" si="14"/>
        <v>2023-Top 20 All Hours-9</v>
      </c>
    </row>
    <row r="81" spans="1:7" s="541" customFormat="1">
      <c r="A81" s="1182">
        <f t="shared" si="16"/>
        <v>10</v>
      </c>
      <c r="B81" s="1183">
        <f t="shared" si="15"/>
        <v>2032</v>
      </c>
      <c r="C81" s="1220">
        <f t="shared" si="12"/>
        <v>7.3762445725832057E-2</v>
      </c>
      <c r="D81" s="1185">
        <f t="shared" si="13"/>
        <v>0</v>
      </c>
      <c r="E81" s="1227">
        <f>NPV(realdiscrt1,C$72:C81)/(1+realdiscrt3)^-Half_Year</f>
        <v>0.73758461787849028</v>
      </c>
      <c r="F81" s="1198">
        <f>NPV(realdiscrt1,D$72:D81)/(1+realdiscrt3)^-Half_Year</f>
        <v>2.6226362252804097E-2</v>
      </c>
      <c r="G81" s="1187" t="str">
        <f t="shared" si="14"/>
        <v>2023-Top 20 All Hours-10</v>
      </c>
    </row>
    <row r="82" spans="1:7" s="541" customFormat="1">
      <c r="A82" s="1182">
        <f t="shared" si="16"/>
        <v>11</v>
      </c>
      <c r="B82" s="1183">
        <f t="shared" si="15"/>
        <v>2033</v>
      </c>
      <c r="C82" s="1220">
        <f t="shared" si="12"/>
        <v>7.6068408692341175E-2</v>
      </c>
      <c r="D82" s="1185">
        <f t="shared" si="13"/>
        <v>0</v>
      </c>
      <c r="E82" s="1227">
        <f>NPV(realdiscrt1,C$72:C82)/(1+realdiscrt3)^-Half_Year</f>
        <v>0.803223063935258</v>
      </c>
      <c r="F82" s="1198">
        <f>NPV(realdiscrt1,D$72:D82)/(1+realdiscrt3)^-Half_Year</f>
        <v>2.6226362252804097E-2</v>
      </c>
      <c r="G82" s="1187" t="str">
        <f t="shared" si="14"/>
        <v>2023-Top 20 All Hours-11</v>
      </c>
    </row>
    <row r="83" spans="1:7" s="541" customFormat="1">
      <c r="A83" s="1182">
        <f t="shared" si="16"/>
        <v>12</v>
      </c>
      <c r="B83" s="1183">
        <f t="shared" si="15"/>
        <v>2034</v>
      </c>
      <c r="C83" s="1220">
        <f t="shared" si="12"/>
        <v>8.5336322953088337E-2</v>
      </c>
      <c r="D83" s="1185">
        <f t="shared" si="13"/>
        <v>0</v>
      </c>
      <c r="E83" s="1227">
        <f>NPV(realdiscrt1,C$72:C83)/(1+realdiscrt3)^-Half_Year</f>
        <v>0.87583169729058985</v>
      </c>
      <c r="F83" s="1198">
        <f>NPV(realdiscrt1,D$72:D83)/(1+realdiscrt3)^-Half_Year</f>
        <v>2.6226362252804097E-2</v>
      </c>
      <c r="G83" s="1187" t="str">
        <f t="shared" si="14"/>
        <v>2023-Top 20 All Hours-12</v>
      </c>
    </row>
    <row r="84" spans="1:7" s="541" customFormat="1">
      <c r="A84" s="1182">
        <f t="shared" si="16"/>
        <v>13</v>
      </c>
      <c r="B84" s="1183">
        <f t="shared" si="15"/>
        <v>2035</v>
      </c>
      <c r="C84" s="1220">
        <f t="shared" si="12"/>
        <v>9.6253632489092147E-2</v>
      </c>
      <c r="D84" s="1185">
        <f t="shared" si="13"/>
        <v>0</v>
      </c>
      <c r="E84" s="1227">
        <f>NPV(realdiscrt1,C$72:C84)/(1+realdiscrt3)^-Half_Year</f>
        <v>0.95658714741102568</v>
      </c>
      <c r="F84" s="1198">
        <f>NPV(realdiscrt1,D$72:D84)/(1+realdiscrt3)^-Half_Year</f>
        <v>2.6226362252804097E-2</v>
      </c>
      <c r="G84" s="1187" t="str">
        <f t="shared" si="14"/>
        <v>2023-Top 20 All Hours-13</v>
      </c>
    </row>
    <row r="85" spans="1:7" s="541" customFormat="1">
      <c r="A85" s="1182">
        <f t="shared" si="16"/>
        <v>14</v>
      </c>
      <c r="B85" s="1183">
        <f t="shared" si="15"/>
        <v>2036</v>
      </c>
      <c r="C85" s="1220">
        <f t="shared" si="12"/>
        <v>0.10120078756295907</v>
      </c>
      <c r="D85" s="1185">
        <f t="shared" si="13"/>
        <v>0</v>
      </c>
      <c r="E85" s="1227">
        <f>NPV(realdiscrt1,C$72:C85)/(1+realdiscrt3)^-Half_Year</f>
        <v>1.0403090296034938</v>
      </c>
      <c r="F85" s="1198">
        <f>NPV(realdiscrt1,D$72:D85)/(1+realdiscrt3)^-Half_Year</f>
        <v>2.6226362252804097E-2</v>
      </c>
      <c r="G85" s="1187" t="str">
        <f t="shared" si="14"/>
        <v>2023-Top 20 All Hours-14</v>
      </c>
    </row>
    <row r="86" spans="1:7" s="541" customFormat="1">
      <c r="A86" s="1182">
        <f t="shared" si="16"/>
        <v>15</v>
      </c>
      <c r="B86" s="1183">
        <f t="shared" si="15"/>
        <v>2037</v>
      </c>
      <c r="C86" s="1220">
        <f t="shared" si="12"/>
        <v>0.1064043238186472</v>
      </c>
      <c r="D86" s="1185">
        <f t="shared" si="13"/>
        <v>0</v>
      </c>
      <c r="E86" s="1227">
        <f>NPV(realdiscrt1,C$72:C86)/(1+realdiscrt3)^-Half_Year</f>
        <v>1.1271080341294548</v>
      </c>
      <c r="F86" s="1198">
        <f>NPV(realdiscrt1,D$72:D86)/(1+realdiscrt3)^-Half_Year</f>
        <v>2.6226362252804097E-2</v>
      </c>
      <c r="G86" s="1187" t="str">
        <f t="shared" si="14"/>
        <v>2023-Top 20 All Hours-15</v>
      </c>
    </row>
    <row r="87" spans="1:7" s="541" customFormat="1">
      <c r="A87" s="1182">
        <f t="shared" si="16"/>
        <v>16</v>
      </c>
      <c r="B87" s="1183">
        <f t="shared" si="15"/>
        <v>2038</v>
      </c>
      <c r="C87" s="1220">
        <f t="shared" si="12"/>
        <v>0.11187768317310171</v>
      </c>
      <c r="D87" s="1185">
        <f t="shared" si="13"/>
        <v>0</v>
      </c>
      <c r="E87" s="1227">
        <f>NPV(realdiscrt1,C$72:C87)/(1+realdiscrt3)^-Half_Year</f>
        <v>1.2170990821357137</v>
      </c>
      <c r="F87" s="1198">
        <f>NPV(realdiscrt1,D$72:D87)/(1+realdiscrt3)^-Half_Year</f>
        <v>2.6226362252804097E-2</v>
      </c>
      <c r="G87" s="1187" t="str">
        <f t="shared" si="14"/>
        <v>2023-Top 20 All Hours-16</v>
      </c>
    </row>
    <row r="88" spans="1:7" s="541" customFormat="1">
      <c r="A88" s="1182">
        <f t="shared" si="16"/>
        <v>17</v>
      </c>
      <c r="B88" s="1183">
        <f t="shared" si="15"/>
        <v>2039</v>
      </c>
      <c r="C88" s="1220">
        <f t="shared" si="12"/>
        <v>0.11763502361079306</v>
      </c>
      <c r="D88" s="1185">
        <f t="shared" si="13"/>
        <v>0</v>
      </c>
      <c r="E88" s="1227">
        <f>NPV(realdiscrt1,C$72:C88)/(1+realdiscrt3)^-Half_Year</f>
        <v>1.3104014931487498</v>
      </c>
      <c r="F88" s="1198">
        <f>NPV(realdiscrt1,D$72:D88)/(1+realdiscrt3)^-Half_Year</f>
        <v>2.6226362252804097E-2</v>
      </c>
      <c r="G88" s="1187" t="str">
        <f t="shared" si="14"/>
        <v>2023-Top 20 All Hours-17</v>
      </c>
    </row>
    <row r="89" spans="1:7" s="541" customFormat="1">
      <c r="A89" s="1182">
        <f t="shared" si="16"/>
        <v>18</v>
      </c>
      <c r="B89" s="1183">
        <f t="shared" si="15"/>
        <v>2040</v>
      </c>
      <c r="C89" s="1220">
        <f t="shared" si="12"/>
        <v>0.1236912581448624</v>
      </c>
      <c r="D89" s="1185">
        <f t="shared" si="13"/>
        <v>0</v>
      </c>
      <c r="E89" s="1227">
        <f>NPV(realdiscrt1,C$72:C89)/(1+realdiscrt3)^-Half_Year</f>
        <v>1.4071391595240315</v>
      </c>
      <c r="F89" s="1198">
        <f>NPV(realdiscrt1,D$72:D89)/(1+realdiscrt3)^-Half_Year</f>
        <v>2.6226362252804097E-2</v>
      </c>
      <c r="G89" s="1187" t="str">
        <f t="shared" si="14"/>
        <v>2023-Top 20 All Hours-18</v>
      </c>
    </row>
    <row r="90" spans="1:7" s="541" customFormat="1">
      <c r="A90" s="1182">
        <f t="shared" si="16"/>
        <v>19</v>
      </c>
      <c r="B90" s="1183">
        <f t="shared" si="15"/>
        <v>2041</v>
      </c>
      <c r="C90" s="1220">
        <f t="shared" si="12"/>
        <v>0.13006209595595911</v>
      </c>
      <c r="D90" s="1185">
        <f t="shared" si="13"/>
        <v>0</v>
      </c>
      <c r="E90" s="1227">
        <f>NPV(realdiscrt1,C$72:C90)/(1+realdiscrt3)^-Half_Year</f>
        <v>1.5074407281566715</v>
      </c>
      <c r="F90" s="1198">
        <f>NPV(realdiscrt1,D$72:D90)/(1+realdiscrt3)^-Half_Year</f>
        <v>2.6226362252804097E-2</v>
      </c>
      <c r="G90" s="1187" t="str">
        <f t="shared" si="14"/>
        <v>2023-Top 20 All Hours-19</v>
      </c>
    </row>
    <row r="91" spans="1:7" s="541" customFormat="1">
      <c r="A91" s="1182">
        <f t="shared" si="16"/>
        <v>20</v>
      </c>
      <c r="B91" s="1183">
        <f t="shared" si="15"/>
        <v>2042</v>
      </c>
      <c r="C91" s="1220">
        <f t="shared" si="12"/>
        <v>0.13676408583450494</v>
      </c>
      <c r="D91" s="1185">
        <f t="shared" si="13"/>
        <v>0</v>
      </c>
      <c r="E91" s="1227">
        <f>NPV(realdiscrt1,C$72:C91)/(1+realdiscrt3)^-Half_Year</f>
        <v>1.6114397897741739</v>
      </c>
      <c r="F91" s="1198">
        <f>NPV(realdiscrt1,D$72:D91)/(1+realdiscrt3)^-Half_Year</f>
        <v>2.6226362252804097E-2</v>
      </c>
      <c r="G91" s="1187" t="str">
        <f t="shared" si="14"/>
        <v>2023-Top 20 All Hours-20</v>
      </c>
    </row>
    <row r="92" spans="1:7" s="541" customFormat="1">
      <c r="A92" s="1182">
        <f t="shared" si="16"/>
        <v>21</v>
      </c>
      <c r="B92" s="1183">
        <f t="shared" si="15"/>
        <v>2043</v>
      </c>
      <c r="C92" s="1220">
        <f t="shared" si="12"/>
        <v>0.14381466205965027</v>
      </c>
      <c r="D92" s="1185">
        <f t="shared" si="13"/>
        <v>0</v>
      </c>
      <c r="E92" s="1227">
        <f>NPV(realdiscrt1,C$72:C92)/(1+realdiscrt3)^-Half_Year</f>
        <v>1.7192750761471487</v>
      </c>
      <c r="F92" s="1198">
        <f>NPV(realdiscrt1,D$72:D92)/(1+realdiscrt3)^-Half_Year</f>
        <v>2.6226362252804097E-2</v>
      </c>
      <c r="G92" s="1187" t="str">
        <f t="shared" si="14"/>
        <v>2023-Top 20 All Hours-21</v>
      </c>
    </row>
    <row r="93" spans="1:7" s="541" customFormat="1">
      <c r="A93" s="1182">
        <f t="shared" si="16"/>
        <v>22</v>
      </c>
      <c r="B93" s="1183">
        <f t="shared" si="15"/>
        <v>2044</v>
      </c>
      <c r="C93" s="1220">
        <f t="shared" si="12"/>
        <v>0.15123219285618711</v>
      </c>
      <c r="D93" s="1185">
        <f t="shared" si="13"/>
        <v>0</v>
      </c>
      <c r="E93" s="1227">
        <f>NPV(realdiscrt1,C$72:C93)/(1+realdiscrt3)^-Half_Year</f>
        <v>1.8310906655697483</v>
      </c>
      <c r="F93" s="1198">
        <f>NPV(realdiscrt1,D$72:D93)/(1+realdiscrt3)^-Half_Year</f>
        <v>2.6226362252804097E-2</v>
      </c>
      <c r="G93" s="1187" t="str">
        <f t="shared" si="14"/>
        <v>2023-Top 20 All Hours-22</v>
      </c>
    </row>
    <row r="94" spans="1:7" s="541" customFormat="1">
      <c r="A94" s="1182">
        <f t="shared" si="16"/>
        <v>23</v>
      </c>
      <c r="B94" s="1183">
        <f t="shared" si="15"/>
        <v>2045</v>
      </c>
      <c r="C94" s="1220">
        <f t="shared" si="12"/>
        <v>0.1590360315791835</v>
      </c>
      <c r="D94" s="1185">
        <f t="shared" si="13"/>
        <v>0</v>
      </c>
      <c r="E94" s="1227">
        <f>NPV(realdiscrt1,C$72:C94)/(1+realdiscrt3)^-Half_Year</f>
        <v>1.9470361969782679</v>
      </c>
      <c r="F94" s="1198">
        <f>NPV(realdiscrt1,D$72:D94)/(1+realdiscrt3)^-Half_Year</f>
        <v>2.6226362252804097E-2</v>
      </c>
      <c r="G94" s="1187" t="str">
        <f t="shared" si="14"/>
        <v>2023-Top 20 All Hours-23</v>
      </c>
    </row>
    <row r="95" spans="1:7" s="541" customFormat="1">
      <c r="A95" s="1182">
        <f t="shared" si="16"/>
        <v>24</v>
      </c>
      <c r="B95" s="1183">
        <f t="shared" si="15"/>
        <v>2046</v>
      </c>
      <c r="C95" s="1220">
        <f t="shared" si="12"/>
        <v>0.16724657078513347</v>
      </c>
      <c r="D95" s="1185">
        <f t="shared" si="13"/>
        <v>0</v>
      </c>
      <c r="E95" s="1227">
        <f>NPV(realdiscrt1,C$72:C95)/(1+realdiscrt3)^-Half_Year</f>
        <v>2.0672670930938595</v>
      </c>
      <c r="F95" s="1198">
        <f>NPV(realdiscrt1,D$72:D95)/(1+realdiscrt3)^-Half_Year</f>
        <v>2.6226362252804097E-2</v>
      </c>
      <c r="G95" s="1187" t="str">
        <f t="shared" si="14"/>
        <v>2023-Top 20 All Hours-24</v>
      </c>
    </row>
    <row r="96" spans="1:7" s="541" customFormat="1">
      <c r="A96" s="1208">
        <f t="shared" si="16"/>
        <v>25</v>
      </c>
      <c r="B96" s="1223">
        <f t="shared" si="15"/>
        <v>2047</v>
      </c>
      <c r="C96" s="1221">
        <f t="shared" si="12"/>
        <v>0.17588529935801261</v>
      </c>
      <c r="D96" s="1222">
        <f t="shared" si="13"/>
        <v>0</v>
      </c>
      <c r="E96" s="1224">
        <f>NPV(realdiscrt1,C$72:C96)/(1+realdiscrt3)^-Half_Year</f>
        <v>2.1919447929937346</v>
      </c>
      <c r="F96" s="1199">
        <f>NPV(realdiscrt1,D$72:D96)/(1+realdiscrt3)^-Half_Year</f>
        <v>2.6226362252804097E-2</v>
      </c>
      <c r="G96" s="1200" t="str">
        <f t="shared" si="14"/>
        <v>2023-Top 20 All Hours-25</v>
      </c>
    </row>
    <row r="97" spans="1:17" s="541" customFormat="1"/>
    <row r="98" spans="1:17" ht="23.25">
      <c r="A98" s="1641" t="str">
        <f>A5</f>
        <v>Top 20 Summer Hours</v>
      </c>
      <c r="B98" s="1642"/>
      <c r="C98" s="1642"/>
      <c r="D98" s="1642"/>
      <c r="E98" s="1642"/>
      <c r="F98" s="1642"/>
      <c r="G98" s="1642"/>
      <c r="H98" s="1642"/>
      <c r="I98" s="1642"/>
      <c r="J98" s="1642"/>
      <c r="K98" s="1642"/>
      <c r="L98" s="1642"/>
      <c r="M98" s="1642"/>
      <c r="N98" s="1643"/>
      <c r="O98" s="541"/>
      <c r="P98" s="541"/>
      <c r="Q98" s="541"/>
    </row>
    <row r="99" spans="1:17" s="1231" customFormat="1" ht="15">
      <c r="A99" s="1644" t="s">
        <v>593</v>
      </c>
      <c r="B99" s="1645"/>
      <c r="C99" s="1228" t="s">
        <v>918</v>
      </c>
      <c r="D99" s="1229" t="s">
        <v>63</v>
      </c>
      <c r="E99" s="1228" t="s">
        <v>918</v>
      </c>
      <c r="F99" s="1228" t="s">
        <v>63</v>
      </c>
      <c r="G99" s="1230" t="s">
        <v>704</v>
      </c>
      <c r="I99" s="1648" t="s">
        <v>76</v>
      </c>
      <c r="J99" s="1202" t="s">
        <v>914</v>
      </c>
      <c r="K99" s="1202" t="s">
        <v>915</v>
      </c>
      <c r="L99" s="1163" t="s">
        <v>942</v>
      </c>
      <c r="M99" s="1203" t="s">
        <v>916</v>
      </c>
      <c r="N99" s="1649" t="s">
        <v>917</v>
      </c>
    </row>
    <row r="100" spans="1:17" s="1161" customFormat="1" ht="15">
      <c r="A100" s="1164"/>
      <c r="B100" s="1165"/>
      <c r="C100" s="1166" t="s">
        <v>71</v>
      </c>
      <c r="D100" s="1167" t="s">
        <v>71</v>
      </c>
      <c r="E100" s="1166" t="s">
        <v>71</v>
      </c>
      <c r="F100" s="1166" t="s">
        <v>71</v>
      </c>
      <c r="G100" s="1168"/>
      <c r="H100" s="1144"/>
      <c r="I100" s="1637"/>
      <c r="J100" s="1169" t="s">
        <v>919</v>
      </c>
      <c r="K100" s="1169" t="s">
        <v>919</v>
      </c>
      <c r="L100" s="1170" t="s">
        <v>919</v>
      </c>
      <c r="M100" s="1170" t="s">
        <v>919</v>
      </c>
      <c r="N100" s="1638"/>
      <c r="O100" s="541"/>
      <c r="P100" s="541"/>
      <c r="Q100" s="541"/>
    </row>
    <row r="101" spans="1:17" s="1201" customFormat="1" ht="20.25">
      <c r="A101" s="1211" t="s">
        <v>600</v>
      </c>
      <c r="B101" s="1212"/>
      <c r="C101" s="1213"/>
      <c r="D101" s="1214"/>
      <c r="E101" s="1215" t="s">
        <v>633</v>
      </c>
      <c r="F101" s="1138"/>
      <c r="G101" s="1139"/>
      <c r="H101" s="1144"/>
      <c r="I101" s="1646"/>
      <c r="J101" s="1204" t="s">
        <v>71</v>
      </c>
      <c r="K101" s="1204" t="s">
        <v>71</v>
      </c>
      <c r="L101" s="1172" t="s">
        <v>71</v>
      </c>
      <c r="M101" s="1205" t="s">
        <v>71</v>
      </c>
      <c r="N101" s="1647"/>
      <c r="O101" s="541"/>
      <c r="P101" s="541"/>
      <c r="Q101" s="541"/>
    </row>
    <row r="102" spans="1:17" s="541" customFormat="1" ht="18">
      <c r="A102" s="1140">
        <f>Year1</f>
        <v>2021</v>
      </c>
      <c r="B102" s="1141" t="str">
        <f>Year1&amp;"$"</f>
        <v>2021$</v>
      </c>
      <c r="C102" s="1173"/>
      <c r="D102" s="1174"/>
      <c r="E102" s="1175"/>
      <c r="F102" s="1176"/>
      <c r="G102" s="1174"/>
      <c r="I102" s="1178" t="s">
        <v>922</v>
      </c>
      <c r="J102" s="1179"/>
      <c r="K102" s="1179"/>
      <c r="L102" s="1179"/>
      <c r="M102" s="1180"/>
      <c r="N102" s="1181"/>
    </row>
    <row r="103" spans="1:17" s="541" customFormat="1">
      <c r="A103" s="1182">
        <v>1</v>
      </c>
      <c r="B103" s="1183">
        <f>Year1</f>
        <v>2021</v>
      </c>
      <c r="C103" s="1184">
        <f>VLOOKUP($B103,$I$103:$N$135,C$12,FALSE)*(1+Inflation1)^(Year1-Real_Year)</f>
        <v>0.11179256994190276</v>
      </c>
      <c r="D103" s="1185">
        <f t="shared" ref="D103:D129" si="17">VLOOKUP($B103,$I$103:$N$135,IF($A$17=Year1,D$12,D$12+1),FALSE)*(1+Inflation1)^(Year1-Real_Year)</f>
        <v>2.1844477326638703E-2</v>
      </c>
      <c r="E103" s="1186">
        <f>NPV(realdiscrt1,C103:C$103)/(1+realdiscrt1)^-Half_Year</f>
        <v>0.11101026224219274</v>
      </c>
      <c r="F103" s="1186">
        <f>NPV(realdiscrt1,D103:D$103)/(1+realdiscrt1)^-Half_Year</f>
        <v>2.1691612938445001E-2</v>
      </c>
      <c r="G103" s="1187" t="str">
        <f t="shared" ref="G103:G129" si="18">$A$17&amp;"-"&amp;$A$98&amp;"-"&amp;A103</f>
        <v>2021-Top 20 Summer Hours-1</v>
      </c>
      <c r="H103" s="1161"/>
      <c r="I103" s="1188">
        <v>2018</v>
      </c>
      <c r="J103" s="1189">
        <f>(K103+$N103)*(1+WholesaleRiskPremium)</f>
        <v>6.4128875076119182E-2</v>
      </c>
      <c r="K103" s="1190">
        <v>5.1966223821509408E-2</v>
      </c>
      <c r="L103" s="1191">
        <v>7.7000000000000002E-3</v>
      </c>
      <c r="M103" s="1191">
        <v>0</v>
      </c>
      <c r="N103" s="1206">
        <f>INDEX(AESC!$H$184:$H$216,MATCH(I103,AESC!$B$184:$B$216,0))</f>
        <v>7.4123642119342734E-3</v>
      </c>
    </row>
    <row r="104" spans="1:17" s="541" customFormat="1">
      <c r="A104" s="1182">
        <v>2</v>
      </c>
      <c r="B104" s="1183">
        <f t="shared" ref="B104:B129" si="19">B103+1</f>
        <v>2022</v>
      </c>
      <c r="C104" s="1184">
        <f t="shared" ref="C104:C129" si="20">VLOOKUP($B104,$I$103:$N$135,C$12,FALSE)*(1+Inflation1)^(Year1-Real_Year)</f>
        <v>7.9226277917269605E-2</v>
      </c>
      <c r="D104" s="1185">
        <f t="shared" si="17"/>
        <v>1.4457456008451702E-2</v>
      </c>
      <c r="E104" s="1186">
        <f>NPV(realdiscrt1,C$103:C104)/(1+realdiscrt1)^-Half_Year</f>
        <v>0.18858491115846165</v>
      </c>
      <c r="F104" s="1186">
        <f>NPV(realdiscrt1,D$103:D104)/(1+realdiscrt1)^-Half_Year</f>
        <v>3.5847674583158136E-2</v>
      </c>
      <c r="G104" s="1187" t="str">
        <f t="shared" si="18"/>
        <v>2021-Top 20 Summer Hours-2</v>
      </c>
      <c r="H104" s="1201"/>
      <c r="I104" s="1188">
        <v>2019</v>
      </c>
      <c r="J104" s="1189">
        <f>(K104+$N104)*(1+WholesaleRiskPremium)</f>
        <v>6.7490540093144064E-2</v>
      </c>
      <c r="K104" s="1190">
        <v>5.1200504775195645E-2</v>
      </c>
      <c r="L104" s="1191">
        <v>1.1299999999999999E-2</v>
      </c>
      <c r="M104" s="1191">
        <v>7.2668459805908074E-3</v>
      </c>
      <c r="N104" s="1192">
        <f>INDEX(AESC!$H$184:$H$216,MATCH(I104,AESC!$B$184:$B$216,0))</f>
        <v>1.1290736051789593E-2</v>
      </c>
    </row>
    <row r="105" spans="1:17" s="541" customFormat="1">
      <c r="A105" s="1182">
        <f t="shared" ref="A105:A129" si="21">A104+1</f>
        <v>3</v>
      </c>
      <c r="B105" s="1183">
        <f t="shared" si="19"/>
        <v>2023</v>
      </c>
      <c r="C105" s="1184">
        <f t="shared" si="20"/>
        <v>6.80877094945639E-2</v>
      </c>
      <c r="D105" s="1185">
        <f t="shared" si="17"/>
        <v>9.7086565896172001E-3</v>
      </c>
      <c r="E105" s="1186">
        <f>NPV(realdiscrt1,C$103:C105)/(1+realdiscrt1)^-Half_Year</f>
        <v>0.25432339254960068</v>
      </c>
      <c r="F105" s="1186">
        <f>NPV(realdiscrt1,D$103:D105)/(1+realdiscrt1)^-Half_Year</f>
        <v>4.5221353699217481E-2</v>
      </c>
      <c r="G105" s="1187" t="str">
        <f t="shared" si="18"/>
        <v>2021-Top 20 Summer Hours-3</v>
      </c>
      <c r="I105" s="1188">
        <v>2020</v>
      </c>
      <c r="J105" s="1189">
        <f>(K105+$N105)*(1+WholesaleRiskPremium)</f>
        <v>6.9854960422078061E-2</v>
      </c>
      <c r="K105" s="1190">
        <v>5.5998685871064588E-2</v>
      </c>
      <c r="L105" s="1191">
        <v>1.15E-2</v>
      </c>
      <c r="M105" s="1191">
        <v>1.0630192054976784E-2</v>
      </c>
      <c r="N105" s="1192">
        <f>INDEX(AESC!$H$184:$H$216,MATCH(I105,AESC!$B$184:$B$216,0))</f>
        <v>8.6818330382669468E-3</v>
      </c>
    </row>
    <row r="106" spans="1:17" s="541" customFormat="1">
      <c r="A106" s="1182">
        <f t="shared" si="21"/>
        <v>4</v>
      </c>
      <c r="B106" s="1183">
        <f t="shared" si="19"/>
        <v>2024</v>
      </c>
      <c r="C106" s="1184">
        <f t="shared" si="20"/>
        <v>6.8375211161279453E-2</v>
      </c>
      <c r="D106" s="1185">
        <f t="shared" si="17"/>
        <v>7.5980790701352004E-3</v>
      </c>
      <c r="E106" s="1186">
        <f>NPV(realdiscrt1,C$103:C106)/(1+realdiscrt1)^-Half_Year</f>
        <v>0.31941874765309303</v>
      </c>
      <c r="F106" s="1186">
        <f>NPV(realdiscrt1,D$103:D106)/(1+realdiscrt1)^-Half_Year</f>
        <v>5.245496434223592E-2</v>
      </c>
      <c r="G106" s="1187" t="str">
        <f t="shared" si="18"/>
        <v>2021-Top 20 Summer Hours-4</v>
      </c>
      <c r="I106" s="1188">
        <v>2021</v>
      </c>
      <c r="J106" s="1189">
        <f>(K106+$N106)*(1+WholesaleRiskPremium)</f>
        <v>0.10593552609177799</v>
      </c>
      <c r="K106" s="1190">
        <v>9.1352144174257799E-2</v>
      </c>
      <c r="L106" s="1191">
        <v>2.07E-2</v>
      </c>
      <c r="M106" s="1191">
        <v>2.0406858610342339E-2</v>
      </c>
      <c r="N106" s="1192">
        <f>INDEX(AESC!$H$184:$H$216,MATCH(I106,AESC!$B$184:$B$216,0))</f>
        <v>6.736305910721818E-3</v>
      </c>
    </row>
    <row r="107" spans="1:17" s="541" customFormat="1">
      <c r="A107" s="1182">
        <f t="shared" si="21"/>
        <v>5</v>
      </c>
      <c r="B107" s="1183">
        <f t="shared" si="19"/>
        <v>2025</v>
      </c>
      <c r="C107" s="1184">
        <f t="shared" si="20"/>
        <v>6.8937036814076133E-2</v>
      </c>
      <c r="D107" s="1185">
        <f t="shared" si="17"/>
        <v>4.9598571707827012E-3</v>
      </c>
      <c r="E107" s="1186">
        <f>NPV(realdiscrt1,C$103:C107)/(1+realdiscrt1)^-Half_Year</f>
        <v>0.38413365128748966</v>
      </c>
      <c r="F107" s="1186">
        <f>NPV(realdiscrt1,D$103:D107)/(1+realdiscrt1)^-Half_Year</f>
        <v>5.7111048991090943E-2</v>
      </c>
      <c r="G107" s="1187" t="str">
        <f t="shared" si="18"/>
        <v>2021-Top 20 Summer Hours-5</v>
      </c>
      <c r="I107" s="1188">
        <v>2022</v>
      </c>
      <c r="J107" s="1189">
        <f t="shared" ref="J107:J135" si="22">(K107+$N107)*(1+WholesaleRiskPremium)</f>
        <v>7.5075449431219313E-2</v>
      </c>
      <c r="K107" s="1190">
        <v>6.4399874315776165E-2</v>
      </c>
      <c r="L107" s="1191">
        <v>1.37E-2</v>
      </c>
      <c r="M107" s="1191">
        <v>1.511604259783814E-2</v>
      </c>
      <c r="N107" s="1192">
        <f>INDEX(AESC!$H$184:$H$216,MATCH(I107,AESC!$B$184:$B$216,0))</f>
        <v>5.1144307131305942E-3</v>
      </c>
    </row>
    <row r="108" spans="1:17" s="541" customFormat="1">
      <c r="A108" s="1182">
        <f t="shared" si="21"/>
        <v>6</v>
      </c>
      <c r="B108" s="1183">
        <f t="shared" si="19"/>
        <v>2026</v>
      </c>
      <c r="C108" s="1184">
        <f t="shared" si="20"/>
        <v>7.9687530054256425E-2</v>
      </c>
      <c r="D108" s="1185">
        <f t="shared" si="17"/>
        <v>2.9548085272748004E-3</v>
      </c>
      <c r="E108" s="1186">
        <f>NPV(realdiscrt1,C$103:C108)/(1+realdiscrt1)^-Half_Year</f>
        <v>0.45789730834617676</v>
      </c>
      <c r="F108" s="1186">
        <f>NPV(realdiscrt1,D$103:D108)/(1+realdiscrt1)^-Half_Year</f>
        <v>5.9846200685861543E-2</v>
      </c>
      <c r="G108" s="1187" t="str">
        <f t="shared" si="18"/>
        <v>2021-Top 20 Summer Hours-6</v>
      </c>
      <c r="I108" s="1188">
        <v>2023</v>
      </c>
      <c r="J108" s="1189">
        <f t="shared" si="22"/>
        <v>6.4520453635149771E-2</v>
      </c>
      <c r="K108" s="1190">
        <v>5.4269031556913615E-2</v>
      </c>
      <c r="L108" s="1191">
        <v>9.1999999999999998E-3</v>
      </c>
      <c r="M108" s="1191">
        <v>1.1623814244628132E-2</v>
      </c>
      <c r="N108" s="1192">
        <f>INDEX(AESC!$H$184:$H$216,MATCH(I108,AESC!$B$184:$B$216,0))</f>
        <v>5.4721292163732024E-3</v>
      </c>
    </row>
    <row r="109" spans="1:17" s="541" customFormat="1">
      <c r="A109" s="1182">
        <f t="shared" si="21"/>
        <v>7</v>
      </c>
      <c r="B109" s="1183">
        <f t="shared" si="19"/>
        <v>2027</v>
      </c>
      <c r="C109" s="1184">
        <f t="shared" si="20"/>
        <v>6.9703820176386461E-2</v>
      </c>
      <c r="D109" s="1185">
        <f t="shared" si="17"/>
        <v>1.5829331396115002E-3</v>
      </c>
      <c r="E109" s="1186">
        <f>NPV(realdiscrt1,C$103:C109)/(1+realdiscrt1)^-Half_Year</f>
        <v>0.52151955952204598</v>
      </c>
      <c r="F109" s="1186">
        <f>NPV(realdiscrt1,D$103:D109)/(1+realdiscrt1)^-Half_Year</f>
        <v>6.1291024937217102E-2</v>
      </c>
      <c r="G109" s="1187" t="str">
        <f t="shared" si="18"/>
        <v>2021-Top 20 Summer Hours-7</v>
      </c>
      <c r="I109" s="1188">
        <v>2024</v>
      </c>
      <c r="J109" s="1189">
        <f t="shared" si="22"/>
        <v>6.479289249518852E-2</v>
      </c>
      <c r="K109" s="1190">
        <v>5.4979141301942078E-2</v>
      </c>
      <c r="L109" s="1191">
        <v>7.1999999999999998E-3</v>
      </c>
      <c r="M109" s="1191">
        <v>9.2524735079714347E-3</v>
      </c>
      <c r="N109" s="1192">
        <f>INDEX(AESC!$H$184:$H$216,MATCH(I109,AESC!$B$184:$B$216,0))</f>
        <v>5.0142776750843193E-3</v>
      </c>
    </row>
    <row r="110" spans="1:17" s="1161" customFormat="1" ht="15" customHeight="1">
      <c r="A110" s="1182">
        <f t="shared" si="21"/>
        <v>8</v>
      </c>
      <c r="B110" s="1183">
        <f t="shared" si="19"/>
        <v>2028</v>
      </c>
      <c r="C110" s="1184">
        <f t="shared" si="20"/>
        <v>7.3721933163441847E-2</v>
      </c>
      <c r="D110" s="1185">
        <f t="shared" si="17"/>
        <v>0</v>
      </c>
      <c r="E110" s="1186">
        <f>NPV(realdiscrt1,C$103:C110)/(1+realdiscrt1)^-Half_Year</f>
        <v>0.58787087587378406</v>
      </c>
      <c r="F110" s="1186">
        <f>NPV(realdiscrt1,D$103:D110)/(1+realdiscrt1)^-Half_Year</f>
        <v>6.1291024937217102E-2</v>
      </c>
      <c r="G110" s="1187" t="str">
        <f t="shared" si="18"/>
        <v>2021-Top 20 Summer Hours-8</v>
      </c>
      <c r="H110" s="541"/>
      <c r="I110" s="1188">
        <v>2025</v>
      </c>
      <c r="J110" s="1189">
        <f t="shared" si="22"/>
        <v>6.5325282940562515E-2</v>
      </c>
      <c r="K110" s="1190">
        <v>5.6353731999559835E-2</v>
      </c>
      <c r="L110" s="1191">
        <v>4.7000000000000002E-3</v>
      </c>
      <c r="M110" s="1191">
        <v>6.4716006847179673E-3</v>
      </c>
      <c r="N110" s="1192">
        <f>INDEX(AESC!$H$184:$H$216,MATCH(I110,AESC!$B$184:$B$216,0))</f>
        <v>4.1326410935536026E-3</v>
      </c>
    </row>
    <row r="111" spans="1:17" s="541" customFormat="1">
      <c r="A111" s="1182">
        <f t="shared" si="21"/>
        <v>9</v>
      </c>
      <c r="B111" s="1183">
        <f t="shared" si="19"/>
        <v>2029</v>
      </c>
      <c r="C111" s="1184">
        <f t="shared" si="20"/>
        <v>9.1012258615488312E-2</v>
      </c>
      <c r="D111" s="1185">
        <f t="shared" si="17"/>
        <v>0</v>
      </c>
      <c r="E111" s="1186">
        <f>NPV(realdiscrt1,C$103:C111)/(1+realdiscrt1)^-Half_Year</f>
        <v>0.66864143657404729</v>
      </c>
      <c r="F111" s="1186">
        <f>NPV(realdiscrt1,D$103:D111)/(1+realdiscrt1)^-Half_Year</f>
        <v>6.1291024937217102E-2</v>
      </c>
      <c r="G111" s="1187" t="str">
        <f t="shared" si="18"/>
        <v>2021-Top 20 Summer Hours-9</v>
      </c>
      <c r="H111" s="1186"/>
      <c r="I111" s="1188">
        <v>2026</v>
      </c>
      <c r="J111" s="1189">
        <f t="shared" si="22"/>
        <v>7.5512535615194235E-2</v>
      </c>
      <c r="K111" s="1190">
        <v>6.6506103758641993E-2</v>
      </c>
      <c r="L111" s="1191">
        <v>2.8E-3</v>
      </c>
      <c r="M111" s="1191">
        <v>5.242844915278262E-3</v>
      </c>
      <c r="N111" s="1192">
        <f>INDEX(AESC!$H$184:$H$216,MATCH(I111,AESC!$B$184:$B$216,0))</f>
        <v>3.4129106998711735E-3</v>
      </c>
    </row>
    <row r="112" spans="1:17" s="541" customFormat="1">
      <c r="A112" s="1182">
        <f t="shared" si="21"/>
        <v>10</v>
      </c>
      <c r="B112" s="1183">
        <f t="shared" si="19"/>
        <v>2030</v>
      </c>
      <c r="C112" s="1184">
        <f t="shared" si="20"/>
        <v>9.7921792875573302E-2</v>
      </c>
      <c r="D112" s="1185">
        <f t="shared" si="17"/>
        <v>0</v>
      </c>
      <c r="E112" s="1186">
        <f>NPV(realdiscrt1,C$103:C112)/(1+realdiscrt1)^-Half_Year</f>
        <v>0.75433198830385573</v>
      </c>
      <c r="F112" s="1186">
        <f>NPV(realdiscrt1,D$103:D112)/(1+realdiscrt1)^-Half_Year</f>
        <v>6.1291024937217102E-2</v>
      </c>
      <c r="G112" s="1187" t="str">
        <f t="shared" si="18"/>
        <v>2021-Top 20 Summer Hours-10</v>
      </c>
      <c r="I112" s="1188">
        <v>2027</v>
      </c>
      <c r="J112" s="1189">
        <f t="shared" si="22"/>
        <v>6.6051892937335835E-2</v>
      </c>
      <c r="K112" s="1190">
        <v>5.8456776091502897E-2</v>
      </c>
      <c r="L112" s="1191">
        <v>1.5E-3</v>
      </c>
      <c r="M112" s="1191">
        <v>2.543300059792157E-3</v>
      </c>
      <c r="N112" s="1192">
        <f>INDEX(AESC!$H$184:$H$216,MATCH(I112,AESC!$B$184:$B$216,0))</f>
        <v>2.7023840356599142E-3</v>
      </c>
    </row>
    <row r="113" spans="1:14" s="541" customFormat="1">
      <c r="A113" s="1182">
        <f t="shared" si="21"/>
        <v>11</v>
      </c>
      <c r="B113" s="1183">
        <f t="shared" si="19"/>
        <v>2031</v>
      </c>
      <c r="C113" s="1184">
        <f t="shared" si="20"/>
        <v>7.6006692380949453E-2</v>
      </c>
      <c r="D113" s="1185">
        <f t="shared" si="17"/>
        <v>0</v>
      </c>
      <c r="E113" s="1186">
        <f>NPV(realdiscrt1,C$103:C113)/(1+realdiscrt1)^-Half_Year</f>
        <v>0.8199171801537094</v>
      </c>
      <c r="F113" s="1186">
        <f>NPV(realdiscrt1,D$103:D113)/(1+realdiscrt1)^-Half_Year</f>
        <v>6.1291024937217102E-2</v>
      </c>
      <c r="G113" s="1187" t="str">
        <f t="shared" si="18"/>
        <v>2021-Top 20 Summer Hours-11</v>
      </c>
      <c r="H113" s="1161"/>
      <c r="I113" s="1188">
        <v>2028</v>
      </c>
      <c r="J113" s="1189">
        <f t="shared" si="22"/>
        <v>6.9859488678279347E-2</v>
      </c>
      <c r="K113" s="1190">
        <v>6.2278437298861553E-2</v>
      </c>
      <c r="L113" s="1191">
        <v>0</v>
      </c>
      <c r="M113" s="1191">
        <v>1.6578845855953523E-3</v>
      </c>
      <c r="N113" s="1192">
        <f>INDEX(AESC!$H$184:$H$216,MATCH(I113,AESC!$B$184:$B$216,0))</f>
        <v>2.4062744402859834E-3</v>
      </c>
    </row>
    <row r="114" spans="1:14" s="541" customFormat="1">
      <c r="A114" s="1182">
        <f t="shared" si="21"/>
        <v>12</v>
      </c>
      <c r="B114" s="1183">
        <f t="shared" si="19"/>
        <v>2032</v>
      </c>
      <c r="C114" s="1184">
        <f t="shared" si="20"/>
        <v>7.116303030831185E-2</v>
      </c>
      <c r="D114" s="1185">
        <f t="shared" si="17"/>
        <v>0</v>
      </c>
      <c r="E114" s="1186">
        <f>NPV(realdiscrt1,C$103:C114)/(1+realdiscrt1)^-Half_Year</f>
        <v>0.88046643042959793</v>
      </c>
      <c r="F114" s="1186">
        <f>NPV(realdiscrt1,D$103:D114)/(1+realdiscrt1)^-Half_Year</f>
        <v>6.1291024937217102E-2</v>
      </c>
      <c r="G114" s="1187" t="str">
        <f t="shared" si="18"/>
        <v>2021-Top 20 Summer Hours-12</v>
      </c>
      <c r="I114" s="1188">
        <v>2029</v>
      </c>
      <c r="J114" s="1189">
        <f t="shared" si="22"/>
        <v>8.6243938235280246E-2</v>
      </c>
      <c r="K114" s="1190">
        <v>7.7574299956569545E-2</v>
      </c>
      <c r="L114" s="1210">
        <v>0</v>
      </c>
      <c r="M114" s="1210">
        <v>0</v>
      </c>
      <c r="N114" s="1192">
        <f>INDEX(AESC!$H$184:$H$216,MATCH(I114,AESC!$B$184:$B$216,0))</f>
        <v>2.2811984094306798E-3</v>
      </c>
    </row>
    <row r="115" spans="1:14" s="541" customFormat="1">
      <c r="A115" s="1182">
        <f t="shared" si="21"/>
        <v>13</v>
      </c>
      <c r="B115" s="1183">
        <f t="shared" si="19"/>
        <v>2033</v>
      </c>
      <c r="C115" s="1184">
        <f t="shared" si="20"/>
        <v>7.3387730301116796E-2</v>
      </c>
      <c r="D115" s="1185">
        <f t="shared" si="17"/>
        <v>0</v>
      </c>
      <c r="E115" s="1186">
        <f>NPV(realdiscrt1,C$103:C115)/(1+realdiscrt1)^-Half_Year</f>
        <v>0.94203770873387838</v>
      </c>
      <c r="F115" s="1186">
        <f>NPV(realdiscrt1,D$103:D115)/(1+realdiscrt1)^-Half_Year</f>
        <v>6.1291024937217102E-2</v>
      </c>
      <c r="G115" s="1187" t="str">
        <f t="shared" si="18"/>
        <v>2021-Top 20 Summer Hours-13</v>
      </c>
      <c r="I115" s="1188">
        <v>2030</v>
      </c>
      <c r="J115" s="1189">
        <f t="shared" si="22"/>
        <v>9.2791467711270115E-2</v>
      </c>
      <c r="K115" s="1190">
        <v>8.3631207477500552E-2</v>
      </c>
      <c r="L115" s="1210">
        <v>0</v>
      </c>
      <c r="M115" s="1210">
        <v>0</v>
      </c>
      <c r="N115" s="1192">
        <f>INDEX(AESC!$H$184:$H$216,MATCH(I115,AESC!$B$184:$B$216,0))</f>
        <v>2.2868181810828765E-3</v>
      </c>
    </row>
    <row r="116" spans="1:14" s="541" customFormat="1">
      <c r="A116" s="1182">
        <f t="shared" si="21"/>
        <v>14</v>
      </c>
      <c r="B116" s="1183">
        <f t="shared" si="19"/>
        <v>2034</v>
      </c>
      <c r="C116" s="1184">
        <f t="shared" si="20"/>
        <v>8.2329039892230532E-2</v>
      </c>
      <c r="D116" s="1185">
        <f t="shared" si="17"/>
        <v>0</v>
      </c>
      <c r="E116" s="1186">
        <f>NPV(realdiscrt1,C$103:C116)/(1+realdiscrt1)^-Half_Year</f>
        <v>1.0101472792704538</v>
      </c>
      <c r="F116" s="1186">
        <f>NPV(realdiscrt1,D$103:D116)/(1+realdiscrt1)^-Half_Year</f>
        <v>6.1291024937217102E-2</v>
      </c>
      <c r="G116" s="1187" t="str">
        <f t="shared" si="18"/>
        <v>2021-Top 20 Summer Hours-14</v>
      </c>
      <c r="I116" s="1188">
        <v>2031</v>
      </c>
      <c r="J116" s="1189">
        <f t="shared" si="22"/>
        <v>7.2024544637056306E-2</v>
      </c>
      <c r="K116" s="1190">
        <v>6.4350541055958277E-2</v>
      </c>
      <c r="L116" s="1210">
        <v>0</v>
      </c>
      <c r="M116" s="1210">
        <v>0</v>
      </c>
      <c r="N116" s="1192">
        <f>INDEX(AESC!$H$184:$H$216,MATCH(I116,AESC!$B$184:$B$216,0))</f>
        <v>2.3388521265012515E-3</v>
      </c>
    </row>
    <row r="117" spans="1:14" s="541" customFormat="1">
      <c r="A117" s="1182">
        <f t="shared" si="21"/>
        <v>15</v>
      </c>
      <c r="B117" s="1183">
        <f t="shared" si="19"/>
        <v>2035</v>
      </c>
      <c r="C117" s="1184">
        <f t="shared" si="20"/>
        <v>9.2861619469154472E-2</v>
      </c>
      <c r="D117" s="1185">
        <f t="shared" si="17"/>
        <v>0</v>
      </c>
      <c r="E117" s="1186">
        <f>NPV(realdiscrt1,C$103:C117)/(1+realdiscrt1)^-Half_Year</f>
        <v>1.0858988637862197</v>
      </c>
      <c r="F117" s="1186">
        <f>NPV(realdiscrt1,D$103:D117)/(1+realdiscrt1)^-Half_Year</f>
        <v>6.1291024937217102E-2</v>
      </c>
      <c r="G117" s="1187" t="str">
        <f t="shared" si="18"/>
        <v>2021-Top 20 Summer Hours-15</v>
      </c>
      <c r="I117" s="1188">
        <v>2032</v>
      </c>
      <c r="J117" s="1189">
        <f t="shared" si="22"/>
        <v>6.7434652033797282E-2</v>
      </c>
      <c r="K117" s="1190">
        <v>5.9647222080674717E-2</v>
      </c>
      <c r="L117" s="1210">
        <v>0</v>
      </c>
      <c r="M117" s="1210">
        <v>0</v>
      </c>
      <c r="N117" s="1192">
        <f>INDEX(AESC!$H$184:$H$216,MATCH(I117,AESC!$B$184:$B$216,0))</f>
        <v>2.7922705432116535E-3</v>
      </c>
    </row>
    <row r="118" spans="1:14" s="541" customFormat="1">
      <c r="A118" s="1182">
        <f t="shared" si="21"/>
        <v>16</v>
      </c>
      <c r="B118" s="1183">
        <f t="shared" si="19"/>
        <v>2036</v>
      </c>
      <c r="C118" s="1184">
        <f t="shared" si="20"/>
        <v>9.7634434998754266E-2</v>
      </c>
      <c r="D118" s="1185">
        <f t="shared" si="17"/>
        <v>0</v>
      </c>
      <c r="E118" s="1186">
        <f>NPV(realdiscrt1,C$103:C118)/(1+realdiscrt1)^-Half_Year</f>
        <v>1.1644330707687014</v>
      </c>
      <c r="F118" s="1186">
        <f>NPV(realdiscrt1,D$103:D118)/(1+realdiscrt1)^-Half_Year</f>
        <v>6.1291024937217102E-2</v>
      </c>
      <c r="G118" s="1187" t="str">
        <f t="shared" si="18"/>
        <v>2021-Top 20 Summer Hours-16</v>
      </c>
      <c r="I118" s="1188">
        <v>2033</v>
      </c>
      <c r="J118" s="1189">
        <f t="shared" si="22"/>
        <v>6.9542795394815324E-2</v>
      </c>
      <c r="K118" s="1190">
        <v>6.1493395821177244E-2</v>
      </c>
      <c r="L118" s="1210">
        <v>0</v>
      </c>
      <c r="M118" s="1210">
        <v>0</v>
      </c>
      <c r="N118" s="1192">
        <f>INDEX(AESC!$H$184:$H$216,MATCH(I118,AESC!$B$184:$B$216,0))</f>
        <v>2.8980813962443596E-3</v>
      </c>
    </row>
    <row r="119" spans="1:14" s="541" customFormat="1">
      <c r="A119" s="1182">
        <f t="shared" si="21"/>
        <v>17</v>
      </c>
      <c r="B119" s="1183">
        <f t="shared" si="19"/>
        <v>2037</v>
      </c>
      <c r="C119" s="1184">
        <f t="shared" si="20"/>
        <v>0.10265459674407248</v>
      </c>
      <c r="D119" s="1185">
        <f t="shared" si="17"/>
        <v>0</v>
      </c>
      <c r="E119" s="1186">
        <f>NPV(realdiscrt1,C$103:C119)/(1+realdiscrt1)^-Half_Year</f>
        <v>1.2458537317572385</v>
      </c>
      <c r="F119" s="1186">
        <f>NPV(realdiscrt1,D$103:D119)/(1+realdiscrt1)^-Half_Year</f>
        <v>6.1291024937217102E-2</v>
      </c>
      <c r="G119" s="1187" t="str">
        <f t="shared" si="18"/>
        <v>2021-Top 20 Summer Hours-17</v>
      </c>
      <c r="I119" s="1188">
        <v>2034</v>
      </c>
      <c r="J119" s="1189">
        <f t="shared" si="22"/>
        <v>7.8015651291914234E-2</v>
      </c>
      <c r="K119" s="1190">
        <v>6.9228812292479874E-2</v>
      </c>
      <c r="L119" s="1210">
        <v>0</v>
      </c>
      <c r="M119" s="1210">
        <v>0</v>
      </c>
      <c r="N119" s="1192">
        <f>INDEX(AESC!$H$184:$H$216,MATCH(I119,AESC!$B$184:$B$216,0))</f>
        <v>3.0079018666999643E-3</v>
      </c>
    </row>
    <row r="120" spans="1:14" s="541" customFormat="1">
      <c r="A120" s="1182">
        <f t="shared" si="21"/>
        <v>18</v>
      </c>
      <c r="B120" s="1183">
        <f t="shared" si="19"/>
        <v>2038</v>
      </c>
      <c r="C120" s="1184">
        <f t="shared" si="20"/>
        <v>0.10793507292401192</v>
      </c>
      <c r="D120" s="1185">
        <f t="shared" si="17"/>
        <v>0</v>
      </c>
      <c r="E120" s="1186">
        <f>NPV(realdiscrt1,C$103:C120)/(1+realdiscrt1)^-Half_Year</f>
        <v>1.3302686470173468</v>
      </c>
      <c r="F120" s="1186">
        <f>NPV(realdiscrt1,D$103:D120)/(1+realdiscrt1)^-Half_Year</f>
        <v>6.1291024937217102E-2</v>
      </c>
      <c r="G120" s="1187" t="str">
        <f t="shared" si="18"/>
        <v>2021-Top 20 Summer Hours-18</v>
      </c>
      <c r="I120" s="1188">
        <v>2035</v>
      </c>
      <c r="J120" s="1189">
        <f t="shared" si="22"/>
        <v>8.7996407250604591E-2</v>
      </c>
      <c r="K120" s="1190">
        <v>7.8356270965855637E-2</v>
      </c>
      <c r="L120" s="1210">
        <v>0</v>
      </c>
      <c r="M120" s="1210">
        <v>0</v>
      </c>
      <c r="N120" s="1192">
        <f>INDEX(AESC!$H$184:$H$216,MATCH(I120,AESC!$B$184:$B$216,0))</f>
        <v>3.1218838958152807E-3</v>
      </c>
    </row>
    <row r="121" spans="1:14" s="541" customFormat="1">
      <c r="A121" s="1182">
        <f t="shared" si="21"/>
        <v>19</v>
      </c>
      <c r="B121" s="1183">
        <f t="shared" si="19"/>
        <v>2039</v>
      </c>
      <c r="C121" s="1184">
        <f t="shared" si="20"/>
        <v>0.11348952259052045</v>
      </c>
      <c r="D121" s="1185">
        <f t="shared" si="17"/>
        <v>0</v>
      </c>
      <c r="E121" s="1186">
        <f>NPV(realdiscrt1,C$103:C121)/(1+realdiscrt1)^-Half_Year</f>
        <v>1.4177897426565651</v>
      </c>
      <c r="F121" s="1186">
        <f>NPV(realdiscrt1,D$103:D121)/(1+realdiscrt1)^-Half_Year</f>
        <v>6.1291024937217102E-2</v>
      </c>
      <c r="G121" s="1187" t="str">
        <f t="shared" si="18"/>
        <v>2021-Top 20 Summer Hours-19</v>
      </c>
      <c r="I121" s="1188">
        <v>2036</v>
      </c>
      <c r="J121" s="1189">
        <f t="shared" si="22"/>
        <v>9.2519165107677936E-2</v>
      </c>
      <c r="K121" s="1190">
        <v>8.2310293174389815E-2</v>
      </c>
      <c r="L121" s="1210">
        <v>0</v>
      </c>
      <c r="M121" s="1210">
        <v>0</v>
      </c>
      <c r="N121" s="1192">
        <f>INDEX(AESC!$H$184:$H$216,MATCH(I121,AESC!$B$184:$B$216,0))</f>
        <v>3.3556004438304809E-3</v>
      </c>
    </row>
    <row r="122" spans="1:14" s="541" customFormat="1">
      <c r="A122" s="1182">
        <f t="shared" si="21"/>
        <v>20</v>
      </c>
      <c r="B122" s="1183">
        <f t="shared" si="19"/>
        <v>2040</v>
      </c>
      <c r="C122" s="1184">
        <f t="shared" si="20"/>
        <v>0.11933233321673173</v>
      </c>
      <c r="D122" s="1185">
        <f t="shared" si="17"/>
        <v>0</v>
      </c>
      <c r="E122" s="1186">
        <f>NPV(realdiscrt1,C$103:C122)/(1+realdiscrt1)^-Half_Year</f>
        <v>1.5085332342643312</v>
      </c>
      <c r="F122" s="1186">
        <f>NPV(realdiscrt1,D$103:D122)/(1+realdiscrt1)^-Half_Year</f>
        <v>6.1291024937217102E-2</v>
      </c>
      <c r="G122" s="1187" t="str">
        <f t="shared" si="18"/>
        <v>2021-Top 20 Summer Hours-20</v>
      </c>
      <c r="I122" s="1188">
        <v>2037</v>
      </c>
      <c r="J122" s="1189">
        <f t="shared" si="22"/>
        <v>9.7276310200884772E-2</v>
      </c>
      <c r="K122" s="1190">
        <v>8.6463843658489761E-2</v>
      </c>
      <c r="L122" s="1210">
        <v>0</v>
      </c>
      <c r="M122" s="1210">
        <v>0</v>
      </c>
      <c r="N122" s="1192">
        <f>INDEX(AESC!$H$184:$H$216,MATCH(I122,AESC!$B$184:$B$216,0))</f>
        <v>3.6068139349220594E-3</v>
      </c>
    </row>
    <row r="123" spans="1:14" s="541" customFormat="1">
      <c r="A123" s="1182">
        <f t="shared" si="21"/>
        <v>21</v>
      </c>
      <c r="B123" s="1183">
        <f t="shared" si="19"/>
        <v>2041</v>
      </c>
      <c r="C123" s="1184">
        <f t="shared" si="20"/>
        <v>0.12547866038605501</v>
      </c>
      <c r="D123" s="1185">
        <f t="shared" si="17"/>
        <v>0</v>
      </c>
      <c r="E123" s="1186">
        <f>NPV(realdiscrt1,C$103:C123)/(1+realdiscrt1)^-Half_Year</f>
        <v>1.6026197973632672</v>
      </c>
      <c r="F123" s="1186">
        <f>NPV(realdiscrt1,D$103:D123)/(1+realdiscrt1)^-Half_Year</f>
        <v>6.1291024937217102E-2</v>
      </c>
      <c r="G123" s="1187" t="str">
        <f t="shared" si="18"/>
        <v>2021-Top 20 Summer Hours-21</v>
      </c>
      <c r="I123" s="1188">
        <v>2038</v>
      </c>
      <c r="J123" s="1189">
        <f t="shared" si="22"/>
        <v>0.1022801313173301</v>
      </c>
      <c r="K123" s="1190">
        <v>9.0826991034529042E-2</v>
      </c>
      <c r="L123" s="1210">
        <v>0</v>
      </c>
      <c r="M123" s="1210">
        <v>0</v>
      </c>
      <c r="N123" s="1192">
        <f>INDEX(AESC!$H$184:$H$216,MATCH(I123,AESC!$B$184:$B$216,0))</f>
        <v>3.8768342592951292E-3</v>
      </c>
    </row>
    <row r="124" spans="1:14" s="541" customFormat="1">
      <c r="A124" s="1182">
        <f t="shared" si="21"/>
        <v>22</v>
      </c>
      <c r="B124" s="1183">
        <f t="shared" si="19"/>
        <v>2042</v>
      </c>
      <c r="C124" s="1184">
        <f t="shared" si="20"/>
        <v>0.13194446970351822</v>
      </c>
      <c r="D124" s="1185">
        <f t="shared" si="17"/>
        <v>0</v>
      </c>
      <c r="E124" s="1186">
        <f>NPV(realdiscrt1,C$103:C124)/(1+realdiscrt1)^-Half_Year</f>
        <v>1.7001747449727418</v>
      </c>
      <c r="F124" s="1186">
        <f>NPV(realdiscrt1,D$103:D124)/(1+realdiscrt1)^-Half_Year</f>
        <v>6.1291024937217102E-2</v>
      </c>
      <c r="G124" s="1187" t="str">
        <f t="shared" si="18"/>
        <v>2021-Top 20 Summer Hours-22</v>
      </c>
      <c r="I124" s="1188">
        <v>2039</v>
      </c>
      <c r="J124" s="1189">
        <f t="shared" si="22"/>
        <v>0.10754357188299268</v>
      </c>
      <c r="K124" s="1190">
        <v>9.5410312002436728E-2</v>
      </c>
      <c r="L124" s="1210">
        <v>0</v>
      </c>
      <c r="M124" s="1210">
        <v>0</v>
      </c>
      <c r="N124" s="1192">
        <f>INDEX(AESC!$H$184:$H$216,MATCH(I124,AESC!$B$184:$B$216,0))</f>
        <v>4.1670693707046456E-3</v>
      </c>
    </row>
    <row r="125" spans="1:14" s="541" customFormat="1">
      <c r="A125" s="1182">
        <f t="shared" si="21"/>
        <v>23</v>
      </c>
      <c r="B125" s="1183">
        <f t="shared" si="19"/>
        <v>2043</v>
      </c>
      <c r="C125" s="1184">
        <f t="shared" si="20"/>
        <v>0.13874658105793297</v>
      </c>
      <c r="D125" s="1185">
        <f t="shared" si="17"/>
        <v>0</v>
      </c>
      <c r="E125" s="1186">
        <f>NPV(realdiscrt1,C$103:C125)/(1+realdiscrt1)^-Half_Year</f>
        <v>1.801328212599778</v>
      </c>
      <c r="F125" s="1186">
        <f>NPV(realdiscrt1,D$103:D125)/(1+realdiscrt1)^-Half_Year</f>
        <v>6.1291024937217102E-2</v>
      </c>
      <c r="G125" s="1187" t="str">
        <f t="shared" si="18"/>
        <v>2021-Top 20 Summer Hours-23</v>
      </c>
      <c r="I125" s="1188">
        <v>2040</v>
      </c>
      <c r="J125" s="1189">
        <f t="shared" si="22"/>
        <v>0.11308026558154519</v>
      </c>
      <c r="K125" s="1190">
        <v>0.1002249169846621</v>
      </c>
      <c r="L125" s="1210">
        <v>0</v>
      </c>
      <c r="M125" s="1210">
        <v>0</v>
      </c>
      <c r="N125" s="1192">
        <f>INDEX(AESC!$H$184:$H$216,MATCH(I125,AESC!$B$184:$B$216,0))</f>
        <v>4.4790326278797256E-3</v>
      </c>
    </row>
    <row r="126" spans="1:14" s="541" customFormat="1">
      <c r="A126" s="1182">
        <f t="shared" si="21"/>
        <v>24</v>
      </c>
      <c r="B126" s="1183">
        <f t="shared" si="19"/>
        <v>2044</v>
      </c>
      <c r="C126" s="1184">
        <f t="shared" si="20"/>
        <v>0.14590271537116833</v>
      </c>
      <c r="D126" s="1185">
        <f t="shared" si="17"/>
        <v>0</v>
      </c>
      <c r="E126" s="1186">
        <f>NPV(realdiscrt1,C$103:C126)/(1+realdiscrt1)^-Half_Year</f>
        <v>1.9062153509872692</v>
      </c>
      <c r="F126" s="1186">
        <f>NPV(realdiscrt1,D$103:D126)/(1+realdiscrt1)^-Half_Year</f>
        <v>6.1291024937217102E-2</v>
      </c>
      <c r="G126" s="1187" t="str">
        <f t="shared" si="18"/>
        <v>2021-Top 20 Summer Hours-24</v>
      </c>
      <c r="I126" s="1188">
        <v>2041</v>
      </c>
      <c r="J126" s="1189">
        <f t="shared" si="22"/>
        <v>0.11890457396405064</v>
      </c>
      <c r="K126" s="1190">
        <v>0.10528247705893536</v>
      </c>
      <c r="L126" s="1210">
        <v>0</v>
      </c>
      <c r="M126" s="1210">
        <v>0</v>
      </c>
      <c r="N126" s="1192">
        <f>INDEX(AESC!$H$184:$H$216,MATCH(I126,AESC!$B$184:$B$216,0))</f>
        <v>4.8143506855559621E-3</v>
      </c>
    </row>
    <row r="127" spans="1:14" s="541" customFormat="1">
      <c r="A127" s="1182">
        <f t="shared" si="21"/>
        <v>25</v>
      </c>
      <c r="B127" s="1183">
        <f t="shared" si="19"/>
        <v>2045</v>
      </c>
      <c r="C127" s="1184">
        <f t="shared" si="20"/>
        <v>0.15343154397902037</v>
      </c>
      <c r="D127" s="1185">
        <f t="shared" si="17"/>
        <v>0</v>
      </c>
      <c r="E127" s="1186">
        <f>NPV(realdiscrt1,C$103:C127)/(1+realdiscrt1)^-Half_Year</f>
        <v>2.014976526965103</v>
      </c>
      <c r="F127" s="1186">
        <f>NPV(realdiscrt1,D$103:D127)/(1+realdiscrt1)^-Half_Year</f>
        <v>6.1291024937217102E-2</v>
      </c>
      <c r="G127" s="1187" t="str">
        <f t="shared" si="18"/>
        <v>2021-Top 20 Summer Hours-25</v>
      </c>
      <c r="I127" s="1188">
        <v>2042</v>
      </c>
      <c r="J127" s="1189">
        <f t="shared" si="22"/>
        <v>0.12503162616448354</v>
      </c>
      <c r="K127" s="1190">
        <v>0.1105952522501121</v>
      </c>
      <c r="L127" s="1210">
        <v>0</v>
      </c>
      <c r="M127" s="1210">
        <v>0</v>
      </c>
      <c r="N127" s="1192">
        <f>INDEX(AESC!$H$184:$H$216,MATCH(I127,AESC!$B$184:$B$216,0))</f>
        <v>5.1747719762615567E-3</v>
      </c>
    </row>
    <row r="128" spans="1:14" s="541" customFormat="1">
      <c r="A128" s="1182">
        <f t="shared" si="21"/>
        <v>26</v>
      </c>
      <c r="B128" s="1183">
        <f t="shared" si="19"/>
        <v>2046</v>
      </c>
      <c r="C128" s="1184">
        <f t="shared" si="20"/>
        <v>0.16135274079687453</v>
      </c>
      <c r="D128" s="1185">
        <f t="shared" si="17"/>
        <v>0</v>
      </c>
      <c r="E128" s="1186">
        <f>NPV(realdiscrt1,C$103:C128)/(1+realdiscrt1)^-Half_Year</f>
        <v>2.1277575327662435</v>
      </c>
      <c r="F128" s="1186">
        <f>NPV(realdiscrt1,D$103:D128)/(1+realdiscrt1)^-Half_Year</f>
        <v>6.1291024937217102E-2</v>
      </c>
      <c r="G128" s="1187" t="str">
        <f t="shared" si="18"/>
        <v>2021-Top 20 Summer Hours-26</v>
      </c>
      <c r="I128" s="1188">
        <v>2043</v>
      </c>
      <c r="J128" s="1189">
        <f t="shared" si="22"/>
        <v>0.13147736084290862</v>
      </c>
      <c r="K128" s="1190">
        <v>0.11617612124968379</v>
      </c>
      <c r="L128" s="1210">
        <v>0</v>
      </c>
      <c r="M128" s="1210">
        <v>0</v>
      </c>
      <c r="N128" s="1192">
        <f>INDEX(AESC!$H$184:$H$216,MATCH(I128,AESC!$B$184:$B$216,0))</f>
        <v>5.5621758270834355E-3</v>
      </c>
    </row>
    <row r="129" spans="1:14" s="541" customFormat="1">
      <c r="A129" s="1182">
        <f t="shared" si="21"/>
        <v>27</v>
      </c>
      <c r="B129" s="1183">
        <f t="shared" si="19"/>
        <v>2047</v>
      </c>
      <c r="C129" s="1184">
        <f t="shared" si="20"/>
        <v>0.16968703743261895</v>
      </c>
      <c r="D129" s="1185">
        <f t="shared" si="17"/>
        <v>0</v>
      </c>
      <c r="E129" s="1186">
        <f>NPV(realdiscrt1,C$103:C129)/(1+realdiscrt1)^-Half_Year</f>
        <v>2.2447098041870768</v>
      </c>
      <c r="F129" s="1186">
        <f>NPV(realdiscrt1,D$103:D129)/(1+realdiscrt1)^-Half_Year</f>
        <v>6.1291024937217102E-2</v>
      </c>
      <c r="G129" s="1187" t="str">
        <f t="shared" si="18"/>
        <v>2021-Top 20 Summer Hours-27</v>
      </c>
      <c r="I129" s="1188">
        <v>2044</v>
      </c>
      <c r="J129" s="1189">
        <f t="shared" si="22"/>
        <v>0.13825857048546342</v>
      </c>
      <c r="K129" s="1190">
        <v>0.12203861263499717</v>
      </c>
      <c r="L129" s="1210">
        <v>0</v>
      </c>
      <c r="M129" s="1210">
        <v>0</v>
      </c>
      <c r="N129" s="1192">
        <f>INDEX(AESC!$H$184:$H$216,MATCH(I129,AESC!$B$184:$B$216,0))</f>
        <v>5.9785822589504493E-3</v>
      </c>
    </row>
    <row r="130" spans="1:14" s="541" customFormat="1" ht="20.25">
      <c r="A130" s="1140">
        <f>Year2</f>
        <v>2022</v>
      </c>
      <c r="B130" s="1141" t="str">
        <f>Year2&amp;"$"</f>
        <v>2022$</v>
      </c>
      <c r="C130" s="1216"/>
      <c r="D130" s="1217"/>
      <c r="E130" s="1216"/>
      <c r="F130" s="1218"/>
      <c r="G130" s="1217"/>
      <c r="I130" s="1188">
        <v>2045</v>
      </c>
      <c r="J130" s="1189">
        <f t="shared" si="22"/>
        <v>0.14539294819806203</v>
      </c>
      <c r="K130" s="1190">
        <v>0.12819693766386117</v>
      </c>
      <c r="L130" s="1210">
        <v>0</v>
      </c>
      <c r="M130" s="1210">
        <v>0</v>
      </c>
      <c r="N130" s="1192">
        <f>INDEX(AESC!$H$184:$H$216,MATCH(I130,AESC!$B$184:$B$216,0))</f>
        <v>6.4261625195295869E-3</v>
      </c>
    </row>
    <row r="131" spans="1:14" s="541" customFormat="1">
      <c r="A131" s="1182">
        <v>1</v>
      </c>
      <c r="B131" s="1183">
        <f>Year2</f>
        <v>2022</v>
      </c>
      <c r="C131" s="1184">
        <f t="shared" ref="C131:C155" si="23">VLOOKUP($B131,$I$103:$N$135,C$12,FALSE)*(1+Inflation2)^(Year2-Real_Year)</f>
        <v>8.0660273547572187E-2</v>
      </c>
      <c r="D131" s="1185">
        <f t="shared" ref="D131:D155" si="24">VLOOKUP($B131,$I$103:$N$135,IF($A$17=Year1,D$12,D$12+1),FALSE)*(1+Inflation1)^(Year1-Real_Year)</f>
        <v>1.4457456008451702E-2</v>
      </c>
      <c r="E131" s="1186">
        <f>NPV(realdiscrt1,C131:C$131)/(1+realdiscrt2)^-Half_Year</f>
        <v>8.0095825006047686E-2</v>
      </c>
      <c r="F131" s="1186">
        <f>NPV(realdiscrt1,D131:D$131)/(1+realdiscrt2)^-Half_Year</f>
        <v>1.435628489162785E-2</v>
      </c>
      <c r="G131" s="1187" t="str">
        <f t="shared" ref="G131:G155" si="25">$A$45&amp;"-"&amp;$A$98&amp;"-"&amp;A131</f>
        <v>2022-Top 20 Summer Hours-1</v>
      </c>
      <c r="I131" s="1188">
        <v>2046</v>
      </c>
      <c r="J131" s="1189">
        <f t="shared" si="22"/>
        <v>0.15289913713899064</v>
      </c>
      <c r="K131" s="1190">
        <v>0.13466602472403866</v>
      </c>
      <c r="L131" s="1210">
        <v>0</v>
      </c>
      <c r="M131" s="1210">
        <v>0</v>
      </c>
      <c r="N131" s="1192">
        <f>INDEX(AESC!$H$184:$H$216,MATCH(I131,AESC!$B$184:$B$216,0))</f>
        <v>6.9072504046563642E-3</v>
      </c>
    </row>
    <row r="132" spans="1:14" s="541" customFormat="1">
      <c r="A132" s="1182">
        <v>2</v>
      </c>
      <c r="B132" s="1183">
        <f t="shared" ref="B132:B155" si="26">B131+1</f>
        <v>2023</v>
      </c>
      <c r="C132" s="1184">
        <f t="shared" si="23"/>
        <v>6.9320097036415507E-2</v>
      </c>
      <c r="D132" s="1185">
        <f t="shared" si="24"/>
        <v>9.7086565896172001E-3</v>
      </c>
      <c r="E132" s="1186">
        <f>NPV(realdiscrt1,C$131:C132)/(1+realdiscrt2)^-Half_Year</f>
        <v>0.14797080704239868</v>
      </c>
      <c r="F132" s="1186">
        <f>NPV(realdiscrt1,D$131:D132)/(1+realdiscrt2)^-Half_Year</f>
        <v>2.3862545266179737E-2</v>
      </c>
      <c r="G132" s="1187" t="str">
        <f t="shared" si="25"/>
        <v>2022-Top 20 Summer Hours-2</v>
      </c>
      <c r="I132" s="1188">
        <v>2047</v>
      </c>
      <c r="J132" s="1189">
        <f t="shared" si="22"/>
        <v>0.16079678274434128</v>
      </c>
      <c r="K132" s="1190">
        <v>0.14146155552113199</v>
      </c>
      <c r="L132" s="1210">
        <v>0</v>
      </c>
      <c r="M132" s="1210">
        <v>0</v>
      </c>
      <c r="N132" s="1192">
        <f>INDEX(AESC!$H$184:$H$216,MATCH(I132,AESC!$B$184:$B$216,0))</f>
        <v>7.4243544273321646E-3</v>
      </c>
    </row>
    <row r="133" spans="1:14" s="541" customFormat="1">
      <c r="A133" s="1182">
        <f t="shared" ref="A133:A155" si="27">A132+1</f>
        <v>3</v>
      </c>
      <c r="B133" s="1183">
        <f t="shared" si="26"/>
        <v>2024</v>
      </c>
      <c r="C133" s="1184">
        <f t="shared" si="23"/>
        <v>6.9612802483298611E-2</v>
      </c>
      <c r="D133" s="1185">
        <f t="shared" si="24"/>
        <v>7.5980790701352004E-3</v>
      </c>
      <c r="E133" s="1186">
        <f>NPV(realdiscrt1,C$131:C133)/(1+realdiscrt2)^-Half_Year</f>
        <v>0.21518176118675461</v>
      </c>
      <c r="F133" s="1186">
        <f>NPV(realdiscrt1,D$131:D133)/(1+realdiscrt2)^-Half_Year</f>
        <v>3.1198468052660959E-2</v>
      </c>
      <c r="G133" s="1187" t="str">
        <f t="shared" si="25"/>
        <v>2022-Top 20 Summer Hours-3</v>
      </c>
      <c r="I133" s="1188">
        <v>2048</v>
      </c>
      <c r="J133" s="1189">
        <f t="shared" si="22"/>
        <v>0.1691065879095521</v>
      </c>
      <c r="K133" s="1190">
        <v>0.14860000309258525</v>
      </c>
      <c r="L133" s="1210">
        <v>0</v>
      </c>
      <c r="M133" s="1210">
        <v>0</v>
      </c>
      <c r="N133" s="1192">
        <f>INDEX(AESC!$H$184:$H$216,MATCH(I133,AESC!$B$184:$B$216,0))</f>
        <v>7.9801708977407463E-3</v>
      </c>
    </row>
    <row r="134" spans="1:14" s="541" customFormat="1">
      <c r="A134" s="1182">
        <f t="shared" si="27"/>
        <v>4</v>
      </c>
      <c r="B134" s="1183">
        <f t="shared" si="26"/>
        <v>2025</v>
      </c>
      <c r="C134" s="1184">
        <f t="shared" si="23"/>
        <v>7.0184797180410916E-2</v>
      </c>
      <c r="D134" s="1185">
        <f t="shared" si="24"/>
        <v>4.9598571707827012E-3</v>
      </c>
      <c r="E134" s="1186">
        <f>NPV(realdiscrt1,C$131:C134)/(1+realdiscrt2)^-Half_Year</f>
        <v>0.28199989918926915</v>
      </c>
      <c r="F134" s="1186">
        <f>NPV(realdiscrt1,D$131:D134)/(1+realdiscrt2)^-Half_Year</f>
        <v>3.5920408333520219E-2</v>
      </c>
      <c r="G134" s="1187" t="str">
        <f t="shared" si="25"/>
        <v>2022-Top 20 Summer Hours-4</v>
      </c>
      <c r="I134" s="1188">
        <v>2049</v>
      </c>
      <c r="J134" s="1189">
        <f t="shared" si="22"/>
        <v>0.17785037130023476</v>
      </c>
      <c r="K134" s="1190">
        <v>0.1560986717399532</v>
      </c>
      <c r="L134" s="1210">
        <v>0</v>
      </c>
      <c r="M134" s="1210">
        <v>0</v>
      </c>
      <c r="N134" s="1192">
        <f>INDEX(AESC!$H$184:$H$216,MATCH(I134,AESC!$B$184:$B$216,0))</f>
        <v>8.5775979824864006E-3</v>
      </c>
    </row>
    <row r="135" spans="1:14" s="541" customFormat="1">
      <c r="A135" s="1182">
        <f t="shared" si="27"/>
        <v>5</v>
      </c>
      <c r="B135" s="1183">
        <f t="shared" si="26"/>
        <v>2026</v>
      </c>
      <c r="C135" s="1184">
        <f t="shared" si="23"/>
        <v>8.112987434823847E-2</v>
      </c>
      <c r="D135" s="1185">
        <f t="shared" si="24"/>
        <v>2.9548085272748004E-3</v>
      </c>
      <c r="E135" s="1186">
        <f>NPV(realdiscrt1,C$131:C135)/(1+realdiscrt2)^-Half_Year</f>
        <v>0.35816087510236355</v>
      </c>
      <c r="F135" s="1186">
        <f>NPV(realdiscrt1,D$131:D135)/(1+realdiscrt2)^-Half_Year</f>
        <v>3.8694245996667889E-2</v>
      </c>
      <c r="G135" s="1187" t="str">
        <f t="shared" si="25"/>
        <v>2022-Top 20 Summer Hours-5</v>
      </c>
      <c r="I135" s="1193">
        <v>2050</v>
      </c>
      <c r="J135" s="1194">
        <f t="shared" si="22"/>
        <v>0.18705112897600637</v>
      </c>
      <c r="K135" s="1195">
        <v>0.1639757389762363</v>
      </c>
      <c r="L135" s="1196">
        <v>0</v>
      </c>
      <c r="M135" s="1196">
        <v>0</v>
      </c>
      <c r="N135" s="1197">
        <f>INDEX(AESC!$H$184:$H$216,MATCH(I135,AESC!$B$184:$B$216,0))</f>
        <v>9.2197508163621572E-3</v>
      </c>
    </row>
    <row r="136" spans="1:14" s="541" customFormat="1">
      <c r="A136" s="1182">
        <f t="shared" si="27"/>
        <v>6</v>
      </c>
      <c r="B136" s="1183">
        <f t="shared" si="26"/>
        <v>2027</v>
      </c>
      <c r="C136" s="1184">
        <f t="shared" si="23"/>
        <v>7.096545932157905E-2</v>
      </c>
      <c r="D136" s="1185">
        <f t="shared" si="24"/>
        <v>1.5829331396115002E-3</v>
      </c>
      <c r="E136" s="1186">
        <f>NPV(realdiscrt1,C$131:C136)/(1+realdiscrt2)^-Half_Year</f>
        <v>0.42385084944144857</v>
      </c>
      <c r="F136" s="1186">
        <f>NPV(realdiscrt1,D$131:D136)/(1+realdiscrt2)^-Half_Year</f>
        <v>4.0159505833152136E-2</v>
      </c>
      <c r="G136" s="1187" t="str">
        <f t="shared" si="25"/>
        <v>2022-Top 20 Summer Hours-6</v>
      </c>
    </row>
    <row r="137" spans="1:14" s="541" customFormat="1">
      <c r="A137" s="1182">
        <f t="shared" si="27"/>
        <v>7</v>
      </c>
      <c r="B137" s="1183">
        <f t="shared" si="26"/>
        <v>2028</v>
      </c>
      <c r="C137" s="1184">
        <f t="shared" si="23"/>
        <v>7.5056300153700156E-2</v>
      </c>
      <c r="D137" s="1185">
        <f t="shared" si="24"/>
        <v>0</v>
      </c>
      <c r="E137" s="1186">
        <f>NPV(realdiscrt1,C$131:C137)/(1+realdiscrt2)^-Half_Year</f>
        <v>0.49235858357461815</v>
      </c>
      <c r="F137" s="1186">
        <f>NPV(realdiscrt1,D$131:D137)/(1+realdiscrt2)^-Half_Year</f>
        <v>4.0159505833152136E-2</v>
      </c>
      <c r="G137" s="1187" t="str">
        <f t="shared" si="25"/>
        <v>2022-Top 20 Summer Hours-7</v>
      </c>
    </row>
    <row r="138" spans="1:14" s="541" customFormat="1">
      <c r="A138" s="1182">
        <f t="shared" si="27"/>
        <v>8</v>
      </c>
      <c r="B138" s="1183">
        <f t="shared" si="26"/>
        <v>2029</v>
      </c>
      <c r="C138" s="1184">
        <f t="shared" si="23"/>
        <v>9.2659580496428653E-2</v>
      </c>
      <c r="D138" s="1185">
        <f t="shared" si="24"/>
        <v>0</v>
      </c>
      <c r="E138" s="1186">
        <f>NPV(realdiscrt1,C$131:C138)/(1+realdiscrt2)^-Half_Year</f>
        <v>0.57575418749763985</v>
      </c>
      <c r="F138" s="1186">
        <f>NPV(realdiscrt1,D$131:D138)/(1+realdiscrt2)^-Half_Year</f>
        <v>4.0159505833152136E-2</v>
      </c>
      <c r="G138" s="1187" t="str">
        <f t="shared" si="25"/>
        <v>2022-Top 20 Summer Hours-8</v>
      </c>
    </row>
    <row r="139" spans="1:14" s="541" customFormat="1">
      <c r="A139" s="1182">
        <f t="shared" si="27"/>
        <v>9</v>
      </c>
      <c r="B139" s="1183">
        <f t="shared" si="26"/>
        <v>2030</v>
      </c>
      <c r="C139" s="1184">
        <f t="shared" si="23"/>
        <v>9.9694177326621169E-2</v>
      </c>
      <c r="D139" s="1185">
        <f t="shared" si="24"/>
        <v>0</v>
      </c>
      <c r="E139" s="1186">
        <f>NPV(realdiscrt1,C$131:C139)/(1+realdiscrt2)^-Half_Year</f>
        <v>0.66422968215866696</v>
      </c>
      <c r="F139" s="1186">
        <f>NPV(realdiscrt1,D$131:D139)/(1+realdiscrt2)^-Half_Year</f>
        <v>4.0159505833152136E-2</v>
      </c>
      <c r="G139" s="1187" t="str">
        <f t="shared" si="25"/>
        <v>2022-Top 20 Summer Hours-9</v>
      </c>
    </row>
    <row r="140" spans="1:14" s="541" customFormat="1">
      <c r="A140" s="1182">
        <f t="shared" si="27"/>
        <v>10</v>
      </c>
      <c r="B140" s="1183">
        <f t="shared" si="26"/>
        <v>2031</v>
      </c>
      <c r="C140" s="1184">
        <f t="shared" si="23"/>
        <v>7.7382413513044632E-2</v>
      </c>
      <c r="D140" s="1185">
        <f t="shared" si="24"/>
        <v>0</v>
      </c>
      <c r="E140" s="1186">
        <f>NPV(realdiscrt1,C$131:C140)/(1+realdiscrt2)^-Half_Year</f>
        <v>0.73194639274364104</v>
      </c>
      <c r="F140" s="1186">
        <f>NPV(realdiscrt1,D$131:D140)/(1+realdiscrt2)^-Half_Year</f>
        <v>4.0159505833152136E-2</v>
      </c>
      <c r="G140" s="1187" t="str">
        <f t="shared" si="25"/>
        <v>2022-Top 20 Summer Hours-10</v>
      </c>
    </row>
    <row r="141" spans="1:14" s="541" customFormat="1">
      <c r="A141" s="1182">
        <f t="shared" si="27"/>
        <v>11</v>
      </c>
      <c r="B141" s="1183">
        <f t="shared" si="26"/>
        <v>2032</v>
      </c>
      <c r="C141" s="1184">
        <f t="shared" si="23"/>
        <v>7.2451081156892291E-2</v>
      </c>
      <c r="D141" s="1185">
        <f t="shared" si="24"/>
        <v>0</v>
      </c>
      <c r="E141" s="1186">
        <f>NPV(realdiscrt1,C$131:C141)/(1+realdiscrt2)^-Half_Year</f>
        <v>0.79446349365349578</v>
      </c>
      <c r="F141" s="1186">
        <f>NPV(realdiscrt1,D$131:D141)/(1+realdiscrt2)^-Half_Year</f>
        <v>4.0159505833152136E-2</v>
      </c>
      <c r="G141" s="1187" t="str">
        <f t="shared" si="25"/>
        <v>2022-Top 20 Summer Hours-11</v>
      </c>
    </row>
    <row r="142" spans="1:14" s="541" customFormat="1">
      <c r="A142" s="1182">
        <f t="shared" si="27"/>
        <v>12</v>
      </c>
      <c r="B142" s="1183">
        <f t="shared" si="26"/>
        <v>2033</v>
      </c>
      <c r="C142" s="1184">
        <f t="shared" si="23"/>
        <v>7.4716048219567011E-2</v>
      </c>
      <c r="D142" s="1185">
        <f t="shared" si="24"/>
        <v>0</v>
      </c>
      <c r="E142" s="1186">
        <f>NPV(realdiscrt1,C$131:C142)/(1+realdiscrt2)^-Half_Year</f>
        <v>0.8580358385026654</v>
      </c>
      <c r="F142" s="1186">
        <f>NPV(realdiscrt1,D$131:D142)/(1+realdiscrt2)^-Half_Year</f>
        <v>4.0159505833152136E-2</v>
      </c>
      <c r="G142" s="1187" t="str">
        <f t="shared" si="25"/>
        <v>2022-Top 20 Summer Hours-12</v>
      </c>
    </row>
    <row r="143" spans="1:14" s="541" customFormat="1">
      <c r="A143" s="1182">
        <f t="shared" si="27"/>
        <v>13</v>
      </c>
      <c r="B143" s="1183">
        <f t="shared" si="26"/>
        <v>2034</v>
      </c>
      <c r="C143" s="1184">
        <f t="shared" si="23"/>
        <v>8.3819195514279896E-2</v>
      </c>
      <c r="D143" s="1185">
        <f t="shared" si="24"/>
        <v>0</v>
      </c>
      <c r="E143" s="1186">
        <f>NPV(realdiscrt1,C$131:C143)/(1+realdiscrt2)^-Half_Year</f>
        <v>0.92835897008167956</v>
      </c>
      <c r="F143" s="1186">
        <f>NPV(realdiscrt1,D$131:D143)/(1+realdiscrt2)^-Half_Year</f>
        <v>4.0159505833152136E-2</v>
      </c>
      <c r="G143" s="1187" t="str">
        <f t="shared" si="25"/>
        <v>2022-Top 20 Summer Hours-13</v>
      </c>
    </row>
    <row r="144" spans="1:14" s="541" customFormat="1">
      <c r="A144" s="1182">
        <f t="shared" si="27"/>
        <v>14</v>
      </c>
      <c r="B144" s="1183">
        <f t="shared" si="26"/>
        <v>2035</v>
      </c>
      <c r="C144" s="1184">
        <f t="shared" si="23"/>
        <v>9.4542414781546166E-2</v>
      </c>
      <c r="D144" s="1185">
        <f t="shared" si="24"/>
        <v>0</v>
      </c>
      <c r="E144" s="1186">
        <f>NPV(realdiscrt1,C$131:C144)/(1+realdiscrt2)^-Half_Year</f>
        <v>1.006572481094208</v>
      </c>
      <c r="F144" s="1186">
        <f>NPV(realdiscrt1,D$131:D144)/(1+realdiscrt2)^-Half_Year</f>
        <v>4.0159505833152136E-2</v>
      </c>
      <c r="G144" s="1187" t="str">
        <f t="shared" si="25"/>
        <v>2022-Top 20 Summer Hours-14</v>
      </c>
    </row>
    <row r="145" spans="1:7" s="541" customFormat="1">
      <c r="A145" s="1182">
        <f t="shared" si="27"/>
        <v>15</v>
      </c>
      <c r="B145" s="1183">
        <f t="shared" si="26"/>
        <v>2036</v>
      </c>
      <c r="C145" s="1184">
        <f t="shared" si="23"/>
        <v>9.940161827223172E-2</v>
      </c>
      <c r="D145" s="1185">
        <f t="shared" si="24"/>
        <v>0</v>
      </c>
      <c r="E145" s="1186">
        <f>NPV(realdiscrt1,C$131:C145)/(1+realdiscrt2)^-Half_Year</f>
        <v>1.0876590498036205</v>
      </c>
      <c r="F145" s="1186">
        <f>NPV(realdiscrt1,D$131:D145)/(1+realdiscrt2)^-Half_Year</f>
        <v>4.0159505833152136E-2</v>
      </c>
      <c r="G145" s="1187" t="str">
        <f t="shared" si="25"/>
        <v>2022-Top 20 Summer Hours-15</v>
      </c>
    </row>
    <row r="146" spans="1:7" s="541" customFormat="1">
      <c r="A146" s="1182">
        <f t="shared" si="27"/>
        <v>16</v>
      </c>
      <c r="B146" s="1183">
        <f t="shared" si="26"/>
        <v>2037</v>
      </c>
      <c r="C146" s="1184">
        <f t="shared" si="23"/>
        <v>0.1045126449451402</v>
      </c>
      <c r="D146" s="1185">
        <f t="shared" si="24"/>
        <v>0</v>
      </c>
      <c r="E146" s="1186">
        <f>NPV(realdiscrt1,C$131:C146)/(1+realdiscrt2)^-Half_Year</f>
        <v>1.1717258822742849</v>
      </c>
      <c r="F146" s="1186">
        <f>NPV(realdiscrt1,D$131:D146)/(1+realdiscrt2)^-Half_Year</f>
        <v>4.0159505833152136E-2</v>
      </c>
      <c r="G146" s="1187" t="str">
        <f t="shared" si="25"/>
        <v>2022-Top 20 Summer Hours-16</v>
      </c>
    </row>
    <row r="147" spans="1:7" s="541" customFormat="1">
      <c r="A147" s="1182">
        <f t="shared" si="27"/>
        <v>17</v>
      </c>
      <c r="B147" s="1183">
        <f t="shared" si="26"/>
        <v>2038</v>
      </c>
      <c r="C147" s="1184">
        <f t="shared" si="23"/>
        <v>0.10988869774393653</v>
      </c>
      <c r="D147" s="1185">
        <f t="shared" si="24"/>
        <v>0</v>
      </c>
      <c r="E147" s="1186">
        <f>NPV(realdiscrt1,C$131:C147)/(1+realdiscrt2)^-Half_Year</f>
        <v>1.2588842822803468</v>
      </c>
      <c r="F147" s="1186">
        <f>NPV(realdiscrt1,D$131:D147)/(1+realdiscrt2)^-Half_Year</f>
        <v>4.0159505833152136E-2</v>
      </c>
      <c r="G147" s="1187" t="str">
        <f t="shared" si="25"/>
        <v>2022-Top 20 Summer Hours-17</v>
      </c>
    </row>
    <row r="148" spans="1:7" s="541" customFormat="1">
      <c r="A148" s="1182">
        <f t="shared" si="27"/>
        <v>18</v>
      </c>
      <c r="B148" s="1183">
        <f t="shared" si="26"/>
        <v>2039</v>
      </c>
      <c r="C148" s="1184">
        <f t="shared" si="23"/>
        <v>0.11554368294940887</v>
      </c>
      <c r="D148" s="1185">
        <f t="shared" si="24"/>
        <v>0</v>
      </c>
      <c r="E148" s="1186">
        <f>NPV(realdiscrt1,C$131:C148)/(1+realdiscrt2)^-Half_Year</f>
        <v>1.3492498135278395</v>
      </c>
      <c r="F148" s="1186">
        <f>NPV(realdiscrt1,D$131:D148)/(1+realdiscrt2)^-Half_Year</f>
        <v>4.0159505833152136E-2</v>
      </c>
      <c r="G148" s="1187" t="str">
        <f t="shared" si="25"/>
        <v>2022-Top 20 Summer Hours-18</v>
      </c>
    </row>
    <row r="149" spans="1:7" s="541" customFormat="1">
      <c r="A149" s="1182">
        <f t="shared" si="27"/>
        <v>19</v>
      </c>
      <c r="B149" s="1183">
        <f t="shared" si="26"/>
        <v>2040</v>
      </c>
      <c r="C149" s="1184">
        <f t="shared" si="23"/>
        <v>0.12149224844795457</v>
      </c>
      <c r="D149" s="1185">
        <f t="shared" si="24"/>
        <v>0</v>
      </c>
      <c r="E149" s="1186">
        <f>NPV(realdiscrt1,C$131:C149)/(1+realdiscrt2)^-Half_Year</f>
        <v>1.4429424686128582</v>
      </c>
      <c r="F149" s="1186">
        <f>NPV(realdiscrt1,D$131:D149)/(1+realdiscrt2)^-Half_Year</f>
        <v>4.0159505833152136E-2</v>
      </c>
      <c r="G149" s="1187" t="str">
        <f t="shared" si="25"/>
        <v>2022-Top 20 Summer Hours-19</v>
      </c>
    </row>
    <row r="150" spans="1:7" s="541" customFormat="1">
      <c r="A150" s="1182">
        <f t="shared" si="27"/>
        <v>20</v>
      </c>
      <c r="B150" s="1183">
        <f t="shared" si="26"/>
        <v>2041</v>
      </c>
      <c r="C150" s="1184">
        <f t="shared" si="23"/>
        <v>0.12774982413904262</v>
      </c>
      <c r="D150" s="1185">
        <f t="shared" si="24"/>
        <v>0</v>
      </c>
      <c r="E150" s="1186">
        <f>NPV(realdiscrt1,C$131:C150)/(1+realdiscrt2)^-Half_Year</f>
        <v>1.54008684501251</v>
      </c>
      <c r="F150" s="1186">
        <f>NPV(realdiscrt1,D$131:D150)/(1+realdiscrt2)^-Half_Year</f>
        <v>4.0159505833152136E-2</v>
      </c>
      <c r="G150" s="1187" t="str">
        <f t="shared" si="25"/>
        <v>2022-Top 20 Summer Hours-20</v>
      </c>
    </row>
    <row r="151" spans="1:7" s="541" customFormat="1">
      <c r="A151" s="1182">
        <f t="shared" si="27"/>
        <v>21</v>
      </c>
      <c r="B151" s="1183">
        <f t="shared" si="26"/>
        <v>2042</v>
      </c>
      <c r="C151" s="1184">
        <f t="shared" si="23"/>
        <v>0.13433266460515189</v>
      </c>
      <c r="D151" s="1185">
        <f t="shared" si="24"/>
        <v>0</v>
      </c>
      <c r="E151" s="1186">
        <f>NPV(realdiscrt1,C$131:C151)/(1+realdiscrt2)^-Half_Year</f>
        <v>1.6408123284192921</v>
      </c>
      <c r="F151" s="1186">
        <f>NPV(realdiscrt1,D$131:D151)/(1+realdiscrt2)^-Half_Year</f>
        <v>4.0159505833152136E-2</v>
      </c>
      <c r="G151" s="1187" t="str">
        <f t="shared" si="25"/>
        <v>2022-Top 20 Summer Hours-21</v>
      </c>
    </row>
    <row r="152" spans="1:7" s="541" customFormat="1">
      <c r="A152" s="1182">
        <f t="shared" si="27"/>
        <v>22</v>
      </c>
      <c r="B152" s="1183">
        <f t="shared" si="26"/>
        <v>2043</v>
      </c>
      <c r="C152" s="1184">
        <f t="shared" si="23"/>
        <v>0.14125789417508156</v>
      </c>
      <c r="D152" s="1185">
        <f t="shared" si="24"/>
        <v>0</v>
      </c>
      <c r="E152" s="1186">
        <f>NPV(realdiscrt1,C$131:C152)/(1+realdiscrt2)^-Half_Year</f>
        <v>1.7452532837442072</v>
      </c>
      <c r="F152" s="1186">
        <f>NPV(realdiscrt1,D$131:D152)/(1+realdiscrt2)^-Half_Year</f>
        <v>4.0159505833152136E-2</v>
      </c>
      <c r="G152" s="1187" t="str">
        <f t="shared" si="25"/>
        <v>2022-Top 20 Summer Hours-22</v>
      </c>
    </row>
    <row r="153" spans="1:7" s="541" customFormat="1">
      <c r="A153" s="1182">
        <f t="shared" si="27"/>
        <v>23</v>
      </c>
      <c r="B153" s="1183">
        <f t="shared" si="26"/>
        <v>2044</v>
      </c>
      <c r="C153" s="1184">
        <f t="shared" si="23"/>
        <v>0.14854355451938647</v>
      </c>
      <c r="D153" s="1185">
        <f t="shared" si="24"/>
        <v>0</v>
      </c>
      <c r="E153" s="1186">
        <f>NPV(realdiscrt1,C$131:C153)/(1+realdiscrt2)^-Half_Year</f>
        <v>1.8535492541292917</v>
      </c>
      <c r="F153" s="1186">
        <f>NPV(realdiscrt1,D$131:D153)/(1+realdiscrt2)^-Half_Year</f>
        <v>4.0159505833152136E-2</v>
      </c>
      <c r="G153" s="1187" t="str">
        <f t="shared" si="25"/>
        <v>2022-Top 20 Summer Hours-23</v>
      </c>
    </row>
    <row r="154" spans="1:7" s="541" customFormat="1">
      <c r="A154" s="1182">
        <f t="shared" si="27"/>
        <v>24</v>
      </c>
      <c r="B154" s="1183">
        <f t="shared" si="26"/>
        <v>2045</v>
      </c>
      <c r="C154" s="1184">
        <f t="shared" si="23"/>
        <v>0.15620865492504063</v>
      </c>
      <c r="D154" s="1185">
        <f t="shared" si="24"/>
        <v>0</v>
      </c>
      <c r="E154" s="1186">
        <f>NPV(realdiscrt1,C$131:C154)/(1+realdiscrt2)^-Half_Year</f>
        <v>1.9658451683264053</v>
      </c>
      <c r="F154" s="1186">
        <f>NPV(realdiscrt1,D$131:D154)/(1+realdiscrt2)^-Half_Year</f>
        <v>4.0159505833152136E-2</v>
      </c>
      <c r="G154" s="1187" t="str">
        <f t="shared" si="25"/>
        <v>2022-Top 20 Summer Hours-24</v>
      </c>
    </row>
    <row r="155" spans="1:7" s="541" customFormat="1">
      <c r="A155" s="1182">
        <f t="shared" si="27"/>
        <v>25</v>
      </c>
      <c r="B155" s="1183">
        <f t="shared" si="26"/>
        <v>2046</v>
      </c>
      <c r="C155" s="1184">
        <f t="shared" si="23"/>
        <v>0.16427322540529796</v>
      </c>
      <c r="D155" s="1185">
        <f t="shared" si="24"/>
        <v>0</v>
      </c>
      <c r="E155" s="1224">
        <f>NPV(realdiscrt1,C$131:C155)/(1+realdiscrt2)^-Half_Year</f>
        <v>2.0822915568160822</v>
      </c>
      <c r="F155" s="1199">
        <f>NPV(realdiscrt1,D$131:D155)/(1+realdiscrt2)^-Half_Year</f>
        <v>4.0159505833152136E-2</v>
      </c>
      <c r="G155" s="1187" t="str">
        <f t="shared" si="25"/>
        <v>2022-Top 20 Summer Hours-25</v>
      </c>
    </row>
    <row r="156" spans="1:7" s="541" customFormat="1" ht="20.25">
      <c r="A156" s="1140">
        <f>Year3</f>
        <v>2023</v>
      </c>
      <c r="B156" s="1141" t="str">
        <f>Year3&amp;"$"</f>
        <v>2023$</v>
      </c>
      <c r="C156" s="1216"/>
      <c r="D156" s="1217"/>
      <c r="E156" s="1232"/>
      <c r="F156" s="1233"/>
      <c r="G156" s="1217"/>
    </row>
    <row r="157" spans="1:7" s="541" customFormat="1">
      <c r="A157" s="1182">
        <v>1</v>
      </c>
      <c r="B157" s="1183">
        <f>Year3</f>
        <v>2023</v>
      </c>
      <c r="C157" s="1219">
        <f t="shared" ref="C157:C181" si="28">VLOOKUP($B157,$I$103:$N$135,C$12,FALSE)*(1+Inflation3)^(Year3-Real_Year)</f>
        <v>7.0574790792774636E-2</v>
      </c>
      <c r="D157" s="1185">
        <f t="shared" ref="D157:D181" si="29">VLOOKUP($B157,$I$103:$N$135,IF($A$17=Year1,D$12,D$12+1),FALSE)*(1+Inflation1)^(Year1-Real_Year)</f>
        <v>9.7086565896172001E-3</v>
      </c>
      <c r="E157" s="1227">
        <f>NPV(realdiscrt1,C157:C$157)/(1+realdiscrt3)^-Half_Year</f>
        <v>7.0080918952532434E-2</v>
      </c>
      <c r="F157" s="1198">
        <f>NPV(realdiscrt1,D157:D$157)/(1+realdiscrt3)^-Half_Year</f>
        <v>9.6407168615311092E-3</v>
      </c>
      <c r="G157" s="1187" t="str">
        <f t="shared" ref="G157:G181" si="30">$A$71&amp;"-"&amp;$A$98&amp;"-"&amp;A157</f>
        <v>2023-Top 20 Summer Hours-1</v>
      </c>
    </row>
    <row r="158" spans="1:7" s="541" customFormat="1">
      <c r="A158" s="1182">
        <v>2</v>
      </c>
      <c r="B158" s="1183">
        <f t="shared" ref="B158:B181" si="31">B157+1</f>
        <v>2024</v>
      </c>
      <c r="C158" s="1220">
        <f t="shared" si="28"/>
        <v>7.0872794208246312E-2</v>
      </c>
      <c r="D158" s="1185">
        <f t="shared" si="29"/>
        <v>7.5980790701352004E-3</v>
      </c>
      <c r="E158" s="1227">
        <f>NPV(realdiscrt1,C$157:C158)/(1+realdiscrt3)^-Half_Year</f>
        <v>0.13947622910657992</v>
      </c>
      <c r="F158" s="1198">
        <f>NPV(realdiscrt1,D$157:D158)/(1+realdiscrt3)^-Half_Year</f>
        <v>1.7080398893789109E-2</v>
      </c>
      <c r="G158" s="1187" t="str">
        <f t="shared" si="30"/>
        <v>2023-Top 20 Summer Hours-2</v>
      </c>
    </row>
    <row r="159" spans="1:7" s="541" customFormat="1">
      <c r="A159" s="1182">
        <f t="shared" ref="A159:A181" si="32">A158+1</f>
        <v>3</v>
      </c>
      <c r="B159" s="1183">
        <f t="shared" si="31"/>
        <v>2025</v>
      </c>
      <c r="C159" s="1220">
        <f t="shared" si="28"/>
        <v>7.1455142009376346E-2</v>
      </c>
      <c r="D159" s="1185">
        <f t="shared" si="29"/>
        <v>4.9598571707827012E-3</v>
      </c>
      <c r="E159" s="1227">
        <f>NPV(realdiscrt1,C$157:C159)/(1+realdiscrt3)^-Half_Year</f>
        <v>0.20846595659417616</v>
      </c>
      <c r="F159" s="1198">
        <f>NPV(realdiscrt1,D$157:D159)/(1+realdiscrt3)^-Half_Year</f>
        <v>2.1869126268297685E-2</v>
      </c>
      <c r="G159" s="1187" t="str">
        <f t="shared" si="30"/>
        <v>2023-Top 20 Summer Hours-3</v>
      </c>
    </row>
    <row r="160" spans="1:7" s="541" customFormat="1">
      <c r="A160" s="1182">
        <f t="shared" si="32"/>
        <v>4</v>
      </c>
      <c r="B160" s="1183">
        <f t="shared" si="31"/>
        <v>2026</v>
      </c>
      <c r="C160" s="1220">
        <f t="shared" si="28"/>
        <v>8.2598325073941589E-2</v>
      </c>
      <c r="D160" s="1185">
        <f t="shared" si="29"/>
        <v>2.9548085272748004E-3</v>
      </c>
      <c r="E160" s="1227">
        <f>NPV(realdiscrt1,C$157:C160)/(1+realdiscrt3)^-Half_Year</f>
        <v>0.28710216422444618</v>
      </c>
      <c r="F160" s="1198">
        <f>NPV(realdiscrt1,D$157:D160)/(1+realdiscrt3)^-Half_Year</f>
        <v>2.4682197073915967E-2</v>
      </c>
      <c r="G160" s="1187" t="str">
        <f t="shared" si="30"/>
        <v>2023-Top 20 Summer Hours-4</v>
      </c>
    </row>
    <row r="161" spans="1:7" s="541" customFormat="1">
      <c r="A161" s="1182">
        <f t="shared" si="32"/>
        <v>5</v>
      </c>
      <c r="B161" s="1183">
        <f t="shared" si="31"/>
        <v>2027</v>
      </c>
      <c r="C161" s="1220">
        <f t="shared" si="28"/>
        <v>7.2249934135299634E-2</v>
      </c>
      <c r="D161" s="1185">
        <f t="shared" si="29"/>
        <v>1.5829331396115002E-3</v>
      </c>
      <c r="E161" s="1227">
        <f>NPV(realdiscrt1,C$157:C161)/(1+realdiscrt3)^-Half_Year</f>
        <v>0.35492706272955138</v>
      </c>
      <c r="F161" s="1198">
        <f>NPV(realdiscrt1,D$157:D161)/(1+realdiscrt3)^-Half_Year</f>
        <v>2.6168181536316507E-2</v>
      </c>
      <c r="G161" s="1187" t="str">
        <f t="shared" si="30"/>
        <v>2023-Top 20 Summer Hours-5</v>
      </c>
    </row>
    <row r="162" spans="1:7" s="541" customFormat="1">
      <c r="A162" s="1182">
        <f t="shared" si="32"/>
        <v>6</v>
      </c>
      <c r="B162" s="1183">
        <f t="shared" si="31"/>
        <v>2028</v>
      </c>
      <c r="C162" s="1220">
        <f t="shared" si="28"/>
        <v>7.641481918648213E-2</v>
      </c>
      <c r="D162" s="1185">
        <f t="shared" si="29"/>
        <v>0</v>
      </c>
      <c r="E162" s="1227">
        <f>NPV(realdiscrt1,C$157:C162)/(1+realdiscrt3)^-Half_Year</f>
        <v>0.42566129822204901</v>
      </c>
      <c r="F162" s="1198">
        <f>NPV(realdiscrt1,D$157:D162)/(1+realdiscrt3)^-Half_Year</f>
        <v>2.6168181536316507E-2</v>
      </c>
      <c r="G162" s="1187" t="str">
        <f t="shared" si="30"/>
        <v>2023-Top 20 Summer Hours-6</v>
      </c>
    </row>
    <row r="163" spans="1:7" s="541" customFormat="1">
      <c r="A163" s="1182">
        <f t="shared" si="32"/>
        <v>7</v>
      </c>
      <c r="B163" s="1183">
        <f t="shared" si="31"/>
        <v>2029</v>
      </c>
      <c r="C163" s="1220">
        <f t="shared" si="28"/>
        <v>9.433671890341401E-2</v>
      </c>
      <c r="D163" s="1185">
        <f t="shared" si="29"/>
        <v>0</v>
      </c>
      <c r="E163" s="1227">
        <f>NPV(realdiscrt1,C$157:C163)/(1+realdiscrt3)^-Half_Year</f>
        <v>0.51176725927256894</v>
      </c>
      <c r="F163" s="1198">
        <f>NPV(realdiscrt1,D$157:D163)/(1+realdiscrt3)^-Half_Year</f>
        <v>2.6168181536316507E-2</v>
      </c>
      <c r="G163" s="1187" t="str">
        <f t="shared" si="30"/>
        <v>2023-Top 20 Summer Hours-7</v>
      </c>
    </row>
    <row r="164" spans="1:7" s="541" customFormat="1">
      <c r="A164" s="1182">
        <f t="shared" si="32"/>
        <v>8</v>
      </c>
      <c r="B164" s="1183">
        <f t="shared" si="31"/>
        <v>2030</v>
      </c>
      <c r="C164" s="1220">
        <f t="shared" si="28"/>
        <v>0.10149864193623302</v>
      </c>
      <c r="D164" s="1185">
        <f t="shared" si="29"/>
        <v>0</v>
      </c>
      <c r="E164" s="1227">
        <f>NPV(realdiscrt1,C$157:C164)/(1+realdiscrt3)^-Half_Year</f>
        <v>0.60311820751007938</v>
      </c>
      <c r="F164" s="1198">
        <f>NPV(realdiscrt1,D$157:D164)/(1+realdiscrt3)^-Half_Year</f>
        <v>2.6168181536316507E-2</v>
      </c>
      <c r="G164" s="1187" t="str">
        <f t="shared" si="30"/>
        <v>2023-Top 20 Summer Hours-8</v>
      </c>
    </row>
    <row r="165" spans="1:7" s="541" customFormat="1">
      <c r="A165" s="1182">
        <f t="shared" si="32"/>
        <v>9</v>
      </c>
      <c r="B165" s="1183">
        <f t="shared" si="31"/>
        <v>2031</v>
      </c>
      <c r="C165" s="1220">
        <f t="shared" si="28"/>
        <v>7.8783035197630746E-2</v>
      </c>
      <c r="D165" s="1185">
        <f t="shared" si="29"/>
        <v>0</v>
      </c>
      <c r="E165" s="1227">
        <f>NPV(realdiscrt1,C$157:C165)/(1+realdiscrt3)^-Half_Year</f>
        <v>0.67303571118906513</v>
      </c>
      <c r="F165" s="1198">
        <f>NPV(realdiscrt1,D$157:D165)/(1+realdiscrt3)^-Half_Year</f>
        <v>2.6168181536316507E-2</v>
      </c>
      <c r="G165" s="1187" t="str">
        <f t="shared" si="30"/>
        <v>2023-Top 20 Summer Hours-9</v>
      </c>
    </row>
    <row r="166" spans="1:7" s="541" customFormat="1">
      <c r="A166" s="1182">
        <f t="shared" si="32"/>
        <v>10</v>
      </c>
      <c r="B166" s="1183">
        <f t="shared" si="31"/>
        <v>2032</v>
      </c>
      <c r="C166" s="1220">
        <f t="shared" si="28"/>
        <v>7.3762445725832043E-2</v>
      </c>
      <c r="D166" s="1185">
        <f t="shared" si="29"/>
        <v>0</v>
      </c>
      <c r="E166" s="1227">
        <f>NPV(realdiscrt1,C$157:C166)/(1+realdiscrt3)^-Half_Year</f>
        <v>0.73758461787849017</v>
      </c>
      <c r="F166" s="1198">
        <f>NPV(realdiscrt1,D$157:D166)/(1+realdiscrt3)^-Half_Year</f>
        <v>2.6168181536316507E-2</v>
      </c>
      <c r="G166" s="1187" t="str">
        <f t="shared" si="30"/>
        <v>2023-Top 20 Summer Hours-10</v>
      </c>
    </row>
    <row r="167" spans="1:7" s="541" customFormat="1">
      <c r="A167" s="1182">
        <f t="shared" si="32"/>
        <v>11</v>
      </c>
      <c r="B167" s="1183">
        <f t="shared" si="31"/>
        <v>2033</v>
      </c>
      <c r="C167" s="1220">
        <f t="shared" si="28"/>
        <v>7.6068408692341175E-2</v>
      </c>
      <c r="D167" s="1185">
        <f t="shared" si="29"/>
        <v>0</v>
      </c>
      <c r="E167" s="1227">
        <f>NPV(realdiscrt1,C$157:C167)/(1+realdiscrt3)^-Half_Year</f>
        <v>0.80322306393525789</v>
      </c>
      <c r="F167" s="1198">
        <f>NPV(realdiscrt1,D$157:D167)/(1+realdiscrt3)^-Half_Year</f>
        <v>2.6168181536316507E-2</v>
      </c>
      <c r="G167" s="1187" t="str">
        <f t="shared" si="30"/>
        <v>2023-Top 20 Summer Hours-11</v>
      </c>
    </row>
    <row r="168" spans="1:7" s="541" customFormat="1">
      <c r="A168" s="1182">
        <f t="shared" si="32"/>
        <v>12</v>
      </c>
      <c r="B168" s="1183">
        <f t="shared" si="31"/>
        <v>2034</v>
      </c>
      <c r="C168" s="1220">
        <f t="shared" si="28"/>
        <v>8.5336322953088364E-2</v>
      </c>
      <c r="D168" s="1185">
        <f t="shared" si="29"/>
        <v>0</v>
      </c>
      <c r="E168" s="1227">
        <f>NPV(realdiscrt1,C$157:C168)/(1+realdiscrt3)^-Half_Year</f>
        <v>0.87583169729058974</v>
      </c>
      <c r="F168" s="1198">
        <f>NPV(realdiscrt1,D$157:D168)/(1+realdiscrt3)^-Half_Year</f>
        <v>2.6168181536316507E-2</v>
      </c>
      <c r="G168" s="1187" t="str">
        <f t="shared" si="30"/>
        <v>2023-Top 20 Summer Hours-12</v>
      </c>
    </row>
    <row r="169" spans="1:7" s="541" customFormat="1">
      <c r="A169" s="1182">
        <f t="shared" si="32"/>
        <v>13</v>
      </c>
      <c r="B169" s="1183">
        <f t="shared" si="31"/>
        <v>2035</v>
      </c>
      <c r="C169" s="1220">
        <f t="shared" si="28"/>
        <v>9.6253632489092161E-2</v>
      </c>
      <c r="D169" s="1185">
        <f t="shared" si="29"/>
        <v>0</v>
      </c>
      <c r="E169" s="1227">
        <f>NPV(realdiscrt1,C$157:C169)/(1+realdiscrt3)^-Half_Year</f>
        <v>0.95658714741102557</v>
      </c>
      <c r="F169" s="1198">
        <f>NPV(realdiscrt1,D$157:D169)/(1+realdiscrt3)^-Half_Year</f>
        <v>2.6168181536316507E-2</v>
      </c>
      <c r="G169" s="1187" t="str">
        <f t="shared" si="30"/>
        <v>2023-Top 20 Summer Hours-13</v>
      </c>
    </row>
    <row r="170" spans="1:7" s="541" customFormat="1">
      <c r="A170" s="1182">
        <f t="shared" si="32"/>
        <v>14</v>
      </c>
      <c r="B170" s="1183">
        <f t="shared" si="31"/>
        <v>2036</v>
      </c>
      <c r="C170" s="1220">
        <f t="shared" si="28"/>
        <v>0.10120078756295911</v>
      </c>
      <c r="D170" s="1185">
        <f t="shared" si="29"/>
        <v>0</v>
      </c>
      <c r="E170" s="1227">
        <f>NPV(realdiscrt1,C$157:C170)/(1+realdiscrt3)^-Half_Year</f>
        <v>1.0403090296034938</v>
      </c>
      <c r="F170" s="1198">
        <f>NPV(realdiscrt1,D$157:D170)/(1+realdiscrt3)^-Half_Year</f>
        <v>2.6168181536316507E-2</v>
      </c>
      <c r="G170" s="1187" t="str">
        <f t="shared" si="30"/>
        <v>2023-Top 20 Summer Hours-14</v>
      </c>
    </row>
    <row r="171" spans="1:7" s="541" customFormat="1">
      <c r="A171" s="1182">
        <f t="shared" si="32"/>
        <v>15</v>
      </c>
      <c r="B171" s="1183">
        <f t="shared" si="31"/>
        <v>2037</v>
      </c>
      <c r="C171" s="1220">
        <f t="shared" si="28"/>
        <v>0.10640432381864724</v>
      </c>
      <c r="D171" s="1185">
        <f t="shared" si="29"/>
        <v>0</v>
      </c>
      <c r="E171" s="1227">
        <f>NPV(realdiscrt1,C$157:C171)/(1+realdiscrt3)^-Half_Year</f>
        <v>1.1271080341294548</v>
      </c>
      <c r="F171" s="1198">
        <f>NPV(realdiscrt1,D$157:D171)/(1+realdiscrt3)^-Half_Year</f>
        <v>2.6168181536316507E-2</v>
      </c>
      <c r="G171" s="1187" t="str">
        <f t="shared" si="30"/>
        <v>2023-Top 20 Summer Hours-15</v>
      </c>
    </row>
    <row r="172" spans="1:7" s="541" customFormat="1">
      <c r="A172" s="1182">
        <f t="shared" si="32"/>
        <v>16</v>
      </c>
      <c r="B172" s="1183">
        <f t="shared" si="31"/>
        <v>2038</v>
      </c>
      <c r="C172" s="1220">
        <f t="shared" si="28"/>
        <v>0.11187768317310179</v>
      </c>
      <c r="D172" s="1185">
        <f t="shared" si="29"/>
        <v>0</v>
      </c>
      <c r="E172" s="1227">
        <f>NPV(realdiscrt1,C$157:C172)/(1+realdiscrt3)^-Half_Year</f>
        <v>1.2170990821357137</v>
      </c>
      <c r="F172" s="1198">
        <f>NPV(realdiscrt1,D$157:D172)/(1+realdiscrt3)^-Half_Year</f>
        <v>2.6168181536316507E-2</v>
      </c>
      <c r="G172" s="1187" t="str">
        <f t="shared" si="30"/>
        <v>2023-Top 20 Summer Hours-16</v>
      </c>
    </row>
    <row r="173" spans="1:7" s="541" customFormat="1">
      <c r="A173" s="1182">
        <f t="shared" si="32"/>
        <v>17</v>
      </c>
      <c r="B173" s="1183">
        <f t="shared" si="31"/>
        <v>2039</v>
      </c>
      <c r="C173" s="1220">
        <f t="shared" si="28"/>
        <v>0.11763502361079317</v>
      </c>
      <c r="D173" s="1185">
        <f t="shared" si="29"/>
        <v>0</v>
      </c>
      <c r="E173" s="1227">
        <f>NPV(realdiscrt1,C$157:C173)/(1+realdiscrt3)^-Half_Year</f>
        <v>1.31040149314875</v>
      </c>
      <c r="F173" s="1198">
        <f>NPV(realdiscrt1,D$157:D173)/(1+realdiscrt3)^-Half_Year</f>
        <v>2.6168181536316507E-2</v>
      </c>
      <c r="G173" s="1187" t="str">
        <f t="shared" si="30"/>
        <v>2023-Top 20 Summer Hours-17</v>
      </c>
    </row>
    <row r="174" spans="1:7" s="541" customFormat="1">
      <c r="A174" s="1182">
        <f t="shared" si="32"/>
        <v>18</v>
      </c>
      <c r="B174" s="1183">
        <f t="shared" si="31"/>
        <v>2040</v>
      </c>
      <c r="C174" s="1220">
        <f t="shared" si="28"/>
        <v>0.12369125814486255</v>
      </c>
      <c r="D174" s="1185">
        <f t="shared" si="29"/>
        <v>0</v>
      </c>
      <c r="E174" s="1227">
        <f>NPV(realdiscrt1,C$157:C174)/(1+realdiscrt3)^-Half_Year</f>
        <v>1.4071391595240319</v>
      </c>
      <c r="F174" s="1198">
        <f>NPV(realdiscrt1,D$157:D174)/(1+realdiscrt3)^-Half_Year</f>
        <v>2.6168181536316507E-2</v>
      </c>
      <c r="G174" s="1187" t="str">
        <f t="shared" si="30"/>
        <v>2023-Top 20 Summer Hours-18</v>
      </c>
    </row>
    <row r="175" spans="1:7" s="541" customFormat="1">
      <c r="A175" s="1182">
        <f t="shared" si="32"/>
        <v>19</v>
      </c>
      <c r="B175" s="1183">
        <f t="shared" si="31"/>
        <v>2041</v>
      </c>
      <c r="C175" s="1220">
        <f t="shared" si="28"/>
        <v>0.1300620959559593</v>
      </c>
      <c r="D175" s="1185">
        <f t="shared" si="29"/>
        <v>0</v>
      </c>
      <c r="E175" s="1227">
        <f>NPV(realdiscrt1,C$157:C175)/(1+realdiscrt3)^-Half_Year</f>
        <v>1.5074407281566722</v>
      </c>
      <c r="F175" s="1198">
        <f>NPV(realdiscrt1,D$157:D175)/(1+realdiscrt3)^-Half_Year</f>
        <v>2.6168181536316507E-2</v>
      </c>
      <c r="G175" s="1187" t="str">
        <f t="shared" si="30"/>
        <v>2023-Top 20 Summer Hours-19</v>
      </c>
    </row>
    <row r="176" spans="1:7" s="541" customFormat="1">
      <c r="A176" s="1182">
        <f t="shared" si="32"/>
        <v>20</v>
      </c>
      <c r="B176" s="1183">
        <f t="shared" si="31"/>
        <v>2042</v>
      </c>
      <c r="C176" s="1220">
        <f t="shared" si="28"/>
        <v>0.13676408583450517</v>
      </c>
      <c r="D176" s="1185">
        <f t="shared" si="29"/>
        <v>0</v>
      </c>
      <c r="E176" s="1227">
        <f>NPV(realdiscrt1,C$157:C176)/(1+realdiscrt3)^-Half_Year</f>
        <v>1.6114397897741748</v>
      </c>
      <c r="F176" s="1198">
        <f>NPV(realdiscrt1,D$157:D176)/(1+realdiscrt3)^-Half_Year</f>
        <v>2.6168181536316507E-2</v>
      </c>
      <c r="G176" s="1187" t="str">
        <f t="shared" si="30"/>
        <v>2023-Top 20 Summer Hours-20</v>
      </c>
    </row>
    <row r="177" spans="1:17" s="541" customFormat="1">
      <c r="A177" s="1182">
        <f t="shared" si="32"/>
        <v>21</v>
      </c>
      <c r="B177" s="1183">
        <f t="shared" si="31"/>
        <v>2043</v>
      </c>
      <c r="C177" s="1220">
        <f t="shared" si="28"/>
        <v>0.14381466205965054</v>
      </c>
      <c r="D177" s="1185">
        <f t="shared" si="29"/>
        <v>0</v>
      </c>
      <c r="E177" s="1227">
        <f>NPV(realdiscrt1,C$157:C177)/(1+realdiscrt3)^-Half_Year</f>
        <v>1.7192750761471496</v>
      </c>
      <c r="F177" s="1198">
        <f>NPV(realdiscrt1,D$157:D177)/(1+realdiscrt3)^-Half_Year</f>
        <v>2.6168181536316507E-2</v>
      </c>
      <c r="G177" s="1187" t="str">
        <f t="shared" si="30"/>
        <v>2023-Top 20 Summer Hours-21</v>
      </c>
    </row>
    <row r="178" spans="1:17" s="541" customFormat="1">
      <c r="A178" s="1182">
        <f t="shared" si="32"/>
        <v>22</v>
      </c>
      <c r="B178" s="1183">
        <f t="shared" si="31"/>
        <v>2044</v>
      </c>
      <c r="C178" s="1220">
        <f t="shared" si="28"/>
        <v>0.15123219285618739</v>
      </c>
      <c r="D178" s="1185">
        <f t="shared" si="29"/>
        <v>0</v>
      </c>
      <c r="E178" s="1227">
        <f>NPV(realdiscrt1,C$157:C178)/(1+realdiscrt3)^-Half_Year</f>
        <v>1.8310906655697496</v>
      </c>
      <c r="F178" s="1198">
        <f>NPV(realdiscrt1,D$157:D178)/(1+realdiscrt3)^-Half_Year</f>
        <v>2.6168181536316507E-2</v>
      </c>
      <c r="G178" s="1187" t="str">
        <f t="shared" si="30"/>
        <v>2023-Top 20 Summer Hours-22</v>
      </c>
    </row>
    <row r="179" spans="1:17" s="541" customFormat="1">
      <c r="A179" s="1182">
        <f t="shared" si="32"/>
        <v>23</v>
      </c>
      <c r="B179" s="1183">
        <f t="shared" si="31"/>
        <v>2045</v>
      </c>
      <c r="C179" s="1220">
        <f t="shared" si="28"/>
        <v>0.15903603157918386</v>
      </c>
      <c r="D179" s="1185">
        <f t="shared" si="29"/>
        <v>0</v>
      </c>
      <c r="E179" s="1227">
        <f>NPV(realdiscrt1,C$157:C179)/(1+realdiscrt3)^-Half_Year</f>
        <v>1.9470361969782695</v>
      </c>
      <c r="F179" s="1198">
        <f>NPV(realdiscrt1,D$157:D179)/(1+realdiscrt3)^-Half_Year</f>
        <v>2.6168181536316507E-2</v>
      </c>
      <c r="G179" s="1187" t="str">
        <f t="shared" si="30"/>
        <v>2023-Top 20 Summer Hours-23</v>
      </c>
    </row>
    <row r="180" spans="1:17" s="541" customFormat="1">
      <c r="A180" s="1182">
        <f t="shared" si="32"/>
        <v>24</v>
      </c>
      <c r="B180" s="1183">
        <f t="shared" si="31"/>
        <v>2046</v>
      </c>
      <c r="C180" s="1220">
        <f t="shared" si="28"/>
        <v>0.16724657078513386</v>
      </c>
      <c r="D180" s="1185">
        <f t="shared" si="29"/>
        <v>0</v>
      </c>
      <c r="E180" s="1227">
        <f>NPV(realdiscrt1,C$157:C180)/(1+realdiscrt3)^-Half_Year</f>
        <v>2.0672670930938613</v>
      </c>
      <c r="F180" s="1198">
        <f>NPV(realdiscrt1,D$157:D180)/(1+realdiscrt3)^-Half_Year</f>
        <v>2.6168181536316507E-2</v>
      </c>
      <c r="G180" s="1187" t="str">
        <f t="shared" si="30"/>
        <v>2023-Top 20 Summer Hours-24</v>
      </c>
    </row>
    <row r="181" spans="1:17" s="541" customFormat="1">
      <c r="A181" s="1208">
        <f t="shared" si="32"/>
        <v>25</v>
      </c>
      <c r="B181" s="1223">
        <f t="shared" si="31"/>
        <v>2047</v>
      </c>
      <c r="C181" s="1221">
        <f t="shared" si="28"/>
        <v>0.17588529935801309</v>
      </c>
      <c r="D181" s="1185">
        <f t="shared" si="29"/>
        <v>0</v>
      </c>
      <c r="E181" s="1224">
        <f>NPV(realdiscrt1,C$157:C181)/(1+realdiscrt3)^-Half_Year</f>
        <v>2.1919447929937368</v>
      </c>
      <c r="F181" s="1199">
        <f>NPV(realdiscrt1,D$157:D181)/(1+realdiscrt3)^-Half_Year</f>
        <v>2.6168181536316507E-2</v>
      </c>
      <c r="G181" s="1200" t="str">
        <f t="shared" si="30"/>
        <v>2023-Top 20 Summer Hours-25</v>
      </c>
    </row>
    <row r="182" spans="1:17" s="541" customFormat="1"/>
    <row r="183" spans="1:17" ht="23.25">
      <c r="A183" s="1641" t="str">
        <f>A6</f>
        <v>Summer Daily Discharge</v>
      </c>
      <c r="B183" s="1642"/>
      <c r="C183" s="1642"/>
      <c r="D183" s="1642"/>
      <c r="E183" s="1642"/>
      <c r="F183" s="1642"/>
      <c r="G183" s="1642"/>
      <c r="H183" s="1642"/>
      <c r="I183" s="1642"/>
      <c r="J183" s="1642"/>
      <c r="K183" s="1642"/>
      <c r="L183" s="1642"/>
      <c r="M183" s="1642"/>
      <c r="N183" s="1643"/>
      <c r="O183" s="541"/>
      <c r="P183" s="541"/>
      <c r="Q183" s="541"/>
    </row>
    <row r="184" spans="1:17" s="1231" customFormat="1" ht="15">
      <c r="A184" s="1644" t="s">
        <v>593</v>
      </c>
      <c r="B184" s="1645"/>
      <c r="C184" s="1228" t="s">
        <v>918</v>
      </c>
      <c r="D184" s="1229" t="s">
        <v>63</v>
      </c>
      <c r="E184" s="1228" t="s">
        <v>918</v>
      </c>
      <c r="F184" s="1228" t="s">
        <v>63</v>
      </c>
      <c r="G184" s="1230" t="s">
        <v>704</v>
      </c>
      <c r="I184" s="1648" t="s">
        <v>76</v>
      </c>
      <c r="J184" s="1202" t="s">
        <v>914</v>
      </c>
      <c r="K184" s="1202" t="s">
        <v>915</v>
      </c>
      <c r="L184" s="1163" t="s">
        <v>942</v>
      </c>
      <c r="M184" s="1203" t="s">
        <v>916</v>
      </c>
      <c r="N184" s="1649" t="s">
        <v>917</v>
      </c>
    </row>
    <row r="185" spans="1:17" s="1161" customFormat="1" ht="15">
      <c r="A185" s="1164"/>
      <c r="B185" s="1165"/>
      <c r="C185" s="1166" t="s">
        <v>71</v>
      </c>
      <c r="D185" s="1167" t="s">
        <v>71</v>
      </c>
      <c r="E185" s="1166" t="s">
        <v>71</v>
      </c>
      <c r="F185" s="1166" t="s">
        <v>71</v>
      </c>
      <c r="G185" s="1168"/>
      <c r="H185" s="1144"/>
      <c r="I185" s="1637"/>
      <c r="J185" s="1169" t="s">
        <v>919</v>
      </c>
      <c r="K185" s="1169" t="s">
        <v>919</v>
      </c>
      <c r="L185" s="1170" t="s">
        <v>919</v>
      </c>
      <c r="M185" s="1170" t="s">
        <v>919</v>
      </c>
      <c r="N185" s="1638"/>
      <c r="O185" s="541"/>
      <c r="P185" s="541"/>
      <c r="Q185" s="541"/>
    </row>
    <row r="186" spans="1:17" s="1201" customFormat="1" ht="20.25">
      <c r="A186" s="1211" t="s">
        <v>600</v>
      </c>
      <c r="B186" s="1212"/>
      <c r="C186" s="1213"/>
      <c r="D186" s="1214"/>
      <c r="E186" s="1215" t="s">
        <v>633</v>
      </c>
      <c r="F186" s="1138"/>
      <c r="G186" s="1139"/>
      <c r="H186" s="1144"/>
      <c r="I186" s="1646"/>
      <c r="J186" s="1204" t="s">
        <v>71</v>
      </c>
      <c r="K186" s="1204" t="s">
        <v>71</v>
      </c>
      <c r="L186" s="1172" t="s">
        <v>71</v>
      </c>
      <c r="M186" s="1205" t="s">
        <v>71</v>
      </c>
      <c r="N186" s="1647"/>
      <c r="O186" s="541"/>
      <c r="P186" s="541"/>
      <c r="Q186" s="541"/>
    </row>
    <row r="187" spans="1:17" s="541" customFormat="1" ht="18">
      <c r="A187" s="1140">
        <f>Year1</f>
        <v>2021</v>
      </c>
      <c r="B187" s="1141" t="str">
        <f>Year1&amp;"$"</f>
        <v>2021$</v>
      </c>
      <c r="C187" s="1173"/>
      <c r="D187" s="1174"/>
      <c r="E187" s="1175"/>
      <c r="F187" s="1176"/>
      <c r="G187" s="1174"/>
      <c r="I187" s="1178" t="s">
        <v>922</v>
      </c>
      <c r="J187" s="1179"/>
      <c r="K187" s="1179"/>
      <c r="L187" s="1179"/>
      <c r="M187" s="1180"/>
      <c r="N187" s="1181"/>
    </row>
    <row r="188" spans="1:17" s="541" customFormat="1">
      <c r="A188" s="1182">
        <v>1</v>
      </c>
      <c r="B188" s="1183">
        <f>Year1</f>
        <v>2021</v>
      </c>
      <c r="C188" s="1184">
        <f t="shared" ref="C188:C214" si="33">VLOOKUP($B188,$I$188:$N$220,C$12,FALSE)*(1+Inflation1)^(Year1-Real_Year)</f>
        <v>6.4325762369226394E-2</v>
      </c>
      <c r="D188" s="1185">
        <f t="shared" ref="D188:D214" si="34">VLOOKUP($B188,$I$188:$N$220,IF($A$17=Year1,D$12,D$12+1),FALSE)*(1+Inflation1)^(Year1-Real_Year)</f>
        <v>0</v>
      </c>
      <c r="E188" s="1186">
        <f>NPV(realdiscrt1,C$188:C188)/(1+realdiscrt1)^-Half_Year</f>
        <v>6.387562029612337E-2</v>
      </c>
      <c r="F188" s="1186">
        <f>NPV(realdiscrt1,D$188:D188)/(1+realdiscrt1)^-Half_Year</f>
        <v>0</v>
      </c>
      <c r="G188" s="1187" t="str">
        <f t="shared" ref="G188:G214" si="35">$A$17&amp;"-"&amp;$A$183&amp;"-"&amp;A188</f>
        <v>2021-Summer Daily Discharge-1</v>
      </c>
      <c r="H188" s="1161"/>
      <c r="I188" s="1188">
        <v>2018</v>
      </c>
      <c r="J188" s="1189">
        <f t="shared" ref="J188:J220" si="36">(K188+$N188)*(1+WholesaleRiskPremium)</f>
        <v>4.4067711383212235E-2</v>
      </c>
      <c r="K188" s="1190">
        <v>3.3391072254002979E-2</v>
      </c>
      <c r="L188" s="1191">
        <v>0</v>
      </c>
      <c r="M188" s="1191">
        <v>0</v>
      </c>
      <c r="N188" s="1206">
        <f>INDEX(AESC!$H$184:$H$216,MATCH(I188,AESC!$B$184:$B$216,0))</f>
        <v>7.4123642119342734E-3</v>
      </c>
    </row>
    <row r="189" spans="1:17" s="541" customFormat="1">
      <c r="A189" s="1182">
        <v>2</v>
      </c>
      <c r="B189" s="1183">
        <f t="shared" ref="B189:B214" si="37">B188+1</f>
        <v>2022</v>
      </c>
      <c r="C189" s="1184">
        <f t="shared" si="33"/>
        <v>5.5175621008701214E-2</v>
      </c>
      <c r="D189" s="1185">
        <f t="shared" si="34"/>
        <v>0</v>
      </c>
      <c r="E189" s="1186">
        <f>NPV(realdiscrt1,C$188:C189)/(1+realdiscrt1)^-Half_Year</f>
        <v>0.11790099597963899</v>
      </c>
      <c r="F189" s="1186">
        <f>NPV(realdiscrt1,D$188:D189)/(1+realdiscrt1)^-Half_Year</f>
        <v>0</v>
      </c>
      <c r="G189" s="1187" t="str">
        <f t="shared" si="35"/>
        <v>2021-Summer Daily Discharge-2</v>
      </c>
      <c r="H189" s="1201"/>
      <c r="I189" s="1188">
        <v>2019</v>
      </c>
      <c r="J189" s="1189">
        <f t="shared" si="36"/>
        <v>5.2837441069270401E-2</v>
      </c>
      <c r="K189" s="1190">
        <v>3.763282049383114E-2</v>
      </c>
      <c r="L189" s="1191">
        <v>0</v>
      </c>
      <c r="M189" s="1191">
        <v>0</v>
      </c>
      <c r="N189" s="1192">
        <f>INDEX(AESC!$H$184:$H$216,MATCH(I189,AESC!$B$184:$B$216,0))</f>
        <v>1.1290736051789593E-2</v>
      </c>
    </row>
    <row r="190" spans="1:17" s="541" customFormat="1">
      <c r="A190" s="1182">
        <f t="shared" ref="A190:A214" si="38">A189+1</f>
        <v>3</v>
      </c>
      <c r="B190" s="1183">
        <f t="shared" si="37"/>
        <v>2023</v>
      </c>
      <c r="C190" s="1184">
        <f t="shared" si="33"/>
        <v>5.0860762367896294E-2</v>
      </c>
      <c r="D190" s="1185">
        <f t="shared" si="34"/>
        <v>0</v>
      </c>
      <c r="E190" s="1186">
        <f>NPV(realdiscrt1,C$188:C190)/(1+realdiscrt1)^-Half_Year</f>
        <v>0.16700691106006973</v>
      </c>
      <c r="F190" s="1186">
        <f>NPV(realdiscrt1,D$188:D190)/(1+realdiscrt1)^-Half_Year</f>
        <v>0</v>
      </c>
      <c r="G190" s="1187" t="str">
        <f t="shared" si="35"/>
        <v>2021-Summer Daily Discharge-3</v>
      </c>
      <c r="I190" s="1188">
        <v>2020</v>
      </c>
      <c r="J190" s="1189">
        <f t="shared" si="36"/>
        <v>5.6025948513153838E-2</v>
      </c>
      <c r="K190" s="1190">
        <v>4.3194045214653275E-2</v>
      </c>
      <c r="L190" s="1191">
        <v>0</v>
      </c>
      <c r="M190" s="1191">
        <v>0</v>
      </c>
      <c r="N190" s="1192">
        <f>INDEX(AESC!$H$184:$H$216,MATCH(I190,AESC!$B$184:$B$216,0))</f>
        <v>8.6818330382669468E-3</v>
      </c>
    </row>
    <row r="191" spans="1:17" s="541" customFormat="1">
      <c r="A191" s="1182">
        <f t="shared" si="38"/>
        <v>4</v>
      </c>
      <c r="B191" s="1183">
        <f t="shared" si="37"/>
        <v>2024</v>
      </c>
      <c r="C191" s="1184">
        <f t="shared" si="33"/>
        <v>6.4789097953330335E-2</v>
      </c>
      <c r="D191" s="1185">
        <f t="shared" si="34"/>
        <v>0</v>
      </c>
      <c r="E191" s="1186">
        <f>NPV(realdiscrt1,C$188:C191)/(1+realdiscrt1)^-Half_Year</f>
        <v>0.2286881734134549</v>
      </c>
      <c r="F191" s="1186">
        <f>NPV(realdiscrt1,D$188:D191)/(1+realdiscrt1)^-Half_Year</f>
        <v>0</v>
      </c>
      <c r="G191" s="1187" t="str">
        <f t="shared" si="35"/>
        <v>2021-Summer Daily Discharge-4</v>
      </c>
      <c r="I191" s="1188">
        <v>2021</v>
      </c>
      <c r="J191" s="1189">
        <f>(K191+$N191)*(1+WholesaleRiskPremium)</f>
        <v>6.0955602696852275E-2</v>
      </c>
      <c r="K191" s="1190">
        <v>4.9704066956733989E-2</v>
      </c>
      <c r="L191" s="1191">
        <v>0</v>
      </c>
      <c r="M191" s="1191">
        <v>0</v>
      </c>
      <c r="N191" s="1192">
        <f>INDEX(AESC!$H$184:$H$216,MATCH(I191,AESC!$B$184:$B$216,0))</f>
        <v>6.736305910721818E-3</v>
      </c>
    </row>
    <row r="192" spans="1:17" s="541" customFormat="1">
      <c r="A192" s="1182">
        <f t="shared" si="38"/>
        <v>5</v>
      </c>
      <c r="B192" s="1183">
        <f t="shared" si="37"/>
        <v>2025</v>
      </c>
      <c r="C192" s="1184">
        <f t="shared" si="33"/>
        <v>6.2415734330065815E-2</v>
      </c>
      <c r="D192" s="1185">
        <f t="shared" si="34"/>
        <v>0</v>
      </c>
      <c r="E192" s="1186">
        <f>NPV(realdiscrt1,C$188:C192)/(1+realdiscrt1)^-Half_Year</f>
        <v>0.28728117971475775</v>
      </c>
      <c r="F192" s="1186">
        <f>NPV(realdiscrt1,D$188:D192)/(1+realdiscrt1)^-Half_Year</f>
        <v>0</v>
      </c>
      <c r="G192" s="1187" t="str">
        <f t="shared" si="35"/>
        <v>2021-Summer Daily Discharge-5</v>
      </c>
      <c r="I192" s="1188">
        <v>2022</v>
      </c>
      <c r="J192" s="1189">
        <f t="shared" si="36"/>
        <v>5.2284856158463192E-2</v>
      </c>
      <c r="K192" s="1190">
        <v>4.3297473137298287E-2</v>
      </c>
      <c r="L192" s="1191">
        <v>0</v>
      </c>
      <c r="M192" s="1191">
        <v>0</v>
      </c>
      <c r="N192" s="1192">
        <f>INDEX(AESC!$H$184:$H$216,MATCH(I192,AESC!$B$184:$B$216,0))</f>
        <v>5.1144307131305942E-3</v>
      </c>
    </row>
    <row r="193" spans="1:14" s="541" customFormat="1">
      <c r="A193" s="1182">
        <f t="shared" si="38"/>
        <v>6</v>
      </c>
      <c r="B193" s="1183">
        <f t="shared" si="37"/>
        <v>2026</v>
      </c>
      <c r="C193" s="1184">
        <f t="shared" si="33"/>
        <v>6.5440472165834734E-2</v>
      </c>
      <c r="D193" s="1185">
        <f t="shared" si="34"/>
        <v>0</v>
      </c>
      <c r="E193" s="1186">
        <f>NPV(realdiscrt1,C$188:C193)/(1+realdiscrt1)^-Half_Year</f>
        <v>0.34785688764939415</v>
      </c>
      <c r="F193" s="1186">
        <f>NPV(realdiscrt1,D$188:D193)/(1+realdiscrt1)^-Half_Year</f>
        <v>0</v>
      </c>
      <c r="G193" s="1187" t="str">
        <f t="shared" si="35"/>
        <v>2021-Summer Daily Discharge-6</v>
      </c>
      <c r="I193" s="1188">
        <v>2023</v>
      </c>
      <c r="J193" s="1189">
        <f t="shared" si="36"/>
        <v>4.8196061882037927E-2</v>
      </c>
      <c r="K193" s="1190">
        <v>3.9153854007735987E-2</v>
      </c>
      <c r="L193" s="1191">
        <v>0</v>
      </c>
      <c r="M193" s="1191">
        <v>0</v>
      </c>
      <c r="N193" s="1192">
        <f>INDEX(AESC!$H$184:$H$216,MATCH(I193,AESC!$B$184:$B$216,0))</f>
        <v>5.4721292163732024E-3</v>
      </c>
    </row>
    <row r="194" spans="1:14" s="541" customFormat="1">
      <c r="A194" s="1182">
        <f t="shared" si="38"/>
        <v>7</v>
      </c>
      <c r="B194" s="1183">
        <f t="shared" si="37"/>
        <v>2027</v>
      </c>
      <c r="C194" s="1184">
        <f t="shared" si="33"/>
        <v>6.319380627630386E-2</v>
      </c>
      <c r="D194" s="1185">
        <f t="shared" si="34"/>
        <v>0</v>
      </c>
      <c r="E194" s="1186">
        <f>NPV(realdiscrt1,C$188:C194)/(1+realdiscrt1)^-Half_Year</f>
        <v>0.40553711529683462</v>
      </c>
      <c r="F194" s="1186">
        <f>NPV(realdiscrt1,D$188:D194)/(1+realdiscrt1)^-Half_Year</f>
        <v>0</v>
      </c>
      <c r="G194" s="1187" t="str">
        <f t="shared" si="35"/>
        <v>2021-Summer Daily Discharge-7</v>
      </c>
      <c r="I194" s="1188">
        <v>2024</v>
      </c>
      <c r="J194" s="1189">
        <f t="shared" si="36"/>
        <v>6.1394663171842702E-2</v>
      </c>
      <c r="K194" s="1190">
        <v>5.1832632669214472E-2</v>
      </c>
      <c r="L194" s="1191">
        <v>0</v>
      </c>
      <c r="M194" s="1191">
        <v>0</v>
      </c>
      <c r="N194" s="1192">
        <f>INDEX(AESC!$H$184:$H$216,MATCH(I194,AESC!$B$184:$B$216,0))</f>
        <v>5.0142776750843193E-3</v>
      </c>
    </row>
    <row r="195" spans="1:14" s="1161" customFormat="1" ht="15" customHeight="1">
      <c r="A195" s="1182">
        <f t="shared" si="38"/>
        <v>8</v>
      </c>
      <c r="B195" s="1183">
        <f t="shared" si="37"/>
        <v>2028</v>
      </c>
      <c r="C195" s="1184">
        <f t="shared" si="33"/>
        <v>5.791676391700299E-2</v>
      </c>
      <c r="D195" s="1185">
        <f t="shared" si="34"/>
        <v>0</v>
      </c>
      <c r="E195" s="1186">
        <f>NPV(realdiscrt1,C$188:C195)/(1+realdiscrt1)^-Half_Year</f>
        <v>0.45766344134157322</v>
      </c>
      <c r="F195" s="1186">
        <f>NPV(realdiscrt1,D$188:D195)/(1+realdiscrt1)^-Half_Year</f>
        <v>0</v>
      </c>
      <c r="G195" s="1187" t="str">
        <f t="shared" si="35"/>
        <v>2021-Summer Daily Discharge-8</v>
      </c>
      <c r="H195" s="541"/>
      <c r="I195" s="1188">
        <v>2025</v>
      </c>
      <c r="J195" s="1189">
        <f t="shared" si="36"/>
        <v>5.9145644975299963E-2</v>
      </c>
      <c r="K195" s="1190">
        <v>5.0631844994687099E-2</v>
      </c>
      <c r="L195" s="1191">
        <v>0</v>
      </c>
      <c r="M195" s="1191">
        <v>0</v>
      </c>
      <c r="N195" s="1192">
        <f>INDEX(AESC!$H$184:$H$216,MATCH(I195,AESC!$B$184:$B$216,0))</f>
        <v>4.1326410935536026E-3</v>
      </c>
    </row>
    <row r="196" spans="1:14" s="541" customFormat="1">
      <c r="A196" s="1182">
        <f t="shared" si="38"/>
        <v>9</v>
      </c>
      <c r="B196" s="1183">
        <f t="shared" si="37"/>
        <v>2029</v>
      </c>
      <c r="C196" s="1184">
        <f t="shared" si="33"/>
        <v>6.2269646879030513E-2</v>
      </c>
      <c r="D196" s="1185">
        <f t="shared" si="34"/>
        <v>0</v>
      </c>
      <c r="E196" s="1186">
        <f>NPV(realdiscrt1,C$188:C196)/(1+realdiscrt1)^-Half_Year</f>
        <v>0.51292582433852441</v>
      </c>
      <c r="F196" s="1186">
        <f>NPV(realdiscrt1,D$188:D196)/(1+realdiscrt1)^-Half_Year</f>
        <v>0</v>
      </c>
      <c r="G196" s="1187" t="str">
        <f t="shared" si="35"/>
        <v>2021-Summer Daily Discharge-9</v>
      </c>
      <c r="H196" s="1186"/>
      <c r="I196" s="1188">
        <v>2026</v>
      </c>
      <c r="J196" s="1189">
        <f t="shared" si="36"/>
        <v>6.2011910542755913E-2</v>
      </c>
      <c r="K196" s="1190">
        <v>5.4005524987865781E-2</v>
      </c>
      <c r="L196" s="1191">
        <v>0</v>
      </c>
      <c r="M196" s="1191">
        <v>0</v>
      </c>
      <c r="N196" s="1192">
        <f>INDEX(AESC!$H$184:$H$216,MATCH(I196,AESC!$B$184:$B$216,0))</f>
        <v>3.4129106998711735E-3</v>
      </c>
    </row>
    <row r="197" spans="1:14" s="541" customFormat="1">
      <c r="A197" s="1182">
        <f t="shared" si="38"/>
        <v>10</v>
      </c>
      <c r="B197" s="1183">
        <f t="shared" si="37"/>
        <v>2030</v>
      </c>
      <c r="C197" s="1184">
        <f t="shared" si="33"/>
        <v>7.6170425382617396E-2</v>
      </c>
      <c r="D197" s="1185">
        <f t="shared" si="34"/>
        <v>0</v>
      </c>
      <c r="E197" s="1186">
        <f>NPV(realdiscrt1,C$188:C197)/(1+realdiscrt1)^-Half_Year</f>
        <v>0.57958193412630654</v>
      </c>
      <c r="F197" s="1186">
        <f>NPV(realdiscrt1,D$188:D197)/(1+realdiscrt1)^-Half_Year</f>
        <v>0</v>
      </c>
      <c r="G197" s="1187" t="str">
        <f t="shared" si="35"/>
        <v>2021-Summer Daily Discharge-10</v>
      </c>
      <c r="I197" s="1188">
        <v>2027</v>
      </c>
      <c r="J197" s="1189">
        <f t="shared" si="36"/>
        <v>5.9882952123751922E-2</v>
      </c>
      <c r="K197" s="1190">
        <v>5.2744793856702971E-2</v>
      </c>
      <c r="L197" s="1191">
        <v>0</v>
      </c>
      <c r="M197" s="1191">
        <v>0</v>
      </c>
      <c r="N197" s="1192">
        <f>INDEX(AESC!$H$184:$H$216,MATCH(I197,AESC!$B$184:$B$216,0))</f>
        <v>2.7023840356599142E-3</v>
      </c>
    </row>
    <row r="198" spans="1:14" s="541" customFormat="1">
      <c r="A198" s="1182">
        <f t="shared" si="38"/>
        <v>11</v>
      </c>
      <c r="B198" s="1183">
        <f t="shared" si="37"/>
        <v>2031</v>
      </c>
      <c r="C198" s="1184">
        <f t="shared" si="33"/>
        <v>6.2732697224264042E-2</v>
      </c>
      <c r="D198" s="1185">
        <f t="shared" si="34"/>
        <v>0</v>
      </c>
      <c r="E198" s="1186">
        <f>NPV(realdiscrt1,C$188:C198)/(1+realdiscrt1)^-Half_Year</f>
        <v>0.63371316722997717</v>
      </c>
      <c r="F198" s="1186">
        <f>NPV(realdiscrt1,D$188:D198)/(1+realdiscrt1)^-Half_Year</f>
        <v>0</v>
      </c>
      <c r="G198" s="1187" t="str">
        <f t="shared" si="35"/>
        <v>2021-Summer Daily Discharge-11</v>
      </c>
      <c r="H198" s="1161"/>
      <c r="I198" s="1188">
        <v>2028</v>
      </c>
      <c r="J198" s="1189">
        <f t="shared" si="36"/>
        <v>5.4882384922983092E-2</v>
      </c>
      <c r="K198" s="1190">
        <v>4.8410748636550212E-2</v>
      </c>
      <c r="L198" s="1191">
        <v>0</v>
      </c>
      <c r="M198" s="1191">
        <v>0</v>
      </c>
      <c r="N198" s="1192">
        <f>INDEX(AESC!$H$184:$H$216,MATCH(I198,AESC!$B$184:$B$216,0))</f>
        <v>2.4062744402859834E-3</v>
      </c>
    </row>
    <row r="199" spans="1:14" s="541" customFormat="1">
      <c r="A199" s="1182">
        <f t="shared" si="38"/>
        <v>12</v>
      </c>
      <c r="B199" s="1183">
        <f t="shared" si="37"/>
        <v>2032</v>
      </c>
      <c r="C199" s="1184">
        <f t="shared" si="33"/>
        <v>6.4319522945071275E-2</v>
      </c>
      <c r="D199" s="1185">
        <f t="shared" si="34"/>
        <v>0</v>
      </c>
      <c r="E199" s="1186">
        <f>NPV(realdiscrt1,C$188:C199)/(1+realdiscrt1)^-Half_Year</f>
        <v>0.68843960138481941</v>
      </c>
      <c r="F199" s="1186">
        <f>NPV(realdiscrt1,D$188:D199)/(1+realdiscrt1)^-Half_Year</f>
        <v>0</v>
      </c>
      <c r="G199" s="1187" t="str">
        <f t="shared" si="35"/>
        <v>2021-Summer Daily Discharge-12</v>
      </c>
      <c r="I199" s="1188">
        <v>2029</v>
      </c>
      <c r="J199" s="1189">
        <f t="shared" si="36"/>
        <v>5.9007211347833717E-2</v>
      </c>
      <c r="K199" s="1190">
        <v>5.2355108394119054E-2</v>
      </c>
      <c r="L199" s="1191">
        <v>0</v>
      </c>
      <c r="M199" s="1191">
        <v>0</v>
      </c>
      <c r="N199" s="1192">
        <f>INDEX(AESC!$H$184:$H$216,MATCH(I199,AESC!$B$184:$B$216,0))</f>
        <v>2.2811984094306798E-3</v>
      </c>
    </row>
    <row r="200" spans="1:14" s="541" customFormat="1">
      <c r="A200" s="1182">
        <f t="shared" si="38"/>
        <v>13</v>
      </c>
      <c r="B200" s="1183">
        <f t="shared" si="37"/>
        <v>2033</v>
      </c>
      <c r="C200" s="1184">
        <f t="shared" si="33"/>
        <v>5.7959633031114795E-2</v>
      </c>
      <c r="D200" s="1185">
        <f t="shared" si="34"/>
        <v>0</v>
      </c>
      <c r="E200" s="1186">
        <f>NPV(realdiscrt1,C$188:C200)/(1+realdiscrt1)^-Half_Year</f>
        <v>0.73706692207085545</v>
      </c>
      <c r="F200" s="1186">
        <f>NPV(realdiscrt1,D$188:D200)/(1+realdiscrt1)^-Half_Year</f>
        <v>0</v>
      </c>
      <c r="G200" s="1187" t="str">
        <f t="shared" si="35"/>
        <v>2021-Summer Daily Discharge-13</v>
      </c>
      <c r="I200" s="1188">
        <v>2030</v>
      </c>
      <c r="J200" s="1189">
        <f t="shared" si="36"/>
        <v>7.2179699328278571E-2</v>
      </c>
      <c r="K200" s="1190">
        <v>6.4546236752508382E-2</v>
      </c>
      <c r="L200" s="1191">
        <v>0</v>
      </c>
      <c r="M200" s="1191">
        <v>0</v>
      </c>
      <c r="N200" s="1192">
        <f>INDEX(AESC!$H$184:$H$216,MATCH(I200,AESC!$B$184:$B$216,0))</f>
        <v>2.2868181810828765E-3</v>
      </c>
    </row>
    <row r="201" spans="1:14" s="541" customFormat="1">
      <c r="A201" s="1182">
        <f t="shared" si="38"/>
        <v>14</v>
      </c>
      <c r="B201" s="1183">
        <f t="shared" si="37"/>
        <v>2034</v>
      </c>
      <c r="C201" s="1184">
        <f t="shared" si="33"/>
        <v>5.8641377640148137E-2</v>
      </c>
      <c r="D201" s="1185">
        <f t="shared" si="34"/>
        <v>0</v>
      </c>
      <c r="E201" s="1186">
        <f>NPV(realdiscrt1,C$188:C201)/(1+realdiscrt1)^-Half_Year</f>
        <v>0.78558004759705924</v>
      </c>
      <c r="F201" s="1186">
        <f>NPV(realdiscrt1,D$188:D201)/(1+realdiscrt1)^-Half_Year</f>
        <v>0</v>
      </c>
      <c r="G201" s="1187" t="str">
        <f t="shared" si="35"/>
        <v>2021-Summer Daily Discharge-14</v>
      </c>
      <c r="I201" s="1188">
        <v>2031</v>
      </c>
      <c r="J201" s="1189">
        <f t="shared" si="36"/>
        <v>5.944600152820783E-2</v>
      </c>
      <c r="K201" s="1190">
        <v>5.2703741881098588E-2</v>
      </c>
      <c r="L201" s="1191">
        <v>0</v>
      </c>
      <c r="M201" s="1191">
        <v>0</v>
      </c>
      <c r="N201" s="1192">
        <f>INDEX(AESC!$H$184:$H$216,MATCH(I201,AESC!$B$184:$B$216,0))</f>
        <v>2.3388521265012515E-3</v>
      </c>
    </row>
    <row r="202" spans="1:14" s="541" customFormat="1">
      <c r="A202" s="1182">
        <f t="shared" si="38"/>
        <v>15</v>
      </c>
      <c r="B202" s="1183">
        <f t="shared" si="37"/>
        <v>2035</v>
      </c>
      <c r="C202" s="1184">
        <f t="shared" si="33"/>
        <v>7.5835656479441627E-2</v>
      </c>
      <c r="D202" s="1185">
        <f t="shared" si="34"/>
        <v>0</v>
      </c>
      <c r="E202" s="1186">
        <f>NPV(realdiscrt1,C$188:C202)/(1+realdiscrt1)^-Half_Year</f>
        <v>0.84744275442847772</v>
      </c>
      <c r="F202" s="1186">
        <f>NPV(realdiscrt1,D$188:D202)/(1+realdiscrt1)^-Half_Year</f>
        <v>0</v>
      </c>
      <c r="G202" s="1187" t="str">
        <f t="shared" si="35"/>
        <v>2021-Summer Daily Discharge-15</v>
      </c>
      <c r="I202" s="1188">
        <v>2032</v>
      </c>
      <c r="J202" s="1189">
        <f t="shared" si="36"/>
        <v>6.0949690169027522E-2</v>
      </c>
      <c r="K202" s="1190">
        <v>5.3642627761443455E-2</v>
      </c>
      <c r="L202" s="1191">
        <v>0</v>
      </c>
      <c r="M202" s="1191">
        <v>0</v>
      </c>
      <c r="N202" s="1192">
        <f>INDEX(AESC!$H$184:$H$216,MATCH(I202,AESC!$B$184:$B$216,0))</f>
        <v>2.7922705432116535E-3</v>
      </c>
    </row>
    <row r="203" spans="1:14" s="541" customFormat="1">
      <c r="A203" s="1182">
        <f t="shared" si="38"/>
        <v>16</v>
      </c>
      <c r="B203" s="1183">
        <f t="shared" si="37"/>
        <v>2036</v>
      </c>
      <c r="C203" s="1184">
        <f t="shared" si="33"/>
        <v>7.9524366707607264E-2</v>
      </c>
      <c r="D203" s="1185">
        <f t="shared" si="34"/>
        <v>0</v>
      </c>
      <c r="E203" s="1186">
        <f>NPV(realdiscrt1,C$188:C203)/(1+realdiscrt1)^-Half_Year</f>
        <v>0.91140976642834937</v>
      </c>
      <c r="F203" s="1186">
        <f>NPV(realdiscrt1,D$188:D203)/(1+realdiscrt1)^-Half_Year</f>
        <v>0</v>
      </c>
      <c r="G203" s="1187" t="str">
        <f t="shared" si="35"/>
        <v>2021-Summer Daily Discharge-16</v>
      </c>
      <c r="I203" s="1188">
        <v>2033</v>
      </c>
      <c r="J203" s="1189">
        <f t="shared" si="36"/>
        <v>5.4923008035582456E-2</v>
      </c>
      <c r="K203" s="1190">
        <v>4.7956555673739389E-2</v>
      </c>
      <c r="L203" s="1191">
        <v>0</v>
      </c>
      <c r="M203" s="1191">
        <v>0</v>
      </c>
      <c r="N203" s="1192">
        <f>INDEX(AESC!$H$184:$H$216,MATCH(I203,AESC!$B$184:$B$216,0))</f>
        <v>2.8980813962443596E-3</v>
      </c>
    </row>
    <row r="204" spans="1:14" s="541" customFormat="1">
      <c r="A204" s="1182">
        <f t="shared" si="38"/>
        <v>17</v>
      </c>
      <c r="B204" s="1183">
        <f t="shared" si="37"/>
        <v>2037</v>
      </c>
      <c r="C204" s="1184">
        <f t="shared" si="33"/>
        <v>8.3395066049989836E-2</v>
      </c>
      <c r="D204" s="1185">
        <f t="shared" si="34"/>
        <v>0</v>
      </c>
      <c r="E204" s="1186">
        <f>NPV(realdiscrt1,C$188:C204)/(1+realdiscrt1)^-Half_Year</f>
        <v>0.97755469920618865</v>
      </c>
      <c r="F204" s="1186">
        <f>NPV(realdiscrt1,D$188:D204)/(1+realdiscrt1)^-Half_Year</f>
        <v>0</v>
      </c>
      <c r="G204" s="1187" t="str">
        <f t="shared" si="35"/>
        <v>2021-Summer Daily Discharge-17</v>
      </c>
      <c r="I204" s="1188">
        <v>2034</v>
      </c>
      <c r="J204" s="1189">
        <f t="shared" si="36"/>
        <v>5.5569034635165174E-2</v>
      </c>
      <c r="K204" s="1190">
        <v>4.8444907980675196E-2</v>
      </c>
      <c r="L204" s="1191">
        <v>0</v>
      </c>
      <c r="M204" s="1191">
        <v>0</v>
      </c>
      <c r="N204" s="1192">
        <f>INDEX(AESC!$H$184:$H$216,MATCH(I204,AESC!$B$184:$B$216,0))</f>
        <v>3.0079018666999643E-3</v>
      </c>
    </row>
    <row r="205" spans="1:14" s="541" customFormat="1">
      <c r="A205" s="1182">
        <f t="shared" si="38"/>
        <v>18</v>
      </c>
      <c r="B205" s="1183">
        <f t="shared" si="37"/>
        <v>2038</v>
      </c>
      <c r="C205" s="1184">
        <f t="shared" si="33"/>
        <v>8.7456920350697173E-2</v>
      </c>
      <c r="D205" s="1185">
        <f t="shared" si="34"/>
        <v>0</v>
      </c>
      <c r="E205" s="1186">
        <f>NPV(realdiscrt1,C$188:C205)/(1+realdiscrt1)^-Half_Year</f>
        <v>1.0459538610385215</v>
      </c>
      <c r="F205" s="1186">
        <f>NPV(realdiscrt1,D$188:D205)/(1+realdiscrt1)^-Half_Year</f>
        <v>0</v>
      </c>
      <c r="G205" s="1187" t="str">
        <f t="shared" si="35"/>
        <v>2021-Summer Daily Discharge-18</v>
      </c>
      <c r="I205" s="1188">
        <v>2035</v>
      </c>
      <c r="J205" s="1189">
        <f t="shared" si="36"/>
        <v>7.1862469660014194E-2</v>
      </c>
      <c r="K205" s="1190">
        <v>6.3417439863457117E-2</v>
      </c>
      <c r="L205" s="1191">
        <v>0</v>
      </c>
      <c r="M205" s="1191">
        <v>0</v>
      </c>
      <c r="N205" s="1192">
        <f>INDEX(AESC!$H$184:$H$216,MATCH(I205,AESC!$B$184:$B$216,0))</f>
        <v>3.1218838958152807E-3</v>
      </c>
    </row>
    <row r="206" spans="1:14" s="541" customFormat="1">
      <c r="A206" s="1182">
        <f t="shared" si="38"/>
        <v>19</v>
      </c>
      <c r="B206" s="1183">
        <f t="shared" si="37"/>
        <v>2039</v>
      </c>
      <c r="C206" s="1184">
        <f t="shared" si="33"/>
        <v>9.1719570531624467E-2</v>
      </c>
      <c r="D206" s="1185">
        <f t="shared" si="34"/>
        <v>0</v>
      </c>
      <c r="E206" s="1186">
        <f>NPV(realdiscrt1,C$188:C206)/(1+realdiscrt1)^-Half_Year</f>
        <v>1.1166863579356126</v>
      </c>
      <c r="F206" s="1186">
        <f>NPV(realdiscrt1,D$188:D206)/(1+realdiscrt1)^-Half_Year</f>
        <v>0</v>
      </c>
      <c r="G206" s="1187" t="str">
        <f t="shared" si="35"/>
        <v>2021-Summer Daily Discharge-19</v>
      </c>
      <c r="I206" s="1188">
        <v>2036</v>
      </c>
      <c r="J206" s="1189">
        <f t="shared" si="36"/>
        <v>7.5357920733586659E-2</v>
      </c>
      <c r="K206" s="1190">
        <v>6.6420252087268261E-2</v>
      </c>
      <c r="L206" s="1191">
        <v>0</v>
      </c>
      <c r="M206" s="1191">
        <v>0</v>
      </c>
      <c r="N206" s="1192">
        <f>INDEX(AESC!$H$184:$H$216,MATCH(I206,AESC!$B$184:$B$216,0))</f>
        <v>3.3556004438304809E-3</v>
      </c>
    </row>
    <row r="207" spans="1:14" s="541" customFormat="1">
      <c r="A207" s="1182">
        <f t="shared" si="38"/>
        <v>20</v>
      </c>
      <c r="B207" s="1183">
        <f t="shared" si="37"/>
        <v>2040</v>
      </c>
      <c r="C207" s="1184">
        <f t="shared" si="33"/>
        <v>9.619315816244102E-2</v>
      </c>
      <c r="D207" s="1185">
        <f t="shared" si="34"/>
        <v>0</v>
      </c>
      <c r="E207" s="1186">
        <f>NPV(realdiscrt1,C$188:C207)/(1+realdiscrt1)^-Half_Year</f>
        <v>1.1898342031602971</v>
      </c>
      <c r="F207" s="1186">
        <f>NPV(realdiscrt1,D$188:D207)/(1+realdiscrt1)^-Half_Year</f>
        <v>0</v>
      </c>
      <c r="G207" s="1187" t="str">
        <f t="shared" si="35"/>
        <v>2021-Summer Daily Discharge-20</v>
      </c>
      <c r="I207" s="1188">
        <v>2037</v>
      </c>
      <c r="J207" s="1189">
        <f t="shared" si="36"/>
        <v>7.902582613545274E-2</v>
      </c>
      <c r="K207" s="1190">
        <v>6.9565247301608249E-2</v>
      </c>
      <c r="L207" s="1191">
        <v>0</v>
      </c>
      <c r="M207" s="1191">
        <v>0</v>
      </c>
      <c r="N207" s="1192">
        <f>INDEX(AESC!$H$184:$H$216,MATCH(I207,AESC!$B$184:$B$216,0))</f>
        <v>3.6068139349220594E-3</v>
      </c>
    </row>
    <row r="208" spans="1:14" s="541" customFormat="1">
      <c r="A208" s="1182">
        <f t="shared" si="38"/>
        <v>21</v>
      </c>
      <c r="B208" s="1183">
        <f t="shared" si="37"/>
        <v>2041</v>
      </c>
      <c r="C208" s="1184">
        <f t="shared" si="33"/>
        <v>0.10088835247152718</v>
      </c>
      <c r="D208" s="1185">
        <f t="shared" si="34"/>
        <v>0</v>
      </c>
      <c r="E208" s="1186">
        <f>NPV(realdiscrt1,C$188:C208)/(1+realdiscrt1)^-Half_Year</f>
        <v>1.2654824314052886</v>
      </c>
      <c r="F208" s="1186">
        <f>NPV(realdiscrt1,D$188:D208)/(1+realdiscrt1)^-Half_Year</f>
        <v>0</v>
      </c>
      <c r="G208" s="1187" t="str">
        <f t="shared" si="35"/>
        <v>2021-Summer Daily Discharge-21</v>
      </c>
      <c r="I208" s="1188">
        <v>2038</v>
      </c>
      <c r="J208" s="1189">
        <f t="shared" si="36"/>
        <v>8.2874871492198743E-2</v>
      </c>
      <c r="K208" s="1190">
        <v>7.2859157863111118E-2</v>
      </c>
      <c r="L208" s="1191">
        <v>0</v>
      </c>
      <c r="M208" s="1191">
        <v>0</v>
      </c>
      <c r="N208" s="1192">
        <f>INDEX(AESC!$H$184:$H$216,MATCH(I208,AESC!$B$184:$B$216,0))</f>
        <v>3.8768342592951292E-3</v>
      </c>
    </row>
    <row r="209" spans="1:14" s="541" customFormat="1">
      <c r="A209" s="1182">
        <f t="shared" si="38"/>
        <v>22</v>
      </c>
      <c r="B209" s="1183">
        <f t="shared" si="37"/>
        <v>2042</v>
      </c>
      <c r="C209" s="1184">
        <f t="shared" si="33"/>
        <v>0.10581637888332487</v>
      </c>
      <c r="D209" s="1185">
        <f t="shared" si="34"/>
        <v>0</v>
      </c>
      <c r="E209" s="1186">
        <f>NPV(realdiscrt1,C$188:C209)/(1+realdiscrt1)^-Half_Year</f>
        <v>1.3437192178456965</v>
      </c>
      <c r="F209" s="1186">
        <f>NPV(realdiscrt1,D$188:D209)/(1+realdiscrt1)^-Half_Year</f>
        <v>0</v>
      </c>
      <c r="G209" s="1187" t="str">
        <f t="shared" si="35"/>
        <v>2021-Summer Daily Discharge-22</v>
      </c>
      <c r="I209" s="1188">
        <v>2039</v>
      </c>
      <c r="J209" s="1189">
        <f t="shared" si="36"/>
        <v>8.6914192617890892E-2</v>
      </c>
      <c r="K209" s="1190">
        <v>7.6309034905120254E-2</v>
      </c>
      <c r="L209" s="1191">
        <v>0</v>
      </c>
      <c r="M209" s="1191">
        <v>0</v>
      </c>
      <c r="N209" s="1192">
        <f>INDEX(AESC!$H$184:$H$216,MATCH(I209,AESC!$B$184:$B$216,0))</f>
        <v>4.1670693707046456E-3</v>
      </c>
    </row>
    <row r="210" spans="1:14" s="541" customFormat="1">
      <c r="A210" s="1182">
        <f t="shared" si="38"/>
        <v>23</v>
      </c>
      <c r="B210" s="1183">
        <f t="shared" si="37"/>
        <v>2043</v>
      </c>
      <c r="C210" s="1184">
        <f t="shared" si="33"/>
        <v>0.11098904917290217</v>
      </c>
      <c r="D210" s="1185">
        <f t="shared" si="34"/>
        <v>0</v>
      </c>
      <c r="E210" s="1186">
        <f>NPV(realdiscrt1,C$188:C210)/(1+realdiscrt1)^-Half_Year</f>
        <v>1.4246360022944531</v>
      </c>
      <c r="F210" s="1186">
        <f>NPV(realdiscrt1,D$188:D210)/(1+realdiscrt1)^-Half_Year</f>
        <v>0</v>
      </c>
      <c r="G210" s="1187" t="str">
        <f t="shared" si="35"/>
        <v>2021-Summer Daily Discharge-23</v>
      </c>
      <c r="I210" s="1188">
        <v>2040</v>
      </c>
      <c r="J210" s="1189">
        <f t="shared" si="36"/>
        <v>9.1153399744397678E-2</v>
      </c>
      <c r="K210" s="1190">
        <v>7.9922263431747742E-2</v>
      </c>
      <c r="L210" s="1191">
        <v>0</v>
      </c>
      <c r="M210" s="1191">
        <v>0</v>
      </c>
      <c r="N210" s="1192">
        <f>INDEX(AESC!$H$184:$H$216,MATCH(I210,AESC!$B$184:$B$216,0))</f>
        <v>4.4790326278797256E-3</v>
      </c>
    </row>
    <row r="211" spans="1:14" s="541" customFormat="1">
      <c r="A211" s="1182">
        <f t="shared" si="38"/>
        <v>24</v>
      </c>
      <c r="B211" s="1183">
        <f t="shared" si="37"/>
        <v>2044</v>
      </c>
      <c r="C211" s="1184">
        <f t="shared" si="33"/>
        <v>0.11641879333421866</v>
      </c>
      <c r="D211" s="1185">
        <f t="shared" si="34"/>
        <v>0</v>
      </c>
      <c r="E211" s="1186">
        <f>NPV(realdiscrt1,C$188:C211)/(1+realdiscrt1)^-Half_Year</f>
        <v>1.5083276186998589</v>
      </c>
      <c r="F211" s="1186">
        <f>NPV(realdiscrt1,D$188:D211)/(1+realdiscrt1)^-Half_Year</f>
        <v>0</v>
      </c>
      <c r="G211" s="1187" t="str">
        <f t="shared" si="35"/>
        <v>2021-Summer Daily Discharge-24</v>
      </c>
      <c r="I211" s="1188">
        <v>2041</v>
      </c>
      <c r="J211" s="1189">
        <f t="shared" si="36"/>
        <v>9.5602603117167895E-2</v>
      </c>
      <c r="K211" s="1190">
        <v>8.3706578126636524E-2</v>
      </c>
      <c r="L211" s="1191">
        <v>0</v>
      </c>
      <c r="M211" s="1191">
        <v>0</v>
      </c>
      <c r="N211" s="1192">
        <f>INDEX(AESC!$H$184:$H$216,MATCH(I211,AESC!$B$184:$B$216,0))</f>
        <v>4.8143506855559621E-3</v>
      </c>
    </row>
    <row r="212" spans="1:14" s="541" customFormat="1">
      <c r="A212" s="1182">
        <f t="shared" si="38"/>
        <v>25</v>
      </c>
      <c r="B212" s="1183">
        <f t="shared" si="37"/>
        <v>2045</v>
      </c>
      <c r="C212" s="1184">
        <f t="shared" si="33"/>
        <v>0.12211869326463769</v>
      </c>
      <c r="D212" s="1185">
        <f t="shared" si="34"/>
        <v>0</v>
      </c>
      <c r="E212" s="1186">
        <f>NPV(realdiscrt1,C$188:C212)/(1+realdiscrt1)^-Half_Year</f>
        <v>1.5948924302366216</v>
      </c>
      <c r="F212" s="1186">
        <f>NPV(realdiscrt1,D$188:D212)/(1+realdiscrt1)^-Half_Year</f>
        <v>0</v>
      </c>
      <c r="G212" s="1187" t="str">
        <f t="shared" si="35"/>
        <v>2021-Summer Daily Discharge-25</v>
      </c>
      <c r="I212" s="1188">
        <v>2042</v>
      </c>
      <c r="J212" s="1189">
        <f t="shared" si="36"/>
        <v>0.10027244003745044</v>
      </c>
      <c r="K212" s="1190">
        <v>8.7670079910266624E-2</v>
      </c>
      <c r="L212" s="1191">
        <v>0</v>
      </c>
      <c r="M212" s="1191">
        <v>0</v>
      </c>
      <c r="N212" s="1192">
        <f>INDEX(AESC!$H$184:$H$216,MATCH(I212,AESC!$B$184:$B$216,0))</f>
        <v>5.1747719762615567E-3</v>
      </c>
    </row>
    <row r="213" spans="1:14" s="541" customFormat="1">
      <c r="A213" s="1182">
        <f t="shared" si="38"/>
        <v>26</v>
      </c>
      <c r="B213" s="1183">
        <f t="shared" si="37"/>
        <v>2046</v>
      </c>
      <c r="C213" s="1184">
        <f t="shared" si="33"/>
        <v>0.12810251837468942</v>
      </c>
      <c r="D213" s="1185">
        <f t="shared" si="34"/>
        <v>0</v>
      </c>
      <c r="E213" s="1186">
        <f>NPV(realdiscrt1,C$188:C213)/(1+realdiscrt1)^-Half_Year</f>
        <v>1.6844324702545619</v>
      </c>
      <c r="F213" s="1186">
        <f>NPV(realdiscrt1,D$188:D213)/(1+realdiscrt1)^-Half_Year</f>
        <v>0</v>
      </c>
      <c r="G213" s="1187" t="str">
        <f t="shared" si="35"/>
        <v>2021-Summer Daily Discharge-26</v>
      </c>
      <c r="I213" s="1188">
        <v>2043</v>
      </c>
      <c r="J213" s="1189">
        <f t="shared" si="36"/>
        <v>0.10517410343699884</v>
      </c>
      <c r="K213" s="1190">
        <v>9.1821253281248821E-2</v>
      </c>
      <c r="L213" s="1191">
        <v>0</v>
      </c>
      <c r="M213" s="1191">
        <v>0</v>
      </c>
      <c r="N213" s="1192">
        <f>INDEX(AESC!$H$184:$H$216,MATCH(I213,AESC!$B$184:$B$216,0))</f>
        <v>5.5621758270834355E-3</v>
      </c>
    </row>
    <row r="214" spans="1:14" s="541" customFormat="1">
      <c r="A214" s="1182">
        <f t="shared" si="38"/>
        <v>27</v>
      </c>
      <c r="B214" s="1183">
        <f t="shared" si="37"/>
        <v>2047</v>
      </c>
      <c r="C214" s="1184">
        <f t="shared" si="33"/>
        <v>0.13438476323897167</v>
      </c>
      <c r="D214" s="1185">
        <f t="shared" si="34"/>
        <v>0</v>
      </c>
      <c r="E214" s="1186">
        <f>NPV(realdiscrt1,C$188:C214)/(1+realdiscrt1)^-Half_Year</f>
        <v>1.7770535893626702</v>
      </c>
      <c r="F214" s="1186">
        <f>NPV(realdiscrt1,D$188:D214)/(1+realdiscrt1)^-Half_Year</f>
        <v>0</v>
      </c>
      <c r="G214" s="1187" t="str">
        <f t="shared" si="35"/>
        <v>2021-Summer Daily Discharge-27</v>
      </c>
      <c r="I214" s="1188">
        <v>2044</v>
      </c>
      <c r="J214" s="1189">
        <f t="shared" si="36"/>
        <v>0.11031937207669242</v>
      </c>
      <c r="K214" s="1190">
        <v>9.6168984478727695E-2</v>
      </c>
      <c r="L214" s="1191">
        <v>0</v>
      </c>
      <c r="M214" s="1191">
        <v>0</v>
      </c>
      <c r="N214" s="1192">
        <f>INDEX(AESC!$H$184:$H$216,MATCH(I214,AESC!$B$184:$B$216,0))</f>
        <v>5.9785822589504493E-3</v>
      </c>
    </row>
    <row r="215" spans="1:14" s="541" customFormat="1" ht="20.25">
      <c r="A215" s="1140">
        <f>Year2</f>
        <v>2022</v>
      </c>
      <c r="B215" s="1141" t="str">
        <f>Year2&amp;"$"</f>
        <v>2022$</v>
      </c>
      <c r="C215" s="1216"/>
      <c r="D215" s="1217"/>
      <c r="E215" s="1216"/>
      <c r="F215" s="1218"/>
      <c r="G215" s="1217"/>
      <c r="I215" s="1188">
        <v>2045</v>
      </c>
      <c r="J215" s="1189">
        <f t="shared" si="36"/>
        <v>0.11572064246624718</v>
      </c>
      <c r="K215" s="1190">
        <v>0.10072258050477335</v>
      </c>
      <c r="L215" s="1191">
        <v>0</v>
      </c>
      <c r="M215" s="1191">
        <v>0</v>
      </c>
      <c r="N215" s="1192">
        <f>INDEX(AESC!$H$184:$H$216,MATCH(I215,AESC!$B$184:$B$216,0))</f>
        <v>6.4261625195295869E-3</v>
      </c>
    </row>
    <row r="216" spans="1:14" s="541" customFormat="1">
      <c r="A216" s="1182">
        <v>1</v>
      </c>
      <c r="B216" s="1183">
        <f>Year2</f>
        <v>2022</v>
      </c>
      <c r="C216" s="1184">
        <f t="shared" ref="C216:C240" si="39">VLOOKUP($B216,$I$188:$N$220,C$12,FALSE)*(1+Inflation2)^(Year2-Real_Year)</f>
        <v>5.6174299748958705E-2</v>
      </c>
      <c r="D216" s="1185">
        <f t="shared" ref="D216:D240" si="40">VLOOKUP($B216,$I$188:$N$220,IF($A$17=Year1,D$12,D$12+1),FALSE)*(1+Inflation1)^(Year1-Real_Year)</f>
        <v>0</v>
      </c>
      <c r="E216" s="1186">
        <f>NPV(realdiscrt1,C$216:C216)/(1+realdiscrt2)^-Half_Year</f>
        <v>5.5781200393229896E-2</v>
      </c>
      <c r="F216" s="1186">
        <f>NPV(realdiscrt1,D$216:D216)/(1+realdiscrt2)^-Half_Year</f>
        <v>0</v>
      </c>
      <c r="G216" s="1187" t="str">
        <f t="shared" ref="G216:G240" si="41">$A$45&amp;"-"&amp;$A$183&amp;"-"&amp;A216</f>
        <v>2022-Summer Daily Discharge-1</v>
      </c>
      <c r="I216" s="1188">
        <v>2046</v>
      </c>
      <c r="J216" s="1189">
        <f t="shared" si="36"/>
        <v>0.12139096260830985</v>
      </c>
      <c r="K216" s="1190">
        <v>0.10549178904748238</v>
      </c>
      <c r="L216" s="1191">
        <v>0</v>
      </c>
      <c r="M216" s="1191">
        <v>0</v>
      </c>
      <c r="N216" s="1192">
        <f>INDEX(AESC!$H$184:$H$216,MATCH(I216,AESC!$B$184:$B$216,0))</f>
        <v>6.9072504046563642E-3</v>
      </c>
    </row>
    <row r="217" spans="1:14" s="541" customFormat="1">
      <c r="A217" s="1182">
        <v>2</v>
      </c>
      <c r="B217" s="1183">
        <f t="shared" ref="B217:B240" si="42">B216+1</f>
        <v>2023</v>
      </c>
      <c r="C217" s="1184">
        <f t="shared" si="39"/>
        <v>5.1781342166755222E-2</v>
      </c>
      <c r="D217" s="1185">
        <f t="shared" si="40"/>
        <v>0</v>
      </c>
      <c r="E217" s="1186">
        <f>NPV(realdiscrt1,C$216:C217)/(1+realdiscrt2)^-Half_Year</f>
        <v>0.10648305771377466</v>
      </c>
      <c r="F217" s="1186">
        <f>NPV(realdiscrt1,D$216:D217)/(1+realdiscrt2)^-Half_Year</f>
        <v>0</v>
      </c>
      <c r="G217" s="1187" t="str">
        <f t="shared" si="41"/>
        <v>2022-Summer Daily Discharge-2</v>
      </c>
      <c r="I217" s="1188">
        <v>2047</v>
      </c>
      <c r="J217" s="1189">
        <f t="shared" si="36"/>
        <v>0.12734406767675016</v>
      </c>
      <c r="K217" s="1190">
        <v>0.1104868193474365</v>
      </c>
      <c r="L217" s="1191">
        <v>0</v>
      </c>
      <c r="M217" s="1191">
        <v>0</v>
      </c>
      <c r="N217" s="1192">
        <f>INDEX(AESC!$H$184:$H$216,MATCH(I217,AESC!$B$184:$B$216,0))</f>
        <v>7.4243544273321646E-3</v>
      </c>
    </row>
    <row r="218" spans="1:14" s="541" customFormat="1">
      <c r="A218" s="1182">
        <f t="shared" ref="A218:A240" si="43">A217+1</f>
        <v>3</v>
      </c>
      <c r="B218" s="1183">
        <f t="shared" si="42"/>
        <v>2024</v>
      </c>
      <c r="C218" s="1184">
        <f t="shared" si="39"/>
        <v>6.5961780626285618E-2</v>
      </c>
      <c r="D218" s="1185">
        <f t="shared" si="40"/>
        <v>0</v>
      </c>
      <c r="E218" s="1186">
        <f>NPV(realdiscrt1,C$216:C218)/(1+realdiscrt2)^-Half_Year</f>
        <v>0.17016896109364488</v>
      </c>
      <c r="F218" s="1186">
        <f>NPV(realdiscrt1,D$216:D218)/(1+realdiscrt2)^-Half_Year</f>
        <v>0</v>
      </c>
      <c r="G218" s="1187" t="str">
        <f t="shared" si="41"/>
        <v>2022-Summer Daily Discharge-3</v>
      </c>
      <c r="I218" s="1188">
        <v>2048</v>
      </c>
      <c r="J218" s="1189">
        <f t="shared" si="36"/>
        <v>0.13359441774592187</v>
      </c>
      <c r="K218" s="1190">
        <v>0.1157183640521869</v>
      </c>
      <c r="L218" s="1191">
        <v>0</v>
      </c>
      <c r="M218" s="1191">
        <v>0</v>
      </c>
      <c r="N218" s="1192">
        <f>INDEX(AESC!$H$184:$H$216,MATCH(I218,AESC!$B$184:$B$216,0))</f>
        <v>7.9801708977407463E-3</v>
      </c>
    </row>
    <row r="219" spans="1:14" s="541" customFormat="1">
      <c r="A219" s="1182">
        <f t="shared" si="43"/>
        <v>4</v>
      </c>
      <c r="B219" s="1183">
        <f t="shared" si="42"/>
        <v>2025</v>
      </c>
      <c r="C219" s="1184">
        <f t="shared" si="39"/>
        <v>6.3545459121440009E-2</v>
      </c>
      <c r="D219" s="1185">
        <f t="shared" si="40"/>
        <v>0</v>
      </c>
      <c r="E219" s="1186">
        <f>NPV(realdiscrt1,C$216:C219)/(1+realdiscrt2)^-Half_Year</f>
        <v>0.23066624009974007</v>
      </c>
      <c r="F219" s="1186">
        <f>NPV(realdiscrt1,D$216:D219)/(1+realdiscrt2)^-Half_Year</f>
        <v>0</v>
      </c>
      <c r="G219" s="1187" t="str">
        <f t="shared" si="41"/>
        <v>2022-Summer Daily Discharge-4</v>
      </c>
      <c r="I219" s="1188">
        <v>2049</v>
      </c>
      <c r="J219" s="1189">
        <f t="shared" si="36"/>
        <v>0.14015723769507621</v>
      </c>
      <c r="K219" s="1190">
        <v>0.12119762210554712</v>
      </c>
      <c r="L219" s="1191">
        <v>0</v>
      </c>
      <c r="M219" s="1191">
        <v>0</v>
      </c>
      <c r="N219" s="1192">
        <f>INDEX(AESC!$H$184:$H$216,MATCH(I219,AESC!$B$184:$B$216,0))</f>
        <v>8.5775979824864006E-3</v>
      </c>
    </row>
    <row r="220" spans="1:14" s="541" customFormat="1">
      <c r="A220" s="1182">
        <f t="shared" si="43"/>
        <v>5</v>
      </c>
      <c r="B220" s="1183">
        <f t="shared" si="42"/>
        <v>2026</v>
      </c>
      <c r="C220" s="1184">
        <f t="shared" si="39"/>
        <v>6.6624944712036352E-2</v>
      </c>
      <c r="D220" s="1185">
        <f t="shared" si="40"/>
        <v>0</v>
      </c>
      <c r="E220" s="1186">
        <f>NPV(realdiscrt1,C$216:C220)/(1+realdiscrt2)^-Half_Year</f>
        <v>0.29321065854225209</v>
      </c>
      <c r="F220" s="1186">
        <f>NPV(realdiscrt1,D$216:D220)/(1+realdiscrt2)^-Half_Year</f>
        <v>0</v>
      </c>
      <c r="G220" s="1187" t="str">
        <f t="shared" si="41"/>
        <v>2022-Summer Daily Discharge-5</v>
      </c>
      <c r="I220" s="1193">
        <v>2050</v>
      </c>
      <c r="J220" s="1194">
        <f t="shared" si="36"/>
        <v>0.14704855942001929</v>
      </c>
      <c r="K220" s="1195">
        <v>0.12693632272069272</v>
      </c>
      <c r="L220" s="1207">
        <v>0</v>
      </c>
      <c r="M220" s="1207">
        <v>0</v>
      </c>
      <c r="N220" s="1197">
        <f>INDEX(AESC!$H$184:$H$216,MATCH(I220,AESC!$B$184:$B$216,0))</f>
        <v>9.2197508163621572E-3</v>
      </c>
    </row>
    <row r="221" spans="1:14" s="541" customFormat="1">
      <c r="A221" s="1182">
        <f t="shared" si="43"/>
        <v>6</v>
      </c>
      <c r="B221" s="1183">
        <f t="shared" si="42"/>
        <v>2027</v>
      </c>
      <c r="C221" s="1184">
        <f t="shared" si="39"/>
        <v>6.4337614169904953E-2</v>
      </c>
      <c r="D221" s="1185">
        <f t="shared" si="40"/>
        <v>0</v>
      </c>
      <c r="E221" s="1186">
        <f>NPV(realdiscrt1,C$216:C221)/(1+realdiscrt2)^-Half_Year</f>
        <v>0.35276549358823439</v>
      </c>
      <c r="F221" s="1186">
        <f>NPV(realdiscrt1,D$216:D221)/(1+realdiscrt2)^-Half_Year</f>
        <v>0</v>
      </c>
      <c r="G221" s="1187" t="str">
        <f t="shared" si="41"/>
        <v>2022-Summer Daily Discharge-6</v>
      </c>
    </row>
    <row r="222" spans="1:14" s="541" customFormat="1">
      <c r="A222" s="1182">
        <f t="shared" si="43"/>
        <v>7</v>
      </c>
      <c r="B222" s="1183">
        <f t="shared" si="42"/>
        <v>2028</v>
      </c>
      <c r="C222" s="1184">
        <f t="shared" si="39"/>
        <v>5.8965057343900749E-2</v>
      </c>
      <c r="D222" s="1185">
        <f t="shared" si="40"/>
        <v>0</v>
      </c>
      <c r="E222" s="1186">
        <f>NPV(realdiscrt1,C$216:C222)/(1+realdiscrt2)^-Half_Year</f>
        <v>0.40658592522942694</v>
      </c>
      <c r="F222" s="1186">
        <f>NPV(realdiscrt1,D$216:D222)/(1+realdiscrt2)^-Half_Year</f>
        <v>0</v>
      </c>
      <c r="G222" s="1187" t="str">
        <f t="shared" si="41"/>
        <v>2022-Summer Daily Discharge-7</v>
      </c>
    </row>
    <row r="223" spans="1:14" s="541" customFormat="1">
      <c r="A223" s="1182">
        <f t="shared" si="43"/>
        <v>8</v>
      </c>
      <c r="B223" s="1183">
        <f t="shared" si="42"/>
        <v>2029</v>
      </c>
      <c r="C223" s="1184">
        <f t="shared" si="39"/>
        <v>6.3396727487540966E-2</v>
      </c>
      <c r="D223" s="1185">
        <f t="shared" si="40"/>
        <v>0</v>
      </c>
      <c r="E223" s="1186">
        <f>NPV(realdiscrt1,C$216:C223)/(1+realdiscrt2)^-Half_Year</f>
        <v>0.46364433567377905</v>
      </c>
      <c r="F223" s="1186">
        <f>NPV(realdiscrt1,D$216:D223)/(1+realdiscrt2)^-Half_Year</f>
        <v>0</v>
      </c>
      <c r="G223" s="1187" t="str">
        <f t="shared" si="41"/>
        <v>2022-Summer Daily Discharge-8</v>
      </c>
    </row>
    <row r="224" spans="1:14" s="541" customFormat="1">
      <c r="A224" s="1182">
        <f t="shared" si="43"/>
        <v>9</v>
      </c>
      <c r="B224" s="1183">
        <f t="shared" si="42"/>
        <v>2030</v>
      </c>
      <c r="C224" s="1184">
        <f t="shared" si="39"/>
        <v>7.7549110082042766E-2</v>
      </c>
      <c r="D224" s="1185">
        <f t="shared" si="40"/>
        <v>0</v>
      </c>
      <c r="E224" s="1186">
        <f>NPV(realdiscrt1,C$216:C224)/(1+realdiscrt2)^-Half_Year</f>
        <v>0.53246676902966406</v>
      </c>
      <c r="F224" s="1186">
        <f>NPV(realdiscrt1,D$216:D224)/(1+realdiscrt2)^-Half_Year</f>
        <v>0</v>
      </c>
      <c r="G224" s="1187" t="str">
        <f t="shared" si="41"/>
        <v>2022-Summer Daily Discharge-9</v>
      </c>
    </row>
    <row r="225" spans="1:7" s="541" customFormat="1">
      <c r="A225" s="1182">
        <f t="shared" si="43"/>
        <v>10</v>
      </c>
      <c r="B225" s="1183">
        <f t="shared" si="42"/>
        <v>2031</v>
      </c>
      <c r="C225" s="1184">
        <f t="shared" si="39"/>
        <v>6.3868159044023223E-2</v>
      </c>
      <c r="D225" s="1185">
        <f t="shared" si="40"/>
        <v>0</v>
      </c>
      <c r="E225" s="1186">
        <f>NPV(realdiscrt1,C$216:C225)/(1+realdiscrt2)^-Half_Year</f>
        <v>0.58835726720920378</v>
      </c>
      <c r="F225" s="1186">
        <f>NPV(realdiscrt1,D$216:D225)/(1+realdiscrt2)^-Half_Year</f>
        <v>0</v>
      </c>
      <c r="G225" s="1187" t="str">
        <f t="shared" si="41"/>
        <v>2022-Summer Daily Discharge-10</v>
      </c>
    </row>
    <row r="226" spans="1:7" s="541" customFormat="1">
      <c r="A226" s="1182">
        <f t="shared" si="43"/>
        <v>11</v>
      </c>
      <c r="B226" s="1183">
        <f t="shared" si="42"/>
        <v>2032</v>
      </c>
      <c r="C226" s="1184">
        <f t="shared" si="39"/>
        <v>6.5483706310377074E-2</v>
      </c>
      <c r="D226" s="1185">
        <f t="shared" si="40"/>
        <v>0</v>
      </c>
      <c r="E226" s="1186">
        <f>NPV(realdiscrt1,C$216:C226)/(1+realdiscrt2)^-Half_Year</f>
        <v>0.64486231047407838</v>
      </c>
      <c r="F226" s="1186">
        <f>NPV(realdiscrt1,D$216:D226)/(1+realdiscrt2)^-Half_Year</f>
        <v>0</v>
      </c>
      <c r="G226" s="1187" t="str">
        <f t="shared" si="41"/>
        <v>2022-Summer Daily Discharge-11</v>
      </c>
    </row>
    <row r="227" spans="1:7" s="541" customFormat="1">
      <c r="A227" s="1182">
        <f t="shared" si="43"/>
        <v>12</v>
      </c>
      <c r="B227" s="1183">
        <f t="shared" si="42"/>
        <v>2033</v>
      </c>
      <c r="C227" s="1184">
        <f t="shared" si="39"/>
        <v>5.9008702388977971E-2</v>
      </c>
      <c r="D227" s="1185">
        <f t="shared" si="40"/>
        <v>0</v>
      </c>
      <c r="E227" s="1186">
        <f>NPV(realdiscrt1,C$216:C227)/(1+realdiscrt2)^-Half_Year</f>
        <v>0.69507001908241073</v>
      </c>
      <c r="F227" s="1186">
        <f>NPV(realdiscrt1,D$216:D227)/(1+realdiscrt2)^-Half_Year</f>
        <v>0</v>
      </c>
      <c r="G227" s="1187" t="str">
        <f t="shared" si="41"/>
        <v>2022-Summer Daily Discharge-12</v>
      </c>
    </row>
    <row r="228" spans="1:7" s="541" customFormat="1">
      <c r="A228" s="1182">
        <f t="shared" si="43"/>
        <v>13</v>
      </c>
      <c r="B228" s="1183">
        <f t="shared" si="42"/>
        <v>2034</v>
      </c>
      <c r="C228" s="1184">
        <f t="shared" si="39"/>
        <v>5.9702786575434819E-2</v>
      </c>
      <c r="D228" s="1185">
        <f t="shared" si="40"/>
        <v>0</v>
      </c>
      <c r="E228" s="1186">
        <f>NPV(realdiscrt1,C$216:C228)/(1+realdiscrt2)^-Half_Year</f>
        <v>0.74515982118821611</v>
      </c>
      <c r="F228" s="1186">
        <f>NPV(realdiscrt1,D$216:D228)/(1+realdiscrt2)^-Half_Year</f>
        <v>0</v>
      </c>
      <c r="G228" s="1187" t="str">
        <f t="shared" si="41"/>
        <v>2022-Summer Daily Discharge-13</v>
      </c>
    </row>
    <row r="229" spans="1:7" s="541" customFormat="1">
      <c r="A229" s="1182">
        <f t="shared" si="43"/>
        <v>14</v>
      </c>
      <c r="B229" s="1183">
        <f t="shared" si="42"/>
        <v>2035</v>
      </c>
      <c r="C229" s="1184">
        <f t="shared" si="39"/>
        <v>7.7208281861719519E-2</v>
      </c>
      <c r="D229" s="1185">
        <f t="shared" si="40"/>
        <v>0</v>
      </c>
      <c r="E229" s="1186">
        <f>NPV(realdiscrt1,C$216:C229)/(1+realdiscrt2)^-Half_Year</f>
        <v>0.80903306599165548</v>
      </c>
      <c r="F229" s="1186">
        <f>NPV(realdiscrt1,D$216:D229)/(1+realdiscrt2)^-Half_Year</f>
        <v>0</v>
      </c>
      <c r="G229" s="1187" t="str">
        <f t="shared" si="41"/>
        <v>2022-Summer Daily Discharge-14</v>
      </c>
    </row>
    <row r="230" spans="1:7" s="541" customFormat="1">
      <c r="A230" s="1182">
        <f t="shared" si="43"/>
        <v>15</v>
      </c>
      <c r="B230" s="1183">
        <f t="shared" si="42"/>
        <v>2036</v>
      </c>
      <c r="C230" s="1184">
        <f t="shared" si="39"/>
        <v>8.096375774501495E-2</v>
      </c>
      <c r="D230" s="1185">
        <f t="shared" si="40"/>
        <v>0</v>
      </c>
      <c r="E230" s="1186">
        <f>NPV(realdiscrt1,C$216:C230)/(1+realdiscrt2)^-Half_Year</f>
        <v>0.87507900588152299</v>
      </c>
      <c r="F230" s="1186">
        <f>NPV(realdiscrt1,D$216:D230)/(1+realdiscrt2)^-Half_Year</f>
        <v>0</v>
      </c>
      <c r="G230" s="1187" t="str">
        <f t="shared" si="41"/>
        <v>2022-Summer Daily Discharge-15</v>
      </c>
    </row>
    <row r="231" spans="1:7" s="541" customFormat="1">
      <c r="A231" s="1182">
        <f t="shared" si="43"/>
        <v>16</v>
      </c>
      <c r="B231" s="1183">
        <f t="shared" si="42"/>
        <v>2037</v>
      </c>
      <c r="C231" s="1184">
        <f t="shared" si="39"/>
        <v>8.4904516745494651E-2</v>
      </c>
      <c r="D231" s="1185">
        <f t="shared" si="40"/>
        <v>0</v>
      </c>
      <c r="E231" s="1186">
        <f>NPV(realdiscrt1,C$216:C231)/(1+realdiscrt2)^-Half_Year</f>
        <v>0.94337364897464204</v>
      </c>
      <c r="F231" s="1186">
        <f>NPV(realdiscrt1,D$216:D231)/(1+realdiscrt2)^-Half_Year</f>
        <v>0</v>
      </c>
      <c r="G231" s="1187" t="str">
        <f t="shared" si="41"/>
        <v>2022-Summer Daily Discharge-16</v>
      </c>
    </row>
    <row r="232" spans="1:7" s="541" customFormat="1">
      <c r="A232" s="1182">
        <f t="shared" si="43"/>
        <v>17</v>
      </c>
      <c r="B232" s="1183">
        <f t="shared" si="42"/>
        <v>2038</v>
      </c>
      <c r="C232" s="1184">
        <f t="shared" si="39"/>
        <v>8.9039890609044797E-2</v>
      </c>
      <c r="D232" s="1185">
        <f t="shared" si="40"/>
        <v>0</v>
      </c>
      <c r="E232" s="1186">
        <f>NPV(realdiscrt1,C$216:C232)/(1+realdiscrt2)^-Half_Year</f>
        <v>1.0139957835665259</v>
      </c>
      <c r="F232" s="1186">
        <f>NPV(realdiscrt1,D$216:D232)/(1+realdiscrt2)^-Half_Year</f>
        <v>0</v>
      </c>
      <c r="G232" s="1187" t="str">
        <f t="shared" si="41"/>
        <v>2022-Summer Daily Discharge-17</v>
      </c>
    </row>
    <row r="233" spans="1:7" s="541" customFormat="1">
      <c r="A233" s="1182">
        <f t="shared" si="43"/>
        <v>18</v>
      </c>
      <c r="B233" s="1183">
        <f t="shared" si="42"/>
        <v>2039</v>
      </c>
      <c r="C233" s="1184">
        <f t="shared" si="39"/>
        <v>9.3379694758246867E-2</v>
      </c>
      <c r="D233" s="1185">
        <f t="shared" si="40"/>
        <v>0</v>
      </c>
      <c r="E233" s="1186">
        <f>NPV(realdiscrt1,C$216:C233)/(1+realdiscrt2)^-Half_Year</f>
        <v>1.0870270866127723</v>
      </c>
      <c r="F233" s="1186">
        <f>NPV(realdiscrt1,D$216:D233)/(1+realdiscrt2)^-Half_Year</f>
        <v>0</v>
      </c>
      <c r="G233" s="1187" t="str">
        <f t="shared" si="41"/>
        <v>2022-Summer Daily Discharge-18</v>
      </c>
    </row>
    <row r="234" spans="1:7" s="541" customFormat="1">
      <c r="A234" s="1182">
        <f t="shared" si="43"/>
        <v>19</v>
      </c>
      <c r="B234" s="1183">
        <f t="shared" si="42"/>
        <v>2040</v>
      </c>
      <c r="C234" s="1184">
        <f t="shared" si="39"/>
        <v>9.7934254325181214E-2</v>
      </c>
      <c r="D234" s="1185">
        <f t="shared" si="40"/>
        <v>0</v>
      </c>
      <c r="E234" s="1186">
        <f>NPV(realdiscrt1,C$216:C234)/(1+realdiscrt2)^-Half_Year</f>
        <v>1.1625522368072594</v>
      </c>
      <c r="F234" s="1186">
        <f>NPV(realdiscrt1,D$216:D234)/(1+realdiscrt2)^-Half_Year</f>
        <v>0</v>
      </c>
      <c r="G234" s="1187" t="str">
        <f t="shared" si="41"/>
        <v>2022-Summer Daily Discharge-19</v>
      </c>
    </row>
    <row r="235" spans="1:7" s="541" customFormat="1">
      <c r="A235" s="1182">
        <f t="shared" si="43"/>
        <v>20</v>
      </c>
      <c r="B235" s="1183">
        <f t="shared" si="42"/>
        <v>2041</v>
      </c>
      <c r="C235" s="1184">
        <f t="shared" si="39"/>
        <v>0.10271443165126182</v>
      </c>
      <c r="D235" s="1185">
        <f t="shared" si="40"/>
        <v>0</v>
      </c>
      <c r="E235" s="1186">
        <f>NPV(realdiscrt1,C$216:C235)/(1+realdiscrt2)^-Half_Year</f>
        <v>1.2406590324702129</v>
      </c>
      <c r="F235" s="1186">
        <f>NPV(realdiscrt1,D$216:D235)/(1+realdiscrt2)^-Half_Year</f>
        <v>0</v>
      </c>
      <c r="G235" s="1187" t="str">
        <f t="shared" si="41"/>
        <v>2022-Summer Daily Discharge-20</v>
      </c>
    </row>
    <row r="236" spans="1:7" s="541" customFormat="1">
      <c r="A236" s="1182">
        <f t="shared" si="43"/>
        <v>21</v>
      </c>
      <c r="B236" s="1183">
        <f t="shared" si="42"/>
        <v>2042</v>
      </c>
      <c r="C236" s="1184">
        <f t="shared" si="39"/>
        <v>0.10773165534111305</v>
      </c>
      <c r="D236" s="1185">
        <f t="shared" si="40"/>
        <v>0</v>
      </c>
      <c r="E236" s="1186">
        <f>NPV(realdiscrt1,C$216:C236)/(1+realdiscrt2)^-Half_Year</f>
        <v>1.3214385144699343</v>
      </c>
      <c r="F236" s="1186">
        <f>NPV(realdiscrt1,D$216:D236)/(1+realdiscrt2)^-Half_Year</f>
        <v>0</v>
      </c>
      <c r="G236" s="1187" t="str">
        <f t="shared" si="41"/>
        <v>2022-Summer Daily Discharge-21</v>
      </c>
    </row>
    <row r="237" spans="1:7" s="541" customFormat="1">
      <c r="A237" s="1182">
        <f t="shared" si="43"/>
        <v>22</v>
      </c>
      <c r="B237" s="1183">
        <f t="shared" si="42"/>
        <v>2043</v>
      </c>
      <c r="C237" s="1184">
        <f t="shared" si="39"/>
        <v>0.11299795096293169</v>
      </c>
      <c r="D237" s="1185">
        <f t="shared" si="40"/>
        <v>0</v>
      </c>
      <c r="E237" s="1186">
        <f>NPV(realdiscrt1,C$216:C237)/(1+realdiscrt2)^-Half_Year</f>
        <v>1.4049850944132753</v>
      </c>
      <c r="F237" s="1186">
        <f>NPV(realdiscrt1,D$216:D237)/(1+realdiscrt2)^-Half_Year</f>
        <v>0</v>
      </c>
      <c r="G237" s="1187" t="str">
        <f t="shared" si="41"/>
        <v>2022-Summer Daily Discharge-22</v>
      </c>
    </row>
    <row r="238" spans="1:7" s="541" customFormat="1">
      <c r="A238" s="1182">
        <f t="shared" si="43"/>
        <v>23</v>
      </c>
      <c r="B238" s="1183">
        <f t="shared" si="42"/>
        <v>2044</v>
      </c>
      <c r="C238" s="1184">
        <f t="shared" si="39"/>
        <v>0.11852597349356801</v>
      </c>
      <c r="D238" s="1185">
        <f t="shared" si="40"/>
        <v>0</v>
      </c>
      <c r="E238" s="1186">
        <f>NPV(realdiscrt1,C$216:C238)/(1+realdiscrt2)^-Half_Year</f>
        <v>1.491396688351857</v>
      </c>
      <c r="F238" s="1186">
        <f>NPV(realdiscrt1,D$216:D238)/(1+realdiscrt2)^-Half_Year</f>
        <v>0</v>
      </c>
      <c r="G238" s="1187" t="str">
        <f t="shared" si="41"/>
        <v>2022-Summer Daily Discharge-23</v>
      </c>
    </row>
    <row r="239" spans="1:7" s="541" customFormat="1">
      <c r="A239" s="1182">
        <f t="shared" si="43"/>
        <v>24</v>
      </c>
      <c r="B239" s="1183">
        <f t="shared" si="42"/>
        <v>2045</v>
      </c>
      <c r="C239" s="1184">
        <f t="shared" si="39"/>
        <v>0.12432904161272763</v>
      </c>
      <c r="D239" s="1185">
        <f t="shared" si="40"/>
        <v>0</v>
      </c>
      <c r="E239" s="1186">
        <f>NPV(realdiscrt1,C$216:C239)/(1+realdiscrt2)^-Half_Year</f>
        <v>1.5807748562635642</v>
      </c>
      <c r="F239" s="1186">
        <f>NPV(realdiscrt1,D$216:D239)/(1+realdiscrt2)^-Half_Year</f>
        <v>0</v>
      </c>
      <c r="G239" s="1187" t="str">
        <f t="shared" si="41"/>
        <v>2022-Summer Daily Discharge-24</v>
      </c>
    </row>
    <row r="240" spans="1:7" s="541" customFormat="1">
      <c r="A240" s="1182">
        <f t="shared" si="43"/>
        <v>25</v>
      </c>
      <c r="B240" s="1183">
        <f t="shared" si="42"/>
        <v>2046</v>
      </c>
      <c r="C240" s="1184">
        <f t="shared" si="39"/>
        <v>0.13042117395727129</v>
      </c>
      <c r="D240" s="1185">
        <f t="shared" si="40"/>
        <v>0</v>
      </c>
      <c r="E240" s="1224">
        <f>NPV(realdiscrt1,C$216:C240)/(1+realdiscrt2)^-Half_Year</f>
        <v>1.673224947582088</v>
      </c>
      <c r="F240" s="1199">
        <f>NPV(realdiscrt1,D$216:D240)/(1+realdiscrt2)^-Half_Year</f>
        <v>0</v>
      </c>
      <c r="G240" s="1187" t="str">
        <f t="shared" si="41"/>
        <v>2022-Summer Daily Discharge-25</v>
      </c>
    </row>
    <row r="241" spans="1:7" s="541" customFormat="1" ht="20.25">
      <c r="A241" s="1140">
        <f>Year3</f>
        <v>2023</v>
      </c>
      <c r="B241" s="1141" t="str">
        <f>Year3&amp;"$"</f>
        <v>2023$</v>
      </c>
      <c r="C241" s="1216"/>
      <c r="D241" s="1217"/>
      <c r="E241" s="1232"/>
      <c r="F241" s="1233"/>
      <c r="G241" s="1217"/>
    </row>
    <row r="242" spans="1:7" s="541" customFormat="1">
      <c r="A242" s="1182">
        <v>1</v>
      </c>
      <c r="B242" s="1183">
        <f>Year3</f>
        <v>2023</v>
      </c>
      <c r="C242" s="1219">
        <f t="shared" ref="C242:C266" si="44">VLOOKUP($B242,$I$188:$N$220,C$12,FALSE)*(1+Inflation3)^(Year3-Real_Year)</f>
        <v>5.2718584459973489E-2</v>
      </c>
      <c r="D242" s="1185">
        <f t="shared" ref="D242:D266" si="45">VLOOKUP($B242,$I$188:$N$220,IF($A$17=Year1,D$12,D$12+1),FALSE)*(1+Inflation1)^(Year1-Real_Year)</f>
        <v>0</v>
      </c>
      <c r="E242" s="1227">
        <f>NPV(realdiscrt1,C$242:C242)/(1+realdiscrt3)^-Half_Year</f>
        <v>5.2349667683462456E-2</v>
      </c>
      <c r="F242" s="1198">
        <f>NPV(realdiscrt1,D$242:D242)/(1+realdiscrt3)^-Half_Year</f>
        <v>0</v>
      </c>
      <c r="G242" s="1187" t="str">
        <f t="shared" ref="G242:G266" si="46">$A$71&amp;"-"&amp;$A$183&amp;"-"&amp;A242</f>
        <v>2023-Summer Daily Discharge-1</v>
      </c>
    </row>
    <row r="243" spans="1:7" s="541" customFormat="1">
      <c r="A243" s="1182">
        <v>2</v>
      </c>
      <c r="B243" s="1183">
        <f t="shared" ref="B243:B266" si="47">B242+1</f>
        <v>2024</v>
      </c>
      <c r="C243" s="1220">
        <f t="shared" si="44"/>
        <v>6.7155688855621398E-2</v>
      </c>
      <c r="D243" s="1185">
        <f t="shared" si="45"/>
        <v>0</v>
      </c>
      <c r="E243" s="1227">
        <f>NPV(realdiscrt1,C$242:C243)/(1+realdiscrt3)^-Half_Year</f>
        <v>0.1181053629231785</v>
      </c>
      <c r="F243" s="1198">
        <f>NPV(realdiscrt1,D$242:D243)/(1+realdiscrt3)^-Half_Year</f>
        <v>0</v>
      </c>
      <c r="G243" s="1187" t="str">
        <f t="shared" si="46"/>
        <v>2023-Summer Daily Discharge-2</v>
      </c>
    </row>
    <row r="244" spans="1:7" s="541" customFormat="1">
      <c r="A244" s="1182">
        <f t="shared" ref="A244:A266" si="48">A243+1</f>
        <v>3</v>
      </c>
      <c r="B244" s="1183">
        <f t="shared" si="47"/>
        <v>2025</v>
      </c>
      <c r="C244" s="1220">
        <f t="shared" si="44"/>
        <v>6.4695631931538072E-2</v>
      </c>
      <c r="D244" s="1185">
        <f t="shared" si="45"/>
        <v>0</v>
      </c>
      <c r="E244" s="1227">
        <f>NPV(realdiscrt1,C$242:C244)/(1+realdiscrt3)^-Half_Year</f>
        <v>0.18056880349697177</v>
      </c>
      <c r="F244" s="1198">
        <f>NPV(realdiscrt1,D$242:D244)/(1+realdiscrt3)^-Half_Year</f>
        <v>0</v>
      </c>
      <c r="G244" s="1187" t="str">
        <f t="shared" si="46"/>
        <v>2023-Summer Daily Discharge-3</v>
      </c>
    </row>
    <row r="245" spans="1:7" s="541" customFormat="1">
      <c r="A245" s="1182">
        <f t="shared" si="48"/>
        <v>4</v>
      </c>
      <c r="B245" s="1183">
        <f t="shared" si="47"/>
        <v>2026</v>
      </c>
      <c r="C245" s="1220">
        <f t="shared" si="44"/>
        <v>6.7830856211324203E-2</v>
      </c>
      <c r="D245" s="1185">
        <f t="shared" si="45"/>
        <v>0</v>
      </c>
      <c r="E245" s="1227">
        <f>NPV(realdiscrt1,C$242:C245)/(1+realdiscrt3)^-Half_Year</f>
        <v>0.24514591553886544</v>
      </c>
      <c r="F245" s="1198">
        <f>NPV(realdiscrt1,D$242:D245)/(1+realdiscrt3)^-Half_Year</f>
        <v>0</v>
      </c>
      <c r="G245" s="1187" t="str">
        <f t="shared" si="46"/>
        <v>2023-Summer Daily Discharge-4</v>
      </c>
    </row>
    <row r="246" spans="1:7" s="541" customFormat="1">
      <c r="A246" s="1182">
        <f t="shared" si="48"/>
        <v>5</v>
      </c>
      <c r="B246" s="1183">
        <f t="shared" si="47"/>
        <v>2027</v>
      </c>
      <c r="C246" s="1220">
        <f t="shared" si="44"/>
        <v>6.5502124986380236E-2</v>
      </c>
      <c r="D246" s="1185">
        <f t="shared" si="45"/>
        <v>0</v>
      </c>
      <c r="E246" s="1227">
        <f>NPV(realdiscrt1,C$242:C246)/(1+realdiscrt3)^-Half_Year</f>
        <v>0.30663628272384214</v>
      </c>
      <c r="F246" s="1198">
        <f>NPV(realdiscrt1,D$242:D246)/(1+realdiscrt3)^-Half_Year</f>
        <v>0</v>
      </c>
      <c r="G246" s="1187" t="str">
        <f t="shared" si="46"/>
        <v>2023-Summer Daily Discharge-5</v>
      </c>
    </row>
    <row r="247" spans="1:7" s="541" customFormat="1">
      <c r="A247" s="1182">
        <f t="shared" si="48"/>
        <v>6</v>
      </c>
      <c r="B247" s="1183">
        <f t="shared" si="47"/>
        <v>2028</v>
      </c>
      <c r="C247" s="1220">
        <f t="shared" si="44"/>
        <v>6.0032324881825354E-2</v>
      </c>
      <c r="D247" s="1185">
        <f t="shared" si="45"/>
        <v>0</v>
      </c>
      <c r="E247" s="1227">
        <f>NPV(realdiscrt1,C$242:C247)/(1+realdiscrt3)^-Half_Year</f>
        <v>0.36220587839337348</v>
      </c>
      <c r="F247" s="1198">
        <f>NPV(realdiscrt1,D$242:D247)/(1+realdiscrt3)^-Half_Year</f>
        <v>0</v>
      </c>
      <c r="G247" s="1187" t="str">
        <f t="shared" si="46"/>
        <v>2023-Summer Daily Discharge-6</v>
      </c>
    </row>
    <row r="248" spans="1:7" s="541" customFormat="1">
      <c r="A248" s="1182">
        <f t="shared" si="48"/>
        <v>7</v>
      </c>
      <c r="B248" s="1183">
        <f t="shared" si="47"/>
        <v>2029</v>
      </c>
      <c r="C248" s="1220">
        <f t="shared" si="44"/>
        <v>6.4544208255065461E-2</v>
      </c>
      <c r="D248" s="1185">
        <f t="shared" si="45"/>
        <v>0</v>
      </c>
      <c r="E248" s="1227">
        <f>NPV(realdiscrt1,C$242:C248)/(1+realdiscrt3)^-Half_Year</f>
        <v>0.42111868717716705</v>
      </c>
      <c r="F248" s="1198">
        <f>NPV(realdiscrt1,D$242:D248)/(1+realdiscrt3)^-Half_Year</f>
        <v>0</v>
      </c>
      <c r="G248" s="1187" t="str">
        <f t="shared" si="46"/>
        <v>2023-Summer Daily Discharge-7</v>
      </c>
    </row>
    <row r="249" spans="1:7" s="541" customFormat="1">
      <c r="A249" s="1182">
        <f t="shared" si="48"/>
        <v>8</v>
      </c>
      <c r="B249" s="1183">
        <f t="shared" si="47"/>
        <v>2030</v>
      </c>
      <c r="C249" s="1220">
        <f t="shared" si="44"/>
        <v>7.8952748974527753E-2</v>
      </c>
      <c r="D249" s="1185">
        <f t="shared" si="45"/>
        <v>0</v>
      </c>
      <c r="E249" s="1227">
        <f>NPV(realdiscrt1,C$242:C249)/(1+realdiscrt3)^-Half_Year</f>
        <v>0.49217784961711847</v>
      </c>
      <c r="F249" s="1198">
        <f>NPV(realdiscrt1,D$242:D249)/(1+realdiscrt3)^-Half_Year</f>
        <v>0</v>
      </c>
      <c r="G249" s="1187" t="str">
        <f t="shared" si="46"/>
        <v>2023-Summer Daily Discharge-8</v>
      </c>
    </row>
    <row r="250" spans="1:7" s="541" customFormat="1">
      <c r="A250" s="1182">
        <f t="shared" si="48"/>
        <v>9</v>
      </c>
      <c r="B250" s="1183">
        <f t="shared" si="47"/>
        <v>2031</v>
      </c>
      <c r="C250" s="1220">
        <f t="shared" si="44"/>
        <v>6.5024172722720042E-2</v>
      </c>
      <c r="D250" s="1185">
        <f t="shared" si="45"/>
        <v>0</v>
      </c>
      <c r="E250" s="1227">
        <f>NPV(realdiscrt1,C$242:C250)/(1+realdiscrt3)^-Half_Year</f>
        <v>0.54988478898749327</v>
      </c>
      <c r="F250" s="1198">
        <f>NPV(realdiscrt1,D$242:D250)/(1+realdiscrt3)^-Half_Year</f>
        <v>0</v>
      </c>
      <c r="G250" s="1187" t="str">
        <f t="shared" si="46"/>
        <v>2023-Summer Daily Discharge-9</v>
      </c>
    </row>
    <row r="251" spans="1:7" s="541" customFormat="1">
      <c r="A251" s="1182">
        <f t="shared" si="48"/>
        <v>10</v>
      </c>
      <c r="B251" s="1183">
        <f t="shared" si="47"/>
        <v>2032</v>
      </c>
      <c r="C251" s="1220">
        <f t="shared" si="44"/>
        <v>6.6668961394594897E-2</v>
      </c>
      <c r="D251" s="1185">
        <f t="shared" si="45"/>
        <v>0</v>
      </c>
      <c r="E251" s="1227">
        <f>NPV(realdiscrt1,C$242:C251)/(1+realdiscrt3)^-Half_Year</f>
        <v>0.60822624615847631</v>
      </c>
      <c r="F251" s="1198">
        <f>NPV(realdiscrt1,D$242:D251)/(1+realdiscrt3)^-Half_Year</f>
        <v>0</v>
      </c>
      <c r="G251" s="1187" t="str">
        <f t="shared" si="46"/>
        <v>2023-Summer Daily Discharge-10</v>
      </c>
    </row>
    <row r="252" spans="1:7" s="541" customFormat="1">
      <c r="A252" s="1182">
        <f t="shared" si="48"/>
        <v>11</v>
      </c>
      <c r="B252" s="1183">
        <f t="shared" si="47"/>
        <v>2033</v>
      </c>
      <c r="C252" s="1220">
        <f t="shared" si="44"/>
        <v>6.0076759902218474E-2</v>
      </c>
      <c r="D252" s="1185">
        <f t="shared" si="45"/>
        <v>0</v>
      </c>
      <c r="E252" s="1227">
        <f>NPV(realdiscrt1,C$242:C252)/(1+realdiscrt3)^-Half_Year</f>
        <v>0.66006570529657937</v>
      </c>
      <c r="F252" s="1198">
        <f>NPV(realdiscrt1,D$242:D252)/(1+realdiscrt3)^-Half_Year</f>
        <v>0</v>
      </c>
      <c r="G252" s="1187" t="str">
        <f t="shared" si="46"/>
        <v>2023-Summer Daily Discharge-11</v>
      </c>
    </row>
    <row r="253" spans="1:7" s="541" customFormat="1">
      <c r="A253" s="1182">
        <f t="shared" si="48"/>
        <v>12</v>
      </c>
      <c r="B253" s="1183">
        <f t="shared" si="47"/>
        <v>2034</v>
      </c>
      <c r="C253" s="1220">
        <f t="shared" si="44"/>
        <v>6.0783407012450191E-2</v>
      </c>
      <c r="D253" s="1185">
        <f t="shared" si="45"/>
        <v>0</v>
      </c>
      <c r="E253" s="1227">
        <f>NPV(realdiscrt1,C$242:C253)/(1+realdiscrt3)^-Half_Year</f>
        <v>0.71178342597082356</v>
      </c>
      <c r="F253" s="1198">
        <f>NPV(realdiscrt1,D$242:D253)/(1+realdiscrt3)^-Half_Year</f>
        <v>0</v>
      </c>
      <c r="G253" s="1187" t="str">
        <f t="shared" si="46"/>
        <v>2023-Summer Daily Discharge-12</v>
      </c>
    </row>
    <row r="254" spans="1:7" s="541" customFormat="1">
      <c r="A254" s="1182">
        <f t="shared" si="48"/>
        <v>13</v>
      </c>
      <c r="B254" s="1183">
        <f t="shared" si="47"/>
        <v>2035</v>
      </c>
      <c r="C254" s="1220">
        <f t="shared" si="44"/>
        <v>7.8605751763416651E-2</v>
      </c>
      <c r="D254" s="1185">
        <f t="shared" si="45"/>
        <v>0</v>
      </c>
      <c r="E254" s="1227">
        <f>NPV(realdiscrt1,C$242:C254)/(1+realdiscrt3)^-Half_Year</f>
        <v>0.77773255123037477</v>
      </c>
      <c r="F254" s="1198">
        <f>NPV(realdiscrt1,D$242:D254)/(1+realdiscrt3)^-Half_Year</f>
        <v>0</v>
      </c>
      <c r="G254" s="1187" t="str">
        <f t="shared" si="46"/>
        <v>2023-Summer Daily Discharge-13</v>
      </c>
    </row>
    <row r="255" spans="1:7" s="541" customFormat="1">
      <c r="A255" s="1182">
        <f t="shared" si="48"/>
        <v>14</v>
      </c>
      <c r="B255" s="1183">
        <f t="shared" si="47"/>
        <v>2036</v>
      </c>
      <c r="C255" s="1220">
        <f t="shared" si="44"/>
        <v>8.242920176019973E-2</v>
      </c>
      <c r="D255" s="1185">
        <f t="shared" si="45"/>
        <v>0</v>
      </c>
      <c r="E255" s="1227">
        <f>NPV(realdiscrt1,C$242:C255)/(1+realdiscrt3)^-Half_Year</f>
        <v>0.84592498416666284</v>
      </c>
      <c r="F255" s="1198">
        <f>NPV(realdiscrt1,D$242:D255)/(1+realdiscrt3)^-Half_Year</f>
        <v>0</v>
      </c>
      <c r="G255" s="1187" t="str">
        <f t="shared" si="46"/>
        <v>2023-Summer Daily Discharge-14</v>
      </c>
    </row>
    <row r="256" spans="1:7" s="541" customFormat="1">
      <c r="A256" s="1182">
        <f t="shared" si="48"/>
        <v>15</v>
      </c>
      <c r="B256" s="1183">
        <f t="shared" si="47"/>
        <v>2037</v>
      </c>
      <c r="C256" s="1220">
        <f t="shared" si="44"/>
        <v>8.6441288498588106E-2</v>
      </c>
      <c r="D256" s="1185">
        <f t="shared" si="45"/>
        <v>0</v>
      </c>
      <c r="E256" s="1227">
        <f>NPV(realdiscrt1,C$242:C256)/(1+realdiscrt3)^-Half_Year</f>
        <v>0.91643920316030814</v>
      </c>
      <c r="F256" s="1198">
        <f>NPV(realdiscrt1,D$242:D256)/(1+realdiscrt3)^-Half_Year</f>
        <v>0</v>
      </c>
      <c r="G256" s="1187" t="str">
        <f t="shared" si="46"/>
        <v>2023-Summer Daily Discharge-15</v>
      </c>
    </row>
    <row r="257" spans="1:17" s="541" customFormat="1">
      <c r="A257" s="1182">
        <f t="shared" si="48"/>
        <v>16</v>
      </c>
      <c r="B257" s="1183">
        <f t="shared" si="47"/>
        <v>2038</v>
      </c>
      <c r="C257" s="1220">
        <f t="shared" si="44"/>
        <v>9.0651512629068509E-2</v>
      </c>
      <c r="D257" s="1185">
        <f t="shared" si="45"/>
        <v>0</v>
      </c>
      <c r="E257" s="1227">
        <f>NPV(realdiscrt1,C$242:C257)/(1+realdiscrt3)^-Half_Year</f>
        <v>0.98935655712642834</v>
      </c>
      <c r="F257" s="1198">
        <f>NPV(realdiscrt1,D$242:D257)/(1+realdiscrt3)^-Half_Year</f>
        <v>0</v>
      </c>
      <c r="G257" s="1187" t="str">
        <f t="shared" si="46"/>
        <v>2023-Summer Daily Discharge-16</v>
      </c>
    </row>
    <row r="258" spans="1:17" s="541" customFormat="1">
      <c r="A258" s="1182">
        <f t="shared" si="48"/>
        <v>17</v>
      </c>
      <c r="B258" s="1183">
        <f t="shared" si="47"/>
        <v>2039</v>
      </c>
      <c r="C258" s="1220">
        <f t="shared" si="44"/>
        <v>9.5069867233371144E-2</v>
      </c>
      <c r="D258" s="1185">
        <f t="shared" si="45"/>
        <v>0</v>
      </c>
      <c r="E258" s="1227">
        <f>NPV(realdiscrt1,C$242:C258)/(1+realdiscrt3)^-Half_Year</f>
        <v>1.0647613775216778</v>
      </c>
      <c r="F258" s="1198">
        <f>NPV(realdiscrt1,D$242:D258)/(1+realdiscrt3)^-Half_Year</f>
        <v>0</v>
      </c>
      <c r="G258" s="1187" t="str">
        <f t="shared" si="46"/>
        <v>2023-Summer Daily Discharge-17</v>
      </c>
    </row>
    <row r="259" spans="1:17" s="541" customFormat="1">
      <c r="A259" s="1182">
        <f t="shared" si="48"/>
        <v>18</v>
      </c>
      <c r="B259" s="1183">
        <f t="shared" si="47"/>
        <v>2040</v>
      </c>
      <c r="C259" s="1220">
        <f t="shared" si="44"/>
        <v>9.9706864328466996E-2</v>
      </c>
      <c r="D259" s="1185">
        <f t="shared" si="45"/>
        <v>0</v>
      </c>
      <c r="E259" s="1227">
        <f>NPV(realdiscrt1,C$242:C259)/(1+realdiscrt3)^-Half_Year</f>
        <v>1.1427410950974857</v>
      </c>
      <c r="F259" s="1198">
        <f>NPV(realdiscrt1,D$242:D259)/(1+realdiscrt3)^-Half_Year</f>
        <v>0</v>
      </c>
      <c r="G259" s="1187" t="str">
        <f t="shared" si="46"/>
        <v>2023-Summer Daily Discharge-18</v>
      </c>
    </row>
    <row r="260" spans="1:17" s="541" customFormat="1">
      <c r="A260" s="1182">
        <f t="shared" si="48"/>
        <v>19</v>
      </c>
      <c r="B260" s="1183">
        <f t="shared" si="47"/>
        <v>2041</v>
      </c>
      <c r="C260" s="1220">
        <f t="shared" si="44"/>
        <v>0.10457356286414966</v>
      </c>
      <c r="D260" s="1185">
        <f t="shared" si="45"/>
        <v>0</v>
      </c>
      <c r="E260" s="1227">
        <f>NPV(realdiscrt1,C$242:C260)/(1+realdiscrt3)^-Half_Year</f>
        <v>1.2233863616194851</v>
      </c>
      <c r="F260" s="1198">
        <f>NPV(realdiscrt1,D$242:D260)/(1+realdiscrt3)^-Half_Year</f>
        <v>0</v>
      </c>
      <c r="G260" s="1187" t="str">
        <f t="shared" si="46"/>
        <v>2023-Summer Daily Discharge-19</v>
      </c>
    </row>
    <row r="261" spans="1:17" s="541" customFormat="1">
      <c r="A261" s="1182">
        <f t="shared" si="48"/>
        <v>20</v>
      </c>
      <c r="B261" s="1183">
        <f t="shared" si="47"/>
        <v>2042</v>
      </c>
      <c r="C261" s="1220">
        <f t="shared" si="44"/>
        <v>0.1096815983027872</v>
      </c>
      <c r="D261" s="1185">
        <f t="shared" si="45"/>
        <v>0</v>
      </c>
      <c r="E261" s="1227">
        <f>NPV(realdiscrt1,C$242:C261)/(1+realdiscrt3)^-Half_Year</f>
        <v>1.3067911767841975</v>
      </c>
      <c r="F261" s="1198">
        <f>NPV(realdiscrt1,D$242:D261)/(1+realdiscrt3)^-Half_Year</f>
        <v>0</v>
      </c>
      <c r="G261" s="1187" t="str">
        <f t="shared" si="46"/>
        <v>2023-Summer Daily Discharge-20</v>
      </c>
    </row>
    <row r="262" spans="1:17" s="541" customFormat="1">
      <c r="A262" s="1182">
        <f t="shared" si="48"/>
        <v>21</v>
      </c>
      <c r="B262" s="1183">
        <f t="shared" si="47"/>
        <v>2043</v>
      </c>
      <c r="C262" s="1220">
        <f t="shared" si="44"/>
        <v>0.11504321387536078</v>
      </c>
      <c r="D262" s="1185">
        <f t="shared" si="45"/>
        <v>0</v>
      </c>
      <c r="E262" s="1227">
        <f>NPV(realdiscrt1,C$242:C262)/(1+realdiscrt3)^-Half_Year</f>
        <v>1.3930530205756975</v>
      </c>
      <c r="F262" s="1198">
        <f>NPV(realdiscrt1,D$242:D262)/(1+realdiscrt3)^-Half_Year</f>
        <v>0</v>
      </c>
      <c r="G262" s="1187" t="str">
        <f t="shared" si="46"/>
        <v>2023-Summer Daily Discharge-21</v>
      </c>
    </row>
    <row r="263" spans="1:17" s="541" customFormat="1">
      <c r="A263" s="1182">
        <f t="shared" si="48"/>
        <v>22</v>
      </c>
      <c r="B263" s="1183">
        <f t="shared" si="47"/>
        <v>2044</v>
      </c>
      <c r="C263" s="1220">
        <f t="shared" si="44"/>
        <v>0.12067129361380161</v>
      </c>
      <c r="D263" s="1185">
        <f t="shared" si="45"/>
        <v>0</v>
      </c>
      <c r="E263" s="1227">
        <f>NPV(realdiscrt1,C$242:C263)/(1+realdiscrt3)^-Half_Year</f>
        <v>1.4822729913172827</v>
      </c>
      <c r="F263" s="1198">
        <f>NPV(realdiscrt1,D$242:D263)/(1+realdiscrt3)^-Half_Year</f>
        <v>0</v>
      </c>
      <c r="G263" s="1187" t="str">
        <f t="shared" si="46"/>
        <v>2023-Summer Daily Discharge-22</v>
      </c>
    </row>
    <row r="264" spans="1:17" s="541" customFormat="1">
      <c r="A264" s="1182">
        <f t="shared" si="48"/>
        <v>23</v>
      </c>
      <c r="B264" s="1183">
        <f t="shared" si="47"/>
        <v>2045</v>
      </c>
      <c r="C264" s="1220">
        <f t="shared" si="44"/>
        <v>0.12657939726591802</v>
      </c>
      <c r="D264" s="1185">
        <f t="shared" si="45"/>
        <v>0</v>
      </c>
      <c r="E264" s="1227">
        <f>NPV(realdiscrt1,C$242:C264)/(1+realdiscrt3)^-Half_Year</f>
        <v>1.5745559496861203</v>
      </c>
      <c r="F264" s="1198">
        <f>NPV(realdiscrt1,D$242:D264)/(1+realdiscrt3)^-Half_Year</f>
        <v>0</v>
      </c>
      <c r="G264" s="1187" t="str">
        <f t="shared" si="46"/>
        <v>2023-Summer Daily Discharge-23</v>
      </c>
    </row>
    <row r="265" spans="1:17" s="541" customFormat="1">
      <c r="A265" s="1182">
        <f t="shared" si="48"/>
        <v>24</v>
      </c>
      <c r="B265" s="1183">
        <f t="shared" si="47"/>
        <v>2046</v>
      </c>
      <c r="C265" s="1220">
        <f t="shared" si="44"/>
        <v>0.13278179720589792</v>
      </c>
      <c r="D265" s="1185">
        <f t="shared" si="45"/>
        <v>0</v>
      </c>
      <c r="E265" s="1227">
        <f>NPV(realdiscrt1,C$242:C265)/(1+realdiscrt3)^-Half_Year</f>
        <v>1.6700106689724961</v>
      </c>
      <c r="F265" s="1198">
        <f>NPV(realdiscrt1,D$242:D265)/(1+realdiscrt3)^-Half_Year</f>
        <v>0</v>
      </c>
      <c r="G265" s="1187" t="str">
        <f t="shared" si="46"/>
        <v>2023-Summer Daily Discharge-24</v>
      </c>
    </row>
    <row r="266" spans="1:17" s="541" customFormat="1">
      <c r="A266" s="1208">
        <f t="shared" si="48"/>
        <v>25</v>
      </c>
      <c r="B266" s="1223">
        <f t="shared" si="47"/>
        <v>2047</v>
      </c>
      <c r="C266" s="1221">
        <f t="shared" si="44"/>
        <v>0.13929351746050717</v>
      </c>
      <c r="D266" s="1185">
        <f t="shared" si="45"/>
        <v>0</v>
      </c>
      <c r="E266" s="1224">
        <f>NPV(realdiscrt1,C$242:C266)/(1+realdiscrt3)^-Half_Year</f>
        <v>1.7687499918796892</v>
      </c>
      <c r="F266" s="1199">
        <f>NPV(realdiscrt1,D$242:D266)/(1+realdiscrt3)^-Half_Year</f>
        <v>0</v>
      </c>
      <c r="G266" s="1200" t="str">
        <f t="shared" si="46"/>
        <v>2023-Summer Daily Discharge-25</v>
      </c>
    </row>
    <row r="267" spans="1:17"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</row>
    <row r="268" spans="1:17" ht="23.25">
      <c r="A268" s="1641" t="str">
        <f>A7</f>
        <v>Summer Daily Charge</v>
      </c>
      <c r="B268" s="1642"/>
      <c r="C268" s="1642"/>
      <c r="D268" s="1642"/>
      <c r="E268" s="1642"/>
      <c r="F268" s="1642"/>
      <c r="G268" s="1642"/>
      <c r="H268" s="1642"/>
      <c r="I268" s="1642"/>
      <c r="J268" s="1642"/>
      <c r="K268" s="1642"/>
      <c r="L268" s="1642"/>
      <c r="M268" s="1642"/>
      <c r="N268" s="1643"/>
      <c r="O268" s="541"/>
      <c r="P268" s="541"/>
      <c r="Q268" s="541"/>
    </row>
    <row r="269" spans="1:17" s="541" customFormat="1" ht="15">
      <c r="A269" s="1644" t="s">
        <v>593</v>
      </c>
      <c r="B269" s="1645"/>
      <c r="C269" s="1228" t="s">
        <v>918</v>
      </c>
      <c r="D269" s="1229" t="s">
        <v>63</v>
      </c>
      <c r="E269" s="1228" t="s">
        <v>918</v>
      </c>
      <c r="F269" s="1228" t="s">
        <v>63</v>
      </c>
      <c r="G269" s="1230" t="s">
        <v>704</v>
      </c>
      <c r="I269" s="1637" t="s">
        <v>76</v>
      </c>
      <c r="J269" s="1162" t="s">
        <v>914</v>
      </c>
      <c r="K269" s="1162" t="s">
        <v>915</v>
      </c>
      <c r="L269" s="1163" t="s">
        <v>942</v>
      </c>
      <c r="M269" s="1163" t="s">
        <v>916</v>
      </c>
      <c r="N269" s="1638" t="s">
        <v>917</v>
      </c>
    </row>
    <row r="270" spans="1:17" s="1161" customFormat="1" ht="15" customHeight="1">
      <c r="A270" s="1164"/>
      <c r="B270" s="1165"/>
      <c r="C270" s="1166" t="s">
        <v>71</v>
      </c>
      <c r="D270" s="1167" t="s">
        <v>71</v>
      </c>
      <c r="E270" s="1166" t="s">
        <v>71</v>
      </c>
      <c r="F270" s="1166" t="s">
        <v>71</v>
      </c>
      <c r="G270" s="1168"/>
      <c r="H270" s="1144"/>
      <c r="I270" s="1637"/>
      <c r="J270" s="1169" t="s">
        <v>919</v>
      </c>
      <c r="K270" s="1169" t="s">
        <v>919</v>
      </c>
      <c r="L270" s="1170" t="s">
        <v>919</v>
      </c>
      <c r="M270" s="1170" t="s">
        <v>919</v>
      </c>
      <c r="N270" s="1638"/>
      <c r="O270" s="541"/>
      <c r="P270" s="541"/>
      <c r="Q270" s="541"/>
    </row>
    <row r="271" spans="1:17" s="1201" customFormat="1" ht="20.25">
      <c r="A271" s="1211" t="s">
        <v>600</v>
      </c>
      <c r="B271" s="1212"/>
      <c r="C271" s="1213"/>
      <c r="D271" s="1214"/>
      <c r="E271" s="1215" t="s">
        <v>633</v>
      </c>
      <c r="F271" s="1138"/>
      <c r="G271" s="1139"/>
      <c r="H271" s="1144"/>
      <c r="I271" s="1646"/>
      <c r="J271" s="1204" t="s">
        <v>71</v>
      </c>
      <c r="K271" s="1204" t="s">
        <v>71</v>
      </c>
      <c r="L271" s="1172" t="s">
        <v>71</v>
      </c>
      <c r="M271" s="1205" t="s">
        <v>71</v>
      </c>
      <c r="N271" s="1647"/>
      <c r="O271" s="541"/>
      <c r="P271" s="541"/>
      <c r="Q271" s="541"/>
    </row>
    <row r="272" spans="1:17" s="541" customFormat="1" ht="18">
      <c r="A272" s="1140">
        <f>Year1</f>
        <v>2021</v>
      </c>
      <c r="B272" s="1141" t="str">
        <f>Year1&amp;"$"</f>
        <v>2021$</v>
      </c>
      <c r="C272" s="1173"/>
      <c r="D272" s="1174"/>
      <c r="E272" s="1175"/>
      <c r="F272" s="1176"/>
      <c r="G272" s="1174"/>
      <c r="I272" s="1178" t="s">
        <v>922</v>
      </c>
      <c r="J272" s="1179"/>
      <c r="K272" s="1179"/>
      <c r="L272" s="1179"/>
      <c r="M272" s="1180"/>
      <c r="N272" s="1181"/>
    </row>
    <row r="273" spans="1:14" s="541" customFormat="1">
      <c r="A273" s="1182">
        <v>1</v>
      </c>
      <c r="B273" s="1183">
        <f>Year1</f>
        <v>2021</v>
      </c>
      <c r="C273" s="1184">
        <f t="shared" ref="C273:C299" si="49">VLOOKUP($B273,$I$273:$N$305,C$12,FALSE)*(1+Inflation1)^(Year1-Real_Year)</f>
        <v>4.4016863056796883E-2</v>
      </c>
      <c r="D273" s="1185">
        <f t="shared" ref="D273:D299" si="50">VLOOKUP($B273,$I$273:$N$305,IF($A$17=Year1,D$12,D$12+1),FALSE)*(1+Inflation1)^(Year1-Real_Year)</f>
        <v>0</v>
      </c>
      <c r="E273" s="1186">
        <f>NPV(realdiscrt1,C$273:C273)/(1+realdiscrt1)^-Half_Year</f>
        <v>4.3708839626399765E-2</v>
      </c>
      <c r="F273" s="1186">
        <f>NPV(realdiscrt1,D$273:D273)/(1+realdiscrt1)^-Half_Year</f>
        <v>0</v>
      </c>
      <c r="G273" s="1187" t="str">
        <f t="shared" ref="G273:G299" si="51">$A$17&amp;"-"&amp;$A$268&amp;"-"&amp;A273</f>
        <v>2021-Summer Daily Charge-1</v>
      </c>
      <c r="H273" s="1161"/>
      <c r="I273" s="1188">
        <v>2018</v>
      </c>
      <c r="J273" s="1234">
        <f t="shared" ref="J273:J305" si="52">(K273+$N273)*(1+WholesaleRiskPremium)</f>
        <v>3.1395088468613122E-2</v>
      </c>
      <c r="K273" s="1190">
        <v>2.1657162147892688E-2</v>
      </c>
      <c r="L273" s="1191">
        <v>0</v>
      </c>
      <c r="M273" s="1191">
        <v>0</v>
      </c>
      <c r="N273" s="1206">
        <f>INDEX(AESC!$H$184:$H$216,MATCH(I273,AESC!$B$184:$B$216,0))</f>
        <v>7.4123642119342734E-3</v>
      </c>
    </row>
    <row r="274" spans="1:14" s="541" customFormat="1">
      <c r="A274" s="1182">
        <v>2</v>
      </c>
      <c r="B274" s="1183">
        <f t="shared" ref="B274:B299" si="53">B273+1</f>
        <v>2022</v>
      </c>
      <c r="C274" s="1184">
        <f t="shared" si="49"/>
        <v>4.2421991952798999E-2</v>
      </c>
      <c r="D274" s="1185">
        <f t="shared" si="50"/>
        <v>0</v>
      </c>
      <c r="E274" s="1186">
        <f>NPV(realdiscrt1,C$273:C274)/(1+realdiscrt1)^-Half_Year</f>
        <v>8.524646096339597E-2</v>
      </c>
      <c r="F274" s="1186">
        <f>NPV(realdiscrt1,D$273:D274)/(1+realdiscrt1)^-Half_Year</f>
        <v>0</v>
      </c>
      <c r="G274" s="1187" t="str">
        <f t="shared" si="51"/>
        <v>2021-Summer Daily Charge-2</v>
      </c>
      <c r="H274" s="1201"/>
      <c r="I274" s="1188">
        <v>2019</v>
      </c>
      <c r="J274" s="1189">
        <f t="shared" si="52"/>
        <v>3.7637612108514268E-2</v>
      </c>
      <c r="K274" s="1190">
        <v>2.3558904789427317E-2</v>
      </c>
      <c r="L274" s="1191">
        <v>0</v>
      </c>
      <c r="M274" s="1191">
        <v>0</v>
      </c>
      <c r="N274" s="1192">
        <f>INDEX(AESC!$H$184:$H$216,MATCH(I274,AESC!$B$184:$B$216,0))</f>
        <v>1.1290736051789593E-2</v>
      </c>
    </row>
    <row r="275" spans="1:14" s="541" customFormat="1">
      <c r="A275" s="1182">
        <f t="shared" ref="A275:A299" si="54">A274+1</f>
        <v>3</v>
      </c>
      <c r="B275" s="1183">
        <f t="shared" si="53"/>
        <v>2023</v>
      </c>
      <c r="C275" s="1184">
        <f t="shared" si="49"/>
        <v>3.9848377955782346E-2</v>
      </c>
      <c r="D275" s="1185">
        <f t="shared" si="50"/>
        <v>0</v>
      </c>
      <c r="E275" s="1186">
        <f>NPV(realdiscrt1,C$273:C275)/(1+realdiscrt1)^-Half_Year</f>
        <v>0.12371995158540633</v>
      </c>
      <c r="F275" s="1186">
        <f>NPV(realdiscrt1,D$273:D275)/(1+realdiscrt1)^-Half_Year</f>
        <v>0</v>
      </c>
      <c r="G275" s="1187" t="str">
        <f t="shared" si="51"/>
        <v>2021-Summer Daily Charge-3</v>
      </c>
      <c r="I275" s="1188">
        <v>2020</v>
      </c>
      <c r="J275" s="1189">
        <f t="shared" si="52"/>
        <v>3.9088752176256319E-2</v>
      </c>
      <c r="K275" s="1190">
        <v>2.7511456013822235E-2</v>
      </c>
      <c r="L275" s="1191">
        <v>0</v>
      </c>
      <c r="M275" s="1191">
        <v>0</v>
      </c>
      <c r="N275" s="1192">
        <f>INDEX(AESC!$H$184:$H$216,MATCH(I275,AESC!$B$184:$B$216,0))</f>
        <v>8.6818330382669468E-3</v>
      </c>
    </row>
    <row r="276" spans="1:14" s="541" customFormat="1">
      <c r="A276" s="1182">
        <f t="shared" si="54"/>
        <v>4</v>
      </c>
      <c r="B276" s="1183">
        <f t="shared" si="53"/>
        <v>2024</v>
      </c>
      <c r="C276" s="1184">
        <f t="shared" si="49"/>
        <v>4.205395866608834E-2</v>
      </c>
      <c r="D276" s="1185">
        <f t="shared" si="50"/>
        <v>0</v>
      </c>
      <c r="E276" s="1186">
        <f>NPV(realdiscrt1,C$273:C276)/(1+realdiscrt1)^-Half_Year</f>
        <v>0.16375664509439625</v>
      </c>
      <c r="F276" s="1186">
        <f>NPV(realdiscrt1,D$273:D276)/(1+realdiscrt1)^-Half_Year</f>
        <v>0</v>
      </c>
      <c r="G276" s="1187" t="str">
        <f t="shared" si="51"/>
        <v>2021-Summer Daily Charge-4</v>
      </c>
      <c r="I276" s="1188">
        <v>2021</v>
      </c>
      <c r="J276" s="1189">
        <f t="shared" si="52"/>
        <v>4.1710728604367926E-2</v>
      </c>
      <c r="K276" s="1190">
        <v>3.188473909332256E-2</v>
      </c>
      <c r="L276" s="1191">
        <v>0</v>
      </c>
      <c r="M276" s="1191">
        <v>0</v>
      </c>
      <c r="N276" s="1192">
        <f>INDEX(AESC!$H$184:$H$216,MATCH(I276,AESC!$B$184:$B$216,0))</f>
        <v>6.736305910721818E-3</v>
      </c>
    </row>
    <row r="277" spans="1:14" s="541" customFormat="1">
      <c r="A277" s="1182">
        <f t="shared" si="54"/>
        <v>5</v>
      </c>
      <c r="B277" s="1183">
        <f t="shared" si="53"/>
        <v>2025</v>
      </c>
      <c r="C277" s="1184">
        <f t="shared" si="49"/>
        <v>4.2553000460147615E-2</v>
      </c>
      <c r="D277" s="1185">
        <f t="shared" si="50"/>
        <v>0</v>
      </c>
      <c r="E277" s="1186">
        <f>NPV(realdiscrt1,C$273:C277)/(1+realdiscrt1)^-Half_Year</f>
        <v>0.2037034349681755</v>
      </c>
      <c r="F277" s="1186">
        <f>NPV(realdiscrt1,D$273:D277)/(1+realdiscrt1)^-Half_Year</f>
        <v>0</v>
      </c>
      <c r="G277" s="1187" t="str">
        <f t="shared" si="51"/>
        <v>2021-Summer Daily Charge-5</v>
      </c>
      <c r="I277" s="1188">
        <v>2022</v>
      </c>
      <c r="J277" s="1189">
        <f t="shared" si="52"/>
        <v>4.0199416094615317E-2</v>
      </c>
      <c r="K277" s="1190">
        <v>3.2107250855957663E-2</v>
      </c>
      <c r="L277" s="1191">
        <v>0</v>
      </c>
      <c r="M277" s="1191">
        <v>0</v>
      </c>
      <c r="N277" s="1192">
        <f>INDEX(AESC!$H$184:$H$216,MATCH(I277,AESC!$B$184:$B$216,0))</f>
        <v>5.1144307131305942E-3</v>
      </c>
    </row>
    <row r="278" spans="1:14">
      <c r="A278" s="1182">
        <f t="shared" si="54"/>
        <v>6</v>
      </c>
      <c r="B278" s="1183">
        <f t="shared" si="53"/>
        <v>2026</v>
      </c>
      <c r="C278" s="1184">
        <f t="shared" si="49"/>
        <v>4.4553746190723637E-2</v>
      </c>
      <c r="D278" s="1185">
        <f t="shared" si="50"/>
        <v>0</v>
      </c>
      <c r="E278" s="1186">
        <f>NPV(realdiscrt1,C$273:C278)/(1+realdiscrt1)^-Half_Year</f>
        <v>0.24494511045309392</v>
      </c>
      <c r="F278" s="1186">
        <f>NPV(realdiscrt1,D$273:D278)/(1+realdiscrt1)^-Half_Year</f>
        <v>0</v>
      </c>
      <c r="G278" s="1187" t="str">
        <f t="shared" si="51"/>
        <v>2021-Summer Daily Charge-6</v>
      </c>
      <c r="H278" s="541"/>
      <c r="I278" s="1188">
        <v>2023</v>
      </c>
      <c r="J278" s="1189">
        <f t="shared" si="52"/>
        <v>3.7760639055382669E-2</v>
      </c>
      <c r="K278" s="1190">
        <v>2.9491425464536675E-2</v>
      </c>
      <c r="L278" s="1191">
        <v>0</v>
      </c>
      <c r="M278" s="1191">
        <v>0</v>
      </c>
      <c r="N278" s="1192">
        <f>INDEX(AESC!$H$184:$H$216,MATCH(I278,AESC!$B$184:$B$216,0))</f>
        <v>5.4721292163732024E-3</v>
      </c>
    </row>
    <row r="279" spans="1:14" s="541" customFormat="1">
      <c r="A279" s="1182">
        <f t="shared" si="54"/>
        <v>7</v>
      </c>
      <c r="B279" s="1183">
        <f t="shared" si="53"/>
        <v>2027</v>
      </c>
      <c r="C279" s="1184">
        <f t="shared" si="49"/>
        <v>4.0555693895723832E-2</v>
      </c>
      <c r="D279" s="1185">
        <f t="shared" si="50"/>
        <v>0</v>
      </c>
      <c r="E279" s="1186">
        <f>NPV(realdiscrt1,C$273:C279)/(1+realdiscrt1)^-Half_Year</f>
        <v>0.28196237201947671</v>
      </c>
      <c r="F279" s="1186">
        <f>NPV(realdiscrt1,D$273:D279)/(1+realdiscrt1)^-Half_Year</f>
        <v>0</v>
      </c>
      <c r="G279" s="1187" t="str">
        <f t="shared" si="51"/>
        <v>2021-Summer Daily Charge-7</v>
      </c>
      <c r="I279" s="1188">
        <v>2024</v>
      </c>
      <c r="J279" s="1189">
        <f t="shared" si="52"/>
        <v>3.9850664832637522E-2</v>
      </c>
      <c r="K279" s="1190">
        <v>3.1884486058839312E-2</v>
      </c>
      <c r="L279" s="1191">
        <v>0</v>
      </c>
      <c r="M279" s="1191">
        <v>0</v>
      </c>
      <c r="N279" s="1192">
        <f>INDEX(AESC!$H$184:$H$216,MATCH(I279,AESC!$B$184:$B$216,0))</f>
        <v>5.0142776750843193E-3</v>
      </c>
    </row>
    <row r="280" spans="1:14" s="1161" customFormat="1" ht="15" customHeight="1">
      <c r="A280" s="1182">
        <f t="shared" si="54"/>
        <v>8</v>
      </c>
      <c r="B280" s="1183">
        <f t="shared" si="53"/>
        <v>2028</v>
      </c>
      <c r="C280" s="1184">
        <f t="shared" si="49"/>
        <v>4.3446809061834742E-2</v>
      </c>
      <c r="D280" s="1185">
        <f t="shared" si="50"/>
        <v>0</v>
      </c>
      <c r="E280" s="1186">
        <f>NPV(realdiscrt1,C$273:C280)/(1+realdiscrt1)^-Half_Year</f>
        <v>0.32106542926221454</v>
      </c>
      <c r="F280" s="1186">
        <f>NPV(realdiscrt1,D$273:D280)/(1+realdiscrt1)^-Half_Year</f>
        <v>0</v>
      </c>
      <c r="G280" s="1187" t="str">
        <f t="shared" si="51"/>
        <v>2021-Summer Daily Charge-8</v>
      </c>
      <c r="H280" s="541"/>
      <c r="I280" s="1188">
        <v>2025</v>
      </c>
      <c r="J280" s="1189">
        <f t="shared" si="52"/>
        <v>4.0323560795427607E-2</v>
      </c>
      <c r="K280" s="1190">
        <v>3.320398927258307E-2</v>
      </c>
      <c r="L280" s="1191">
        <v>0</v>
      </c>
      <c r="M280" s="1191">
        <v>0</v>
      </c>
      <c r="N280" s="1192">
        <f>INDEX(AESC!$H$184:$H$216,MATCH(I280,AESC!$B$184:$B$216,0))</f>
        <v>4.1326410935536026E-3</v>
      </c>
    </row>
    <row r="281" spans="1:14" s="541" customFormat="1">
      <c r="A281" s="1182">
        <f t="shared" si="54"/>
        <v>9</v>
      </c>
      <c r="B281" s="1183">
        <f t="shared" si="53"/>
        <v>2029</v>
      </c>
      <c r="C281" s="1184">
        <f t="shared" si="49"/>
        <v>4.2352216678581696E-2</v>
      </c>
      <c r="D281" s="1185">
        <f t="shared" si="50"/>
        <v>0</v>
      </c>
      <c r="E281" s="1186">
        <f>NPV(realdiscrt1,C$273:C281)/(1+realdiscrt1)^-Half_Year</f>
        <v>0.3586517098365759</v>
      </c>
      <c r="F281" s="1186">
        <f>NPV(realdiscrt1,D$273:D281)/(1+realdiscrt1)^-Half_Year</f>
        <v>0</v>
      </c>
      <c r="G281" s="1187" t="str">
        <f t="shared" si="51"/>
        <v>2021-Summer Daily Charge-9</v>
      </c>
      <c r="H281" s="1144"/>
      <c r="I281" s="1188">
        <v>2026</v>
      </c>
      <c r="J281" s="1189">
        <f t="shared" si="52"/>
        <v>4.2219483320999722E-2</v>
      </c>
      <c r="K281" s="1190">
        <v>3.567920348623968E-2</v>
      </c>
      <c r="L281" s="1191">
        <v>0</v>
      </c>
      <c r="M281" s="1191">
        <v>0</v>
      </c>
      <c r="N281" s="1192">
        <f>INDEX(AESC!$H$184:$H$216,MATCH(I281,AESC!$B$184:$B$216,0))</f>
        <v>3.4129106998711735E-3</v>
      </c>
    </row>
    <row r="282" spans="1:14" s="541" customFormat="1">
      <c r="A282" s="1182">
        <f t="shared" si="54"/>
        <v>10</v>
      </c>
      <c r="B282" s="1183">
        <f t="shared" si="53"/>
        <v>2030</v>
      </c>
      <c r="C282" s="1184">
        <f t="shared" si="49"/>
        <v>4.6677735056595698E-2</v>
      </c>
      <c r="D282" s="1185">
        <f t="shared" si="50"/>
        <v>0</v>
      </c>
      <c r="E282" s="1186">
        <f>NPV(realdiscrt1,C$273:C282)/(1+realdiscrt1)^-Half_Year</f>
        <v>0.39949901004461025</v>
      </c>
      <c r="F282" s="1186">
        <f>NPV(realdiscrt1,D$273:D282)/(1+realdiscrt1)^-Half_Year</f>
        <v>0</v>
      </c>
      <c r="G282" s="1187" t="str">
        <f t="shared" si="51"/>
        <v>2021-Summer Daily Charge-10</v>
      </c>
      <c r="I282" s="1188">
        <v>2027</v>
      </c>
      <c r="J282" s="1189">
        <f t="shared" si="52"/>
        <v>3.8430897250983163E-2</v>
      </c>
      <c r="K282" s="1190">
        <v>3.2881780085620788E-2</v>
      </c>
      <c r="L282" s="1191">
        <v>0</v>
      </c>
      <c r="M282" s="1191">
        <v>0</v>
      </c>
      <c r="N282" s="1192">
        <f>INDEX(AESC!$H$184:$H$216,MATCH(I282,AESC!$B$184:$B$216,0))</f>
        <v>2.7023840356599142E-3</v>
      </c>
    </row>
    <row r="283" spans="1:14" s="541" customFormat="1">
      <c r="A283" s="1182">
        <f t="shared" si="54"/>
        <v>11</v>
      </c>
      <c r="B283" s="1183">
        <f t="shared" si="53"/>
        <v>2031</v>
      </c>
      <c r="C283" s="1184">
        <f t="shared" si="49"/>
        <v>4.2453949570182475E-2</v>
      </c>
      <c r="D283" s="1185">
        <f t="shared" si="50"/>
        <v>0</v>
      </c>
      <c r="E283" s="1186">
        <f>NPV(realdiscrt1,C$273:C283)/(1+realdiscrt1)^-Half_Year</f>
        <v>0.43613197406558263</v>
      </c>
      <c r="F283" s="1186">
        <f>NPV(realdiscrt1,D$273:D283)/(1+realdiscrt1)^-Half_Year</f>
        <v>0</v>
      </c>
      <c r="G283" s="1187" t="str">
        <f t="shared" si="51"/>
        <v>2021-Summer Daily Charge-11</v>
      </c>
      <c r="H283" s="1161"/>
      <c r="I283" s="1188">
        <v>2028</v>
      </c>
      <c r="J283" s="1189">
        <f t="shared" si="52"/>
        <v>4.1170540916685122E-2</v>
      </c>
      <c r="K283" s="1190">
        <v>3.571459677886691E-2</v>
      </c>
      <c r="L283" s="1191">
        <v>0</v>
      </c>
      <c r="M283" s="1191">
        <v>0</v>
      </c>
      <c r="N283" s="1192">
        <f>INDEX(AESC!$H$184:$H$216,MATCH(I283,AESC!$B$184:$B$216,0))</f>
        <v>2.4062744402859834E-3</v>
      </c>
    </row>
    <row r="284" spans="1:14" s="541" customFormat="1">
      <c r="A284" s="1182">
        <f t="shared" si="54"/>
        <v>12</v>
      </c>
      <c r="B284" s="1183">
        <f t="shared" si="53"/>
        <v>2032</v>
      </c>
      <c r="C284" s="1184">
        <f t="shared" si="49"/>
        <v>4.170043356796712E-2</v>
      </c>
      <c r="D284" s="1185">
        <f t="shared" si="50"/>
        <v>0</v>
      </c>
      <c r="E284" s="1186">
        <f>NPV(realdiscrt1,C$273:C284)/(1+realdiscrt1)^-Half_Year</f>
        <v>0.47161289692371156</v>
      </c>
      <c r="F284" s="1186">
        <f>NPV(realdiscrt1,D$273:D284)/(1+realdiscrt1)^-Half_Year</f>
        <v>0</v>
      </c>
      <c r="G284" s="1187" t="str">
        <f t="shared" si="51"/>
        <v>2021-Summer Daily Charge-12</v>
      </c>
      <c r="I284" s="1188">
        <v>2029</v>
      </c>
      <c r="J284" s="1189">
        <f t="shared" si="52"/>
        <v>4.0133296491261988E-2</v>
      </c>
      <c r="K284" s="1190">
        <v>3.4879261304700787E-2</v>
      </c>
      <c r="L284" s="1191">
        <v>0</v>
      </c>
      <c r="M284" s="1191">
        <v>0</v>
      </c>
      <c r="N284" s="1192">
        <f>INDEX(AESC!$H$184:$H$216,MATCH(I284,AESC!$B$184:$B$216,0))</f>
        <v>2.2811984094306798E-3</v>
      </c>
    </row>
    <row r="285" spans="1:14" s="541" customFormat="1">
      <c r="A285" s="1182">
        <f t="shared" si="54"/>
        <v>13</v>
      </c>
      <c r="B285" s="1183">
        <f t="shared" si="53"/>
        <v>2033</v>
      </c>
      <c r="C285" s="1184">
        <f t="shared" si="49"/>
        <v>4.1664352919384424E-2</v>
      </c>
      <c r="D285" s="1185">
        <f t="shared" si="50"/>
        <v>0</v>
      </c>
      <c r="E285" s="1186">
        <f>NPV(realdiscrt1,C$273:C285)/(1+realdiscrt1)^-Half_Year</f>
        <v>0.50656870572773638</v>
      </c>
      <c r="F285" s="1186">
        <f>NPV(realdiscrt1,D$273:D285)/(1+realdiscrt1)^-Half_Year</f>
        <v>0</v>
      </c>
      <c r="G285" s="1187" t="str">
        <f t="shared" si="51"/>
        <v>2021-Summer Daily Charge-13</v>
      </c>
      <c r="I285" s="1188">
        <v>2030</v>
      </c>
      <c r="J285" s="1189">
        <f t="shared" si="52"/>
        <v>4.4232192019226881E-2</v>
      </c>
      <c r="K285" s="1190">
        <v>3.8668915170053123E-2</v>
      </c>
      <c r="L285" s="1191">
        <v>0</v>
      </c>
      <c r="M285" s="1191">
        <v>0</v>
      </c>
      <c r="N285" s="1192">
        <f>INDEX(AESC!$H$184:$H$216,MATCH(I285,AESC!$B$184:$B$216,0))</f>
        <v>2.2868181810828765E-3</v>
      </c>
    </row>
    <row r="286" spans="1:14" s="541" customFormat="1">
      <c r="A286" s="1182">
        <f t="shared" si="54"/>
        <v>14</v>
      </c>
      <c r="B286" s="1183">
        <f t="shared" si="53"/>
        <v>2034</v>
      </c>
      <c r="C286" s="1184">
        <f t="shared" si="49"/>
        <v>4.3664042210089432E-2</v>
      </c>
      <c r="D286" s="1185">
        <f t="shared" si="50"/>
        <v>0</v>
      </c>
      <c r="E286" s="1186">
        <f>NPV(realdiscrt1,C$273:C286)/(1+realdiscrt1)^-Half_Year</f>
        <v>0.54269130799193144</v>
      </c>
      <c r="F286" s="1186">
        <f>NPV(realdiscrt1,D$273:D286)/(1+realdiscrt1)^-Half_Year</f>
        <v>0</v>
      </c>
      <c r="G286" s="1187" t="str">
        <f t="shared" si="51"/>
        <v>2021-Summer Daily Charge-14</v>
      </c>
      <c r="I286" s="1188">
        <v>2031</v>
      </c>
      <c r="J286" s="1189">
        <f t="shared" si="52"/>
        <v>4.0229699386357495E-2</v>
      </c>
      <c r="K286" s="1190">
        <v>3.4910869527533465E-2</v>
      </c>
      <c r="L286" s="1191">
        <v>0</v>
      </c>
      <c r="M286" s="1191">
        <v>0</v>
      </c>
      <c r="N286" s="1192">
        <f>INDEX(AESC!$H$184:$H$216,MATCH(I286,AESC!$B$184:$B$216,0))</f>
        <v>2.3388521265012515E-3</v>
      </c>
    </row>
    <row r="287" spans="1:14" s="541" customFormat="1">
      <c r="A287" s="1182">
        <f t="shared" si="54"/>
        <v>15</v>
      </c>
      <c r="B287" s="1183">
        <f t="shared" si="53"/>
        <v>2035</v>
      </c>
      <c r="C287" s="1184">
        <f t="shared" si="49"/>
        <v>4.9376059401050859E-2</v>
      </c>
      <c r="D287" s="1185">
        <f t="shared" si="50"/>
        <v>0</v>
      </c>
      <c r="E287" s="1186">
        <f>NPV(realdiscrt1,C$273:C287)/(1+realdiscrt1)^-Half_Year</f>
        <v>0.58296967873493366</v>
      </c>
      <c r="F287" s="1186">
        <f>NPV(realdiscrt1,D$273:D287)/(1+realdiscrt1)^-Half_Year</f>
        <v>0</v>
      </c>
      <c r="G287" s="1187" t="str">
        <f t="shared" si="51"/>
        <v>2021-Summer Daily Charge-15</v>
      </c>
      <c r="I287" s="1188">
        <v>2032</v>
      </c>
      <c r="J287" s="1189">
        <f t="shared" si="52"/>
        <v>3.9515661645255912E-2</v>
      </c>
      <c r="K287" s="1190">
        <v>3.3796305054247522E-2</v>
      </c>
      <c r="L287" s="1191">
        <v>0</v>
      </c>
      <c r="M287" s="1191">
        <v>0</v>
      </c>
      <c r="N287" s="1192">
        <f>INDEX(AESC!$H$184:$H$216,MATCH(I287,AESC!$B$184:$B$216,0))</f>
        <v>2.7922705432116535E-3</v>
      </c>
    </row>
    <row r="288" spans="1:14" s="541" customFormat="1">
      <c r="A288" s="1182">
        <f t="shared" si="54"/>
        <v>16</v>
      </c>
      <c r="B288" s="1183">
        <f t="shared" si="53"/>
        <v>2036</v>
      </c>
      <c r="C288" s="1184">
        <f t="shared" si="49"/>
        <v>5.1287546040944217E-2</v>
      </c>
      <c r="D288" s="1185">
        <f t="shared" si="50"/>
        <v>0</v>
      </c>
      <c r="E288" s="1186">
        <f>NPV(realdiscrt1,C$273:C288)/(1+realdiscrt1)^-Half_Year</f>
        <v>0.62422384030666256</v>
      </c>
      <c r="F288" s="1186">
        <f>NPV(realdiscrt1,D$273:D288)/(1+realdiscrt1)^-Half_Year</f>
        <v>0</v>
      </c>
      <c r="G288" s="1187" t="str">
        <f t="shared" si="51"/>
        <v>2021-Summer Daily Charge-16</v>
      </c>
      <c r="I288" s="1188">
        <v>2033</v>
      </c>
      <c r="J288" s="1189">
        <f t="shared" si="52"/>
        <v>3.9481471336442663E-2</v>
      </c>
      <c r="K288" s="1190">
        <v>3.3658836507869216E-2</v>
      </c>
      <c r="L288" s="1191">
        <v>0</v>
      </c>
      <c r="M288" s="1191">
        <v>0</v>
      </c>
      <c r="N288" s="1192">
        <f>INDEX(AESC!$H$184:$H$216,MATCH(I288,AESC!$B$184:$B$216,0))</f>
        <v>2.8980813962443596E-3</v>
      </c>
    </row>
    <row r="289" spans="1:14" s="541" customFormat="1">
      <c r="A289" s="1182">
        <f t="shared" si="54"/>
        <v>17</v>
      </c>
      <c r="B289" s="1183">
        <f t="shared" si="53"/>
        <v>2037</v>
      </c>
      <c r="C289" s="1184">
        <f t="shared" si="49"/>
        <v>5.3278042853694585E-2</v>
      </c>
      <c r="D289" s="1185">
        <f t="shared" si="50"/>
        <v>0</v>
      </c>
      <c r="E289" s="1186">
        <f>NPV(realdiscrt1,C$273:C289)/(1+realdiscrt1)^-Half_Year</f>
        <v>0.66648140697109826</v>
      </c>
      <c r="F289" s="1186">
        <f>NPV(realdiscrt1,D$273:D289)/(1+realdiscrt1)^-Half_Year</f>
        <v>0</v>
      </c>
      <c r="G289" s="1187" t="str">
        <f t="shared" si="51"/>
        <v>2021-Summer Daily Charge-17</v>
      </c>
      <c r="I289" s="1188">
        <v>2034</v>
      </c>
      <c r="J289" s="1189">
        <f t="shared" si="52"/>
        <v>4.1376392771212606E-2</v>
      </c>
      <c r="K289" s="1190">
        <v>3.5303572921459858E-2</v>
      </c>
      <c r="L289" s="1191">
        <v>0</v>
      </c>
      <c r="M289" s="1191">
        <v>0</v>
      </c>
      <c r="N289" s="1192">
        <f>INDEX(AESC!$H$184:$H$216,MATCH(I289,AESC!$B$184:$B$216,0))</f>
        <v>3.0079018666999643E-3</v>
      </c>
    </row>
    <row r="290" spans="1:14" s="541" customFormat="1">
      <c r="A290" s="1182">
        <f t="shared" si="54"/>
        <v>18</v>
      </c>
      <c r="B290" s="1183">
        <f t="shared" si="53"/>
        <v>2038</v>
      </c>
      <c r="C290" s="1184">
        <f t="shared" si="49"/>
        <v>5.5351163625971332E-2</v>
      </c>
      <c r="D290" s="1185">
        <f t="shared" si="50"/>
        <v>0</v>
      </c>
      <c r="E290" s="1186">
        <f>NPV(realdiscrt1,C$273:C290)/(1+realdiscrt1)^-Half_Year</f>
        <v>0.70977098523750903</v>
      </c>
      <c r="F290" s="1186">
        <f>NPV(realdiscrt1,D$273:D290)/(1+realdiscrt1)^-Half_Year</f>
        <v>0</v>
      </c>
      <c r="G290" s="1187" t="str">
        <f t="shared" si="51"/>
        <v>2021-Summer Daily Charge-18</v>
      </c>
      <c r="I290" s="1188">
        <v>2035</v>
      </c>
      <c r="J290" s="1189">
        <f t="shared" si="52"/>
        <v>4.6789145572979703E-2</v>
      </c>
      <c r="K290" s="1190">
        <v>4.0201399042128882E-2</v>
      </c>
      <c r="L290" s="1191">
        <v>0</v>
      </c>
      <c r="M290" s="1191">
        <v>0</v>
      </c>
      <c r="N290" s="1192">
        <f>INDEX(AESC!$H$184:$H$216,MATCH(I290,AESC!$B$184:$B$216,0))</f>
        <v>3.1218838958152807E-3</v>
      </c>
    </row>
    <row r="291" spans="1:14" s="541" customFormat="1">
      <c r="A291" s="1182">
        <f t="shared" si="54"/>
        <v>19</v>
      </c>
      <c r="B291" s="1183">
        <f t="shared" si="53"/>
        <v>2039</v>
      </c>
      <c r="C291" s="1184">
        <f t="shared" si="49"/>
        <v>5.7510710060155422E-2</v>
      </c>
      <c r="D291" s="1185">
        <f t="shared" si="50"/>
        <v>0</v>
      </c>
      <c r="E291" s="1186">
        <f>NPV(realdiscrt1,C$273:C291)/(1+realdiscrt1)^-Half_Year</f>
        <v>0.75412221908325461</v>
      </c>
      <c r="F291" s="1186">
        <f>NPV(realdiscrt1,D$273:D291)/(1+realdiscrt1)^-Half_Year</f>
        <v>0</v>
      </c>
      <c r="G291" s="1187" t="str">
        <f t="shared" si="51"/>
        <v>2021-Summer Daily Charge-19</v>
      </c>
      <c r="I291" s="1188">
        <v>2036</v>
      </c>
      <c r="J291" s="1189">
        <f t="shared" si="52"/>
        <v>4.8600485476157008E-2</v>
      </c>
      <c r="K291" s="1190">
        <v>4.1644849071129711E-2</v>
      </c>
      <c r="L291" s="1191">
        <v>0</v>
      </c>
      <c r="M291" s="1191">
        <v>0</v>
      </c>
      <c r="N291" s="1192">
        <f>INDEX(AESC!$H$184:$H$216,MATCH(I291,AESC!$B$184:$B$216,0))</f>
        <v>3.3556004438304809E-3</v>
      </c>
    </row>
    <row r="292" spans="1:14" s="541" customFormat="1">
      <c r="A292" s="1182">
        <f t="shared" si="54"/>
        <v>20</v>
      </c>
      <c r="B292" s="1183">
        <f t="shared" si="53"/>
        <v>2040</v>
      </c>
      <c r="C292" s="1184">
        <f t="shared" si="49"/>
        <v>5.9760682875703769E-2</v>
      </c>
      <c r="D292" s="1185">
        <f t="shared" si="50"/>
        <v>0</v>
      </c>
      <c r="E292" s="1186">
        <f>NPV(realdiscrt1,C$273:C292)/(1+realdiscrt1)^-Half_Year</f>
        <v>0.79956583757981681</v>
      </c>
      <c r="F292" s="1186">
        <f>NPV(realdiscrt1,D$273:D292)/(1+realdiscrt1)^-Half_Year</f>
        <v>0</v>
      </c>
      <c r="G292" s="1187" t="str">
        <f t="shared" si="51"/>
        <v>2021-Summer Daily Charge-20</v>
      </c>
      <c r="I292" s="1188">
        <v>2037</v>
      </c>
      <c r="J292" s="1189">
        <f t="shared" si="52"/>
        <v>5.0486696045896132E-2</v>
      </c>
      <c r="K292" s="1190">
        <v>4.31401268483151E-2</v>
      </c>
      <c r="L292" s="1191">
        <v>0</v>
      </c>
      <c r="M292" s="1191">
        <v>0</v>
      </c>
      <c r="N292" s="1192">
        <f>INDEX(AESC!$H$184:$H$216,MATCH(I292,AESC!$B$184:$B$216,0))</f>
        <v>3.6068139349220594E-3</v>
      </c>
    </row>
    <row r="293" spans="1:14" s="541" customFormat="1">
      <c r="A293" s="1182">
        <f t="shared" si="54"/>
        <v>21</v>
      </c>
      <c r="B293" s="1183">
        <f t="shared" si="53"/>
        <v>2041</v>
      </c>
      <c r="C293" s="1184">
        <f t="shared" si="49"/>
        <v>6.2105293635082971E-2</v>
      </c>
      <c r="D293" s="1185">
        <f t="shared" si="50"/>
        <v>0</v>
      </c>
      <c r="E293" s="1186">
        <f>NPV(realdiscrt1,C$273:C293)/(1+realdiscrt1)^-Half_Year</f>
        <v>0.8461337050594141</v>
      </c>
      <c r="F293" s="1186">
        <f>NPV(realdiscrt1,D$273:D293)/(1+realdiscrt1)^-Half_Year</f>
        <v>0</v>
      </c>
      <c r="G293" s="1187" t="str">
        <f t="shared" si="51"/>
        <v>2021-Summer Daily Charge-21</v>
      </c>
      <c r="I293" s="1188">
        <v>2038</v>
      </c>
      <c r="J293" s="1189">
        <f t="shared" si="52"/>
        <v>5.2451201735111995E-2</v>
      </c>
      <c r="K293" s="1190">
        <v>4.4689093273215977E-2</v>
      </c>
      <c r="L293" s="1191">
        <v>0</v>
      </c>
      <c r="M293" s="1191">
        <v>0</v>
      </c>
      <c r="N293" s="1192">
        <f>INDEX(AESC!$H$184:$H$216,MATCH(I293,AESC!$B$184:$B$216,0))</f>
        <v>3.8768342592951292E-3</v>
      </c>
    </row>
    <row r="294" spans="1:14" s="541" customFormat="1">
      <c r="A294" s="1182">
        <f t="shared" si="54"/>
        <v>22</v>
      </c>
      <c r="B294" s="1183">
        <f t="shared" si="53"/>
        <v>2042</v>
      </c>
      <c r="C294" s="1184">
        <f t="shared" si="49"/>
        <v>6.4548977344692102E-2</v>
      </c>
      <c r="D294" s="1185">
        <f t="shared" si="50"/>
        <v>0</v>
      </c>
      <c r="E294" s="1186">
        <f>NPV(realdiscrt1,C$273:C294)/(1+realdiscrt1)^-Half_Year</f>
        <v>0.89385887396763908</v>
      </c>
      <c r="F294" s="1186">
        <f>NPV(realdiscrt1,D$273:D294)/(1+realdiscrt1)^-Half_Year</f>
        <v>0</v>
      </c>
      <c r="G294" s="1187" t="str">
        <f t="shared" si="51"/>
        <v>2021-Summer Daily Charge-22</v>
      </c>
      <c r="I294" s="1188">
        <v>2039</v>
      </c>
      <c r="J294" s="1189">
        <f t="shared" si="52"/>
        <v>5.4497605067138494E-2</v>
      </c>
      <c r="K294" s="1190">
        <v>4.6293676061830998E-2</v>
      </c>
      <c r="L294" s="1191">
        <v>0</v>
      </c>
      <c r="M294" s="1191">
        <v>0</v>
      </c>
      <c r="N294" s="1192">
        <f>INDEX(AESC!$H$184:$H$216,MATCH(I294,AESC!$B$184:$B$216,0))</f>
        <v>4.1670693707046456E-3</v>
      </c>
    </row>
    <row r="295" spans="1:14" s="541" customFormat="1">
      <c r="A295" s="1182">
        <f t="shared" si="54"/>
        <v>23</v>
      </c>
      <c r="B295" s="1183">
        <f t="shared" si="53"/>
        <v>2043</v>
      </c>
      <c r="C295" s="1184">
        <f t="shared" si="49"/>
        <v>6.7096405884830901E-2</v>
      </c>
      <c r="D295" s="1185">
        <f t="shared" si="50"/>
        <v>0</v>
      </c>
      <c r="E295" s="1186">
        <f>NPV(realdiscrt1,C$273:C295)/(1+realdiscrt1)^-Half_Year</f>
        <v>0.94277564055612784</v>
      </c>
      <c r="F295" s="1186">
        <f>NPV(realdiscrt1,D$273:D295)/(1+realdiscrt1)^-Half_Year</f>
        <v>0</v>
      </c>
      <c r="G295" s="1187" t="str">
        <f t="shared" si="51"/>
        <v>2021-Summer Daily Charge-23</v>
      </c>
      <c r="I295" s="1188">
        <v>2040</v>
      </c>
      <c r="J295" s="1189">
        <f t="shared" si="52"/>
        <v>5.6629697155469422E-2</v>
      </c>
      <c r="K295" s="1190">
        <v>4.7955872145703064E-2</v>
      </c>
      <c r="L295" s="1191">
        <v>0</v>
      </c>
      <c r="M295" s="1191">
        <v>0</v>
      </c>
      <c r="N295" s="1192">
        <f>INDEX(AESC!$H$184:$H$216,MATCH(I295,AESC!$B$184:$B$216,0))</f>
        <v>4.4790326278797256E-3</v>
      </c>
    </row>
    <row r="296" spans="1:14" s="541" customFormat="1">
      <c r="A296" s="1182">
        <f t="shared" si="54"/>
        <v>24</v>
      </c>
      <c r="B296" s="1183">
        <f t="shared" si="53"/>
        <v>2044</v>
      </c>
      <c r="C296" s="1184">
        <f t="shared" si="49"/>
        <v>6.9752502326674876E-2</v>
      </c>
      <c r="D296" s="1185">
        <f t="shared" si="50"/>
        <v>0</v>
      </c>
      <c r="E296" s="1186">
        <f>NPV(realdiscrt1,C$273:C296)/(1+realdiscrt1)^-Half_Year</f>
        <v>0.99291960357833675</v>
      </c>
      <c r="F296" s="1186">
        <f>NPV(realdiscrt1,D$273:D296)/(1+realdiscrt1)^-Half_Year</f>
        <v>0</v>
      </c>
      <c r="G296" s="1187" t="str">
        <f t="shared" si="51"/>
        <v>2021-Summer Daily Charge-24</v>
      </c>
      <c r="I296" s="1188">
        <v>2041</v>
      </c>
      <c r="J296" s="1189">
        <f t="shared" si="52"/>
        <v>5.8851468910107119E-2</v>
      </c>
      <c r="K296" s="1190">
        <v>4.9677750157135811E-2</v>
      </c>
      <c r="L296" s="1191">
        <v>0</v>
      </c>
      <c r="M296" s="1191">
        <v>0</v>
      </c>
      <c r="N296" s="1192">
        <f>INDEX(AESC!$H$184:$H$216,MATCH(I296,AESC!$B$184:$B$216,0))</f>
        <v>4.8143506855559621E-3</v>
      </c>
    </row>
    <row r="297" spans="1:14" s="541" customFormat="1">
      <c r="A297" s="1182">
        <f t="shared" si="54"/>
        <v>25</v>
      </c>
      <c r="B297" s="1183">
        <f t="shared" si="53"/>
        <v>2045</v>
      </c>
      <c r="C297" s="1184">
        <f t="shared" si="49"/>
        <v>7.2522456198410287E-2</v>
      </c>
      <c r="D297" s="1185">
        <f t="shared" si="50"/>
        <v>0</v>
      </c>
      <c r="E297" s="1186">
        <f>NPV(realdiscrt1,C$273:C297)/(1+realdiscrt1)^-Half_Year</f>
        <v>1.0443277261611259</v>
      </c>
      <c r="F297" s="1186">
        <f>NPV(realdiscrt1,D$273:D297)/(1+realdiscrt1)^-Half_Year</f>
        <v>0</v>
      </c>
      <c r="G297" s="1187" t="str">
        <f t="shared" si="51"/>
        <v>2021-Summer Daily Charge-25</v>
      </c>
      <c r="I297" s="1188">
        <v>2042</v>
      </c>
      <c r="J297" s="1189">
        <f t="shared" si="52"/>
        <v>6.1167122978296844E-2</v>
      </c>
      <c r="K297" s="1190">
        <v>5.1461453003642924E-2</v>
      </c>
      <c r="L297" s="1191">
        <v>0</v>
      </c>
      <c r="M297" s="1191">
        <v>0</v>
      </c>
      <c r="N297" s="1192">
        <f>INDEX(AESC!$H$184:$H$216,MATCH(I297,AESC!$B$184:$B$216,0))</f>
        <v>5.1747719762615567E-3</v>
      </c>
    </row>
    <row r="298" spans="1:14" s="541" customFormat="1">
      <c r="A298" s="1182">
        <f t="shared" si="54"/>
        <v>26</v>
      </c>
      <c r="B298" s="1183">
        <f t="shared" si="53"/>
        <v>2046</v>
      </c>
      <c r="C298" s="1184">
        <f t="shared" si="49"/>
        <v>7.5411739767182739E-2</v>
      </c>
      <c r="D298" s="1185">
        <f t="shared" si="50"/>
        <v>0</v>
      </c>
      <c r="E298" s="1186">
        <f>NPV(realdiscrt1,C$273:C298)/(1+realdiscrt1)^-Half_Year</f>
        <v>1.0970384010350256</v>
      </c>
      <c r="F298" s="1186">
        <f>NPV(realdiscrt1,D$273:D298)/(1+realdiscrt1)^-Half_Year</f>
        <v>0</v>
      </c>
      <c r="G298" s="1187" t="str">
        <f t="shared" si="51"/>
        <v>2021-Summer Daily Charge-26</v>
      </c>
      <c r="I298" s="1188">
        <v>2043</v>
      </c>
      <c r="J298" s="1189">
        <f t="shared" si="52"/>
        <v>6.3581086470871157E-2</v>
      </c>
      <c r="K298" s="1190">
        <v>5.3309200534834303E-2</v>
      </c>
      <c r="L298" s="1191">
        <v>0</v>
      </c>
      <c r="M298" s="1191">
        <v>0</v>
      </c>
      <c r="N298" s="1192">
        <f>INDEX(AESC!$H$184:$H$216,MATCH(I298,AESC!$B$184:$B$216,0))</f>
        <v>5.5621758270834355E-3</v>
      </c>
    </row>
    <row r="299" spans="1:14" s="541" customFormat="1">
      <c r="A299" s="1182">
        <f t="shared" si="54"/>
        <v>27</v>
      </c>
      <c r="B299" s="1183">
        <f t="shared" si="53"/>
        <v>2047</v>
      </c>
      <c r="C299" s="1184">
        <f t="shared" si="49"/>
        <v>7.8426125408344496E-2</v>
      </c>
      <c r="D299" s="1185">
        <f t="shared" si="50"/>
        <v>0</v>
      </c>
      <c r="E299" s="1186">
        <f>NPV(realdiscrt1,C$273:C299)/(1+realdiscrt1)^-Half_Year</f>
        <v>1.1510915193168696</v>
      </c>
      <c r="F299" s="1186">
        <f>NPV(realdiscrt1,D$273:D299)/(1+realdiscrt1)^-Half_Year</f>
        <v>0</v>
      </c>
      <c r="G299" s="1187" t="str">
        <f t="shared" si="51"/>
        <v>2021-Summer Daily Charge-27</v>
      </c>
      <c r="I299" s="1188">
        <v>2044</v>
      </c>
      <c r="J299" s="1189">
        <f t="shared" si="52"/>
        <v>6.6098024529129121E-2</v>
      </c>
      <c r="K299" s="1190">
        <v>5.5223292305057993E-2</v>
      </c>
      <c r="L299" s="1191">
        <v>0</v>
      </c>
      <c r="M299" s="1191">
        <v>0</v>
      </c>
      <c r="N299" s="1192">
        <f>INDEX(AESC!$H$184:$H$216,MATCH(I299,AESC!$B$184:$B$216,0))</f>
        <v>5.9785822589504493E-3</v>
      </c>
    </row>
    <row r="300" spans="1:14" s="541" customFormat="1" ht="20.25">
      <c r="A300" s="1140">
        <f>Year2</f>
        <v>2022</v>
      </c>
      <c r="B300" s="1141" t="str">
        <f>Year2&amp;"$"</f>
        <v>2022$</v>
      </c>
      <c r="C300" s="1216"/>
      <c r="D300" s="1217"/>
      <c r="E300" s="1216"/>
      <c r="F300" s="1218"/>
      <c r="G300" s="1217"/>
      <c r="I300" s="1188">
        <v>2045</v>
      </c>
      <c r="J300" s="1189">
        <f t="shared" si="52"/>
        <v>6.8722854791146926E-2</v>
      </c>
      <c r="K300" s="1190">
        <v>5.7206110435236081E-2</v>
      </c>
      <c r="L300" s="1191">
        <v>0</v>
      </c>
      <c r="M300" s="1191">
        <v>0</v>
      </c>
      <c r="N300" s="1192">
        <f>INDEX(AESC!$H$184:$H$216,MATCH(I300,AESC!$B$184:$B$216,0))</f>
        <v>6.4261625195295869E-3</v>
      </c>
    </row>
    <row r="301" spans="1:14" s="541" customFormat="1">
      <c r="A301" s="1182">
        <v>1</v>
      </c>
      <c r="B301" s="1183">
        <f>Year2</f>
        <v>2022</v>
      </c>
      <c r="C301" s="1184">
        <f t="shared" ref="C301:C325" si="55">VLOOKUP($B301,$I$273:$N$305,C$12,FALSE)*(1+Inflation2)^(Year2-Real_Year)</f>
        <v>4.3189830007144658E-2</v>
      </c>
      <c r="D301" s="1185">
        <f t="shared" ref="D301:D325" si="56">VLOOKUP($B301,$I$273:$N$305,IF($A$17=Year1,D$12,D$12+1),FALSE)*(1+Inflation1)^(Year1-Real_Year)</f>
        <v>0</v>
      </c>
      <c r="E301" s="1186">
        <f>NPV(realdiscrt1,C$301:C301)/(1+realdiscrt2)^-Half_Year</f>
        <v>4.2887594030448568E-2</v>
      </c>
      <c r="F301" s="1186">
        <f>NPV(realdiscrt1,D$301:D301)/(1+realdiscrt2)^-Half_Year</f>
        <v>0</v>
      </c>
      <c r="G301" s="1187" t="str">
        <f t="shared" ref="G301:G325" si="57">$A$45&amp;"-"&amp;$A$268&amp;"-"&amp;A301</f>
        <v>2022-Summer Daily Charge-1</v>
      </c>
      <c r="I301" s="1188">
        <v>2046</v>
      </c>
      <c r="J301" s="1189">
        <f t="shared" si="52"/>
        <v>7.1460762820681492E-2</v>
      </c>
      <c r="K301" s="1190">
        <v>5.926012257745613E-2</v>
      </c>
      <c r="L301" s="1191">
        <v>0</v>
      </c>
      <c r="M301" s="1191">
        <v>0</v>
      </c>
      <c r="N301" s="1192">
        <f>INDEX(AESC!$H$184:$H$216,MATCH(I301,AESC!$B$184:$B$216,0))</f>
        <v>6.9072504046563642E-3</v>
      </c>
    </row>
    <row r="302" spans="1:14" s="541" customFormat="1">
      <c r="A302" s="1182">
        <v>2</v>
      </c>
      <c r="B302" s="1183">
        <f t="shared" ref="B302:B325" si="58">B301+1</f>
        <v>2023</v>
      </c>
      <c r="C302" s="1184">
        <f t="shared" si="55"/>
        <v>4.0569633596782007E-2</v>
      </c>
      <c r="D302" s="1185">
        <f t="shared" si="56"/>
        <v>0</v>
      </c>
      <c r="E302" s="1186">
        <f>NPV(realdiscrt1,C$301:C302)/(1+realdiscrt2)^-Half_Year</f>
        <v>8.261147309767429E-2</v>
      </c>
      <c r="F302" s="1186">
        <f>NPV(realdiscrt1,D$301:D302)/(1+realdiscrt2)^-Half_Year</f>
        <v>0</v>
      </c>
      <c r="G302" s="1187" t="str">
        <f t="shared" si="57"/>
        <v>2022-Summer Daily Charge-2</v>
      </c>
      <c r="I302" s="1188">
        <v>2047</v>
      </c>
      <c r="J302" s="1189">
        <f t="shared" si="52"/>
        <v>7.4317218566407023E-2</v>
      </c>
      <c r="K302" s="1190">
        <v>6.1387884986007668E-2</v>
      </c>
      <c r="L302" s="1191">
        <v>0</v>
      </c>
      <c r="M302" s="1191">
        <v>0</v>
      </c>
      <c r="N302" s="1192">
        <f>INDEX(AESC!$H$184:$H$216,MATCH(I302,AESC!$B$184:$B$216,0))</f>
        <v>7.4243544273321646E-3</v>
      </c>
    </row>
    <row r="303" spans="1:14" s="541" customFormat="1">
      <c r="A303" s="1182">
        <f t="shared" ref="A303:A325" si="59">A302+1</f>
        <v>3</v>
      </c>
      <c r="B303" s="1183">
        <f t="shared" si="58"/>
        <v>2024</v>
      </c>
      <c r="C303" s="1184">
        <f t="shared" si="55"/>
        <v>4.2815135317944543E-2</v>
      </c>
      <c r="D303" s="1185">
        <f t="shared" si="56"/>
        <v>0</v>
      </c>
      <c r="E303" s="1186">
        <f>NPV(realdiscrt1,C$301:C303)/(1+realdiscrt2)^-Half_Year</f>
        <v>0.12394935914570637</v>
      </c>
      <c r="F303" s="1186">
        <f>NPV(realdiscrt1,D$301:D303)/(1+realdiscrt2)^-Half_Year</f>
        <v>0</v>
      </c>
      <c r="G303" s="1187" t="str">
        <f t="shared" si="57"/>
        <v>2022-Summer Daily Charge-3</v>
      </c>
      <c r="I303" s="1188">
        <v>2048</v>
      </c>
      <c r="J303" s="1189">
        <f t="shared" si="52"/>
        <v>7.7297993924140565E-2</v>
      </c>
      <c r="K303" s="1190">
        <v>6.3592045698685692E-2</v>
      </c>
      <c r="L303" s="1191">
        <v>0</v>
      </c>
      <c r="M303" s="1191">
        <v>0</v>
      </c>
      <c r="N303" s="1192">
        <f>INDEX(AESC!$H$184:$H$216,MATCH(I303,AESC!$B$184:$B$216,0))</f>
        <v>7.9801708977407463E-3</v>
      </c>
    </row>
    <row r="304" spans="1:14" s="541" customFormat="1">
      <c r="A304" s="1182">
        <f t="shared" si="59"/>
        <v>4</v>
      </c>
      <c r="B304" s="1183">
        <f t="shared" si="58"/>
        <v>2025</v>
      </c>
      <c r="C304" s="1184">
        <f t="shared" si="55"/>
        <v>4.3323209768476291E-2</v>
      </c>
      <c r="D304" s="1185">
        <f t="shared" si="56"/>
        <v>0</v>
      </c>
      <c r="E304" s="1186">
        <f>NPV(realdiscrt1,C$301:C304)/(1+realdiscrt2)^-Half_Year</f>
        <v>0.16519441969038351</v>
      </c>
      <c r="F304" s="1186">
        <f>NPV(realdiscrt1,D$301:D304)/(1+realdiscrt2)^-Half_Year</f>
        <v>0</v>
      </c>
      <c r="G304" s="1187" t="str">
        <f t="shared" si="57"/>
        <v>2022-Summer Daily Charge-4</v>
      </c>
      <c r="I304" s="1188">
        <v>2049</v>
      </c>
      <c r="J304" s="1189">
        <f t="shared" si="52"/>
        <v>8.0409181479991251E-2</v>
      </c>
      <c r="K304" s="1190">
        <v>6.5875347832320311E-2</v>
      </c>
      <c r="L304" s="1191">
        <v>0</v>
      </c>
      <c r="M304" s="1191">
        <v>0</v>
      </c>
      <c r="N304" s="1192">
        <f>INDEX(AESC!$H$184:$H$216,MATCH(I304,AESC!$B$184:$B$216,0))</f>
        <v>8.5775979824864006E-3</v>
      </c>
    </row>
    <row r="305" spans="1:14" s="541" customFormat="1">
      <c r="A305" s="1182">
        <f t="shared" si="59"/>
        <v>5</v>
      </c>
      <c r="B305" s="1183">
        <f t="shared" si="58"/>
        <v>2026</v>
      </c>
      <c r="C305" s="1184">
        <f t="shared" si="55"/>
        <v>4.5360168996775738E-2</v>
      </c>
      <c r="D305" s="1185">
        <f t="shared" si="56"/>
        <v>0</v>
      </c>
      <c r="E305" s="1186">
        <f>NPV(realdiscrt1,C$301:C305)/(1+realdiscrt2)^-Half_Year</f>
        <v>0.20777644962856176</v>
      </c>
      <c r="F305" s="1186">
        <f>NPV(realdiscrt1,D$301:D305)/(1+realdiscrt2)^-Half_Year</f>
        <v>0</v>
      </c>
      <c r="G305" s="1187" t="str">
        <f t="shared" si="57"/>
        <v>2022-Summer Daily Charge-5</v>
      </c>
      <c r="I305" s="1193">
        <v>2050</v>
      </c>
      <c r="J305" s="1194">
        <f t="shared" si="52"/>
        <v>8.3657214518035858E-2</v>
      </c>
      <c r="K305" s="1195">
        <v>6.8240632996634007E-2</v>
      </c>
      <c r="L305" s="1207">
        <v>0</v>
      </c>
      <c r="M305" s="1207">
        <v>0</v>
      </c>
      <c r="N305" s="1197">
        <f>INDEX(AESC!$H$184:$H$216,MATCH(I305,AESC!$B$184:$B$216,0))</f>
        <v>9.2197508163621572E-3</v>
      </c>
    </row>
    <row r="306" spans="1:14" s="541" customFormat="1">
      <c r="A306" s="1182">
        <f t="shared" si="59"/>
        <v>6</v>
      </c>
      <c r="B306" s="1183">
        <f t="shared" si="58"/>
        <v>2027</v>
      </c>
      <c r="C306" s="1184">
        <f t="shared" si="55"/>
        <v>4.1289751955236438E-2</v>
      </c>
      <c r="D306" s="1185">
        <f t="shared" si="56"/>
        <v>0</v>
      </c>
      <c r="E306" s="1186">
        <f>NPV(realdiscrt1,C$301:C306)/(1+realdiscrt2)^-Half_Year</f>
        <v>0.24599677219585203</v>
      </c>
      <c r="F306" s="1186">
        <f>NPV(realdiscrt1,D$301:D306)/(1+realdiscrt2)^-Half_Year</f>
        <v>0</v>
      </c>
      <c r="G306" s="1187" t="str">
        <f t="shared" si="57"/>
        <v>2022-Summer Daily Charge-6</v>
      </c>
    </row>
    <row r="307" spans="1:14" s="541" customFormat="1">
      <c r="A307" s="1182">
        <f t="shared" si="59"/>
        <v>7</v>
      </c>
      <c r="B307" s="1183">
        <f t="shared" si="58"/>
        <v>2028</v>
      </c>
      <c r="C307" s="1184">
        <f t="shared" si="55"/>
        <v>4.4233196305853949E-2</v>
      </c>
      <c r="D307" s="1185">
        <f t="shared" si="56"/>
        <v>0</v>
      </c>
      <c r="E307" s="1186">
        <f>NPV(realdiscrt1,C$301:C307)/(1+realdiscrt2)^-Half_Year</f>
        <v>0.28637067879897882</v>
      </c>
      <c r="F307" s="1186">
        <f>NPV(realdiscrt1,D$301:D307)/(1+realdiscrt2)^-Half_Year</f>
        <v>0</v>
      </c>
      <c r="G307" s="1187" t="str">
        <f t="shared" si="57"/>
        <v>2022-Summer Daily Charge-7</v>
      </c>
    </row>
    <row r="308" spans="1:14" s="541" customFormat="1">
      <c r="A308" s="1182">
        <f t="shared" si="59"/>
        <v>8</v>
      </c>
      <c r="B308" s="1183">
        <f t="shared" si="58"/>
        <v>2029</v>
      </c>
      <c r="C308" s="1184">
        <f t="shared" si="55"/>
        <v>4.3118791800464025E-2</v>
      </c>
      <c r="D308" s="1185">
        <f t="shared" si="56"/>
        <v>0</v>
      </c>
      <c r="E308" s="1186">
        <f>NPV(realdiscrt1,C$301:C308)/(1+realdiscrt2)^-Half_Year</f>
        <v>0.32517851349200688</v>
      </c>
      <c r="F308" s="1186">
        <f>NPV(realdiscrt1,D$301:D308)/(1+realdiscrt2)^-Half_Year</f>
        <v>0</v>
      </c>
      <c r="G308" s="1187" t="str">
        <f t="shared" si="57"/>
        <v>2022-Summer Daily Charge-8</v>
      </c>
    </row>
    <row r="309" spans="1:14" s="541" customFormat="1">
      <c r="A309" s="1182">
        <f t="shared" si="59"/>
        <v>9</v>
      </c>
      <c r="B309" s="1183">
        <f t="shared" si="58"/>
        <v>2030</v>
      </c>
      <c r="C309" s="1184">
        <f t="shared" si="55"/>
        <v>4.7522602061120078E-2</v>
      </c>
      <c r="D309" s="1185">
        <f t="shared" si="56"/>
        <v>0</v>
      </c>
      <c r="E309" s="1186">
        <f>NPV(realdiscrt1,C$301:C309)/(1+realdiscrt2)^-Half_Year</f>
        <v>0.36735335095680238</v>
      </c>
      <c r="F309" s="1186">
        <f>NPV(realdiscrt1,D$301:D309)/(1+realdiscrt2)^-Half_Year</f>
        <v>0</v>
      </c>
      <c r="G309" s="1187" t="str">
        <f t="shared" si="57"/>
        <v>2022-Summer Daily Charge-9</v>
      </c>
    </row>
    <row r="310" spans="1:14" s="541" customFormat="1">
      <c r="A310" s="1182">
        <f t="shared" si="59"/>
        <v>10</v>
      </c>
      <c r="B310" s="1183">
        <f t="shared" si="58"/>
        <v>2031</v>
      </c>
      <c r="C310" s="1184">
        <f t="shared" si="55"/>
        <v>4.3222366057402775E-2</v>
      </c>
      <c r="D310" s="1185">
        <f t="shared" si="56"/>
        <v>0</v>
      </c>
      <c r="E310" s="1186">
        <f>NPV(realdiscrt1,C$301:C310)/(1+realdiscrt2)^-Half_Year</f>
        <v>0.40517688630845639</v>
      </c>
      <c r="F310" s="1186">
        <f>NPV(realdiscrt1,D$301:D310)/(1+realdiscrt2)^-Half_Year</f>
        <v>0</v>
      </c>
      <c r="G310" s="1187" t="str">
        <f t="shared" si="57"/>
        <v>2022-Summer Daily Charge-10</v>
      </c>
    </row>
    <row r="311" spans="1:14" s="541" customFormat="1">
      <c r="A311" s="1182">
        <f t="shared" si="59"/>
        <v>11</v>
      </c>
      <c r="B311" s="1183">
        <f t="shared" si="58"/>
        <v>2032</v>
      </c>
      <c r="C311" s="1184">
        <f t="shared" si="55"/>
        <v>4.2455211415547325E-2</v>
      </c>
      <c r="D311" s="1185">
        <f t="shared" si="56"/>
        <v>0</v>
      </c>
      <c r="E311" s="1186">
        <f>NPV(realdiscrt1,C$301:C311)/(1+realdiscrt2)^-Half_Year</f>
        <v>0.44181093915947445</v>
      </c>
      <c r="F311" s="1186">
        <f>NPV(realdiscrt1,D$301:D311)/(1+realdiscrt2)^-Half_Year</f>
        <v>0</v>
      </c>
      <c r="G311" s="1187" t="str">
        <f t="shared" si="57"/>
        <v>2022-Summer Daily Charge-11</v>
      </c>
    </row>
    <row r="312" spans="1:14" s="541" customFormat="1">
      <c r="A312" s="1182">
        <f t="shared" si="59"/>
        <v>12</v>
      </c>
      <c r="B312" s="1183">
        <f t="shared" si="58"/>
        <v>2033</v>
      </c>
      <c r="C312" s="1184">
        <f t="shared" si="55"/>
        <v>4.2418477707225281E-2</v>
      </c>
      <c r="D312" s="1185">
        <f t="shared" si="56"/>
        <v>0</v>
      </c>
      <c r="E312" s="1186">
        <f>NPV(realdiscrt1,C$301:C312)/(1+realdiscrt2)^-Half_Year</f>
        <v>0.47790281174963017</v>
      </c>
      <c r="F312" s="1186">
        <f>NPV(realdiscrt1,D$301:D312)/(1+realdiscrt2)^-Half_Year</f>
        <v>0</v>
      </c>
      <c r="G312" s="1187" t="str">
        <f t="shared" si="57"/>
        <v>2022-Summer Daily Charge-12</v>
      </c>
    </row>
    <row r="313" spans="1:14" s="541" customFormat="1">
      <c r="A313" s="1182">
        <f t="shared" si="59"/>
        <v>13</v>
      </c>
      <c r="B313" s="1183">
        <f t="shared" si="58"/>
        <v>2034</v>
      </c>
      <c r="C313" s="1184">
        <f t="shared" si="55"/>
        <v>4.4454361374092054E-2</v>
      </c>
      <c r="D313" s="1185">
        <f t="shared" si="56"/>
        <v>0</v>
      </c>
      <c r="E313" s="1186">
        <f>NPV(realdiscrt1,C$301:C313)/(1+realdiscrt2)^-Half_Year</f>
        <v>0.51519939858741148</v>
      </c>
      <c r="F313" s="1186">
        <f>NPV(realdiscrt1,D$301:D313)/(1+realdiscrt2)^-Half_Year</f>
        <v>0</v>
      </c>
      <c r="G313" s="1187" t="str">
        <f t="shared" si="57"/>
        <v>2022-Summer Daily Charge-13</v>
      </c>
    </row>
    <row r="314" spans="1:14" s="541" customFormat="1">
      <c r="A314" s="1182">
        <f t="shared" si="59"/>
        <v>14</v>
      </c>
      <c r="B314" s="1183">
        <f t="shared" si="58"/>
        <v>2035</v>
      </c>
      <c r="C314" s="1184">
        <f t="shared" si="55"/>
        <v>5.0269766076209879E-2</v>
      </c>
      <c r="D314" s="1185">
        <f t="shared" si="56"/>
        <v>0</v>
      </c>
      <c r="E314" s="1186">
        <f>NPV(realdiscrt1,C$301:C314)/(1+realdiscrt2)^-Half_Year</f>
        <v>0.55678681637956118</v>
      </c>
      <c r="F314" s="1186">
        <f>NPV(realdiscrt1,D$301:D314)/(1+realdiscrt2)^-Half_Year</f>
        <v>0</v>
      </c>
      <c r="G314" s="1187" t="str">
        <f t="shared" si="57"/>
        <v>2022-Summer Daily Charge-14</v>
      </c>
    </row>
    <row r="315" spans="1:14" s="541" customFormat="1">
      <c r="A315" s="1182">
        <f t="shared" si="59"/>
        <v>15</v>
      </c>
      <c r="B315" s="1183">
        <f t="shared" si="58"/>
        <v>2036</v>
      </c>
      <c r="C315" s="1184">
        <f t="shared" si="55"/>
        <v>5.2215850624285312E-2</v>
      </c>
      <c r="D315" s="1185">
        <f t="shared" si="56"/>
        <v>0</v>
      </c>
      <c r="E315" s="1186">
        <f>NPV(realdiscrt1,C$301:C315)/(1+realdiscrt2)^-Half_Year</f>
        <v>0.59938173820237128</v>
      </c>
      <c r="F315" s="1186">
        <f>NPV(realdiscrt1,D$301:D315)/(1+realdiscrt2)^-Half_Year</f>
        <v>0</v>
      </c>
      <c r="G315" s="1187" t="str">
        <f t="shared" si="57"/>
        <v>2022-Summer Daily Charge-15</v>
      </c>
    </row>
    <row r="316" spans="1:14" s="541" customFormat="1">
      <c r="A316" s="1182">
        <f t="shared" si="59"/>
        <v>16</v>
      </c>
      <c r="B316" s="1183">
        <f t="shared" si="58"/>
        <v>2037</v>
      </c>
      <c r="C316" s="1184">
        <f t="shared" si="55"/>
        <v>5.4242375429346457E-2</v>
      </c>
      <c r="D316" s="1185">
        <f t="shared" si="56"/>
        <v>0</v>
      </c>
      <c r="E316" s="1186">
        <f>NPV(realdiscrt1,C$301:C316)/(1+realdiscrt2)^-Half_Year</f>
        <v>0.64301267578340116</v>
      </c>
      <c r="F316" s="1186">
        <f>NPV(realdiscrt1,D$301:D316)/(1+realdiscrt2)^-Half_Year</f>
        <v>0</v>
      </c>
      <c r="G316" s="1187" t="str">
        <f t="shared" si="57"/>
        <v>2022-Summer Daily Charge-16</v>
      </c>
    </row>
    <row r="317" spans="1:14" s="541" customFormat="1">
      <c r="A317" s="1182">
        <f t="shared" si="59"/>
        <v>17</v>
      </c>
      <c r="B317" s="1183">
        <f t="shared" si="58"/>
        <v>2038</v>
      </c>
      <c r="C317" s="1184">
        <f t="shared" si="55"/>
        <v>5.6353019687601411E-2</v>
      </c>
      <c r="D317" s="1185">
        <f t="shared" si="56"/>
        <v>0</v>
      </c>
      <c r="E317" s="1186">
        <f>NPV(realdiscrt1,C$301:C317)/(1+realdiscrt2)^-Half_Year</f>
        <v>0.68770916534347026</v>
      </c>
      <c r="F317" s="1186">
        <f>NPV(realdiscrt1,D$301:D317)/(1+realdiscrt2)^-Half_Year</f>
        <v>0</v>
      </c>
      <c r="G317" s="1187" t="str">
        <f t="shared" si="57"/>
        <v>2022-Summer Daily Charge-17</v>
      </c>
    </row>
    <row r="318" spans="1:14" s="541" customFormat="1">
      <c r="A318" s="1182">
        <f t="shared" si="59"/>
        <v>18</v>
      </c>
      <c r="B318" s="1183">
        <f t="shared" si="58"/>
        <v>2039</v>
      </c>
      <c r="C318" s="1184">
        <f t="shared" si="55"/>
        <v>5.8551653912244241E-2</v>
      </c>
      <c r="D318" s="1185">
        <f t="shared" si="56"/>
        <v>0</v>
      </c>
      <c r="E318" s="1186">
        <f>NPV(realdiscrt1,C$301:C318)/(1+realdiscrt2)^-Half_Year</f>
        <v>0.73350181428920258</v>
      </c>
      <c r="F318" s="1186">
        <f>NPV(realdiscrt1,D$301:D318)/(1+realdiscrt2)^-Half_Year</f>
        <v>0</v>
      </c>
      <c r="G318" s="1187" t="str">
        <f t="shared" si="57"/>
        <v>2022-Summer Daily Charge-18</v>
      </c>
    </row>
    <row r="319" spans="1:14" s="541" customFormat="1">
      <c r="A319" s="1182">
        <f t="shared" si="59"/>
        <v>19</v>
      </c>
      <c r="B319" s="1183">
        <f t="shared" si="58"/>
        <v>2040</v>
      </c>
      <c r="C319" s="1184">
        <f t="shared" si="55"/>
        <v>6.0842351235754009E-2</v>
      </c>
      <c r="D319" s="1185">
        <f t="shared" si="56"/>
        <v>0</v>
      </c>
      <c r="E319" s="1186">
        <f>NPV(realdiscrt1,C$301:C319)/(1+realdiscrt2)^-Half_Year</f>
        <v>0.78042235038690311</v>
      </c>
      <c r="F319" s="1186">
        <f>NPV(realdiscrt1,D$301:D319)/(1+realdiscrt2)^-Half_Year</f>
        <v>0</v>
      </c>
      <c r="G319" s="1187" t="str">
        <f t="shared" si="57"/>
        <v>2022-Summer Daily Charge-19</v>
      </c>
    </row>
    <row r="320" spans="1:14" s="541" customFormat="1">
      <c r="A320" s="1182">
        <f t="shared" si="59"/>
        <v>20</v>
      </c>
      <c r="B320" s="1183">
        <f t="shared" si="58"/>
        <v>2041</v>
      </c>
      <c r="C320" s="1184">
        <f t="shared" si="55"/>
        <v>6.3229399449877974E-2</v>
      </c>
      <c r="D320" s="1185">
        <f t="shared" si="56"/>
        <v>0</v>
      </c>
      <c r="E320" s="1186">
        <f>NPV(realdiscrt1,C$301:C320)/(1+realdiscrt2)^-Half_Year</f>
        <v>0.82850367355958721</v>
      </c>
      <c r="F320" s="1186">
        <f>NPV(realdiscrt1,D$301:D320)/(1+realdiscrt2)^-Half_Year</f>
        <v>0</v>
      </c>
      <c r="G320" s="1187" t="str">
        <f t="shared" si="57"/>
        <v>2022-Summer Daily Charge-20</v>
      </c>
    </row>
    <row r="321" spans="1:7" s="541" customFormat="1">
      <c r="A321" s="1182">
        <f t="shared" si="59"/>
        <v>21</v>
      </c>
      <c r="B321" s="1183">
        <f t="shared" si="58"/>
        <v>2042</v>
      </c>
      <c r="C321" s="1184">
        <f t="shared" si="55"/>
        <v>6.571731383463103E-2</v>
      </c>
      <c r="D321" s="1185">
        <f t="shared" si="56"/>
        <v>0</v>
      </c>
      <c r="E321" s="1186">
        <f>NPV(realdiscrt1,C$301:C321)/(1+realdiscrt2)^-Half_Year</f>
        <v>0.8777799104573295</v>
      </c>
      <c r="F321" s="1186">
        <f>NPV(realdiscrt1,D$301:D321)/(1+realdiscrt2)^-Half_Year</f>
        <v>0</v>
      </c>
      <c r="G321" s="1187" t="str">
        <f t="shared" si="57"/>
        <v>2022-Summer Daily Charge-21</v>
      </c>
    </row>
    <row r="322" spans="1:7" s="541" customFormat="1">
      <c r="A322" s="1182">
        <f t="shared" si="59"/>
        <v>22</v>
      </c>
      <c r="B322" s="1183">
        <f t="shared" si="58"/>
        <v>2043</v>
      </c>
      <c r="C322" s="1184">
        <f t="shared" si="55"/>
        <v>6.8310850831346345E-2</v>
      </c>
      <c r="D322" s="1185">
        <f t="shared" si="56"/>
        <v>0</v>
      </c>
      <c r="E322" s="1186">
        <f>NPV(realdiscrt1,C$301:C322)/(1+realdiscrt2)^-Half_Year</f>
        <v>0.92828647195994407</v>
      </c>
      <c r="F322" s="1186">
        <f>NPV(realdiscrt1,D$301:D322)/(1+realdiscrt2)^-Half_Year</f>
        <v>0</v>
      </c>
      <c r="G322" s="1187" t="str">
        <f t="shared" si="57"/>
        <v>2022-Summer Daily Charge-22</v>
      </c>
    </row>
    <row r="323" spans="1:7" s="541" customFormat="1">
      <c r="A323" s="1182">
        <f t="shared" si="59"/>
        <v>23</v>
      </c>
      <c r="B323" s="1183">
        <f t="shared" si="58"/>
        <v>2044</v>
      </c>
      <c r="C323" s="1184">
        <f t="shared" si="55"/>
        <v>7.1015022618787685E-2</v>
      </c>
      <c r="D323" s="1185">
        <f t="shared" si="56"/>
        <v>0</v>
      </c>
      <c r="E323" s="1186">
        <f>NPV(realdiscrt1,C$301:C323)/(1+realdiscrt2)^-Half_Year</f>
        <v>0.98006011378037494</v>
      </c>
      <c r="F323" s="1186">
        <f>NPV(realdiscrt1,D$301:D323)/(1+realdiscrt2)^-Half_Year</f>
        <v>0</v>
      </c>
      <c r="G323" s="1187" t="str">
        <f t="shared" si="57"/>
        <v>2022-Summer Daily Charge-23</v>
      </c>
    </row>
    <row r="324" spans="1:7" s="541" customFormat="1">
      <c r="A324" s="1182">
        <f t="shared" si="59"/>
        <v>24</v>
      </c>
      <c r="B324" s="1183">
        <f t="shared" si="58"/>
        <v>2045</v>
      </c>
      <c r="C324" s="1184">
        <f t="shared" si="55"/>
        <v>7.3835112655601512E-2</v>
      </c>
      <c r="D324" s="1185">
        <f t="shared" si="56"/>
        <v>0</v>
      </c>
      <c r="E324" s="1186">
        <f>NPV(realdiscrt1,C$301:C324)/(1+realdiscrt2)^-Half_Year</f>
        <v>1.0331390003471044</v>
      </c>
      <c r="F324" s="1186">
        <f>NPV(realdiscrt1,D$301:D324)/(1+realdiscrt2)^-Half_Year</f>
        <v>0</v>
      </c>
      <c r="G324" s="1187" t="str">
        <f t="shared" si="57"/>
        <v>2022-Summer Daily Charge-24</v>
      </c>
    </row>
    <row r="325" spans="1:7" s="541" customFormat="1">
      <c r="A325" s="1182">
        <f t="shared" si="59"/>
        <v>25</v>
      </c>
      <c r="B325" s="1183">
        <f t="shared" si="58"/>
        <v>2046</v>
      </c>
      <c r="C325" s="1184">
        <f t="shared" si="55"/>
        <v>7.6776692256968759E-2</v>
      </c>
      <c r="D325" s="1185">
        <f t="shared" si="56"/>
        <v>0</v>
      </c>
      <c r="E325" s="1224">
        <f>NPV(realdiscrt1,C$301:C325)/(1+realdiscrt2)^-Half_Year</f>
        <v>1.0875627721544063</v>
      </c>
      <c r="F325" s="1199">
        <f>NPV(realdiscrt1,D$301:D325)/(1+realdiscrt2)^-Half_Year</f>
        <v>0</v>
      </c>
      <c r="G325" s="1187" t="str">
        <f t="shared" si="57"/>
        <v>2022-Summer Daily Charge-25</v>
      </c>
    </row>
    <row r="326" spans="1:7" s="541" customFormat="1" ht="20.25">
      <c r="A326" s="1140">
        <f>Year3</f>
        <v>2023</v>
      </c>
      <c r="B326" s="1141" t="str">
        <f>Year3&amp;"$"</f>
        <v>2023$</v>
      </c>
      <c r="C326" s="1216"/>
      <c r="D326" s="1217"/>
      <c r="E326" s="1232"/>
      <c r="F326" s="1233"/>
      <c r="G326" s="1217"/>
    </row>
    <row r="327" spans="1:7" s="541" customFormat="1">
      <c r="A327" s="1182">
        <v>1</v>
      </c>
      <c r="B327" s="1183">
        <f>Year3</f>
        <v>2023</v>
      </c>
      <c r="C327" s="1219">
        <f t="shared" ref="C327:C351" si="60">VLOOKUP($B327,$I$273:$N$305,C$12,FALSE)*(1+Inflation3)^(Year3-Real_Year)</f>
        <v>4.1303943964883766E-2</v>
      </c>
      <c r="D327" s="1185">
        <f t="shared" ref="D327:D351" si="61">VLOOKUP($B327,$I$273:$N$305,IF($A$17=Year1,D$12,D$12+1),FALSE)*(1+Inflation1)^(Year1-Real_Year)</f>
        <v>0</v>
      </c>
      <c r="E327" s="1225">
        <f>NPV(realdiscrt1,C$327:C327)/(1+realdiscrt3)^-Half_Year</f>
        <v>4.1014905136910557E-2</v>
      </c>
      <c r="F327" s="1226">
        <f>NPV(realdiscrt1,D$327:D327)/(1+realdiscrt3)^-Half_Year</f>
        <v>0</v>
      </c>
      <c r="G327" s="1187" t="str">
        <f t="shared" ref="G327:G351" si="62">$A$71&amp;"-"&amp;$A$268&amp;"-"&amp;A327</f>
        <v>2023-Summer Daily Charge-1</v>
      </c>
    </row>
    <row r="328" spans="1:7" s="541" customFormat="1">
      <c r="A328" s="1182">
        <v>2</v>
      </c>
      <c r="B328" s="1183">
        <f t="shared" ref="B328:B351" si="63">B327+1</f>
        <v>2024</v>
      </c>
      <c r="C328" s="1220">
        <f t="shared" si="60"/>
        <v>4.3590089267199338E-2</v>
      </c>
      <c r="D328" s="1185">
        <f t="shared" si="61"/>
        <v>0</v>
      </c>
      <c r="E328" s="1227">
        <f>NPV(realdiscrt1,C$327:C328)/(1+realdiscrt3)^-Half_Year</f>
        <v>8.3696272481503686E-2</v>
      </c>
      <c r="F328" s="1198">
        <f>NPV(realdiscrt1,D$327:D328)/(1+realdiscrt3)^-Half_Year</f>
        <v>0</v>
      </c>
      <c r="G328" s="1187" t="str">
        <f t="shared" si="62"/>
        <v>2023-Summer Daily Charge-2</v>
      </c>
    </row>
    <row r="329" spans="1:7" s="541" customFormat="1">
      <c r="A329" s="1182">
        <f t="shared" ref="A329:A351" si="64">A328+1</f>
        <v>3</v>
      </c>
      <c r="B329" s="1183">
        <f t="shared" si="63"/>
        <v>2025</v>
      </c>
      <c r="C329" s="1220">
        <f t="shared" si="60"/>
        <v>4.410735986528571E-2</v>
      </c>
      <c r="D329" s="1185">
        <f t="shared" si="61"/>
        <v>0</v>
      </c>
      <c r="E329" s="1227">
        <f>NPV(realdiscrt1,C$327:C329)/(1+realdiscrt3)^-Half_Year</f>
        <v>0.12628179749388282</v>
      </c>
      <c r="F329" s="1198">
        <f>NPV(realdiscrt1,D$327:D329)/(1+realdiscrt3)^-Half_Year</f>
        <v>0</v>
      </c>
      <c r="G329" s="1187" t="str">
        <f t="shared" si="62"/>
        <v>2023-Summer Daily Charge-3</v>
      </c>
    </row>
    <row r="330" spans="1:7" s="541" customFormat="1">
      <c r="A330" s="1182">
        <f t="shared" si="64"/>
        <v>4</v>
      </c>
      <c r="B330" s="1183">
        <f t="shared" si="63"/>
        <v>2026</v>
      </c>
      <c r="C330" s="1220">
        <f t="shared" si="60"/>
        <v>4.6181188055617377E-2</v>
      </c>
      <c r="D330" s="1185">
        <f t="shared" si="61"/>
        <v>0</v>
      </c>
      <c r="E330" s="1227">
        <f>NPV(realdiscrt1,C$327:C330)/(1+realdiscrt3)^-Half_Year</f>
        <v>0.17024774340505186</v>
      </c>
      <c r="F330" s="1198">
        <f>NPV(realdiscrt1,D$327:D330)/(1+realdiscrt3)^-Half_Year</f>
        <v>0</v>
      </c>
      <c r="G330" s="1187" t="str">
        <f t="shared" si="62"/>
        <v>2023-Summer Daily Charge-4</v>
      </c>
    </row>
    <row r="331" spans="1:7" s="541" customFormat="1">
      <c r="A331" s="1182">
        <f t="shared" si="64"/>
        <v>5</v>
      </c>
      <c r="B331" s="1183">
        <f t="shared" si="63"/>
        <v>2027</v>
      </c>
      <c r="C331" s="1220">
        <f t="shared" si="60"/>
        <v>4.2037096465626214E-2</v>
      </c>
      <c r="D331" s="1185">
        <f t="shared" si="61"/>
        <v>0</v>
      </c>
      <c r="E331" s="1227">
        <f>NPV(realdiscrt1,C$327:C331)/(1+realdiscrt3)^-Half_Year</f>
        <v>0.20971022645577905</v>
      </c>
      <c r="F331" s="1198">
        <f>NPV(realdiscrt1,D$327:D331)/(1+realdiscrt3)^-Half_Year</f>
        <v>0</v>
      </c>
      <c r="G331" s="1187" t="str">
        <f t="shared" si="62"/>
        <v>2023-Summer Daily Charge-5</v>
      </c>
    </row>
    <row r="332" spans="1:7" s="541" customFormat="1">
      <c r="A332" s="1182">
        <f t="shared" si="64"/>
        <v>6</v>
      </c>
      <c r="B332" s="1183">
        <f t="shared" si="63"/>
        <v>2028</v>
      </c>
      <c r="C332" s="1220">
        <f t="shared" si="60"/>
        <v>4.5033817158989908E-2</v>
      </c>
      <c r="D332" s="1185">
        <f t="shared" si="61"/>
        <v>0</v>
      </c>
      <c r="E332" s="1227">
        <f>NPV(realdiscrt1,C$327:C332)/(1+realdiscrt3)^-Half_Year</f>
        <v>0.25139628502350747</v>
      </c>
      <c r="F332" s="1198">
        <f>NPV(realdiscrt1,D$327:D332)/(1+realdiscrt3)^-Half_Year</f>
        <v>0</v>
      </c>
      <c r="G332" s="1187" t="str">
        <f t="shared" si="62"/>
        <v>2023-Summer Daily Charge-6</v>
      </c>
    </row>
    <row r="333" spans="1:7" s="541" customFormat="1">
      <c r="A333" s="1182">
        <f t="shared" si="64"/>
        <v>7</v>
      </c>
      <c r="B333" s="1183">
        <f t="shared" si="63"/>
        <v>2029</v>
      </c>
      <c r="C333" s="1220">
        <f t="shared" si="60"/>
        <v>4.3899241932052427E-2</v>
      </c>
      <c r="D333" s="1185">
        <f t="shared" si="61"/>
        <v>0</v>
      </c>
      <c r="E333" s="1227">
        <f>NPV(realdiscrt1,C$327:C333)/(1+realdiscrt3)^-Half_Year</f>
        <v>0.291465374344059</v>
      </c>
      <c r="F333" s="1198">
        <f>NPV(realdiscrt1,D$327:D333)/(1+realdiscrt3)^-Half_Year</f>
        <v>0</v>
      </c>
      <c r="G333" s="1187" t="str">
        <f t="shared" si="62"/>
        <v>2023-Summer Daily Charge-7</v>
      </c>
    </row>
    <row r="334" spans="1:7" s="541" customFormat="1">
      <c r="A334" s="1182">
        <f t="shared" si="64"/>
        <v>8</v>
      </c>
      <c r="B334" s="1183">
        <f t="shared" si="63"/>
        <v>2030</v>
      </c>
      <c r="C334" s="1220">
        <f t="shared" si="60"/>
        <v>4.8382761158426359E-2</v>
      </c>
      <c r="D334" s="1185">
        <f t="shared" si="61"/>
        <v>0</v>
      </c>
      <c r="E334" s="1227">
        <f>NPV(realdiscrt1,C$327:C334)/(1+realdiscrt3)^-Half_Year</f>
        <v>0.33501089402646028</v>
      </c>
      <c r="F334" s="1198">
        <f>NPV(realdiscrt1,D$327:D334)/(1+realdiscrt3)^-Half_Year</f>
        <v>0</v>
      </c>
      <c r="G334" s="1187" t="str">
        <f t="shared" si="62"/>
        <v>2023-Summer Daily Charge-8</v>
      </c>
    </row>
    <row r="335" spans="1:7" s="541" customFormat="1">
      <c r="A335" s="1182">
        <f t="shared" si="64"/>
        <v>9</v>
      </c>
      <c r="B335" s="1183">
        <f t="shared" si="63"/>
        <v>2031</v>
      </c>
      <c r="C335" s="1220">
        <f t="shared" si="60"/>
        <v>4.4004690883041771E-2</v>
      </c>
      <c r="D335" s="1185">
        <f t="shared" si="61"/>
        <v>0</v>
      </c>
      <c r="E335" s="1227">
        <f>NPV(realdiscrt1,C$327:C335)/(1+realdiscrt3)^-Half_Year</f>
        <v>0.374063694277043</v>
      </c>
      <c r="F335" s="1198">
        <f>NPV(realdiscrt1,D$327:D335)/(1+realdiscrt3)^-Half_Year</f>
        <v>0</v>
      </c>
      <c r="G335" s="1187" t="str">
        <f t="shared" si="62"/>
        <v>2023-Summer Daily Charge-9</v>
      </c>
    </row>
    <row r="336" spans="1:7" s="541" customFormat="1">
      <c r="A336" s="1182">
        <f t="shared" si="64"/>
        <v>10</v>
      </c>
      <c r="B336" s="1183">
        <f t="shared" si="63"/>
        <v>2032</v>
      </c>
      <c r="C336" s="1220">
        <f t="shared" si="60"/>
        <v>4.3223650742168732E-2</v>
      </c>
      <c r="D336" s="1185">
        <f t="shared" si="61"/>
        <v>0</v>
      </c>
      <c r="E336" s="1227">
        <f>NPV(realdiscrt1,C$327:C336)/(1+realdiscrt3)^-Half_Year</f>
        <v>0.4118883538457192</v>
      </c>
      <c r="F336" s="1198">
        <f>NPV(realdiscrt1,D$327:D336)/(1+realdiscrt3)^-Half_Year</f>
        <v>0</v>
      </c>
      <c r="G336" s="1187" t="str">
        <f t="shared" si="62"/>
        <v>2023-Summer Daily Charge-10</v>
      </c>
    </row>
    <row r="337" spans="1:17" s="541" customFormat="1">
      <c r="A337" s="1182">
        <f t="shared" si="64"/>
        <v>11</v>
      </c>
      <c r="B337" s="1183">
        <f t="shared" si="63"/>
        <v>2033</v>
      </c>
      <c r="C337" s="1220">
        <f t="shared" si="60"/>
        <v>4.3186252153726061E-2</v>
      </c>
      <c r="D337" s="1185">
        <f t="shared" si="61"/>
        <v>0</v>
      </c>
      <c r="E337" s="1227">
        <f>NPV(realdiscrt1,C$327:C337)/(1+realdiscrt3)^-Half_Year</f>
        <v>0.44915321229505489</v>
      </c>
      <c r="F337" s="1198">
        <f>NPV(realdiscrt1,D$327:D337)/(1+realdiscrt3)^-Half_Year</f>
        <v>0</v>
      </c>
      <c r="G337" s="1187" t="str">
        <f t="shared" si="62"/>
        <v>2023-Summer Daily Charge-11</v>
      </c>
    </row>
    <row r="338" spans="1:17" s="541" customFormat="1">
      <c r="A338" s="1182">
        <f t="shared" si="64"/>
        <v>12</v>
      </c>
      <c r="B338" s="1183">
        <f t="shared" si="63"/>
        <v>2034</v>
      </c>
      <c r="C338" s="1220">
        <f t="shared" si="60"/>
        <v>4.525898531496312E-2</v>
      </c>
      <c r="D338" s="1185">
        <f t="shared" si="61"/>
        <v>0</v>
      </c>
      <c r="E338" s="1227">
        <f>NPV(realdiscrt1,C$327:C338)/(1+realdiscrt3)^-Half_Year</f>
        <v>0.48766193820506415</v>
      </c>
      <c r="F338" s="1198">
        <f>NPV(realdiscrt1,D$327:D338)/(1+realdiscrt3)^-Half_Year</f>
        <v>0</v>
      </c>
      <c r="G338" s="1187" t="str">
        <f t="shared" si="62"/>
        <v>2023-Summer Daily Charge-12</v>
      </c>
    </row>
    <row r="339" spans="1:17" s="541" customFormat="1">
      <c r="A339" s="1182">
        <f t="shared" si="64"/>
        <v>13</v>
      </c>
      <c r="B339" s="1183">
        <f t="shared" si="63"/>
        <v>2035</v>
      </c>
      <c r="C339" s="1220">
        <f t="shared" si="60"/>
        <v>5.1179648842189278E-2</v>
      </c>
      <c r="D339" s="1185">
        <f t="shared" si="61"/>
        <v>0</v>
      </c>
      <c r="E339" s="1227">
        <f>NPV(realdiscrt1,C$327:C339)/(1+realdiscrt3)^-Half_Year</f>
        <v>0.5306009470754588</v>
      </c>
      <c r="F339" s="1198">
        <f>NPV(realdiscrt1,D$327:D339)/(1+realdiscrt3)^-Half_Year</f>
        <v>0</v>
      </c>
      <c r="G339" s="1187" t="str">
        <f t="shared" si="62"/>
        <v>2023-Summer Daily Charge-13</v>
      </c>
    </row>
    <row r="340" spans="1:17" s="541" customFormat="1">
      <c r="A340" s="1182">
        <f t="shared" si="64"/>
        <v>14</v>
      </c>
      <c r="B340" s="1183">
        <f t="shared" si="63"/>
        <v>2036</v>
      </c>
      <c r="C340" s="1220">
        <f t="shared" si="60"/>
        <v>5.3160957520584876E-2</v>
      </c>
      <c r="D340" s="1185">
        <f t="shared" si="61"/>
        <v>0</v>
      </c>
      <c r="E340" s="1227">
        <f>NPV(realdiscrt1,C$327:C340)/(1+realdiscrt3)^-Half_Year</f>
        <v>0.57458020385751007</v>
      </c>
      <c r="F340" s="1198">
        <f>NPV(realdiscrt1,D$327:D340)/(1+realdiscrt3)^-Half_Year</f>
        <v>0</v>
      </c>
      <c r="G340" s="1187" t="str">
        <f t="shared" si="62"/>
        <v>2023-Summer Daily Charge-14</v>
      </c>
    </row>
    <row r="341" spans="1:17" s="541" customFormat="1">
      <c r="A341" s="1182">
        <f t="shared" si="64"/>
        <v>15</v>
      </c>
      <c r="B341" s="1183">
        <f t="shared" si="63"/>
        <v>2037</v>
      </c>
      <c r="C341" s="1220">
        <f t="shared" si="60"/>
        <v>5.5224162424617633E-2</v>
      </c>
      <c r="D341" s="1185">
        <f t="shared" si="61"/>
        <v>0</v>
      </c>
      <c r="E341" s="1227">
        <f>NPV(realdiscrt1,C$327:C341)/(1+realdiscrt3)^-Half_Year</f>
        <v>0.61962914690992343</v>
      </c>
      <c r="F341" s="1198">
        <f>NPV(realdiscrt1,D$327:D341)/(1+realdiscrt3)^-Half_Year</f>
        <v>0</v>
      </c>
      <c r="G341" s="1187" t="str">
        <f t="shared" si="62"/>
        <v>2023-Summer Daily Charge-15</v>
      </c>
    </row>
    <row r="342" spans="1:17" s="541" customFormat="1">
      <c r="A342" s="1182">
        <f t="shared" si="64"/>
        <v>16</v>
      </c>
      <c r="B342" s="1183">
        <f t="shared" si="63"/>
        <v>2038</v>
      </c>
      <c r="C342" s="1220">
        <f t="shared" si="60"/>
        <v>5.7373009343946998E-2</v>
      </c>
      <c r="D342" s="1185">
        <f t="shared" si="61"/>
        <v>0</v>
      </c>
      <c r="E342" s="1227">
        <f>NPV(realdiscrt1,C$327:C342)/(1+realdiscrt3)^-Half_Year</f>
        <v>0.66577827238069487</v>
      </c>
      <c r="F342" s="1198">
        <f>NPV(realdiscrt1,D$327:D342)/(1+realdiscrt3)^-Half_Year</f>
        <v>0</v>
      </c>
      <c r="G342" s="1187" t="str">
        <f t="shared" si="62"/>
        <v>2023-Summer Daily Charge-16</v>
      </c>
    </row>
    <row r="343" spans="1:17" s="541" customFormat="1">
      <c r="A343" s="1182">
        <f t="shared" si="64"/>
        <v>17</v>
      </c>
      <c r="B343" s="1183">
        <f t="shared" si="63"/>
        <v>2039</v>
      </c>
      <c r="C343" s="1220">
        <f t="shared" si="60"/>
        <v>5.9611438848055864E-2</v>
      </c>
      <c r="D343" s="1185">
        <f t="shared" si="61"/>
        <v>0</v>
      </c>
      <c r="E343" s="1227">
        <f>NPV(realdiscrt1,C$327:C343)/(1+realdiscrt3)^-Half_Year</f>
        <v>0.7130591824171636</v>
      </c>
      <c r="F343" s="1198">
        <f>NPV(realdiscrt1,D$327:D343)/(1+realdiscrt3)^-Half_Year</f>
        <v>0</v>
      </c>
      <c r="G343" s="1187" t="str">
        <f t="shared" si="62"/>
        <v>2023-Summer Daily Charge-17</v>
      </c>
    </row>
    <row r="344" spans="1:17" s="541" customFormat="1">
      <c r="A344" s="1182">
        <f t="shared" si="64"/>
        <v>18</v>
      </c>
      <c r="B344" s="1183">
        <f t="shared" si="63"/>
        <v>2040</v>
      </c>
      <c r="C344" s="1220">
        <f t="shared" si="60"/>
        <v>6.1943597793121155E-2</v>
      </c>
      <c r="D344" s="1185">
        <f t="shared" si="61"/>
        <v>0</v>
      </c>
      <c r="E344" s="1227">
        <f>NPV(realdiscrt1,C$327:C344)/(1+realdiscrt3)^-Half_Year</f>
        <v>0.76150463593803941</v>
      </c>
      <c r="F344" s="1198">
        <f>NPV(realdiscrt1,D$327:D344)/(1+realdiscrt3)^-Half_Year</f>
        <v>0</v>
      </c>
      <c r="G344" s="1187" t="str">
        <f t="shared" si="62"/>
        <v>2023-Summer Daily Charge-18</v>
      </c>
    </row>
    <row r="345" spans="1:17" s="541" customFormat="1">
      <c r="A345" s="1182">
        <f t="shared" si="64"/>
        <v>19</v>
      </c>
      <c r="B345" s="1183">
        <f t="shared" si="63"/>
        <v>2041</v>
      </c>
      <c r="C345" s="1220">
        <f t="shared" si="60"/>
        <v>6.437385157992076E-2</v>
      </c>
      <c r="D345" s="1185">
        <f t="shared" si="61"/>
        <v>0</v>
      </c>
      <c r="E345" s="1227">
        <f>NPV(realdiscrt1,C$327:C345)/(1+realdiscrt3)^-Half_Year</f>
        <v>0.81114860211383577</v>
      </c>
      <c r="F345" s="1198">
        <f>NPV(realdiscrt1,D$327:D345)/(1+realdiscrt3)^-Half_Year</f>
        <v>0</v>
      </c>
      <c r="G345" s="1187" t="str">
        <f t="shared" si="62"/>
        <v>2023-Summer Daily Charge-19</v>
      </c>
    </row>
    <row r="346" spans="1:17" s="541" customFormat="1">
      <c r="A346" s="1182">
        <f t="shared" si="64"/>
        <v>20</v>
      </c>
      <c r="B346" s="1183">
        <f t="shared" si="63"/>
        <v>2042</v>
      </c>
      <c r="C346" s="1220">
        <f t="shared" si="60"/>
        <v>6.6906797215037853E-2</v>
      </c>
      <c r="D346" s="1185">
        <f t="shared" si="61"/>
        <v>0</v>
      </c>
      <c r="E346" s="1227">
        <f>NPV(realdiscrt1,C$327:C346)/(1+realdiscrt3)^-Half_Year</f>
        <v>0.86202631671075469</v>
      </c>
      <c r="F346" s="1198">
        <f>NPV(realdiscrt1,D$327:D346)/(1+realdiscrt3)^-Half_Year</f>
        <v>0</v>
      </c>
      <c r="G346" s="1187" t="str">
        <f t="shared" si="62"/>
        <v>2023-Summer Daily Charge-20</v>
      </c>
    </row>
    <row r="347" spans="1:17" s="541" customFormat="1">
      <c r="A347" s="1182">
        <f t="shared" si="64"/>
        <v>21</v>
      </c>
      <c r="B347" s="1183">
        <f t="shared" si="63"/>
        <v>2043</v>
      </c>
      <c r="C347" s="1220">
        <f t="shared" si="60"/>
        <v>6.9547277231393714E-2</v>
      </c>
      <c r="D347" s="1185">
        <f t="shared" si="61"/>
        <v>0</v>
      </c>
      <c r="E347" s="1227">
        <f>NPV(realdiscrt1,C$327:C347)/(1+realdiscrt3)^-Half_Year</f>
        <v>0.91417434146220422</v>
      </c>
      <c r="F347" s="1198">
        <f>NPV(realdiscrt1,D$327:D347)/(1+realdiscrt3)^-Half_Year</f>
        <v>0</v>
      </c>
      <c r="G347" s="1187" t="str">
        <f t="shared" si="62"/>
        <v>2023-Summer Daily Charge-21</v>
      </c>
    </row>
    <row r="348" spans="1:17" s="541" customFormat="1">
      <c r="A348" s="1182">
        <f t="shared" si="64"/>
        <v>22</v>
      </c>
      <c r="B348" s="1183">
        <f t="shared" si="63"/>
        <v>2044</v>
      </c>
      <c r="C348" s="1220">
        <f t="shared" si="60"/>
        <v>7.2300394528187747E-2</v>
      </c>
      <c r="D348" s="1185">
        <f t="shared" si="61"/>
        <v>0</v>
      </c>
      <c r="E348" s="1227">
        <f>NPV(realdiscrt1,C$327:C348)/(1+realdiscrt3)^-Half_Year</f>
        <v>0.96763062664179911</v>
      </c>
      <c r="F348" s="1198">
        <f>NPV(realdiscrt1,D$327:D348)/(1+realdiscrt3)^-Half_Year</f>
        <v>0</v>
      </c>
      <c r="G348" s="1187" t="str">
        <f t="shared" si="62"/>
        <v>2023-Summer Daily Charge-22</v>
      </c>
    </row>
    <row r="349" spans="1:17" s="541" customFormat="1">
      <c r="A349" s="1182">
        <f t="shared" si="64"/>
        <v>23</v>
      </c>
      <c r="B349" s="1183">
        <f t="shared" si="63"/>
        <v>2045</v>
      </c>
      <c r="C349" s="1220">
        <f t="shared" si="60"/>
        <v>7.5171528194667908E-2</v>
      </c>
      <c r="D349" s="1185">
        <f t="shared" si="61"/>
        <v>0</v>
      </c>
      <c r="E349" s="1227">
        <f>NPV(realdiscrt1,C$327:C349)/(1+realdiscrt3)^-Half_Year</f>
        <v>1.0224345770219476</v>
      </c>
      <c r="F349" s="1198">
        <f>NPV(realdiscrt1,D$327:D349)/(1+realdiscrt3)^-Half_Year</f>
        <v>0</v>
      </c>
      <c r="G349" s="1187" t="str">
        <f t="shared" si="62"/>
        <v>2023-Summer Daily Charge-23</v>
      </c>
    </row>
    <row r="350" spans="1:17" s="541" customFormat="1">
      <c r="A350" s="1182">
        <f t="shared" si="64"/>
        <v>24</v>
      </c>
      <c r="B350" s="1183">
        <f t="shared" si="63"/>
        <v>2046</v>
      </c>
      <c r="C350" s="1220">
        <f t="shared" si="60"/>
        <v>7.8166350386819891E-2</v>
      </c>
      <c r="D350" s="1185">
        <f t="shared" si="61"/>
        <v>0</v>
      </c>
      <c r="E350" s="1227">
        <f>NPV(realdiscrt1,C$327:C350)/(1+realdiscrt3)^-Half_Year</f>
        <v>1.0786271214129866</v>
      </c>
      <c r="F350" s="1198">
        <f>NPV(realdiscrt1,D$327:D350)/(1+realdiscrt3)^-Half_Year</f>
        <v>0</v>
      </c>
      <c r="G350" s="1187" t="str">
        <f t="shared" si="62"/>
        <v>2023-Summer Daily Charge-24</v>
      </c>
    </row>
    <row r="351" spans="1:17" s="541" customFormat="1">
      <c r="A351" s="1208">
        <f t="shared" si="64"/>
        <v>25</v>
      </c>
      <c r="B351" s="1223">
        <f t="shared" si="63"/>
        <v>2047</v>
      </c>
      <c r="C351" s="1221">
        <f t="shared" si="60"/>
        <v>8.1290844331071602E-2</v>
      </c>
      <c r="D351" s="1222">
        <f t="shared" si="61"/>
        <v>0</v>
      </c>
      <c r="E351" s="1224">
        <f>NPV(realdiscrt1,C$327:C351)/(1+realdiscrt3)^-Half_Year</f>
        <v>1.1362507859893354</v>
      </c>
      <c r="F351" s="1199">
        <f>NPV(realdiscrt1,D$327:D351)/(1+realdiscrt3)^-Half_Year</f>
        <v>0</v>
      </c>
      <c r="G351" s="1200" t="str">
        <f t="shared" si="62"/>
        <v>2023-Summer Daily Charge-25</v>
      </c>
    </row>
    <row r="352" spans="1:17"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</row>
    <row r="353" spans="1:17" ht="23.25">
      <c r="A353" s="1641" t="str">
        <f>A8</f>
        <v>Summer Targeted Charge</v>
      </c>
      <c r="B353" s="1642"/>
      <c r="C353" s="1642"/>
      <c r="D353" s="1642"/>
      <c r="E353" s="1642"/>
      <c r="F353" s="1642"/>
      <c r="G353" s="1642"/>
      <c r="H353" s="1642"/>
      <c r="I353" s="1642"/>
      <c r="J353" s="1642"/>
      <c r="K353" s="1642"/>
      <c r="L353" s="1642"/>
      <c r="M353" s="1642"/>
      <c r="N353" s="1643"/>
      <c r="O353" s="541"/>
      <c r="P353" s="541"/>
      <c r="Q353" s="541"/>
    </row>
    <row r="354" spans="1:17" s="541" customFormat="1" ht="15">
      <c r="A354" s="1644" t="s">
        <v>593</v>
      </c>
      <c r="B354" s="1645"/>
      <c r="C354" s="1228" t="s">
        <v>918</v>
      </c>
      <c r="D354" s="1229" t="s">
        <v>63</v>
      </c>
      <c r="E354" s="1228" t="s">
        <v>918</v>
      </c>
      <c r="F354" s="1228" t="s">
        <v>63</v>
      </c>
      <c r="G354" s="1230" t="s">
        <v>704</v>
      </c>
      <c r="I354" s="1637" t="s">
        <v>76</v>
      </c>
      <c r="J354" s="1162" t="s">
        <v>914</v>
      </c>
      <c r="K354" s="1162" t="s">
        <v>915</v>
      </c>
      <c r="L354" s="1163" t="s">
        <v>942</v>
      </c>
      <c r="M354" s="1163" t="s">
        <v>916</v>
      </c>
      <c r="N354" s="1638" t="s">
        <v>917</v>
      </c>
    </row>
    <row r="355" spans="1:17" s="1161" customFormat="1" ht="15" customHeight="1">
      <c r="A355" s="1164"/>
      <c r="B355" s="1165"/>
      <c r="C355" s="1166" t="s">
        <v>71</v>
      </c>
      <c r="D355" s="1167" t="s">
        <v>71</v>
      </c>
      <c r="E355" s="1166" t="s">
        <v>71</v>
      </c>
      <c r="F355" s="1166" t="s">
        <v>71</v>
      </c>
      <c r="G355" s="1168"/>
      <c r="H355" s="1144"/>
      <c r="I355" s="1637"/>
      <c r="J355" s="1169" t="s">
        <v>919</v>
      </c>
      <c r="K355" s="1169" t="s">
        <v>919</v>
      </c>
      <c r="L355" s="1170" t="s">
        <v>919</v>
      </c>
      <c r="M355" s="1170" t="s">
        <v>919</v>
      </c>
      <c r="N355" s="1638"/>
      <c r="O355" s="541"/>
      <c r="P355" s="541"/>
      <c r="Q355" s="541"/>
    </row>
    <row r="356" spans="1:17" s="1201" customFormat="1" ht="20.25">
      <c r="A356" s="1211" t="s">
        <v>600</v>
      </c>
      <c r="B356" s="1212"/>
      <c r="C356" s="1213"/>
      <c r="D356" s="1214"/>
      <c r="E356" s="1215" t="s">
        <v>633</v>
      </c>
      <c r="F356" s="1138"/>
      <c r="G356" s="1139"/>
      <c r="H356" s="1144"/>
      <c r="I356" s="1646"/>
      <c r="J356" s="1204" t="s">
        <v>71</v>
      </c>
      <c r="K356" s="1204" t="s">
        <v>71</v>
      </c>
      <c r="L356" s="1172" t="s">
        <v>71</v>
      </c>
      <c r="M356" s="1205" t="s">
        <v>71</v>
      </c>
      <c r="N356" s="1647"/>
      <c r="O356" s="541"/>
      <c r="P356" s="541"/>
      <c r="Q356" s="541"/>
    </row>
    <row r="357" spans="1:17" s="541" customFormat="1" ht="18">
      <c r="A357" s="1140">
        <f>Year1</f>
        <v>2021</v>
      </c>
      <c r="B357" s="1141" t="str">
        <f>Year1&amp;"$"</f>
        <v>2021$</v>
      </c>
      <c r="C357" s="1173"/>
      <c r="D357" s="1174"/>
      <c r="E357" s="1175"/>
      <c r="F357" s="1176"/>
      <c r="G357" s="1174"/>
      <c r="I357" s="1178" t="s">
        <v>922</v>
      </c>
      <c r="J357" s="1179"/>
      <c r="K357" s="1179"/>
      <c r="L357" s="1179"/>
      <c r="M357" s="1180"/>
      <c r="N357" s="1181"/>
    </row>
    <row r="358" spans="1:17" s="541" customFormat="1">
      <c r="A358" s="1182">
        <v>1</v>
      </c>
      <c r="B358" s="1183">
        <f>Year1</f>
        <v>2021</v>
      </c>
      <c r="C358" s="1184">
        <f t="shared" ref="C358:C384" si="65">VLOOKUP($B358,$I$358:$N$390,C$12,FALSE)*(1+Inflation1)^(Year1-Real_Year)</f>
        <v>4.784508372561324E-2</v>
      </c>
      <c r="D358" s="1185">
        <f t="shared" ref="D358:D384" si="66">VLOOKUP($B358,$I$358:$N$390,IF($A$17=Year1,D$12,D$12+1),FALSE)*(1+Inflation1)^(Year1-Real_Year)</f>
        <v>0</v>
      </c>
      <c r="E358" s="1225">
        <f>NPV(realdiscrt1,C$358:C358)/(1+realdiscrt1)^-Half_Year</f>
        <v>4.7510270979012365E-2</v>
      </c>
      <c r="F358" s="1226">
        <f>NPV(realdiscrt1,D$358:D358)/(1+realdiscrt1)^-Half_Year</f>
        <v>0</v>
      </c>
      <c r="G358" s="1187" t="str">
        <f t="shared" ref="G358:G384" si="67">$A$17&amp;"-"&amp;$A$353&amp;"-"&amp;A358</f>
        <v>2021-Summer Targeted Charge-1</v>
      </c>
      <c r="H358" s="1161"/>
      <c r="I358" s="1188">
        <v>2018</v>
      </c>
      <c r="J358" s="1234">
        <f t="shared" ref="J358:J390" si="68">(K358+$N358)*(1+WholesaleRiskPremium)</f>
        <v>3.2647841640911626E-2</v>
      </c>
      <c r="K358" s="1190">
        <v>2.2817118788909824E-2</v>
      </c>
      <c r="L358" s="1209">
        <v>0</v>
      </c>
      <c r="M358" s="1209">
        <v>0</v>
      </c>
      <c r="N358" s="1206">
        <f>INDEX(AESC!$H$184:$H$216,MATCH(I358,AESC!$B$184:$B$216,0))</f>
        <v>7.4123642119342734E-3</v>
      </c>
    </row>
    <row r="359" spans="1:17" s="541" customFormat="1">
      <c r="A359" s="1182">
        <v>2</v>
      </c>
      <c r="B359" s="1183">
        <f t="shared" ref="B359:B384" si="69">B358+1</f>
        <v>2022</v>
      </c>
      <c r="C359" s="1184">
        <f t="shared" si="65"/>
        <v>4.6188859924944481E-2</v>
      </c>
      <c r="D359" s="1185">
        <f t="shared" si="66"/>
        <v>0</v>
      </c>
      <c r="E359" s="1227">
        <f>NPV(realdiscrt1,C$358:C359)/(1+realdiscrt1)^-Half_Year</f>
        <v>9.2736232449294409E-2</v>
      </c>
      <c r="F359" s="1198">
        <f>NPV(realdiscrt1,D$358:D359)/(1+realdiscrt1)^-Half_Year</f>
        <v>0</v>
      </c>
      <c r="G359" s="1187" t="str">
        <f t="shared" si="67"/>
        <v>2021-Summer Targeted Charge-2</v>
      </c>
      <c r="H359" s="1201"/>
      <c r="I359" s="1188">
        <v>2019</v>
      </c>
      <c r="J359" s="1189">
        <f t="shared" si="68"/>
        <v>3.9813614410094386E-2</v>
      </c>
      <c r="K359" s="1190">
        <v>2.5573721735334839E-2</v>
      </c>
      <c r="L359" s="1210">
        <v>0</v>
      </c>
      <c r="M359" s="1210">
        <v>0</v>
      </c>
      <c r="N359" s="1192">
        <f>INDEX(AESC!$H$184:$H$216,MATCH(I359,AESC!$B$184:$B$216,0))</f>
        <v>1.1290736051789593E-2</v>
      </c>
    </row>
    <row r="360" spans="1:17" s="541" customFormat="1">
      <c r="A360" s="1182">
        <f t="shared" ref="A360:A384" si="70">A359+1</f>
        <v>3</v>
      </c>
      <c r="B360" s="1183">
        <f t="shared" si="69"/>
        <v>2023</v>
      </c>
      <c r="C360" s="1184">
        <f t="shared" si="65"/>
        <v>4.3716143921563588E-2</v>
      </c>
      <c r="D360" s="1185">
        <f t="shared" si="66"/>
        <v>0</v>
      </c>
      <c r="E360" s="1227">
        <f>NPV(realdiscrt1,C$358:C360)/(1+realdiscrt1)^-Half_Year</f>
        <v>0.1349440396293774</v>
      </c>
      <c r="F360" s="1198">
        <f>NPV(realdiscrt1,D$358:D360)/(1+realdiscrt1)^-Half_Year</f>
        <v>0</v>
      </c>
      <c r="G360" s="1187" t="str">
        <f t="shared" si="67"/>
        <v>2021-Summer Targeted Charge-3</v>
      </c>
      <c r="I360" s="1188">
        <v>2020</v>
      </c>
      <c r="J360" s="1189">
        <f t="shared" si="68"/>
        <v>4.020663887648409E-2</v>
      </c>
      <c r="K360" s="1190">
        <v>2.854653629181091E-2</v>
      </c>
      <c r="L360" s="1210">
        <v>0</v>
      </c>
      <c r="M360" s="1210">
        <v>0</v>
      </c>
      <c r="N360" s="1192">
        <f>INDEX(AESC!$H$184:$H$216,MATCH(I360,AESC!$B$184:$B$216,0))</f>
        <v>8.6818330382669468E-3</v>
      </c>
    </row>
    <row r="361" spans="1:17" s="541" customFormat="1">
      <c r="A361" s="1182">
        <f t="shared" si="70"/>
        <v>4</v>
      </c>
      <c r="B361" s="1183">
        <f t="shared" si="69"/>
        <v>2024</v>
      </c>
      <c r="C361" s="1184">
        <f t="shared" si="65"/>
        <v>4.1060428668065509E-2</v>
      </c>
      <c r="D361" s="1185">
        <f t="shared" si="66"/>
        <v>0</v>
      </c>
      <c r="E361" s="1227">
        <f>NPV(realdiscrt1,C$358:C361)/(1+realdiscrt1)^-Half_Year</f>
        <v>0.17403486128029411</v>
      </c>
      <c r="F361" s="1198">
        <f>NPV(realdiscrt1,D$358:D361)/(1+realdiscrt1)^-Half_Year</f>
        <v>0</v>
      </c>
      <c r="G361" s="1187" t="str">
        <f t="shared" si="67"/>
        <v>2021-Summer Targeted Charge-4</v>
      </c>
      <c r="I361" s="1188">
        <v>2021</v>
      </c>
      <c r="J361" s="1189">
        <f t="shared" si="68"/>
        <v>4.5338380878192877E-2</v>
      </c>
      <c r="K361" s="1190">
        <v>3.5243676383901218E-2</v>
      </c>
      <c r="L361" s="1210">
        <v>0</v>
      </c>
      <c r="M361" s="1210">
        <v>0</v>
      </c>
      <c r="N361" s="1192">
        <f>INDEX(AESC!$H$184:$H$216,MATCH(I361,AESC!$B$184:$B$216,0))</f>
        <v>6.736305910721818E-3</v>
      </c>
    </row>
    <row r="362" spans="1:17" s="541" customFormat="1">
      <c r="A362" s="1182">
        <f t="shared" si="70"/>
        <v>5</v>
      </c>
      <c r="B362" s="1183">
        <f t="shared" si="69"/>
        <v>2025</v>
      </c>
      <c r="C362" s="1184">
        <f t="shared" si="65"/>
        <v>4.5109407735275678E-2</v>
      </c>
      <c r="D362" s="1185">
        <f t="shared" si="66"/>
        <v>0</v>
      </c>
      <c r="E362" s="1227">
        <f>NPV(realdiscrt1,C$358:C362)/(1+realdiscrt1)^-Half_Year</f>
        <v>0.2163814881372958</v>
      </c>
      <c r="F362" s="1198">
        <f>NPV(realdiscrt1,D$358:D362)/(1+realdiscrt1)^-Half_Year</f>
        <v>0</v>
      </c>
      <c r="G362" s="1187" t="str">
        <f t="shared" si="67"/>
        <v>2021-Summer Targeted Charge-5</v>
      </c>
      <c r="I362" s="1188">
        <v>2022</v>
      </c>
      <c r="J362" s="1189">
        <f t="shared" si="68"/>
        <v>4.3768930066383563E-2</v>
      </c>
      <c r="K362" s="1190">
        <v>3.5412356385372705E-2</v>
      </c>
      <c r="L362" s="1210">
        <v>0</v>
      </c>
      <c r="M362" s="1210">
        <v>0</v>
      </c>
      <c r="N362" s="1192">
        <f>INDEX(AESC!$H$184:$H$216,MATCH(I362,AESC!$B$184:$B$216,0))</f>
        <v>5.1144307131305942E-3</v>
      </c>
    </row>
    <row r="363" spans="1:17">
      <c r="A363" s="1182">
        <f t="shared" si="70"/>
        <v>6</v>
      </c>
      <c r="B363" s="1183">
        <f t="shared" si="69"/>
        <v>2026</v>
      </c>
      <c r="C363" s="1184">
        <f t="shared" si="65"/>
        <v>4.782322549588211E-2</v>
      </c>
      <c r="D363" s="1185">
        <f t="shared" si="66"/>
        <v>0</v>
      </c>
      <c r="E363" s="1227">
        <f>NPV(realdiscrt1,C$358:C363)/(1+realdiscrt1)^-Half_Year</f>
        <v>0.26064959385617908</v>
      </c>
      <c r="F363" s="1198">
        <f>NPV(realdiscrt1,D$358:D363)/(1+realdiscrt1)^-Half_Year</f>
        <v>0</v>
      </c>
      <c r="G363" s="1187" t="str">
        <f t="shared" si="67"/>
        <v>2021-Summer Targeted Charge-6</v>
      </c>
      <c r="H363" s="541"/>
      <c r="I363" s="1188">
        <v>2023</v>
      </c>
      <c r="J363" s="1189">
        <f t="shared" si="68"/>
        <v>4.1425764766311789E-2</v>
      </c>
      <c r="K363" s="1190">
        <v>3.2885060382063638E-2</v>
      </c>
      <c r="L363" s="1210">
        <v>0</v>
      </c>
      <c r="M363" s="1210">
        <v>0</v>
      </c>
      <c r="N363" s="1192">
        <f>INDEX(AESC!$H$184:$H$216,MATCH(I363,AESC!$B$184:$B$216,0))</f>
        <v>5.4721292163732024E-3</v>
      </c>
    </row>
    <row r="364" spans="1:17" s="541" customFormat="1">
      <c r="A364" s="1182">
        <f t="shared" si="70"/>
        <v>7</v>
      </c>
      <c r="B364" s="1183">
        <f t="shared" si="69"/>
        <v>2027</v>
      </c>
      <c r="C364" s="1184">
        <f t="shared" si="65"/>
        <v>4.4300185965817557E-2</v>
      </c>
      <c r="D364" s="1185">
        <f t="shared" si="66"/>
        <v>0</v>
      </c>
      <c r="E364" s="1227">
        <f>NPV(realdiscrt1,C$358:C364)/(1+realdiscrt1)^-Half_Year</f>
        <v>0.30108464535726992</v>
      </c>
      <c r="F364" s="1198">
        <f>NPV(realdiscrt1,D$358:D364)/(1+realdiscrt1)^-Half_Year</f>
        <v>0</v>
      </c>
      <c r="G364" s="1187" t="str">
        <f t="shared" si="67"/>
        <v>2021-Summer Targeted Charge-7</v>
      </c>
      <c r="I364" s="1188">
        <v>2024</v>
      </c>
      <c r="J364" s="1189">
        <f t="shared" si="68"/>
        <v>3.8909187925154236E-2</v>
      </c>
      <c r="K364" s="1190">
        <v>3.1012748181539967E-2</v>
      </c>
      <c r="L364" s="1210">
        <v>0</v>
      </c>
      <c r="M364" s="1210">
        <v>0</v>
      </c>
      <c r="N364" s="1192">
        <f>INDEX(AESC!$H$184:$H$216,MATCH(I364,AESC!$B$184:$B$216,0))</f>
        <v>5.0142776750843193E-3</v>
      </c>
    </row>
    <row r="365" spans="1:17" s="1161" customFormat="1" ht="15" customHeight="1">
      <c r="A365" s="1182">
        <f t="shared" si="70"/>
        <v>8</v>
      </c>
      <c r="B365" s="1183">
        <f t="shared" si="69"/>
        <v>2028</v>
      </c>
      <c r="C365" s="1184">
        <f t="shared" si="65"/>
        <v>4.5552539713612561E-2</v>
      </c>
      <c r="D365" s="1185">
        <f t="shared" si="66"/>
        <v>0</v>
      </c>
      <c r="E365" s="1227">
        <f>NPV(realdiscrt1,C$358:C365)/(1+realdiscrt1)^-Half_Year</f>
        <v>0.34208290521654666</v>
      </c>
      <c r="F365" s="1198">
        <f>NPV(realdiscrt1,D$358:D365)/(1+realdiscrt1)^-Half_Year</f>
        <v>0</v>
      </c>
      <c r="G365" s="1187" t="str">
        <f t="shared" si="67"/>
        <v>2021-Summer Targeted Charge-8</v>
      </c>
      <c r="H365" s="541"/>
      <c r="I365" s="1188">
        <v>2025</v>
      </c>
      <c r="J365" s="1189">
        <f t="shared" si="68"/>
        <v>4.2746032608503189E-2</v>
      </c>
      <c r="K365" s="1190">
        <v>3.5447018729134534E-2</v>
      </c>
      <c r="L365" s="1210">
        <v>0</v>
      </c>
      <c r="M365" s="1210">
        <v>0</v>
      </c>
      <c r="N365" s="1192">
        <f>INDEX(AESC!$H$184:$H$216,MATCH(I365,AESC!$B$184:$B$216,0))</f>
        <v>4.1326410935536026E-3</v>
      </c>
    </row>
    <row r="366" spans="1:17" s="541" customFormat="1">
      <c r="A366" s="1182">
        <f t="shared" si="70"/>
        <v>9</v>
      </c>
      <c r="B366" s="1183">
        <f t="shared" si="69"/>
        <v>2029</v>
      </c>
      <c r="C366" s="1184">
        <f t="shared" si="65"/>
        <v>4.7306796839180196E-2</v>
      </c>
      <c r="D366" s="1185">
        <f t="shared" si="66"/>
        <v>0</v>
      </c>
      <c r="E366" s="1227">
        <f>NPV(realdiscrt1,C$358:C366)/(1+realdiscrt1)^-Half_Year</f>
        <v>0.38406622223076453</v>
      </c>
      <c r="F366" s="1198">
        <f>NPV(realdiscrt1,D$358:D366)/(1+realdiscrt1)^-Half_Year</f>
        <v>0</v>
      </c>
      <c r="G366" s="1187" t="str">
        <f t="shared" si="67"/>
        <v>2021-Summer Targeted Charge-9</v>
      </c>
      <c r="H366" s="1144"/>
      <c r="I366" s="1188">
        <v>2026</v>
      </c>
      <c r="J366" s="1189">
        <f t="shared" si="68"/>
        <v>4.5317667846305289E-2</v>
      </c>
      <c r="K366" s="1190">
        <v>3.854789286152261E-2</v>
      </c>
      <c r="L366" s="1210">
        <v>0</v>
      </c>
      <c r="M366" s="1210">
        <v>0</v>
      </c>
      <c r="N366" s="1192">
        <f>INDEX(AESC!$H$184:$H$216,MATCH(I366,AESC!$B$184:$B$216,0))</f>
        <v>3.4129106998711735E-3</v>
      </c>
    </row>
    <row r="367" spans="1:17" s="541" customFormat="1">
      <c r="A367" s="1182">
        <f t="shared" si="70"/>
        <v>10</v>
      </c>
      <c r="B367" s="1183">
        <f t="shared" si="69"/>
        <v>2030</v>
      </c>
      <c r="C367" s="1184">
        <f t="shared" si="65"/>
        <v>4.9378739800996767E-2</v>
      </c>
      <c r="D367" s="1185">
        <f t="shared" si="66"/>
        <v>0</v>
      </c>
      <c r="E367" s="1227">
        <f>NPV(realdiscrt1,C$358:C367)/(1+realdiscrt1)^-Half_Year</f>
        <v>0.42727714936979933</v>
      </c>
      <c r="F367" s="1198">
        <f>NPV(realdiscrt1,D$358:D367)/(1+realdiscrt1)^-Half_Year</f>
        <v>0</v>
      </c>
      <c r="G367" s="1187" t="str">
        <f t="shared" si="67"/>
        <v>2021-Summer Targeted Charge-10</v>
      </c>
      <c r="I367" s="1188">
        <v>2027</v>
      </c>
      <c r="J367" s="1189">
        <f t="shared" si="68"/>
        <v>4.1979207640466261E-2</v>
      </c>
      <c r="K367" s="1190">
        <v>3.6167252668475508E-2</v>
      </c>
      <c r="L367" s="1210">
        <v>0</v>
      </c>
      <c r="M367" s="1210">
        <v>0</v>
      </c>
      <c r="N367" s="1192">
        <f>INDEX(AESC!$H$184:$H$216,MATCH(I367,AESC!$B$184:$B$216,0))</f>
        <v>2.7023840356599142E-3</v>
      </c>
    </row>
    <row r="368" spans="1:17" s="541" customFormat="1">
      <c r="A368" s="1182">
        <f t="shared" si="70"/>
        <v>11</v>
      </c>
      <c r="B368" s="1183">
        <f t="shared" si="69"/>
        <v>2031</v>
      </c>
      <c r="C368" s="1184">
        <f t="shared" si="65"/>
        <v>4.7306432844607615E-2</v>
      </c>
      <c r="D368" s="1185">
        <f t="shared" si="66"/>
        <v>0</v>
      </c>
      <c r="E368" s="1227">
        <f>NPV(realdiscrt1,C$358:C368)/(1+realdiscrt1)^-Half_Year</f>
        <v>0.46809725845039735</v>
      </c>
      <c r="F368" s="1198">
        <f>NPV(realdiscrt1,D$358:D368)/(1+realdiscrt1)^-Half_Year</f>
        <v>0</v>
      </c>
      <c r="G368" s="1187" t="str">
        <f t="shared" si="67"/>
        <v>2021-Summer Targeted Charge-11</v>
      </c>
      <c r="H368" s="1161"/>
      <c r="I368" s="1188">
        <v>2028</v>
      </c>
      <c r="J368" s="1189">
        <f t="shared" si="68"/>
        <v>4.3165947986399986E-2</v>
      </c>
      <c r="K368" s="1190">
        <v>3.7562195917491784E-2</v>
      </c>
      <c r="L368" s="1210">
        <v>0</v>
      </c>
      <c r="M368" s="1210">
        <v>0</v>
      </c>
      <c r="N368" s="1192">
        <f>INDEX(AESC!$H$184:$H$216,MATCH(I368,AESC!$B$184:$B$216,0))</f>
        <v>2.4062744402859834E-3</v>
      </c>
    </row>
    <row r="369" spans="1:14" s="541" customFormat="1">
      <c r="A369" s="1182">
        <f t="shared" si="70"/>
        <v>12</v>
      </c>
      <c r="B369" s="1183">
        <f t="shared" si="69"/>
        <v>2032</v>
      </c>
      <c r="C369" s="1184">
        <f t="shared" si="65"/>
        <v>4.4444581591433351E-2</v>
      </c>
      <c r="D369" s="1185">
        <f t="shared" si="66"/>
        <v>0</v>
      </c>
      <c r="E369" s="1227">
        <f>NPV(realdiscrt1,C$358:C369)/(1+realdiscrt1)^-Half_Year</f>
        <v>0.50591304682432947</v>
      </c>
      <c r="F369" s="1198">
        <f>NPV(realdiscrt1,D$358:D369)/(1+realdiscrt1)^-Half_Year</f>
        <v>0</v>
      </c>
      <c r="G369" s="1187" t="str">
        <f t="shared" si="67"/>
        <v>2021-Summer Targeted Charge-12</v>
      </c>
      <c r="I369" s="1188">
        <v>2029</v>
      </c>
      <c r="J369" s="1189">
        <f t="shared" si="68"/>
        <v>4.4828295954550602E-2</v>
      </c>
      <c r="K369" s="1190">
        <v>3.9226483029968021E-2</v>
      </c>
      <c r="L369" s="1210">
        <v>0</v>
      </c>
      <c r="M369" s="1210">
        <v>0</v>
      </c>
      <c r="N369" s="1192">
        <f>INDEX(AESC!$H$184:$H$216,MATCH(I369,AESC!$B$184:$B$216,0))</f>
        <v>2.2811984094306798E-3</v>
      </c>
    </row>
    <row r="370" spans="1:14" s="541" customFormat="1">
      <c r="A370" s="1182">
        <f t="shared" si="70"/>
        <v>13</v>
      </c>
      <c r="B370" s="1183">
        <f t="shared" si="69"/>
        <v>2033</v>
      </c>
      <c r="C370" s="1184">
        <f t="shared" si="65"/>
        <v>4.5333719085936544E-2</v>
      </c>
      <c r="D370" s="1185">
        <f t="shared" si="66"/>
        <v>0</v>
      </c>
      <c r="E370" s="1227">
        <f>NPV(realdiscrt1,C$358:C370)/(1+realdiscrt1)^-Half_Year</f>
        <v>0.54394740247145867</v>
      </c>
      <c r="F370" s="1198">
        <f>NPV(realdiscrt1,D$358:D370)/(1+realdiscrt1)^-Half_Year</f>
        <v>0</v>
      </c>
      <c r="G370" s="1187" t="str">
        <f t="shared" si="67"/>
        <v>2021-Summer Targeted Charge-13</v>
      </c>
      <c r="I370" s="1188">
        <v>2030</v>
      </c>
      <c r="J370" s="1189">
        <f t="shared" si="68"/>
        <v>4.6791685541231205E-2</v>
      </c>
      <c r="K370" s="1190">
        <v>4.1038816579316385E-2</v>
      </c>
      <c r="L370" s="1210">
        <v>0</v>
      </c>
      <c r="M370" s="1210">
        <v>0</v>
      </c>
      <c r="N370" s="1192">
        <f>INDEX(AESC!$H$184:$H$216,MATCH(I370,AESC!$B$184:$B$216,0))</f>
        <v>2.2868181810828765E-3</v>
      </c>
    </row>
    <row r="371" spans="1:14" s="541" customFormat="1">
      <c r="A371" s="1182">
        <f t="shared" si="70"/>
        <v>14</v>
      </c>
      <c r="B371" s="1183">
        <f t="shared" si="69"/>
        <v>2034</v>
      </c>
      <c r="C371" s="1184">
        <f t="shared" si="65"/>
        <v>4.6049821009789875E-2</v>
      </c>
      <c r="D371" s="1185">
        <f t="shared" si="66"/>
        <v>0</v>
      </c>
      <c r="E371" s="1227">
        <f>NPV(realdiscrt1,C$358:C371)/(1+realdiscrt1)^-Half_Year</f>
        <v>0.58204372348247224</v>
      </c>
      <c r="F371" s="1198">
        <f>NPV(realdiscrt1,D$358:D371)/(1+realdiscrt1)^-Half_Year</f>
        <v>0</v>
      </c>
      <c r="G371" s="1187" t="str">
        <f t="shared" si="67"/>
        <v>2021-Summer Targeted Charge-14</v>
      </c>
      <c r="I371" s="1188">
        <v>2031</v>
      </c>
      <c r="J371" s="1189">
        <f t="shared" si="68"/>
        <v>4.4827951030406168E-2</v>
      </c>
      <c r="K371" s="1190">
        <v>3.9168509938689644E-2</v>
      </c>
      <c r="L371" s="1210">
        <v>0</v>
      </c>
      <c r="M371" s="1210">
        <v>0</v>
      </c>
      <c r="N371" s="1192">
        <f>INDEX(AESC!$H$184:$H$216,MATCH(I371,AESC!$B$184:$B$216,0))</f>
        <v>2.3388521265012515E-3</v>
      </c>
    </row>
    <row r="372" spans="1:14" s="541" customFormat="1">
      <c r="A372" s="1182">
        <f t="shared" si="70"/>
        <v>15</v>
      </c>
      <c r="B372" s="1183">
        <f t="shared" si="69"/>
        <v>2035</v>
      </c>
      <c r="C372" s="1184">
        <f t="shared" si="65"/>
        <v>5.4666697804907065E-2</v>
      </c>
      <c r="D372" s="1185">
        <f t="shared" si="66"/>
        <v>0</v>
      </c>
      <c r="E372" s="1227">
        <f>NPV(realdiscrt1,C$358:C372)/(1+realdiscrt1)^-Half_Year</f>
        <v>0.62663791646164801</v>
      </c>
      <c r="F372" s="1198">
        <f>NPV(realdiscrt1,D$358:D372)/(1+realdiscrt1)^-Half_Year</f>
        <v>0</v>
      </c>
      <c r="G372" s="1187" t="str">
        <f t="shared" si="67"/>
        <v>2021-Summer Targeted Charge-15</v>
      </c>
      <c r="I372" s="1188">
        <v>2032</v>
      </c>
      <c r="J372" s="1189">
        <f t="shared" si="68"/>
        <v>4.2116038080744267E-2</v>
      </c>
      <c r="K372" s="1190">
        <v>3.6204061013033036E-2</v>
      </c>
      <c r="L372" s="1210">
        <v>0</v>
      </c>
      <c r="M372" s="1210">
        <v>0</v>
      </c>
      <c r="N372" s="1192">
        <f>INDEX(AESC!$H$184:$H$216,MATCH(I372,AESC!$B$184:$B$216,0))</f>
        <v>2.7922705432116535E-3</v>
      </c>
    </row>
    <row r="373" spans="1:14" s="541" customFormat="1">
      <c r="A373" s="1182">
        <f t="shared" si="70"/>
        <v>16</v>
      </c>
      <c r="B373" s="1183">
        <f t="shared" si="69"/>
        <v>2036</v>
      </c>
      <c r="C373" s="1184">
        <f t="shared" si="65"/>
        <v>5.6691455683293826E-2</v>
      </c>
      <c r="D373" s="1185">
        <f t="shared" si="66"/>
        <v>0</v>
      </c>
      <c r="E373" s="1227">
        <f>NPV(realdiscrt1,C$358:C373)/(1+realdiscrt1)^-Half_Year</f>
        <v>0.67223882063881457</v>
      </c>
      <c r="F373" s="1198">
        <f>NPV(realdiscrt1,D$358:D373)/(1+realdiscrt1)^-Half_Year</f>
        <v>0</v>
      </c>
      <c r="G373" s="1187" t="str">
        <f t="shared" si="67"/>
        <v>2021-Summer Targeted Charge-16</v>
      </c>
      <c r="I373" s="1188">
        <v>2033</v>
      </c>
      <c r="J373" s="1189">
        <f t="shared" si="68"/>
        <v>4.2958591823779889E-2</v>
      </c>
      <c r="K373" s="1190">
        <v>3.687839251466294E-2</v>
      </c>
      <c r="L373" s="1210">
        <v>0</v>
      </c>
      <c r="M373" s="1210">
        <v>0</v>
      </c>
      <c r="N373" s="1192">
        <f>INDEX(AESC!$H$184:$H$216,MATCH(I373,AESC!$B$184:$B$216,0))</f>
        <v>2.8980813962443596E-3</v>
      </c>
    </row>
    <row r="374" spans="1:14" s="541" customFormat="1">
      <c r="A374" s="1182">
        <f t="shared" si="70"/>
        <v>17</v>
      </c>
      <c r="B374" s="1183">
        <f t="shared" si="69"/>
        <v>2037</v>
      </c>
      <c r="C374" s="1184">
        <f t="shared" si="65"/>
        <v>5.8796652223682438E-2</v>
      </c>
      <c r="D374" s="1185">
        <f t="shared" si="66"/>
        <v>0</v>
      </c>
      <c r="E374" s="1227">
        <f>NPV(realdiscrt1,C$358:C374)/(1+realdiscrt1)^-Half_Year</f>
        <v>0.71887348133404327</v>
      </c>
      <c r="F374" s="1198">
        <f>NPV(realdiscrt1,D$358:D374)/(1+realdiscrt1)^-Half_Year</f>
        <v>0</v>
      </c>
      <c r="G374" s="1187" t="str">
        <f t="shared" si="67"/>
        <v>2021-Summer Targeted Charge-17</v>
      </c>
      <c r="I374" s="1188">
        <v>2034</v>
      </c>
      <c r="J374" s="1189">
        <f t="shared" si="68"/>
        <v>4.3637175687431654E-2</v>
      </c>
      <c r="K374" s="1190">
        <v>3.7396890436477495E-2</v>
      </c>
      <c r="L374" s="1210">
        <v>0</v>
      </c>
      <c r="M374" s="1210">
        <v>0</v>
      </c>
      <c r="N374" s="1192">
        <f>INDEX(AESC!$H$184:$H$216,MATCH(I374,AESC!$B$184:$B$216,0))</f>
        <v>3.0079018666999643E-3</v>
      </c>
    </row>
    <row r="375" spans="1:14" s="541" customFormat="1">
      <c r="A375" s="1182">
        <f t="shared" si="70"/>
        <v>18</v>
      </c>
      <c r="B375" s="1183">
        <f t="shared" si="69"/>
        <v>2038</v>
      </c>
      <c r="C375" s="1184">
        <f t="shared" si="65"/>
        <v>6.0985861723638006E-2</v>
      </c>
      <c r="D375" s="1185">
        <f t="shared" si="66"/>
        <v>0</v>
      </c>
      <c r="E375" s="1227">
        <f>NPV(realdiscrt1,C$358:C375)/(1+realdiscrt1)^-Half_Year</f>
        <v>0.76656989928235886</v>
      </c>
      <c r="F375" s="1198">
        <f>NPV(realdiscrt1,D$358:D375)/(1+realdiscrt1)^-Half_Year</f>
        <v>0</v>
      </c>
      <c r="G375" s="1187" t="str">
        <f t="shared" si="67"/>
        <v>2021-Summer Targeted Charge-18</v>
      </c>
      <c r="I375" s="1188">
        <v>2035</v>
      </c>
      <c r="J375" s="1189">
        <f t="shared" si="68"/>
        <v>5.1802596493422268E-2</v>
      </c>
      <c r="K375" s="1190">
        <v>4.484348322772385E-2</v>
      </c>
      <c r="L375" s="1210">
        <v>0</v>
      </c>
      <c r="M375" s="1210">
        <v>0</v>
      </c>
      <c r="N375" s="1192">
        <f>INDEX(AESC!$H$184:$H$216,MATCH(I375,AESC!$B$184:$B$216,0))</f>
        <v>3.1218838958152807E-3</v>
      </c>
    </row>
    <row r="376" spans="1:14" s="541" customFormat="1">
      <c r="A376" s="1182">
        <f t="shared" si="70"/>
        <v>19</v>
      </c>
      <c r="B376" s="1183">
        <f t="shared" si="69"/>
        <v>2039</v>
      </c>
      <c r="C376" s="1184">
        <f t="shared" si="65"/>
        <v>6.3262841855296154E-2</v>
      </c>
      <c r="D376" s="1185">
        <f t="shared" si="66"/>
        <v>0</v>
      </c>
      <c r="E376" s="1227">
        <f>NPV(realdiscrt1,C$358:C376)/(1+realdiscrt1)^-Half_Year</f>
        <v>0.81535707457433237</v>
      </c>
      <c r="F376" s="1198">
        <f>NPV(realdiscrt1,D$358:D376)/(1+realdiscrt1)^-Half_Year</f>
        <v>0</v>
      </c>
      <c r="G376" s="1187" t="str">
        <f t="shared" si="67"/>
        <v>2021-Summer Targeted Charge-19</v>
      </c>
      <c r="I376" s="1188">
        <v>2036</v>
      </c>
      <c r="J376" s="1189">
        <f t="shared" si="68"/>
        <v>5.3721273120740556E-2</v>
      </c>
      <c r="K376" s="1190">
        <v>4.638631911241077E-2</v>
      </c>
      <c r="L376" s="1210">
        <v>0</v>
      </c>
      <c r="M376" s="1210">
        <v>0</v>
      </c>
      <c r="N376" s="1192">
        <f>INDEX(AESC!$H$184:$H$216,MATCH(I376,AESC!$B$184:$B$216,0))</f>
        <v>3.3556004438304809E-3</v>
      </c>
    </row>
    <row r="377" spans="1:14" s="541" customFormat="1">
      <c r="A377" s="1182">
        <f t="shared" si="70"/>
        <v>20</v>
      </c>
      <c r="B377" s="1183">
        <f t="shared" si="69"/>
        <v>2040</v>
      </c>
      <c r="C377" s="1184">
        <f t="shared" si="65"/>
        <v>6.563154449621994E-2</v>
      </c>
      <c r="D377" s="1185">
        <f t="shared" si="66"/>
        <v>0</v>
      </c>
      <c r="E377" s="1227">
        <f>NPV(realdiscrt1,C$358:C377)/(1+realdiscrt1)^-Half_Year</f>
        <v>0.8652650529625604</v>
      </c>
      <c r="F377" s="1198">
        <f>NPV(realdiscrt1,D$358:D377)/(1+realdiscrt1)^-Half_Year</f>
        <v>0</v>
      </c>
      <c r="G377" s="1187" t="str">
        <f t="shared" si="67"/>
        <v>2021-Summer Targeted Charge-20</v>
      </c>
      <c r="I377" s="1188">
        <v>2037</v>
      </c>
      <c r="J377" s="1189">
        <f t="shared" si="68"/>
        <v>5.5716174062266068E-2</v>
      </c>
      <c r="K377" s="1190">
        <v>4.7982236122731704E-2</v>
      </c>
      <c r="L377" s="1210">
        <v>0</v>
      </c>
      <c r="M377" s="1210">
        <v>0</v>
      </c>
      <c r="N377" s="1192">
        <f>INDEX(AESC!$H$184:$H$216,MATCH(I377,AESC!$B$184:$B$216,0))</f>
        <v>3.6068139349220594E-3</v>
      </c>
    </row>
    <row r="378" spans="1:14" s="541" customFormat="1">
      <c r="A378" s="1182">
        <f t="shared" si="70"/>
        <v>21</v>
      </c>
      <c r="B378" s="1183">
        <f t="shared" si="69"/>
        <v>2041</v>
      </c>
      <c r="C378" s="1184">
        <f t="shared" si="65"/>
        <v>6.8096127271416368E-2</v>
      </c>
      <c r="D378" s="1185">
        <f t="shared" si="66"/>
        <v>0</v>
      </c>
      <c r="E378" s="1227">
        <f>NPV(realdiscrt1,C$358:C378)/(1+realdiscrt1)^-Half_Year</f>
        <v>0.91632497467039009</v>
      </c>
      <c r="F378" s="1198">
        <f>NPV(realdiscrt1,D$358:D378)/(1+realdiscrt1)^-Half_Year</f>
        <v>0</v>
      </c>
      <c r="G378" s="1187" t="str">
        <f t="shared" si="67"/>
        <v>2021-Summer Targeted Charge-21</v>
      </c>
      <c r="I378" s="1188">
        <v>2038</v>
      </c>
      <c r="J378" s="1189">
        <f t="shared" si="68"/>
        <v>5.7790686350725262E-2</v>
      </c>
      <c r="K378" s="1190">
        <v>4.9633060509894925E-2</v>
      </c>
      <c r="L378" s="1210">
        <v>0</v>
      </c>
      <c r="M378" s="1210">
        <v>0</v>
      </c>
      <c r="N378" s="1192">
        <f>INDEX(AESC!$H$184:$H$216,MATCH(I378,AESC!$B$184:$B$216,0))</f>
        <v>3.8768342592951292E-3</v>
      </c>
    </row>
    <row r="379" spans="1:14" s="541" customFormat="1">
      <c r="A379" s="1182">
        <f t="shared" si="70"/>
        <v>22</v>
      </c>
      <c r="B379" s="1183">
        <f t="shared" si="69"/>
        <v>2042</v>
      </c>
      <c r="C379" s="1184">
        <f t="shared" si="65"/>
        <v>7.0660965856323699E-2</v>
      </c>
      <c r="D379" s="1185">
        <f t="shared" si="66"/>
        <v>0</v>
      </c>
      <c r="E379" s="1227">
        <f>NPV(realdiscrt1,C$358:C379)/(1+realdiscrt1)^-Half_Year</f>
        <v>0.96856912584730526</v>
      </c>
      <c r="F379" s="1198">
        <f>NPV(realdiscrt1,D$358:D379)/(1+realdiscrt1)^-Half_Year</f>
        <v>0</v>
      </c>
      <c r="G379" s="1187" t="str">
        <f t="shared" si="67"/>
        <v>2021-Summer Targeted Charge-22</v>
      </c>
      <c r="I379" s="1188">
        <v>2039</v>
      </c>
      <c r="J379" s="1189">
        <f t="shared" si="68"/>
        <v>5.9948370786042274E-2</v>
      </c>
      <c r="K379" s="1190">
        <v>5.1340681357112276E-2</v>
      </c>
      <c r="L379" s="1210">
        <v>0</v>
      </c>
      <c r="M379" s="1210">
        <v>0</v>
      </c>
      <c r="N379" s="1192">
        <f>INDEX(AESC!$H$184:$H$216,MATCH(I379,AESC!$B$184:$B$216,0))</f>
        <v>4.1670693707046456E-3</v>
      </c>
    </row>
    <row r="380" spans="1:14" s="541" customFormat="1">
      <c r="A380" s="1182">
        <f t="shared" si="70"/>
        <v>23</v>
      </c>
      <c r="B380" s="1183">
        <f t="shared" si="69"/>
        <v>2043</v>
      </c>
      <c r="C380" s="1184">
        <f t="shared" si="65"/>
        <v>7.333066709419063E-2</v>
      </c>
      <c r="D380" s="1185">
        <f t="shared" si="66"/>
        <v>0</v>
      </c>
      <c r="E380" s="1227">
        <f>NPV(realdiscrt1,C$358:C380)/(1+realdiscrt1)^-Half_Year</f>
        <v>1.0220309928239337</v>
      </c>
      <c r="F380" s="1198">
        <f>NPV(realdiscrt1,D$358:D380)/(1+realdiscrt1)^-Half_Year</f>
        <v>0</v>
      </c>
      <c r="G380" s="1187" t="str">
        <f t="shared" si="67"/>
        <v>2021-Summer Targeted Charge-23</v>
      </c>
      <c r="I380" s="1188">
        <v>2040</v>
      </c>
      <c r="J380" s="1189">
        <f t="shared" si="68"/>
        <v>6.2192972198744839E-2</v>
      </c>
      <c r="K380" s="1190">
        <v>5.3107052741328452E-2</v>
      </c>
      <c r="L380" s="1210">
        <v>0</v>
      </c>
      <c r="M380" s="1210">
        <v>0</v>
      </c>
      <c r="N380" s="1192">
        <f>INDEX(AESC!$H$184:$H$216,MATCH(I380,AESC!$B$184:$B$216,0))</f>
        <v>4.4790326278797256E-3</v>
      </c>
    </row>
    <row r="381" spans="1:14" s="541" customFormat="1">
      <c r="A381" s="1182">
        <f t="shared" si="70"/>
        <v>24</v>
      </c>
      <c r="B381" s="1183">
        <f t="shared" si="69"/>
        <v>2044</v>
      </c>
      <c r="C381" s="1184">
        <f t="shared" si="65"/>
        <v>7.6110082985147223E-2</v>
      </c>
      <c r="D381" s="1185">
        <f t="shared" si="66"/>
        <v>0</v>
      </c>
      <c r="E381" s="1227">
        <f>NPV(realdiscrt1,C$358:C381)/(1+realdiscrt1)^-Half_Year</f>
        <v>1.076745319328676</v>
      </c>
      <c r="F381" s="1198">
        <f>NPV(realdiscrt1,D$358:D381)/(1+realdiscrt1)^-Half_Year</f>
        <v>0</v>
      </c>
      <c r="G381" s="1187" t="str">
        <f t="shared" si="67"/>
        <v>2021-Summer Targeted Charge-24</v>
      </c>
      <c r="I381" s="1188">
        <v>2041</v>
      </c>
      <c r="J381" s="1189">
        <f t="shared" si="68"/>
        <v>6.4528430387270713E-2</v>
      </c>
      <c r="K381" s="1190">
        <v>5.4934195969324327E-2</v>
      </c>
      <c r="L381" s="1210">
        <v>0</v>
      </c>
      <c r="M381" s="1210">
        <v>0</v>
      </c>
      <c r="N381" s="1192">
        <f>INDEX(AESC!$H$184:$H$216,MATCH(I381,AESC!$B$184:$B$216,0))</f>
        <v>4.8143506855559621E-3</v>
      </c>
    </row>
    <row r="382" spans="1:14" s="541" customFormat="1">
      <c r="A382" s="1182">
        <f t="shared" si="70"/>
        <v>25</v>
      </c>
      <c r="B382" s="1183">
        <f t="shared" si="69"/>
        <v>2045</v>
      </c>
      <c r="C382" s="1184">
        <f t="shared" si="65"/>
        <v>7.9004325608429293E-2</v>
      </c>
      <c r="D382" s="1185">
        <f t="shared" si="66"/>
        <v>0</v>
      </c>
      <c r="E382" s="1227">
        <f>NPV(realdiscrt1,C$358:C382)/(1+realdiscrt1)^-Half_Year</f>
        <v>1.1327481668375519</v>
      </c>
      <c r="F382" s="1198">
        <f>NPV(realdiscrt1,D$358:D382)/(1+realdiscrt1)^-Half_Year</f>
        <v>0</v>
      </c>
      <c r="G382" s="1187" t="str">
        <f t="shared" si="67"/>
        <v>2021-Summer Targeted Charge-25</v>
      </c>
      <c r="I382" s="1188">
        <v>2042</v>
      </c>
      <c r="J382" s="1189">
        <f t="shared" si="68"/>
        <v>6.6958891776376012E-2</v>
      </c>
      <c r="K382" s="1190">
        <v>5.6824201890753261E-2</v>
      </c>
      <c r="L382" s="1210">
        <v>0</v>
      </c>
      <c r="M382" s="1210">
        <v>0</v>
      </c>
      <c r="N382" s="1192">
        <f>INDEX(AESC!$H$184:$H$216,MATCH(I382,AESC!$B$184:$B$216,0))</f>
        <v>5.1747719762615567E-3</v>
      </c>
    </row>
    <row r="383" spans="1:14" s="541" customFormat="1">
      <c r="A383" s="1182">
        <f t="shared" si="70"/>
        <v>26</v>
      </c>
      <c r="B383" s="1183">
        <f t="shared" si="69"/>
        <v>2046</v>
      </c>
      <c r="C383" s="1184">
        <f t="shared" si="65"/>
        <v>8.2018783043689758E-2</v>
      </c>
      <c r="D383" s="1185">
        <f t="shared" si="66"/>
        <v>0</v>
      </c>
      <c r="E383" s="1227">
        <f>NPV(realdiscrt1,C$358:C383)/(1+realdiscrt1)^-Half_Year</f>
        <v>1.1900769782390128</v>
      </c>
      <c r="F383" s="1198">
        <f>NPV(realdiscrt1,D$358:D383)/(1+realdiscrt1)^-Half_Year</f>
        <v>0</v>
      </c>
      <c r="G383" s="1187" t="str">
        <f t="shared" si="67"/>
        <v>2021-Summer Targeted Charge-26</v>
      </c>
      <c r="I383" s="1188">
        <v>2043</v>
      </c>
      <c r="J383" s="1189">
        <f t="shared" si="68"/>
        <v>6.9488721847267856E-2</v>
      </c>
      <c r="K383" s="1190">
        <v>5.8779233290757162E-2</v>
      </c>
      <c r="L383" s="1210">
        <v>0</v>
      </c>
      <c r="M383" s="1210">
        <v>0</v>
      </c>
      <c r="N383" s="1192">
        <f>INDEX(AESC!$H$184:$H$216,MATCH(I383,AESC!$B$184:$B$216,0))</f>
        <v>5.5621758270834355E-3</v>
      </c>
    </row>
    <row r="384" spans="1:14" s="541" customFormat="1">
      <c r="A384" s="1182">
        <f t="shared" si="70"/>
        <v>27</v>
      </c>
      <c r="B384" s="1183">
        <f t="shared" si="69"/>
        <v>2047</v>
      </c>
      <c r="C384" s="1184">
        <f t="shared" si="65"/>
        <v>8.5159136362131238E-2</v>
      </c>
      <c r="D384" s="1185">
        <f t="shared" si="66"/>
        <v>0</v>
      </c>
      <c r="E384" s="1224">
        <f>NPV(realdiscrt1,C$358:C384)/(1+realdiscrt1)^-Half_Year</f>
        <v>1.2487706450062377</v>
      </c>
      <c r="F384" s="1199">
        <f>NPV(realdiscrt1,D$358:D384)/(1+realdiscrt1)^-Half_Year</f>
        <v>0</v>
      </c>
      <c r="G384" s="1187" t="str">
        <f t="shared" si="67"/>
        <v>2021-Summer Targeted Charge-27</v>
      </c>
      <c r="I384" s="1188">
        <v>2044</v>
      </c>
      <c r="J384" s="1189">
        <f t="shared" si="68"/>
        <v>7.2122518393758828E-2</v>
      </c>
      <c r="K384" s="1190">
        <v>6.0801527364900319E-2</v>
      </c>
      <c r="L384" s="1210">
        <v>0</v>
      </c>
      <c r="M384" s="1210">
        <v>0</v>
      </c>
      <c r="N384" s="1192">
        <f>INDEX(AESC!$H$184:$H$216,MATCH(I384,AESC!$B$184:$B$216,0))</f>
        <v>5.9785822589504493E-3</v>
      </c>
    </row>
    <row r="385" spans="1:14" s="541" customFormat="1" ht="20.25">
      <c r="A385" s="1140">
        <f>Year2</f>
        <v>2022</v>
      </c>
      <c r="B385" s="1141" t="str">
        <f>Year2&amp;"$"</f>
        <v>2022$</v>
      </c>
      <c r="C385" s="1216"/>
      <c r="D385" s="1217"/>
      <c r="E385" s="1216"/>
      <c r="F385" s="1218"/>
      <c r="G385" s="1217"/>
      <c r="I385" s="1188">
        <v>2045</v>
      </c>
      <c r="J385" s="1189">
        <f t="shared" si="68"/>
        <v>7.48651256626853E-2</v>
      </c>
      <c r="K385" s="1190">
        <v>6.2893398279253096E-2</v>
      </c>
      <c r="L385" s="1210">
        <v>0</v>
      </c>
      <c r="M385" s="1210">
        <v>0</v>
      </c>
      <c r="N385" s="1192">
        <f>INDEX(AESC!$H$184:$H$216,MATCH(I385,AESC!$B$184:$B$216,0))</f>
        <v>6.4261625195295869E-3</v>
      </c>
    </row>
    <row r="386" spans="1:14" s="541" customFormat="1">
      <c r="A386" s="1182">
        <v>1</v>
      </c>
      <c r="B386" s="1183">
        <f>Year2</f>
        <v>2022</v>
      </c>
      <c r="C386" s="1184">
        <f t="shared" ref="C386:C410" si="71">VLOOKUP($B386,$I$358:$N$390,C$12,FALSE)*(1+Inflation2)^(Year2-Real_Year)</f>
        <v>4.7024878289585972E-2</v>
      </c>
      <c r="D386" s="1185">
        <f t="shared" ref="D386:D410" si="72">VLOOKUP($B386,$I$358:$N$390,IF($A$17=Year1,D$12,D$12+1),FALSE)*(1+Inflation1)^(Year1-Real_Year)</f>
        <v>0</v>
      </c>
      <c r="E386" s="1225">
        <f>NPV(realdiscrt1,C$386:C386)/(1+realdiscrt2)^-Half_Year</f>
        <v>4.6695805218066204E-2</v>
      </c>
      <c r="F386" s="1226">
        <f>NPV(realdiscrt1,D$386:D386)/(1+realdiscrt2)^-Half_Year</f>
        <v>0</v>
      </c>
      <c r="G386" s="1187" t="str">
        <f t="shared" ref="G386:G410" si="73">$A$45&amp;"-"&amp;$A$353&amp;"-"&amp;A386</f>
        <v>2022-Summer Targeted Charge-1</v>
      </c>
      <c r="I386" s="1188">
        <v>2046</v>
      </c>
      <c r="J386" s="1189">
        <f t="shared" si="68"/>
        <v>7.7721649441068297E-2</v>
      </c>
      <c r="K386" s="1190">
        <v>6.5057239818555018E-2</v>
      </c>
      <c r="L386" s="1210">
        <v>0</v>
      </c>
      <c r="M386" s="1210">
        <v>0</v>
      </c>
      <c r="N386" s="1192">
        <f>INDEX(AESC!$H$184:$H$216,MATCH(I386,AESC!$B$184:$B$216,0))</f>
        <v>6.9072504046563642E-3</v>
      </c>
    </row>
    <row r="387" spans="1:14" s="541" customFormat="1">
      <c r="A387" s="1182">
        <v>2</v>
      </c>
      <c r="B387" s="1183">
        <f t="shared" ref="B387:B410" si="74">B386+1</f>
        <v>2023</v>
      </c>
      <c r="C387" s="1184">
        <f t="shared" si="71"/>
        <v>4.4507406126543893E-2</v>
      </c>
      <c r="D387" s="1185">
        <f t="shared" si="72"/>
        <v>0</v>
      </c>
      <c r="E387" s="1227">
        <f>NPV(realdiscrt1,C$386:C387)/(1+realdiscrt2)^-Half_Year</f>
        <v>9.0275366131501958E-2</v>
      </c>
      <c r="F387" s="1198">
        <f>NPV(realdiscrt1,D$386:D387)/(1+realdiscrt2)^-Half_Year</f>
        <v>0</v>
      </c>
      <c r="G387" s="1187" t="str">
        <f t="shared" si="73"/>
        <v>2022-Summer Targeted Charge-2</v>
      </c>
      <c r="I387" s="1188">
        <v>2047</v>
      </c>
      <c r="J387" s="1189">
        <f t="shared" si="68"/>
        <v>8.0697473157045535E-2</v>
      </c>
      <c r="K387" s="1190">
        <v>6.7295528125487766E-2</v>
      </c>
      <c r="L387" s="1210">
        <v>0</v>
      </c>
      <c r="M387" s="1210">
        <v>0</v>
      </c>
      <c r="N387" s="1192">
        <f>INDEX(AESC!$H$184:$H$216,MATCH(I387,AESC!$B$184:$B$216,0))</f>
        <v>7.4243544273321646E-3</v>
      </c>
    </row>
    <row r="388" spans="1:14" s="541" customFormat="1">
      <c r="A388" s="1182">
        <f t="shared" ref="A388:A410" si="75">A387+1</f>
        <v>3</v>
      </c>
      <c r="B388" s="1183">
        <f t="shared" si="74"/>
        <v>2024</v>
      </c>
      <c r="C388" s="1184">
        <f t="shared" si="71"/>
        <v>4.1803622426957496E-2</v>
      </c>
      <c r="D388" s="1185">
        <f t="shared" si="72"/>
        <v>0</v>
      </c>
      <c r="E388" s="1227">
        <f>NPV(realdiscrt1,C$386:C388)/(1+realdiscrt2)^-Half_Year</f>
        <v>0.13063663948607343</v>
      </c>
      <c r="F388" s="1198">
        <f>NPV(realdiscrt1,D$386:D388)/(1+realdiscrt2)^-Half_Year</f>
        <v>0</v>
      </c>
      <c r="G388" s="1187" t="str">
        <f t="shared" si="73"/>
        <v>2022-Summer Targeted Charge-3</v>
      </c>
      <c r="I388" s="1188">
        <v>2048</v>
      </c>
      <c r="J388" s="1189">
        <f t="shared" si="68"/>
        <v>8.3798275066487932E-2</v>
      </c>
      <c r="K388" s="1190">
        <v>6.9610824534192511E-2</v>
      </c>
      <c r="L388" s="1210">
        <v>0</v>
      </c>
      <c r="M388" s="1210">
        <v>0</v>
      </c>
      <c r="N388" s="1192">
        <f>INDEX(AESC!$H$184:$H$216,MATCH(I388,AESC!$B$184:$B$216,0))</f>
        <v>7.9801708977407463E-3</v>
      </c>
    </row>
    <row r="389" spans="1:14" s="541" customFormat="1">
      <c r="A389" s="1182">
        <f t="shared" si="75"/>
        <v>4</v>
      </c>
      <c r="B389" s="1183">
        <f t="shared" si="74"/>
        <v>2025</v>
      </c>
      <c r="C389" s="1184">
        <f t="shared" si="71"/>
        <v>4.5925888015284168E-2</v>
      </c>
      <c r="D389" s="1185">
        <f t="shared" si="72"/>
        <v>0</v>
      </c>
      <c r="E389" s="1227">
        <f>NPV(realdiscrt1,C$386:C389)/(1+realdiscrt2)^-Half_Year</f>
        <v>0.17435953171592769</v>
      </c>
      <c r="F389" s="1198">
        <f>NPV(realdiscrt1,D$386:D389)/(1+realdiscrt2)^-Half_Year</f>
        <v>0</v>
      </c>
      <c r="G389" s="1187" t="str">
        <f t="shared" si="73"/>
        <v>2022-Summer Targeted Charge-4</v>
      </c>
      <c r="I389" s="1188">
        <v>2049</v>
      </c>
      <c r="J389" s="1189">
        <f t="shared" si="68"/>
        <v>8.7030046602461428E-2</v>
      </c>
      <c r="K389" s="1190">
        <v>7.2005778501274167E-2</v>
      </c>
      <c r="L389" s="1210">
        <v>0</v>
      </c>
      <c r="M389" s="1210">
        <v>0</v>
      </c>
      <c r="N389" s="1192">
        <f>INDEX(AESC!$H$184:$H$216,MATCH(I389,AESC!$B$184:$B$216,0))</f>
        <v>8.5775979824864006E-3</v>
      </c>
    </row>
    <row r="390" spans="1:14" s="541" customFormat="1">
      <c r="A390" s="1182">
        <f t="shared" si="75"/>
        <v>5</v>
      </c>
      <c r="B390" s="1183">
        <f t="shared" si="74"/>
        <v>2026</v>
      </c>
      <c r="C390" s="1184">
        <f t="shared" si="71"/>
        <v>4.8688825877357574E-2</v>
      </c>
      <c r="D390" s="1185">
        <f t="shared" si="72"/>
        <v>0</v>
      </c>
      <c r="E390" s="1227">
        <f>NPV(realdiscrt1,C$386:C390)/(1+realdiscrt2)^-Half_Year</f>
        <v>0.22006635087067464</v>
      </c>
      <c r="F390" s="1198">
        <f>NPV(realdiscrt1,D$386:D390)/(1+realdiscrt2)^-Half_Year</f>
        <v>0</v>
      </c>
      <c r="G390" s="1187" t="str">
        <f t="shared" si="73"/>
        <v>2022-Summer Targeted Charge-5</v>
      </c>
      <c r="I390" s="1193">
        <v>2050</v>
      </c>
      <c r="J390" s="1194">
        <f t="shared" si="68"/>
        <v>9.0399111970329474E-2</v>
      </c>
      <c r="K390" s="1195">
        <v>7.4483130637646611E-2</v>
      </c>
      <c r="L390" s="1196">
        <v>0</v>
      </c>
      <c r="M390" s="1196">
        <v>0</v>
      </c>
      <c r="N390" s="1197">
        <f>INDEX(AESC!$H$184:$H$216,MATCH(I390,AESC!$B$184:$B$216,0))</f>
        <v>9.2197508163621572E-3</v>
      </c>
    </row>
    <row r="391" spans="1:14" s="541" customFormat="1">
      <c r="A391" s="1182">
        <f t="shared" si="75"/>
        <v>6</v>
      </c>
      <c r="B391" s="1183">
        <f t="shared" si="74"/>
        <v>2027</v>
      </c>
      <c r="C391" s="1184">
        <f t="shared" si="71"/>
        <v>4.5102019331798852E-2</v>
      </c>
      <c r="D391" s="1185">
        <f t="shared" si="72"/>
        <v>0</v>
      </c>
      <c r="E391" s="1227">
        <f>NPV(realdiscrt1,C$386:C391)/(1+realdiscrt2)^-Half_Year</f>
        <v>0.26181554154555092</v>
      </c>
      <c r="F391" s="1198">
        <f>NPV(realdiscrt1,D$386:D391)/(1+realdiscrt2)^-Half_Year</f>
        <v>0</v>
      </c>
      <c r="G391" s="1187" t="str">
        <f t="shared" si="73"/>
        <v>2022-Summer Targeted Charge-6</v>
      </c>
    </row>
    <row r="392" spans="1:14" s="541" customFormat="1">
      <c r="A392" s="1182">
        <f t="shared" si="75"/>
        <v>7</v>
      </c>
      <c r="B392" s="1183">
        <f t="shared" si="74"/>
        <v>2028</v>
      </c>
      <c r="C392" s="1184">
        <f t="shared" si="71"/>
        <v>4.6377040682428948E-2</v>
      </c>
      <c r="D392" s="1185">
        <f t="shared" si="72"/>
        <v>0</v>
      </c>
      <c r="E392" s="1227">
        <f>NPV(realdiscrt1,C$386:C392)/(1+realdiscrt2)^-Half_Year</f>
        <v>0.30414624485025415</v>
      </c>
      <c r="F392" s="1198">
        <f>NPV(realdiscrt1,D$386:D392)/(1+realdiscrt2)^-Half_Year</f>
        <v>0</v>
      </c>
      <c r="G392" s="1187" t="str">
        <f t="shared" si="73"/>
        <v>2022-Summer Targeted Charge-7</v>
      </c>
    </row>
    <row r="393" spans="1:14" s="541" customFormat="1">
      <c r="A393" s="1182">
        <f t="shared" si="75"/>
        <v>8</v>
      </c>
      <c r="B393" s="1183">
        <f t="shared" si="74"/>
        <v>2029</v>
      </c>
      <c r="C393" s="1184">
        <f t="shared" si="71"/>
        <v>4.8163049861969363E-2</v>
      </c>
      <c r="D393" s="1185">
        <f t="shared" si="72"/>
        <v>0</v>
      </c>
      <c r="E393" s="1227">
        <f>NPV(realdiscrt1,C$386:C393)/(1+realdiscrt2)^-Half_Year</f>
        <v>0.34749401966743404</v>
      </c>
      <c r="F393" s="1198">
        <f>NPV(realdiscrt1,D$386:D393)/(1+realdiscrt2)^-Half_Year</f>
        <v>0</v>
      </c>
      <c r="G393" s="1187" t="str">
        <f t="shared" si="73"/>
        <v>2022-Summer Targeted Charge-8</v>
      </c>
    </row>
    <row r="394" spans="1:14" s="541" customFormat="1">
      <c r="A394" s="1182">
        <f t="shared" si="75"/>
        <v>9</v>
      </c>
      <c r="B394" s="1183">
        <f t="shared" si="74"/>
        <v>2030</v>
      </c>
      <c r="C394" s="1184">
        <f t="shared" si="71"/>
        <v>5.0272494991394807E-2</v>
      </c>
      <c r="D394" s="1185">
        <f t="shared" si="72"/>
        <v>0</v>
      </c>
      <c r="E394" s="1227">
        <f>NPV(realdiscrt1,C$386:C394)/(1+realdiscrt2)^-Half_Year</f>
        <v>0.39210930193848753</v>
      </c>
      <c r="F394" s="1198">
        <f>NPV(realdiscrt1,D$386:D394)/(1+realdiscrt2)^-Half_Year</f>
        <v>0</v>
      </c>
      <c r="G394" s="1187" t="str">
        <f t="shared" si="73"/>
        <v>2022-Summer Targeted Charge-9</v>
      </c>
    </row>
    <row r="395" spans="1:14" s="541" customFormat="1">
      <c r="A395" s="1182">
        <f t="shared" si="75"/>
        <v>10</v>
      </c>
      <c r="B395" s="1183">
        <f t="shared" si="74"/>
        <v>2031</v>
      </c>
      <c r="C395" s="1184">
        <f t="shared" si="71"/>
        <v>4.8162679279095011E-2</v>
      </c>
      <c r="D395" s="1185">
        <f t="shared" si="72"/>
        <v>0</v>
      </c>
      <c r="E395" s="1227">
        <f>NPV(realdiscrt1,C$386:C395)/(1+realdiscrt2)^-Half_Year</f>
        <v>0.43425606456420501</v>
      </c>
      <c r="F395" s="1198">
        <f>NPV(realdiscrt1,D$386:D395)/(1+realdiscrt2)^-Half_Year</f>
        <v>0</v>
      </c>
      <c r="G395" s="1187" t="str">
        <f t="shared" si="73"/>
        <v>2022-Summer Targeted Charge-10</v>
      </c>
    </row>
    <row r="396" spans="1:14" s="541" customFormat="1">
      <c r="A396" s="1182">
        <f t="shared" si="75"/>
        <v>11</v>
      </c>
      <c r="B396" s="1183">
        <f t="shared" si="74"/>
        <v>2032</v>
      </c>
      <c r="C396" s="1184">
        <f t="shared" si="71"/>
        <v>4.5249028518238289E-2</v>
      </c>
      <c r="D396" s="1185">
        <f t="shared" si="72"/>
        <v>0</v>
      </c>
      <c r="E396" s="1227">
        <f>NPV(realdiscrt1,C$386:C396)/(1+realdiscrt2)^-Half_Year</f>
        <v>0.47330086606028998</v>
      </c>
      <c r="F396" s="1198">
        <f>NPV(realdiscrt1,D$386:D396)/(1+realdiscrt2)^-Half_Year</f>
        <v>0</v>
      </c>
      <c r="G396" s="1187" t="str">
        <f t="shared" si="73"/>
        <v>2022-Summer Targeted Charge-11</v>
      </c>
    </row>
    <row r="397" spans="1:14" s="541" customFormat="1">
      <c r="A397" s="1182">
        <f t="shared" si="75"/>
        <v>12</v>
      </c>
      <c r="B397" s="1183">
        <f t="shared" si="74"/>
        <v>2033</v>
      </c>
      <c r="C397" s="1184">
        <f t="shared" si="71"/>
        <v>4.6154259401391999E-2</v>
      </c>
      <c r="D397" s="1185">
        <f t="shared" si="72"/>
        <v>0</v>
      </c>
      <c r="E397" s="1227">
        <f>NPV(realdiscrt1,C$386:C397)/(1+realdiscrt2)^-Half_Year</f>
        <v>0.5125713382659508</v>
      </c>
      <c r="F397" s="1198">
        <f>NPV(realdiscrt1,D$386:D397)/(1+realdiscrt2)^-Half_Year</f>
        <v>0</v>
      </c>
      <c r="G397" s="1187" t="str">
        <f t="shared" si="73"/>
        <v>2022-Summer Targeted Charge-12</v>
      </c>
    </row>
    <row r="398" spans="1:14" s="541" customFormat="1">
      <c r="A398" s="1182">
        <f t="shared" si="75"/>
        <v>13</v>
      </c>
      <c r="B398" s="1183">
        <f t="shared" si="74"/>
        <v>2034</v>
      </c>
      <c r="C398" s="1184">
        <f t="shared" si="71"/>
        <v>4.6883322770067071E-2</v>
      </c>
      <c r="D398" s="1185">
        <f t="shared" si="72"/>
        <v>0</v>
      </c>
      <c r="E398" s="1227">
        <f>NPV(realdiscrt1,C$386:C398)/(1+realdiscrt2)^-Half_Year</f>
        <v>0.55190578970982229</v>
      </c>
      <c r="F398" s="1198">
        <f>NPV(realdiscrt1,D$386:D398)/(1+realdiscrt2)^-Half_Year</f>
        <v>0</v>
      </c>
      <c r="G398" s="1187" t="str">
        <f t="shared" si="73"/>
        <v>2022-Summer Targeted Charge-13</v>
      </c>
    </row>
    <row r="399" spans="1:14" s="541" customFormat="1">
      <c r="A399" s="1182">
        <f t="shared" si="75"/>
        <v>14</v>
      </c>
      <c r="B399" s="1183">
        <f t="shared" si="74"/>
        <v>2035</v>
      </c>
      <c r="C399" s="1184">
        <f t="shared" si="71"/>
        <v>5.5656165035175884E-2</v>
      </c>
      <c r="D399" s="1185">
        <f t="shared" si="72"/>
        <v>0</v>
      </c>
      <c r="E399" s="1227">
        <f>NPV(realdiscrt1,C$386:C399)/(1+realdiscrt2)^-Half_Year</f>
        <v>0.5979492939608213</v>
      </c>
      <c r="F399" s="1198">
        <f>NPV(realdiscrt1,D$386:D399)/(1+realdiscrt2)^-Half_Year</f>
        <v>0</v>
      </c>
      <c r="G399" s="1187" t="str">
        <f t="shared" si="73"/>
        <v>2022-Summer Targeted Charge-14</v>
      </c>
    </row>
    <row r="400" spans="1:14" s="541" customFormat="1">
      <c r="A400" s="1182">
        <f t="shared" si="75"/>
        <v>15</v>
      </c>
      <c r="B400" s="1183">
        <f t="shared" si="74"/>
        <v>2036</v>
      </c>
      <c r="C400" s="1184">
        <f t="shared" si="71"/>
        <v>5.7717571031161451E-2</v>
      </c>
      <c r="D400" s="1185">
        <f t="shared" si="72"/>
        <v>0</v>
      </c>
      <c r="E400" s="1227">
        <f>NPV(realdiscrt1,C$386:C400)/(1+realdiscrt2)^-Half_Year</f>
        <v>0.64503222752374567</v>
      </c>
      <c r="F400" s="1198">
        <f>NPV(realdiscrt1,D$386:D400)/(1+realdiscrt2)^-Half_Year</f>
        <v>0</v>
      </c>
      <c r="G400" s="1187" t="str">
        <f t="shared" si="73"/>
        <v>2022-Summer Targeted Charge-15</v>
      </c>
    </row>
    <row r="401" spans="1:7" s="541" customFormat="1">
      <c r="A401" s="1182">
        <f t="shared" si="75"/>
        <v>16</v>
      </c>
      <c r="B401" s="1183">
        <f t="shared" si="74"/>
        <v>2037</v>
      </c>
      <c r="C401" s="1184">
        <f t="shared" si="71"/>
        <v>5.9860871628931091E-2</v>
      </c>
      <c r="D401" s="1185">
        <f t="shared" si="72"/>
        <v>0</v>
      </c>
      <c r="E401" s="1227">
        <f>NPV(realdiscrt1,C$386:C401)/(1+realdiscrt2)^-Half_Year</f>
        <v>0.69318251469156944</v>
      </c>
      <c r="F401" s="1198">
        <f>NPV(realdiscrt1,D$386:D401)/(1+realdiscrt2)^-Half_Year</f>
        <v>0</v>
      </c>
      <c r="G401" s="1187" t="str">
        <f t="shared" si="73"/>
        <v>2022-Summer Targeted Charge-16</v>
      </c>
    </row>
    <row r="402" spans="1:7" s="541" customFormat="1">
      <c r="A402" s="1182">
        <f t="shared" si="75"/>
        <v>17</v>
      </c>
      <c r="B402" s="1183">
        <f t="shared" si="74"/>
        <v>2038</v>
      </c>
      <c r="C402" s="1184">
        <f t="shared" si="71"/>
        <v>6.2089705820835853E-2</v>
      </c>
      <c r="D402" s="1185">
        <f t="shared" si="72"/>
        <v>0</v>
      </c>
      <c r="E402" s="1227">
        <f>NPV(realdiscrt1,C$386:C402)/(1+realdiscrt2)^-Half_Year</f>
        <v>0.74242906622320537</v>
      </c>
      <c r="F402" s="1198">
        <f>NPV(realdiscrt1,D$386:D402)/(1+realdiscrt2)^-Half_Year</f>
        <v>0</v>
      </c>
      <c r="G402" s="1187" t="str">
        <f t="shared" si="73"/>
        <v>2022-Summer Targeted Charge-17</v>
      </c>
    </row>
    <row r="403" spans="1:7" s="541" customFormat="1">
      <c r="A403" s="1182">
        <f t="shared" si="75"/>
        <v>18</v>
      </c>
      <c r="B403" s="1183">
        <f t="shared" si="74"/>
        <v>2039</v>
      </c>
      <c r="C403" s="1184">
        <f t="shared" si="71"/>
        <v>6.4407899292877019E-2</v>
      </c>
      <c r="D403" s="1185">
        <f t="shared" si="72"/>
        <v>0</v>
      </c>
      <c r="E403" s="1227">
        <f>NPV(realdiscrt1,C$386:C403)/(1+realdiscrt2)^-Half_Year</f>
        <v>0.79280182471216776</v>
      </c>
      <c r="F403" s="1198">
        <f>NPV(realdiscrt1,D$386:D403)/(1+realdiscrt2)^-Half_Year</f>
        <v>0</v>
      </c>
      <c r="G403" s="1187" t="str">
        <f t="shared" si="73"/>
        <v>2022-Summer Targeted Charge-18</v>
      </c>
    </row>
    <row r="404" spans="1:7" s="541" customFormat="1">
      <c r="A404" s="1182">
        <f t="shared" si="75"/>
        <v>19</v>
      </c>
      <c r="B404" s="1183">
        <f t="shared" si="74"/>
        <v>2040</v>
      </c>
      <c r="C404" s="1184">
        <f t="shared" si="71"/>
        <v>6.6819475451601523E-2</v>
      </c>
      <c r="D404" s="1185">
        <f t="shared" si="72"/>
        <v>0</v>
      </c>
      <c r="E404" s="1227">
        <f>NPV(realdiscrt1,C$386:C404)/(1+realdiscrt2)^-Half_Year</f>
        <v>0.84433181239801325</v>
      </c>
      <c r="F404" s="1198">
        <f>NPV(realdiscrt1,D$386:D404)/(1+realdiscrt2)^-Half_Year</f>
        <v>0</v>
      </c>
      <c r="G404" s="1187" t="str">
        <f t="shared" si="73"/>
        <v>2022-Summer Targeted Charge-19</v>
      </c>
    </row>
    <row r="405" spans="1:7" s="541" customFormat="1">
      <c r="A405" s="1182">
        <f t="shared" si="75"/>
        <v>20</v>
      </c>
      <c r="B405" s="1183">
        <f t="shared" si="74"/>
        <v>2041</v>
      </c>
      <c r="C405" s="1184">
        <f t="shared" si="71"/>
        <v>6.9328667175029016E-2</v>
      </c>
      <c r="D405" s="1185">
        <f t="shared" si="72"/>
        <v>0</v>
      </c>
      <c r="E405" s="1227">
        <f>NPV(realdiscrt1,C$386:C405)/(1+realdiscrt2)^-Half_Year</f>
        <v>0.89705118156134722</v>
      </c>
      <c r="F405" s="1198">
        <f>NPV(realdiscrt1,D$386:D405)/(1+realdiscrt2)^-Half_Year</f>
        <v>0</v>
      </c>
      <c r="G405" s="1187" t="str">
        <f t="shared" si="73"/>
        <v>2022-Summer Targeted Charge-20</v>
      </c>
    </row>
    <row r="406" spans="1:7" s="541" customFormat="1">
      <c r="A406" s="1182">
        <f t="shared" si="75"/>
        <v>21</v>
      </c>
      <c r="B406" s="1183">
        <f t="shared" si="74"/>
        <v>2042</v>
      </c>
      <c r="C406" s="1184">
        <f t="shared" si="71"/>
        <v>7.1939929338323147E-2</v>
      </c>
      <c r="D406" s="1185">
        <f t="shared" si="72"/>
        <v>0</v>
      </c>
      <c r="E406" s="1227">
        <f>NPV(realdiscrt1,C$386:C406)/(1+realdiscrt2)^-Half_Year</f>
        <v>0.95099326765151215</v>
      </c>
      <c r="F406" s="1198">
        <f>NPV(realdiscrt1,D$386:D406)/(1+realdiscrt2)^-Half_Year</f>
        <v>0</v>
      </c>
      <c r="G406" s="1187" t="str">
        <f t="shared" si="73"/>
        <v>2022-Summer Targeted Charge-21</v>
      </c>
    </row>
    <row r="407" spans="1:7" s="541" customFormat="1">
      <c r="A407" s="1182">
        <f t="shared" si="75"/>
        <v>22</v>
      </c>
      <c r="B407" s="1183">
        <f t="shared" si="74"/>
        <v>2043</v>
      </c>
      <c r="C407" s="1184">
        <f t="shared" si="71"/>
        <v>7.4657952168595484E-2</v>
      </c>
      <c r="D407" s="1185">
        <f t="shared" si="72"/>
        <v>0</v>
      </c>
      <c r="E407" s="1227">
        <f>NPV(realdiscrt1,C$386:C407)/(1+realdiscrt2)^-Half_Year</f>
        <v>1.0061926453048811</v>
      </c>
      <c r="F407" s="1198">
        <f>NPV(realdiscrt1,D$386:D407)/(1+realdiscrt2)^-Half_Year</f>
        <v>0</v>
      </c>
      <c r="G407" s="1187" t="str">
        <f t="shared" si="73"/>
        <v>2022-Summer Targeted Charge-22</v>
      </c>
    </row>
    <row r="408" spans="1:7" s="541" customFormat="1">
      <c r="A408" s="1182">
        <f t="shared" si="75"/>
        <v>23</v>
      </c>
      <c r="B408" s="1183">
        <f t="shared" si="74"/>
        <v>2044</v>
      </c>
      <c r="C408" s="1184">
        <f t="shared" si="71"/>
        <v>7.7487675487178387E-2</v>
      </c>
      <c r="D408" s="1185">
        <f t="shared" si="72"/>
        <v>0</v>
      </c>
      <c r="E408" s="1227">
        <f>NPV(realdiscrt1,C$386:C408)/(1+realdiscrt2)^-Half_Year</f>
        <v>1.0626851874210275</v>
      </c>
      <c r="F408" s="1198">
        <f>NPV(realdiscrt1,D$386:D408)/(1+realdiscrt2)^-Half_Year</f>
        <v>0</v>
      </c>
      <c r="G408" s="1187" t="str">
        <f t="shared" si="73"/>
        <v>2022-Summer Targeted Charge-23</v>
      </c>
    </row>
    <row r="409" spans="1:7" s="541" customFormat="1">
      <c r="A409" s="1182">
        <f t="shared" si="75"/>
        <v>24</v>
      </c>
      <c r="B409" s="1183">
        <f t="shared" si="74"/>
        <v>2045</v>
      </c>
      <c r="C409" s="1184">
        <f t="shared" si="71"/>
        <v>8.0434303901941867E-2</v>
      </c>
      <c r="D409" s="1185">
        <f t="shared" si="72"/>
        <v>0</v>
      </c>
      <c r="E409" s="1227">
        <f>NPV(realdiscrt1,C$386:C409)/(1+realdiscrt2)^-Half_Year</f>
        <v>1.1205081274739417</v>
      </c>
      <c r="F409" s="1198">
        <f>NPV(realdiscrt1,D$386:D409)/(1+realdiscrt2)^-Half_Year</f>
        <v>0</v>
      </c>
      <c r="G409" s="1187" t="str">
        <f t="shared" si="73"/>
        <v>2022-Summer Targeted Charge-24</v>
      </c>
    </row>
    <row r="410" spans="1:7" s="541" customFormat="1">
      <c r="A410" s="1182">
        <f t="shared" si="75"/>
        <v>25</v>
      </c>
      <c r="B410" s="1183">
        <f t="shared" si="74"/>
        <v>2046</v>
      </c>
      <c r="C410" s="1184">
        <f t="shared" si="71"/>
        <v>8.350332301678054E-2</v>
      </c>
      <c r="D410" s="1185">
        <f t="shared" si="72"/>
        <v>0</v>
      </c>
      <c r="E410" s="1224">
        <f>NPV(realdiscrt1,C$386:C410)/(1+realdiscrt2)^-Half_Year</f>
        <v>1.1797001252459502</v>
      </c>
      <c r="F410" s="1199">
        <f>NPV(realdiscrt1,D$386:D410)/(1+realdiscrt2)^-Half_Year</f>
        <v>0</v>
      </c>
      <c r="G410" s="1187" t="str">
        <f t="shared" si="73"/>
        <v>2022-Summer Targeted Charge-25</v>
      </c>
    </row>
    <row r="411" spans="1:7" s="541" customFormat="1" ht="20.25">
      <c r="A411" s="1140">
        <f>Year3</f>
        <v>2023</v>
      </c>
      <c r="B411" s="1141" t="str">
        <f>Year3&amp;"$"</f>
        <v>2023$</v>
      </c>
      <c r="C411" s="1216"/>
      <c r="D411" s="1217"/>
      <c r="E411" s="1232"/>
      <c r="F411" s="1233"/>
      <c r="G411" s="1217"/>
    </row>
    <row r="412" spans="1:7" s="541" customFormat="1">
      <c r="A412" s="1182">
        <v>1</v>
      </c>
      <c r="B412" s="1183">
        <f>Year3</f>
        <v>2023</v>
      </c>
      <c r="C412" s="1219">
        <f t="shared" ref="C412:C436" si="76">VLOOKUP($B412,$I$358:$N$390,C$12,FALSE)*(1+Inflation3)^(Year3-Real_Year)</f>
        <v>4.5312990177434335E-2</v>
      </c>
      <c r="D412" s="1347">
        <f t="shared" ref="D412:D436" si="77">VLOOKUP($B412,$I$358:$N$390,IF($A$17=Year1,D$12,D$12+1),FALSE)*(1+Inflation1)^(Year1-Real_Year)</f>
        <v>0</v>
      </c>
      <c r="E412" s="1225">
        <f>NPV(realdiscrt1,C$412:C412)/(1+realdiscrt3)^-Half_Year</f>
        <v>4.4995896643122403E-2</v>
      </c>
      <c r="F412" s="1226">
        <f>NPV(realdiscrt1,D$412:D412)/(1+realdiscrt3)^-Half_Year</f>
        <v>0</v>
      </c>
      <c r="G412" s="1187" t="str">
        <f t="shared" ref="G412:G436" si="78">$A$71&amp;"-"&amp;$A$353&amp;"-"&amp;A412</f>
        <v>2023-Summer Targeted Charge-1</v>
      </c>
    </row>
    <row r="413" spans="1:7" s="541" customFormat="1">
      <c r="A413" s="1182">
        <v>2</v>
      </c>
      <c r="B413" s="1183">
        <f t="shared" ref="B413:B436" si="79">B412+1</f>
        <v>2024</v>
      </c>
      <c r="C413" s="1220">
        <f t="shared" si="76"/>
        <v>4.2560267992885432E-2</v>
      </c>
      <c r="D413" s="1185">
        <f t="shared" si="77"/>
        <v>0</v>
      </c>
      <c r="E413" s="1227">
        <f>NPV(realdiscrt1,C$412:C413)/(1+realdiscrt3)^-Half_Year</f>
        <v>8.6668911381717464E-2</v>
      </c>
      <c r="F413" s="1198">
        <f>NPV(realdiscrt1,D$412:D413)/(1+realdiscrt3)^-Half_Year</f>
        <v>0</v>
      </c>
      <c r="G413" s="1187" t="str">
        <f t="shared" si="78"/>
        <v>2023-Summer Targeted Charge-2</v>
      </c>
    </row>
    <row r="414" spans="1:7" s="541" customFormat="1">
      <c r="A414" s="1182">
        <f t="shared" ref="A414:A436" si="80">A413+1</f>
        <v>3</v>
      </c>
      <c r="B414" s="1183">
        <f t="shared" si="79"/>
        <v>2025</v>
      </c>
      <c r="C414" s="1220">
        <f t="shared" si="76"/>
        <v>4.6757146588360811E-2</v>
      </c>
      <c r="D414" s="1185">
        <f t="shared" si="77"/>
        <v>0</v>
      </c>
      <c r="E414" s="1227">
        <f>NPV(realdiscrt1,C$412:C414)/(1+realdiscrt3)^-Half_Year</f>
        <v>0.13181279760904197</v>
      </c>
      <c r="F414" s="1198">
        <f>NPV(realdiscrt1,D$412:D414)/(1+realdiscrt3)^-Half_Year</f>
        <v>0</v>
      </c>
      <c r="G414" s="1187" t="str">
        <f t="shared" si="78"/>
        <v>2023-Summer Targeted Charge-3</v>
      </c>
    </row>
    <row r="415" spans="1:7" s="541" customFormat="1">
      <c r="A415" s="1182">
        <f t="shared" si="80"/>
        <v>4</v>
      </c>
      <c r="B415" s="1183">
        <f t="shared" si="79"/>
        <v>2026</v>
      </c>
      <c r="C415" s="1220">
        <f t="shared" si="76"/>
        <v>4.9570093625737749E-2</v>
      </c>
      <c r="D415" s="1185">
        <f t="shared" si="77"/>
        <v>0</v>
      </c>
      <c r="E415" s="1227">
        <f>NPV(realdiscrt1,C$412:C415)/(1+realdiscrt3)^-Half_Year</f>
        <v>0.17900508838631823</v>
      </c>
      <c r="F415" s="1198">
        <f>NPV(realdiscrt1,D$412:D415)/(1+realdiscrt3)^-Half_Year</f>
        <v>0</v>
      </c>
      <c r="G415" s="1187" t="str">
        <f t="shared" si="78"/>
        <v>2023-Summer Targeted Charge-4</v>
      </c>
    </row>
    <row r="416" spans="1:7" s="541" customFormat="1">
      <c r="A416" s="1182">
        <f t="shared" si="80"/>
        <v>5</v>
      </c>
      <c r="B416" s="1183">
        <f t="shared" si="79"/>
        <v>2027</v>
      </c>
      <c r="C416" s="1220">
        <f t="shared" si="76"/>
        <v>4.5918365881704414E-2</v>
      </c>
      <c r="D416" s="1185">
        <f t="shared" si="77"/>
        <v>0</v>
      </c>
      <c r="E416" s="1227">
        <f>NPV(realdiscrt1,C$412:C416)/(1+realdiscrt3)^-Half_Year</f>
        <v>0.222111127758128</v>
      </c>
      <c r="F416" s="1198">
        <f>NPV(realdiscrt1,D$412:D416)/(1+realdiscrt3)^-Half_Year</f>
        <v>0</v>
      </c>
      <c r="G416" s="1187" t="str">
        <f t="shared" si="78"/>
        <v>2023-Summer Targeted Charge-5</v>
      </c>
    </row>
    <row r="417" spans="1:7" s="541" customFormat="1">
      <c r="A417" s="1182">
        <f t="shared" si="80"/>
        <v>6</v>
      </c>
      <c r="B417" s="1183">
        <f t="shared" si="79"/>
        <v>2028</v>
      </c>
      <c r="C417" s="1220">
        <f t="shared" si="76"/>
        <v>4.7216465118780915E-2</v>
      </c>
      <c r="D417" s="1185">
        <f t="shared" si="77"/>
        <v>0</v>
      </c>
      <c r="E417" s="1227">
        <f>NPV(realdiscrt1,C$412:C417)/(1+realdiscrt3)^-Half_Year</f>
        <v>0.26581757892023405</v>
      </c>
      <c r="F417" s="1198">
        <f>NPV(realdiscrt1,D$412:D417)/(1+realdiscrt3)^-Half_Year</f>
        <v>0</v>
      </c>
      <c r="G417" s="1187" t="str">
        <f t="shared" si="78"/>
        <v>2023-Summer Targeted Charge-6</v>
      </c>
    </row>
    <row r="418" spans="1:7" s="541" customFormat="1">
      <c r="A418" s="1182">
        <f t="shared" si="80"/>
        <v>7</v>
      </c>
      <c r="B418" s="1183">
        <f t="shared" si="79"/>
        <v>2029</v>
      </c>
      <c r="C418" s="1220">
        <f t="shared" si="76"/>
        <v>4.9034801064471008E-2</v>
      </c>
      <c r="D418" s="1185">
        <f t="shared" si="77"/>
        <v>0</v>
      </c>
      <c r="E418" s="1227">
        <f>NPV(realdiscrt1,C$412:C418)/(1+realdiscrt3)^-Half_Year</f>
        <v>0.31057415641897229</v>
      </c>
      <c r="F418" s="1198">
        <f>NPV(realdiscrt1,D$412:D418)/(1+realdiscrt3)^-Half_Year</f>
        <v>0</v>
      </c>
      <c r="G418" s="1187" t="str">
        <f t="shared" si="78"/>
        <v>2023-Summer Targeted Charge-7</v>
      </c>
    </row>
    <row r="419" spans="1:7" s="541" customFormat="1">
      <c r="A419" s="1182">
        <f t="shared" si="80"/>
        <v>8</v>
      </c>
      <c r="B419" s="1183">
        <f t="shared" si="79"/>
        <v>2030</v>
      </c>
      <c r="C419" s="1220">
        <f t="shared" si="76"/>
        <v>5.1182427150739056E-2</v>
      </c>
      <c r="D419" s="1185">
        <f t="shared" si="77"/>
        <v>0</v>
      </c>
      <c r="E419" s="1227">
        <f>NPV(realdiscrt1,C$412:C419)/(1+realdiscrt3)^-Half_Year</f>
        <v>0.35663943536383502</v>
      </c>
      <c r="F419" s="1198">
        <f>NPV(realdiscrt1,D$412:D419)/(1+realdiscrt3)^-Half_Year</f>
        <v>0</v>
      </c>
      <c r="G419" s="1187" t="str">
        <f t="shared" si="78"/>
        <v>2023-Summer Targeted Charge-8</v>
      </c>
    </row>
    <row r="420" spans="1:7" s="541" customFormat="1">
      <c r="A420" s="1182">
        <f t="shared" si="80"/>
        <v>9</v>
      </c>
      <c r="B420" s="1183">
        <f t="shared" si="79"/>
        <v>2031</v>
      </c>
      <c r="C420" s="1220">
        <f t="shared" si="76"/>
        <v>4.9034423774046633E-2</v>
      </c>
      <c r="D420" s="1185">
        <f t="shared" si="77"/>
        <v>0</v>
      </c>
      <c r="E420" s="1227">
        <f>NPV(realdiscrt1,C$412:C420)/(1+realdiscrt3)^-Half_Year</f>
        <v>0.40015596777488832</v>
      </c>
      <c r="F420" s="1198">
        <f>NPV(realdiscrt1,D$412:D420)/(1+realdiscrt3)^-Half_Year</f>
        <v>0</v>
      </c>
      <c r="G420" s="1187" t="str">
        <f t="shared" si="78"/>
        <v>2023-Summer Targeted Charge-9</v>
      </c>
    </row>
    <row r="421" spans="1:7" s="541" customFormat="1">
      <c r="A421" s="1182">
        <f t="shared" si="80"/>
        <v>10</v>
      </c>
      <c r="B421" s="1183">
        <f t="shared" si="79"/>
        <v>2032</v>
      </c>
      <c r="C421" s="1220">
        <f t="shared" si="76"/>
        <v>4.6068035934418411E-2</v>
      </c>
      <c r="D421" s="1185">
        <f t="shared" si="77"/>
        <v>0</v>
      </c>
      <c r="E421" s="1227">
        <f>NPV(realdiscrt1,C$412:C421)/(1+realdiscrt3)^-Half_Year</f>
        <v>0.44046972531959605</v>
      </c>
      <c r="F421" s="1198">
        <f>NPV(realdiscrt1,D$412:D421)/(1+realdiscrt3)^-Half_Year</f>
        <v>0</v>
      </c>
      <c r="G421" s="1187" t="str">
        <f t="shared" si="78"/>
        <v>2023-Summer Targeted Charge-10</v>
      </c>
    </row>
    <row r="422" spans="1:7" s="541" customFormat="1">
      <c r="A422" s="1182">
        <f t="shared" si="80"/>
        <v>11</v>
      </c>
      <c r="B422" s="1183">
        <f t="shared" si="79"/>
        <v>2033</v>
      </c>
      <c r="C422" s="1220">
        <f t="shared" si="76"/>
        <v>4.6989651496557198E-2</v>
      </c>
      <c r="D422" s="1185">
        <f t="shared" si="77"/>
        <v>0</v>
      </c>
      <c r="E422" s="1227">
        <f>NPV(realdiscrt1,C$412:C422)/(1+realdiscrt3)^-Half_Year</f>
        <v>0.4810164878719409</v>
      </c>
      <c r="F422" s="1198">
        <f>NPV(realdiscrt1,D$412:D422)/(1+realdiscrt3)^-Half_Year</f>
        <v>0</v>
      </c>
      <c r="G422" s="1187" t="str">
        <f t="shared" si="78"/>
        <v>2023-Summer Targeted Charge-11</v>
      </c>
    </row>
    <row r="423" spans="1:7" s="541" customFormat="1">
      <c r="A423" s="1182">
        <f t="shared" si="80"/>
        <v>12</v>
      </c>
      <c r="B423" s="1183">
        <f t="shared" si="79"/>
        <v>2034</v>
      </c>
      <c r="C423" s="1220">
        <f t="shared" si="76"/>
        <v>4.7731910912205286E-2</v>
      </c>
      <c r="D423" s="1185">
        <f t="shared" si="77"/>
        <v>0</v>
      </c>
      <c r="E423" s="1227">
        <f>NPV(realdiscrt1,C$412:C423)/(1+realdiscrt3)^-Half_Year</f>
        <v>0.52162930898773818</v>
      </c>
      <c r="F423" s="1198">
        <f>NPV(realdiscrt1,D$412:D423)/(1+realdiscrt3)^-Half_Year</f>
        <v>0</v>
      </c>
      <c r="G423" s="1187" t="str">
        <f t="shared" si="78"/>
        <v>2023-Summer Targeted Charge-12</v>
      </c>
    </row>
    <row r="424" spans="1:7" s="541" customFormat="1">
      <c r="A424" s="1182">
        <f t="shared" si="80"/>
        <v>13</v>
      </c>
      <c r="B424" s="1183">
        <f t="shared" si="79"/>
        <v>2035</v>
      </c>
      <c r="C424" s="1220">
        <f t="shared" si="76"/>
        <v>5.6663541622312574E-2</v>
      </c>
      <c r="D424" s="1185">
        <f t="shared" si="77"/>
        <v>0</v>
      </c>
      <c r="E424" s="1227">
        <f>NPV(realdiscrt1,C$412:C424)/(1+realdiscrt3)^-Half_Year</f>
        <v>0.56916922712689477</v>
      </c>
      <c r="F424" s="1198">
        <f>NPV(realdiscrt1,D$412:D424)/(1+realdiscrt3)^-Half_Year</f>
        <v>0</v>
      </c>
      <c r="G424" s="1187" t="str">
        <f t="shared" si="78"/>
        <v>2023-Summer Targeted Charge-13</v>
      </c>
    </row>
    <row r="425" spans="1:7" s="541" customFormat="1">
      <c r="A425" s="1182">
        <f t="shared" si="80"/>
        <v>14</v>
      </c>
      <c r="B425" s="1183">
        <f t="shared" si="79"/>
        <v>2036</v>
      </c>
      <c r="C425" s="1220">
        <f t="shared" si="76"/>
        <v>5.8762259066825473E-2</v>
      </c>
      <c r="D425" s="1185">
        <f t="shared" si="77"/>
        <v>0</v>
      </c>
      <c r="E425" s="1227">
        <f>NPV(realdiscrt1,C$412:C425)/(1+realdiscrt3)^-Half_Year</f>
        <v>0.61778235603061415</v>
      </c>
      <c r="F425" s="1198">
        <f>NPV(realdiscrt1,D$412:D425)/(1+realdiscrt3)^-Half_Year</f>
        <v>0</v>
      </c>
      <c r="G425" s="1187" t="str">
        <f t="shared" si="78"/>
        <v>2023-Summer Targeted Charge-14</v>
      </c>
    </row>
    <row r="426" spans="1:7" s="541" customFormat="1">
      <c r="A426" s="1182">
        <f t="shared" si="80"/>
        <v>15</v>
      </c>
      <c r="B426" s="1183">
        <f t="shared" si="79"/>
        <v>2037</v>
      </c>
      <c r="C426" s="1220">
        <f t="shared" si="76"/>
        <v>6.094435340541475E-2</v>
      </c>
      <c r="D426" s="1185">
        <f t="shared" si="77"/>
        <v>0</v>
      </c>
      <c r="E426" s="1227">
        <f>NPV(realdiscrt1,C$412:C426)/(1+realdiscrt3)^-Half_Year</f>
        <v>0.66749752753139202</v>
      </c>
      <c r="F426" s="1198">
        <f>NPV(realdiscrt1,D$412:D426)/(1+realdiscrt3)^-Half_Year</f>
        <v>0</v>
      </c>
      <c r="G426" s="1187" t="str">
        <f t="shared" si="78"/>
        <v>2023-Summer Targeted Charge-15</v>
      </c>
    </row>
    <row r="427" spans="1:7" s="541" customFormat="1">
      <c r="A427" s="1182">
        <f t="shared" si="80"/>
        <v>16</v>
      </c>
      <c r="B427" s="1183">
        <f t="shared" si="79"/>
        <v>2038</v>
      </c>
      <c r="C427" s="1220">
        <f t="shared" si="76"/>
        <v>6.3213529496192994E-2</v>
      </c>
      <c r="D427" s="1185">
        <f t="shared" si="77"/>
        <v>0</v>
      </c>
      <c r="E427" s="1227">
        <f>NPV(realdiscrt1,C$412:C427)/(1+realdiscrt3)^-Half_Year</f>
        <v>0.71834459198780609</v>
      </c>
      <c r="F427" s="1198">
        <f>NPV(realdiscrt1,D$412:D427)/(1+realdiscrt3)^-Half_Year</f>
        <v>0</v>
      </c>
      <c r="G427" s="1187" t="str">
        <f t="shared" si="78"/>
        <v>2023-Summer Targeted Charge-16</v>
      </c>
    </row>
    <row r="428" spans="1:7" s="541" customFormat="1">
      <c r="A428" s="1182">
        <f t="shared" si="80"/>
        <v>17</v>
      </c>
      <c r="B428" s="1183">
        <f t="shared" si="79"/>
        <v>2039</v>
      </c>
      <c r="C428" s="1220">
        <f t="shared" si="76"/>
        <v>6.5573682270078093E-2</v>
      </c>
      <c r="D428" s="1185">
        <f t="shared" si="77"/>
        <v>0</v>
      </c>
      <c r="E428" s="1227">
        <f>NPV(realdiscrt1,C$412:C428)/(1+realdiscrt3)^-Half_Year</f>
        <v>0.77035446512765993</v>
      </c>
      <c r="F428" s="1198">
        <f>NPV(realdiscrt1,D$412:D428)/(1+realdiscrt3)^-Half_Year</f>
        <v>0</v>
      </c>
      <c r="G428" s="1187" t="str">
        <f t="shared" si="78"/>
        <v>2023-Summer Targeted Charge-17</v>
      </c>
    </row>
    <row r="429" spans="1:7" s="541" customFormat="1">
      <c r="A429" s="1182">
        <f t="shared" si="80"/>
        <v>18</v>
      </c>
      <c r="B429" s="1183">
        <f t="shared" si="79"/>
        <v>2040</v>
      </c>
      <c r="C429" s="1220">
        <f t="shared" si="76"/>
        <v>6.8028907957275522E-2</v>
      </c>
      <c r="D429" s="1185">
        <f t="shared" si="77"/>
        <v>0</v>
      </c>
      <c r="E429" s="1227">
        <f>NPV(realdiscrt1,C$412:C429)/(1+realdiscrt3)^-Half_Year</f>
        <v>0.82355917741329543</v>
      </c>
      <c r="F429" s="1198">
        <f>NPV(realdiscrt1,D$412:D429)/(1+realdiscrt3)^-Half_Year</f>
        <v>0</v>
      </c>
      <c r="G429" s="1187" t="str">
        <f t="shared" si="78"/>
        <v>2023-Summer Targeted Charge-18</v>
      </c>
    </row>
    <row r="430" spans="1:7" s="541" customFormat="1">
      <c r="A430" s="1182">
        <f t="shared" si="80"/>
        <v>19</v>
      </c>
      <c r="B430" s="1183">
        <f t="shared" si="79"/>
        <v>2041</v>
      </c>
      <c r="C430" s="1220">
        <f t="shared" si="76"/>
        <v>7.0583516050897036E-2</v>
      </c>
      <c r="D430" s="1185">
        <f t="shared" si="77"/>
        <v>0</v>
      </c>
      <c r="E430" s="1227">
        <f>NPV(realdiscrt1,C$412:C430)/(1+realdiscrt3)^-Half_Year</f>
        <v>0.87799192607443777</v>
      </c>
      <c r="F430" s="1198">
        <f>NPV(realdiscrt1,D$412:D430)/(1+realdiscrt3)^-Half_Year</f>
        <v>0</v>
      </c>
      <c r="G430" s="1187" t="str">
        <f t="shared" si="78"/>
        <v>2023-Summer Targeted Charge-19</v>
      </c>
    </row>
    <row r="431" spans="1:7" s="541" customFormat="1">
      <c r="A431" s="1182">
        <f t="shared" si="80"/>
        <v>20</v>
      </c>
      <c r="B431" s="1183">
        <f t="shared" si="79"/>
        <v>2042</v>
      </c>
      <c r="C431" s="1220">
        <f t="shared" si="76"/>
        <v>7.3242042059346812E-2</v>
      </c>
      <c r="D431" s="1185">
        <f t="shared" si="77"/>
        <v>0</v>
      </c>
      <c r="E431" s="1227">
        <f>NPV(realdiscrt1,C$412:C431)/(1+realdiscrt3)^-Half_Year</f>
        <v>0.93368712996253311</v>
      </c>
      <c r="F431" s="1198">
        <f>NPV(realdiscrt1,D$412:D431)/(1+realdiscrt3)^-Half_Year</f>
        <v>0</v>
      </c>
      <c r="G431" s="1187" t="str">
        <f t="shared" si="78"/>
        <v>2023-Summer Targeted Charge-20</v>
      </c>
    </row>
    <row r="432" spans="1:7" s="541" customFormat="1">
      <c r="A432" s="1182">
        <f t="shared" si="80"/>
        <v>21</v>
      </c>
      <c r="B432" s="1183">
        <f t="shared" si="79"/>
        <v>2043</v>
      </c>
      <c r="C432" s="1220">
        <f t="shared" si="76"/>
        <v>7.6009261102847073E-2</v>
      </c>
      <c r="D432" s="1185">
        <f t="shared" si="77"/>
        <v>0</v>
      </c>
      <c r="E432" s="1227">
        <f>NPV(realdiscrt1,C$412:C432)/(1+realdiscrt3)^-Half_Year</f>
        <v>0.99068048738963632</v>
      </c>
      <c r="F432" s="1198">
        <f>NPV(realdiscrt1,D$412:D432)/(1+realdiscrt3)^-Half_Year</f>
        <v>0</v>
      </c>
      <c r="G432" s="1187" t="str">
        <f t="shared" si="78"/>
        <v>2023-Summer Targeted Charge-21</v>
      </c>
    </row>
    <row r="433" spans="1:17" s="541" customFormat="1">
      <c r="A433" s="1182">
        <f t="shared" si="80"/>
        <v>22</v>
      </c>
      <c r="B433" s="1183">
        <f t="shared" si="79"/>
        <v>2044</v>
      </c>
      <c r="C433" s="1220">
        <f t="shared" si="76"/>
        <v>7.8890202413496327E-2</v>
      </c>
      <c r="D433" s="1185">
        <f t="shared" si="77"/>
        <v>0</v>
      </c>
      <c r="E433" s="1227">
        <f>NPV(realdiscrt1,C$412:C433)/(1+realdiscrt3)^-Half_Year</f>
        <v>1.0490090371245575</v>
      </c>
      <c r="F433" s="1198">
        <f>NPV(realdiscrt1,D$412:D433)/(1+realdiscrt3)^-Half_Year</f>
        <v>0</v>
      </c>
      <c r="G433" s="1187" t="str">
        <f t="shared" si="78"/>
        <v>2023-Summer Targeted Charge-22</v>
      </c>
    </row>
    <row r="434" spans="1:17" s="541" customFormat="1">
      <c r="A434" s="1182">
        <f t="shared" si="80"/>
        <v>23</v>
      </c>
      <c r="B434" s="1183">
        <f t="shared" si="79"/>
        <v>2045</v>
      </c>
      <c r="C434" s="1220">
        <f t="shared" si="76"/>
        <v>8.1890164802567014E-2</v>
      </c>
      <c r="D434" s="1185">
        <f t="shared" si="77"/>
        <v>0</v>
      </c>
      <c r="E434" s="1227">
        <f>NPV(realdiscrt1,C$412:C434)/(1+realdiscrt3)^-Half_Year</f>
        <v>1.1087112227291915</v>
      </c>
      <c r="F434" s="1198">
        <f>NPV(realdiscrt1,D$412:D434)/(1+realdiscrt3)^-Half_Year</f>
        <v>0</v>
      </c>
      <c r="G434" s="1187" t="str">
        <f t="shared" si="78"/>
        <v>2023-Summer Targeted Charge-23</v>
      </c>
    </row>
    <row r="435" spans="1:17" s="541" customFormat="1">
      <c r="A435" s="1182">
        <f t="shared" si="80"/>
        <v>24</v>
      </c>
      <c r="B435" s="1183">
        <f t="shared" si="79"/>
        <v>2046</v>
      </c>
      <c r="C435" s="1220">
        <f t="shared" si="76"/>
        <v>8.5014733163384273E-2</v>
      </c>
      <c r="D435" s="1185">
        <f t="shared" si="77"/>
        <v>0</v>
      </c>
      <c r="E435" s="1227">
        <f>NPV(realdiscrt1,C$412:C435)/(1+realdiscrt3)^-Half_Year</f>
        <v>1.1698269604287903</v>
      </c>
      <c r="F435" s="1198">
        <f>NPV(realdiscrt1,D$412:D435)/(1+realdiscrt3)^-Half_Year</f>
        <v>0</v>
      </c>
      <c r="G435" s="1187" t="str">
        <f t="shared" si="78"/>
        <v>2023-Summer Targeted Charge-24</v>
      </c>
    </row>
    <row r="436" spans="1:17" s="541" customFormat="1">
      <c r="A436" s="1208">
        <f t="shared" si="80"/>
        <v>25</v>
      </c>
      <c r="B436" s="1223">
        <f t="shared" si="79"/>
        <v>2047</v>
      </c>
      <c r="C436" s="1221">
        <f t="shared" si="76"/>
        <v>8.826979608310398E-2</v>
      </c>
      <c r="D436" s="1222">
        <f t="shared" si="77"/>
        <v>0</v>
      </c>
      <c r="E436" s="1224">
        <f>NPV(realdiscrt1,C$412:C436)/(1+realdiscrt3)^-Half_Year</f>
        <v>1.2323977107214075</v>
      </c>
      <c r="F436" s="1199">
        <f>NPV(realdiscrt1,D$412:D436)/(1+realdiscrt3)^-Half_Year</f>
        <v>0</v>
      </c>
      <c r="G436" s="1200" t="str">
        <f t="shared" si="78"/>
        <v>2023-Summer Targeted Charge-25</v>
      </c>
    </row>
    <row r="437" spans="1:17"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</row>
    <row r="438" spans="1:17" ht="23.25">
      <c r="A438" s="1641" t="str">
        <f>A9</f>
        <v>Top 20 Winter Hours</v>
      </c>
      <c r="B438" s="1642"/>
      <c r="C438" s="1642"/>
      <c r="D438" s="1642"/>
      <c r="E438" s="1642"/>
      <c r="F438" s="1642"/>
      <c r="G438" s="1642"/>
      <c r="H438" s="1642"/>
      <c r="I438" s="1642"/>
      <c r="J438" s="1642"/>
      <c r="K438" s="1642"/>
      <c r="L438" s="1642"/>
      <c r="M438" s="1642"/>
      <c r="N438" s="1643"/>
      <c r="O438" s="541"/>
      <c r="P438" s="541"/>
      <c r="Q438" s="541"/>
    </row>
    <row r="439" spans="1:17" s="541" customFormat="1" ht="15">
      <c r="A439" s="1644" t="s">
        <v>593</v>
      </c>
      <c r="B439" s="1645"/>
      <c r="C439" s="1228" t="s">
        <v>918</v>
      </c>
      <c r="D439" s="1229" t="s">
        <v>63</v>
      </c>
      <c r="E439" s="1228" t="s">
        <v>918</v>
      </c>
      <c r="F439" s="1228" t="s">
        <v>63</v>
      </c>
      <c r="G439" s="1230" t="s">
        <v>704</v>
      </c>
      <c r="I439" s="1637" t="s">
        <v>76</v>
      </c>
      <c r="J439" s="1162" t="s">
        <v>914</v>
      </c>
      <c r="K439" s="1162" t="s">
        <v>915</v>
      </c>
      <c r="L439" s="1163" t="s">
        <v>942</v>
      </c>
      <c r="M439" s="1163" t="s">
        <v>916</v>
      </c>
      <c r="N439" s="1638" t="s">
        <v>917</v>
      </c>
    </row>
    <row r="440" spans="1:17" s="1161" customFormat="1" ht="15" customHeight="1">
      <c r="A440" s="1164"/>
      <c r="B440" s="1165"/>
      <c r="C440" s="1166" t="s">
        <v>71</v>
      </c>
      <c r="D440" s="1167" t="s">
        <v>71</v>
      </c>
      <c r="E440" s="1166" t="s">
        <v>71</v>
      </c>
      <c r="F440" s="1166" t="s">
        <v>71</v>
      </c>
      <c r="G440" s="1168"/>
      <c r="H440" s="1144"/>
      <c r="I440" s="1637"/>
      <c r="J440" s="1169" t="s">
        <v>919</v>
      </c>
      <c r="K440" s="1169" t="s">
        <v>919</v>
      </c>
      <c r="L440" s="1170" t="s">
        <v>919</v>
      </c>
      <c r="M440" s="1170" t="s">
        <v>919</v>
      </c>
      <c r="N440" s="1638"/>
      <c r="O440" s="541"/>
      <c r="P440" s="541"/>
      <c r="Q440" s="541"/>
    </row>
    <row r="441" spans="1:17" s="1201" customFormat="1" ht="20.25">
      <c r="A441" s="1211" t="s">
        <v>600</v>
      </c>
      <c r="B441" s="1212"/>
      <c r="C441" s="1213"/>
      <c r="D441" s="1214"/>
      <c r="E441" s="1215" t="s">
        <v>633</v>
      </c>
      <c r="F441" s="1138"/>
      <c r="G441" s="1139"/>
      <c r="H441" s="1144"/>
      <c r="I441" s="1646"/>
      <c r="J441" s="1204" t="s">
        <v>71</v>
      </c>
      <c r="K441" s="1204" t="s">
        <v>71</v>
      </c>
      <c r="L441" s="1172" t="s">
        <v>71</v>
      </c>
      <c r="M441" s="1205" t="s">
        <v>71</v>
      </c>
      <c r="N441" s="1647"/>
      <c r="O441" s="541"/>
      <c r="P441" s="541"/>
      <c r="Q441" s="541"/>
    </row>
    <row r="442" spans="1:17" s="541" customFormat="1" ht="18">
      <c r="A442" s="1140">
        <f>Year1</f>
        <v>2021</v>
      </c>
      <c r="B442" s="1141" t="str">
        <f>Year1&amp;"$"</f>
        <v>2021$</v>
      </c>
      <c r="C442" s="1173"/>
      <c r="D442" s="1174"/>
      <c r="E442" s="1175"/>
      <c r="F442" s="1176"/>
      <c r="G442" s="1174"/>
      <c r="I442" s="1178" t="s">
        <v>922</v>
      </c>
      <c r="J442" s="1179"/>
      <c r="K442" s="1179"/>
      <c r="L442" s="1179"/>
      <c r="M442" s="1180"/>
      <c r="N442" s="1181"/>
    </row>
    <row r="443" spans="1:17" s="541" customFormat="1">
      <c r="A443" s="1182">
        <v>1</v>
      </c>
      <c r="B443" s="1183">
        <f>Year1</f>
        <v>2021</v>
      </c>
      <c r="C443" s="1184">
        <f t="shared" ref="C443:C469" si="81">VLOOKUP($B443,$I$443:$N$475,C$12,FALSE)*(1+Inflation1)^(Year1-Real_Year)</f>
        <v>0.11351325863754314</v>
      </c>
      <c r="D443" s="1185">
        <f t="shared" ref="D443:D469" si="82">VLOOKUP($B443,$I$443:$N$475,IF($A$17=Year1,D$12,D$12+1),FALSE)*(1+Inflation1)^(Year1-Real_Year)</f>
        <v>2.0820519708603612E-2</v>
      </c>
      <c r="E443" s="1225">
        <f>NPV(realdiscrt1,C$443:C443)/(1+realdiscrt1)^-Half_Year</f>
        <v>0.11271890981545706</v>
      </c>
      <c r="F443" s="1226">
        <f>NPV(realdiscrt1,D$443:D443)/(1+realdiscrt1)^-Half_Year</f>
        <v>2.0674820822814782E-2</v>
      </c>
      <c r="G443" s="1187" t="str">
        <f t="shared" ref="G443:G469" si="83">$A$17&amp;"-"&amp;$A$438&amp;"-"&amp;A443</f>
        <v>2021-Top 20 Winter Hours-1</v>
      </c>
      <c r="H443" s="1161"/>
      <c r="I443" s="1188">
        <v>2018</v>
      </c>
      <c r="J443" s="1234">
        <f t="shared" ref="J443:J475" si="84">(K443+$N443)*(1+WholesaleRiskPremium)</f>
        <v>0.10053741507364065</v>
      </c>
      <c r="K443" s="1190">
        <v>8.5677834930325589E-2</v>
      </c>
      <c r="L443" s="1191">
        <v>1.0748715760567677E-2</v>
      </c>
      <c r="M443" s="1191">
        <v>0</v>
      </c>
      <c r="N443" s="1206">
        <f>INDEX(AESC!$H$184:$H$216,MATCH(I443,AESC!$B$184:$B$216,0))</f>
        <v>7.4123642119342734E-3</v>
      </c>
    </row>
    <row r="444" spans="1:17" s="541" customFormat="1">
      <c r="A444" s="1182">
        <v>2</v>
      </c>
      <c r="B444" s="1183">
        <f t="shared" ref="B444:B469" si="85">B443+1</f>
        <v>2022</v>
      </c>
      <c r="C444" s="1184">
        <f t="shared" si="81"/>
        <v>0.10972148013311339</v>
      </c>
      <c r="D444" s="1185">
        <f t="shared" si="82"/>
        <v>1.8976461176253977E-2</v>
      </c>
      <c r="E444" s="1227">
        <f>NPV(realdiscrt1,C$443:C444)/(1+realdiscrt1)^-Half_Year</f>
        <v>0.22015302793454519</v>
      </c>
      <c r="F444" s="1198">
        <f>NPV(realdiscrt1,D$443:D444)/(1+realdiscrt1)^-Half_Year</f>
        <v>3.925568000388488E-2</v>
      </c>
      <c r="G444" s="1187" t="str">
        <f t="shared" si="83"/>
        <v>2021-Top 20 Winter Hours-2</v>
      </c>
      <c r="H444" s="1201"/>
      <c r="I444" s="1188">
        <v>2019</v>
      </c>
      <c r="J444" s="1189">
        <f t="shared" si="84"/>
        <v>9.8129315060537639E-2</v>
      </c>
      <c r="K444" s="1190">
        <v>7.9569740856115623E-2</v>
      </c>
      <c r="L444" s="1191">
        <v>1.187073219897497E-2</v>
      </c>
      <c r="M444" s="1191">
        <v>7.6577653386778284E-3</v>
      </c>
      <c r="N444" s="1192">
        <f>INDEX(AESC!$H$184:$H$216,MATCH(I444,AESC!$B$184:$B$216,0))</f>
        <v>1.1290736051789593E-2</v>
      </c>
    </row>
    <row r="445" spans="1:17" s="541" customFormat="1">
      <c r="A445" s="1182">
        <f t="shared" ref="A445:A469" si="86">A444+1</f>
        <v>3</v>
      </c>
      <c r="B445" s="1183">
        <f t="shared" si="85"/>
        <v>2023</v>
      </c>
      <c r="C445" s="1184">
        <f t="shared" si="81"/>
        <v>0.10491800280843332</v>
      </c>
      <c r="D445" s="1185">
        <f t="shared" si="82"/>
        <v>1.4604075677616355E-2</v>
      </c>
      <c r="E445" s="1227">
        <f>NPV(realdiscrt1,C$443:C445)/(1+realdiscrt1)^-Half_Year</f>
        <v>0.32145104818544418</v>
      </c>
      <c r="F445" s="1198">
        <f>NPV(realdiscrt1,D$443:D445)/(1+realdiscrt1)^-Half_Year</f>
        <v>5.3355871716816834E-2</v>
      </c>
      <c r="G445" s="1187" t="str">
        <f t="shared" si="83"/>
        <v>2021-Top 20 Winter Hours-3</v>
      </c>
      <c r="I445" s="1188">
        <v>2020</v>
      </c>
      <c r="J445" s="1189">
        <f t="shared" si="84"/>
        <v>0.10245157046894517</v>
      </c>
      <c r="K445" s="1190">
        <v>8.6180732210756353E-2</v>
      </c>
      <c r="L445" s="1191">
        <v>1.5947008172561058E-2</v>
      </c>
      <c r="M445" s="1191">
        <v>1.4766836115735454E-2</v>
      </c>
      <c r="N445" s="1192">
        <f>INDEX(AESC!$H$184:$H$216,MATCH(I445,AESC!$B$184:$B$216,0))</f>
        <v>8.6818330382669468E-3</v>
      </c>
    </row>
    <row r="446" spans="1:17" s="541" customFormat="1">
      <c r="A446" s="1182">
        <f t="shared" si="86"/>
        <v>4</v>
      </c>
      <c r="B446" s="1183">
        <f t="shared" si="85"/>
        <v>2024</v>
      </c>
      <c r="C446" s="1184">
        <f t="shared" si="81"/>
        <v>0.12070144707069501</v>
      </c>
      <c r="D446" s="1185">
        <f t="shared" si="82"/>
        <v>1.1297459286502999E-2</v>
      </c>
      <c r="E446" s="1227">
        <f>NPV(realdiscrt1,C$443:C446)/(1+realdiscrt1)^-Half_Year</f>
        <v>0.43636262834918815</v>
      </c>
      <c r="F446" s="1198">
        <f>NPV(realdiscrt1,D$443:D446)/(1+realdiscrt1)^-Half_Year</f>
        <v>6.4111408870296524E-2</v>
      </c>
      <c r="G446" s="1187" t="str">
        <f t="shared" si="83"/>
        <v>2021-Top 20 Winter Hours-4</v>
      </c>
      <c r="I446" s="1188">
        <v>2021</v>
      </c>
      <c r="J446" s="1189">
        <f t="shared" si="84"/>
        <v>0.10756606434944188</v>
      </c>
      <c r="K446" s="1190">
        <v>9.2861901820242884E-2</v>
      </c>
      <c r="L446" s="1191">
        <v>1.9729689638420481E-2</v>
      </c>
      <c r="M446" s="1191">
        <v>1.9417185981506369E-2</v>
      </c>
      <c r="N446" s="1192">
        <f>INDEX(AESC!$H$184:$H$216,MATCH(I446,AESC!$B$184:$B$216,0))</f>
        <v>6.736305910721818E-3</v>
      </c>
    </row>
    <row r="447" spans="1:17" s="541" customFormat="1">
      <c r="A447" s="1182">
        <f t="shared" si="86"/>
        <v>5</v>
      </c>
      <c r="B447" s="1183">
        <f t="shared" si="85"/>
        <v>2025</v>
      </c>
      <c r="C447" s="1184">
        <f t="shared" si="81"/>
        <v>0.11385581048328611</v>
      </c>
      <c r="D447" s="1185">
        <f t="shared" si="82"/>
        <v>7.1830094869619679E-3</v>
      </c>
      <c r="E447" s="1227">
        <f>NPV(realdiscrt1,C$443:C447)/(1+realdiscrt1)^-Half_Year</f>
        <v>0.54324520039118063</v>
      </c>
      <c r="F447" s="1198">
        <f>NPV(realdiscrt1,D$443:D447)/(1+realdiscrt1)^-Half_Year</f>
        <v>7.0854486151198492E-2</v>
      </c>
      <c r="G447" s="1187" t="str">
        <f t="shared" si="83"/>
        <v>2021-Top 20 Winter Hours-5</v>
      </c>
      <c r="I447" s="1188">
        <v>2022</v>
      </c>
      <c r="J447" s="1189">
        <f t="shared" si="84"/>
        <v>0.10397294495967375</v>
      </c>
      <c r="K447" s="1190">
        <v>9.1156814619900647E-2</v>
      </c>
      <c r="L447" s="1191">
        <v>1.7982245144837303E-2</v>
      </c>
      <c r="M447" s="1191">
        <v>1.981063395351965E-2</v>
      </c>
      <c r="N447" s="1192">
        <f>INDEX(AESC!$H$184:$H$216,MATCH(I447,AESC!$B$184:$B$216,0))</f>
        <v>5.1144307131305942E-3</v>
      </c>
    </row>
    <row r="448" spans="1:17">
      <c r="A448" s="1182">
        <f t="shared" si="86"/>
        <v>6</v>
      </c>
      <c r="B448" s="1183">
        <f t="shared" si="85"/>
        <v>2026</v>
      </c>
      <c r="C448" s="1184">
        <f t="shared" si="81"/>
        <v>9.9389780433090047E-2</v>
      </c>
      <c r="D448" s="1185">
        <f t="shared" si="82"/>
        <v>3.7485203540087247E-3</v>
      </c>
      <c r="E448" s="1227">
        <f>NPV(realdiscrt1,C$443:C448)/(1+realdiscrt1)^-Half_Year</f>
        <v>0.63524646676263186</v>
      </c>
      <c r="F448" s="1198">
        <f>NPV(realdiscrt1,D$443:D448)/(1+realdiscrt1)^-Half_Year</f>
        <v>7.4324346111500281E-2</v>
      </c>
      <c r="G448" s="1187" t="str">
        <f t="shared" si="83"/>
        <v>2021-Top 20 Winter Hours-6</v>
      </c>
      <c r="H448" s="541"/>
      <c r="I448" s="1188">
        <v>2023</v>
      </c>
      <c r="J448" s="1189">
        <f t="shared" si="84"/>
        <v>9.9421131742352092E-2</v>
      </c>
      <c r="K448" s="1190">
        <v>8.6584474248767612E-2</v>
      </c>
      <c r="L448" s="1191">
        <v>1.3838937961587536E-2</v>
      </c>
      <c r="M448" s="1191">
        <v>1.7392040823594777E-2</v>
      </c>
      <c r="N448" s="1192">
        <f>INDEX(AESC!$H$184:$H$216,MATCH(I448,AESC!$B$184:$B$216,0))</f>
        <v>5.4721292163732024E-3</v>
      </c>
    </row>
    <row r="449" spans="1:14" s="541" customFormat="1">
      <c r="A449" s="1182">
        <f t="shared" si="86"/>
        <v>7</v>
      </c>
      <c r="B449" s="1183">
        <f t="shared" si="85"/>
        <v>2027</v>
      </c>
      <c r="C449" s="1184">
        <f t="shared" si="81"/>
        <v>0.11500549183554182</v>
      </c>
      <c r="D449" s="1185">
        <f t="shared" si="82"/>
        <v>2.5880904078745661E-3</v>
      </c>
      <c r="E449" s="1227">
        <f>NPV(realdiscrt1,C$443:C449)/(1+realdiscrt1)^-Half_Year</f>
        <v>0.74021787678936612</v>
      </c>
      <c r="F449" s="1198">
        <f>NPV(realdiscrt1,D$443:D449)/(1+realdiscrt1)^-Half_Year</f>
        <v>7.6686628947347416E-2</v>
      </c>
      <c r="G449" s="1187" t="str">
        <f t="shared" si="83"/>
        <v>2021-Top 20 Winter Hours-7</v>
      </c>
      <c r="I449" s="1188">
        <v>2024</v>
      </c>
      <c r="J449" s="1189">
        <f t="shared" si="84"/>
        <v>0.11437764873030469</v>
      </c>
      <c r="K449" s="1190">
        <v>0.10089095263075334</v>
      </c>
      <c r="L449" s="1191">
        <v>1.0705562039034453E-2</v>
      </c>
      <c r="M449" s="1191">
        <v>1.381654553241678E-2</v>
      </c>
      <c r="N449" s="1192">
        <f>INDEX(AESC!$H$184:$H$216,MATCH(I449,AESC!$B$184:$B$216,0))</f>
        <v>5.0142776750843193E-3</v>
      </c>
    </row>
    <row r="450" spans="1:14" s="1161" customFormat="1" ht="15" customHeight="1">
      <c r="A450" s="1182">
        <f t="shared" si="86"/>
        <v>8</v>
      </c>
      <c r="B450" s="1183">
        <f t="shared" si="85"/>
        <v>2028</v>
      </c>
      <c r="C450" s="1184">
        <f t="shared" si="81"/>
        <v>0.11951790328677146</v>
      </c>
      <c r="D450" s="1185">
        <f t="shared" si="82"/>
        <v>0</v>
      </c>
      <c r="E450" s="1227">
        <f>NPV(realdiscrt1,C$443:C450)/(1+realdiscrt1)^-Half_Year</f>
        <v>0.84778654557475708</v>
      </c>
      <c r="F450" s="1198">
        <f>NPV(realdiscrt1,D$443:D450)/(1+realdiscrt1)^-Half_Year</f>
        <v>7.6686628947347416E-2</v>
      </c>
      <c r="G450" s="1187" t="str">
        <f t="shared" si="83"/>
        <v>2021-Top 20 Winter Hours-8</v>
      </c>
      <c r="H450" s="541"/>
      <c r="I450" s="1188">
        <v>2025</v>
      </c>
      <c r="J450" s="1189">
        <f t="shared" si="84"/>
        <v>0.10789066919582255</v>
      </c>
      <c r="K450" s="1190">
        <v>9.5766126680356153E-2</v>
      </c>
      <c r="L450" s="1191">
        <v>6.8066767703703172E-3</v>
      </c>
      <c r="M450" s="1191">
        <v>9.3696873096305155E-3</v>
      </c>
      <c r="N450" s="1192">
        <f>INDEX(AESC!$H$184:$H$216,MATCH(I450,AESC!$B$184:$B$216,0))</f>
        <v>4.1326410935536026E-3</v>
      </c>
    </row>
    <row r="451" spans="1:14" s="541" customFormat="1">
      <c r="A451" s="1182">
        <f t="shared" si="86"/>
        <v>9</v>
      </c>
      <c r="B451" s="1183">
        <f t="shared" si="85"/>
        <v>2029</v>
      </c>
      <c r="C451" s="1184">
        <f t="shared" si="81"/>
        <v>0.12446514388898734</v>
      </c>
      <c r="D451" s="1185">
        <f t="shared" si="82"/>
        <v>0</v>
      </c>
      <c r="E451" s="1227">
        <f>NPV(realdiscrt1,C$443:C451)/(1+realdiscrt1)^-Half_Year</f>
        <v>0.95824550585641755</v>
      </c>
      <c r="F451" s="1198">
        <f>NPV(realdiscrt1,D$443:D451)/(1+realdiscrt1)^-Half_Year</f>
        <v>7.6686628947347416E-2</v>
      </c>
      <c r="G451" s="1187" t="str">
        <f t="shared" si="83"/>
        <v>2021-Top 20 Winter Hours-9</v>
      </c>
      <c r="H451" s="1144"/>
      <c r="I451" s="1188">
        <v>2026</v>
      </c>
      <c r="J451" s="1189">
        <f t="shared" si="84"/>
        <v>9.4182544365850454E-2</v>
      </c>
      <c r="K451" s="1190">
        <v>8.3793148898138492E-2</v>
      </c>
      <c r="L451" s="1191">
        <v>3.5521276232760458E-3</v>
      </c>
      <c r="M451" s="1191">
        <v>6.5817824500798506E-3</v>
      </c>
      <c r="N451" s="1192">
        <f>INDEX(AESC!$H$184:$H$216,MATCH(I451,AESC!$B$184:$B$216,0))</f>
        <v>3.4129106998711735E-3</v>
      </c>
    </row>
    <row r="452" spans="1:14" s="541" customFormat="1">
      <c r="A452" s="1182">
        <f t="shared" si="86"/>
        <v>10</v>
      </c>
      <c r="B452" s="1183">
        <f t="shared" si="85"/>
        <v>2030</v>
      </c>
      <c r="C452" s="1184">
        <f t="shared" si="81"/>
        <v>0.12101761275382682</v>
      </c>
      <c r="D452" s="1185">
        <f t="shared" si="82"/>
        <v>0</v>
      </c>
      <c r="E452" s="1227">
        <f>NPV(realdiscrt1,C$443:C452)/(1+realdiscrt1)^-Half_Year</f>
        <v>1.06414701870021</v>
      </c>
      <c r="F452" s="1198">
        <f>NPV(realdiscrt1,D$443:D452)/(1+realdiscrt1)^-Half_Year</f>
        <v>7.6686628947347416E-2</v>
      </c>
      <c r="G452" s="1187" t="str">
        <f t="shared" si="83"/>
        <v>2021-Top 20 Winter Hours-10</v>
      </c>
      <c r="I452" s="1188">
        <v>2027</v>
      </c>
      <c r="J452" s="1189">
        <f t="shared" si="84"/>
        <v>0.10898011636527585</v>
      </c>
      <c r="K452" s="1190">
        <v>9.8205131117373279E-2</v>
      </c>
      <c r="L452" s="1191">
        <v>2.4524950009983636E-3</v>
      </c>
      <c r="M452" s="1191">
        <v>4.1372612520521211E-3</v>
      </c>
      <c r="N452" s="1192">
        <f>INDEX(AESC!$H$184:$H$216,MATCH(I452,AESC!$B$184:$B$216,0))</f>
        <v>2.7023840356599142E-3</v>
      </c>
    </row>
    <row r="453" spans="1:14" s="541" customFormat="1">
      <c r="A453" s="1182">
        <f t="shared" si="86"/>
        <v>11</v>
      </c>
      <c r="B453" s="1183">
        <f t="shared" si="85"/>
        <v>2031</v>
      </c>
      <c r="C453" s="1184">
        <f t="shared" si="81"/>
        <v>0.12159257742393431</v>
      </c>
      <c r="D453" s="1185">
        <f t="shared" si="82"/>
        <v>0</v>
      </c>
      <c r="E453" s="1227">
        <f>NPV(realdiscrt1,C$443:C453)/(1+realdiscrt1)^-Half_Year</f>
        <v>1.169067681184738</v>
      </c>
      <c r="F453" s="1198">
        <f>NPV(realdiscrt1,D$443:D453)/(1+realdiscrt1)^-Half_Year</f>
        <v>7.6686628947347416E-2</v>
      </c>
      <c r="G453" s="1187" t="str">
        <f t="shared" si="83"/>
        <v>2021-Top 20 Winter Hours-11</v>
      </c>
      <c r="H453" s="1161"/>
      <c r="I453" s="1188">
        <v>2028</v>
      </c>
      <c r="J453" s="1189">
        <f t="shared" si="84"/>
        <v>0.11325611325198306</v>
      </c>
      <c r="K453" s="1190">
        <v>0.10246049708932796</v>
      </c>
      <c r="L453" s="1191">
        <v>0</v>
      </c>
      <c r="M453" s="1191">
        <v>2.5182109841026933E-3</v>
      </c>
      <c r="N453" s="1192">
        <f>INDEX(AESC!$H$184:$H$216,MATCH(I453,AESC!$B$184:$B$216,0))</f>
        <v>2.4062744402859834E-3</v>
      </c>
    </row>
    <row r="454" spans="1:14" s="541" customFormat="1">
      <c r="A454" s="1182">
        <f t="shared" si="86"/>
        <v>12</v>
      </c>
      <c r="B454" s="1183">
        <f t="shared" si="85"/>
        <v>2032</v>
      </c>
      <c r="C454" s="1184">
        <f t="shared" si="81"/>
        <v>0.10453690049282233</v>
      </c>
      <c r="D454" s="1185">
        <f t="shared" si="82"/>
        <v>0</v>
      </c>
      <c r="E454" s="1227">
        <f>NPV(realdiscrt1,C$443:C454)/(1+realdiscrt1)^-Half_Year</f>
        <v>1.258013176107911</v>
      </c>
      <c r="F454" s="1198">
        <f>NPV(realdiscrt1,D$443:D454)/(1+realdiscrt1)^-Half_Year</f>
        <v>7.6686628947347416E-2</v>
      </c>
      <c r="G454" s="1187" t="str">
        <f t="shared" si="83"/>
        <v>2021-Top 20 Winter Hours-12</v>
      </c>
      <c r="I454" s="1188">
        <v>2029</v>
      </c>
      <c r="J454" s="1189">
        <f t="shared" si="84"/>
        <v>0.11794415769152593</v>
      </c>
      <c r="K454" s="1190">
        <v>0.10692635500864887</v>
      </c>
      <c r="L454" s="1210">
        <v>0</v>
      </c>
      <c r="M454" s="1210">
        <v>0</v>
      </c>
      <c r="N454" s="1192">
        <f>INDEX(AESC!$H$184:$H$216,MATCH(I454,AESC!$B$184:$B$216,0))</f>
        <v>2.2811984094306798E-3</v>
      </c>
    </row>
    <row r="455" spans="1:14" s="541" customFormat="1">
      <c r="A455" s="1182">
        <f t="shared" si="86"/>
        <v>13</v>
      </c>
      <c r="B455" s="1183">
        <f t="shared" si="85"/>
        <v>2033</v>
      </c>
      <c r="C455" s="1184">
        <f t="shared" si="81"/>
        <v>0.11617943394033824</v>
      </c>
      <c r="D455" s="1185">
        <f t="shared" si="82"/>
        <v>0</v>
      </c>
      <c r="E455" s="1227">
        <f>NPV(realdiscrt1,C$443:C455)/(1+realdiscrt1)^-Half_Year</f>
        <v>1.355486094687401</v>
      </c>
      <c r="F455" s="1198">
        <f>NPV(realdiscrt1,D$443:D455)/(1+realdiscrt1)^-Half_Year</f>
        <v>7.6686628947347416E-2</v>
      </c>
      <c r="G455" s="1187" t="str">
        <f t="shared" si="83"/>
        <v>2021-Top 20 Winter Hours-13</v>
      </c>
      <c r="I455" s="1188">
        <v>2030</v>
      </c>
      <c r="J455" s="1189">
        <f t="shared" si="84"/>
        <v>0.114677249839682</v>
      </c>
      <c r="K455" s="1190">
        <v>0.1038958205593634</v>
      </c>
      <c r="L455" s="1210">
        <v>0</v>
      </c>
      <c r="M455" s="1210">
        <v>0</v>
      </c>
      <c r="N455" s="1192">
        <f>INDEX(AESC!$H$184:$H$216,MATCH(I455,AESC!$B$184:$B$216,0))</f>
        <v>2.2868181810828765E-3</v>
      </c>
    </row>
    <row r="456" spans="1:14" s="541" customFormat="1">
      <c r="A456" s="1182">
        <f t="shared" si="86"/>
        <v>14</v>
      </c>
      <c r="B456" s="1183">
        <f t="shared" si="85"/>
        <v>2034</v>
      </c>
      <c r="C456" s="1184">
        <f t="shared" si="81"/>
        <v>0.11261056648674901</v>
      </c>
      <c r="D456" s="1185">
        <f t="shared" si="82"/>
        <v>0</v>
      </c>
      <c r="E456" s="1227">
        <f>NPV(realdiscrt1,C$443:C456)/(1+realdiscrt1)^-Half_Year</f>
        <v>1.448647114557581</v>
      </c>
      <c r="F456" s="1198">
        <f>NPV(realdiscrt1,D$443:D456)/(1+realdiscrt1)^-Half_Year</f>
        <v>7.6686628947347416E-2</v>
      </c>
      <c r="G456" s="1187" t="str">
        <f t="shared" si="83"/>
        <v>2021-Top 20 Winter Hours-14</v>
      </c>
      <c r="I456" s="1188">
        <v>2031</v>
      </c>
      <c r="J456" s="1189">
        <f t="shared" si="84"/>
        <v>0.11522209092208735</v>
      </c>
      <c r="K456" s="1190">
        <v>0.10434826909765368</v>
      </c>
      <c r="L456" s="1210">
        <v>0</v>
      </c>
      <c r="M456" s="1210">
        <v>0</v>
      </c>
      <c r="N456" s="1192">
        <f>INDEX(AESC!$H$184:$H$216,MATCH(I456,AESC!$B$184:$B$216,0))</f>
        <v>2.3388521265012515E-3</v>
      </c>
    </row>
    <row r="457" spans="1:14" s="541" customFormat="1">
      <c r="A457" s="1182">
        <f t="shared" si="86"/>
        <v>15</v>
      </c>
      <c r="B457" s="1183">
        <f t="shared" si="85"/>
        <v>2035</v>
      </c>
      <c r="C457" s="1184">
        <f t="shared" si="81"/>
        <v>0.12331639997159245</v>
      </c>
      <c r="D457" s="1185">
        <f t="shared" si="82"/>
        <v>0</v>
      </c>
      <c r="E457" s="1227">
        <f>NPV(realdiscrt1,C$443:C457)/(1+realdiscrt1)^-Half_Year</f>
        <v>1.5492420939261136</v>
      </c>
      <c r="F457" s="1198">
        <f>NPV(realdiscrt1,D$443:D457)/(1+realdiscrt1)^-Half_Year</f>
        <v>7.6686628947347416E-2</v>
      </c>
      <c r="G457" s="1187" t="str">
        <f t="shared" si="83"/>
        <v>2021-Top 20 Winter Hours-15</v>
      </c>
      <c r="I457" s="1188">
        <v>2032</v>
      </c>
      <c r="J457" s="1189">
        <f t="shared" si="84"/>
        <v>9.9059996164915898E-2</v>
      </c>
      <c r="K457" s="1190">
        <v>8.8929948128006767E-2</v>
      </c>
      <c r="L457" s="1210">
        <v>0</v>
      </c>
      <c r="M457" s="1210">
        <v>0</v>
      </c>
      <c r="N457" s="1192">
        <f>INDEX(AESC!$H$184:$H$216,MATCH(I457,AESC!$B$184:$B$216,0))</f>
        <v>2.7922705432116535E-3</v>
      </c>
    </row>
    <row r="458" spans="1:14" s="541" customFormat="1">
      <c r="A458" s="1182">
        <f t="shared" si="86"/>
        <v>16</v>
      </c>
      <c r="B458" s="1183">
        <f t="shared" si="85"/>
        <v>2036</v>
      </c>
      <c r="C458" s="1184">
        <f t="shared" si="81"/>
        <v>0.12379152403624746</v>
      </c>
      <c r="D458" s="1185">
        <f t="shared" si="82"/>
        <v>0</v>
      </c>
      <c r="E458" s="1227">
        <f>NPV(realdiscrt1,C$443:C458)/(1+realdiscrt1)^-Half_Year</f>
        <v>1.6488162776806827</v>
      </c>
      <c r="F458" s="1198">
        <f>NPV(realdiscrt1,D$443:D458)/(1+realdiscrt1)^-Half_Year</f>
        <v>7.6686628947347416E-2</v>
      </c>
      <c r="G458" s="1187" t="str">
        <f t="shared" si="83"/>
        <v>2021-Top 20 Winter Hours-16</v>
      </c>
      <c r="I458" s="1188">
        <v>2033</v>
      </c>
      <c r="J458" s="1189">
        <f t="shared" si="84"/>
        <v>0.11009255321628954</v>
      </c>
      <c r="K458" s="1190">
        <v>9.9039467878097809E-2</v>
      </c>
      <c r="L458" s="1210">
        <v>0</v>
      </c>
      <c r="M458" s="1210">
        <v>0</v>
      </c>
      <c r="N458" s="1192">
        <f>INDEX(AESC!$H$184:$H$216,MATCH(I458,AESC!$B$184:$B$216,0))</f>
        <v>2.8980813962443596E-3</v>
      </c>
    </row>
    <row r="459" spans="1:14" s="541" customFormat="1">
      <c r="A459" s="1182">
        <f t="shared" si="86"/>
        <v>17</v>
      </c>
      <c r="B459" s="1183">
        <f t="shared" si="85"/>
        <v>2037</v>
      </c>
      <c r="C459" s="1184">
        <f t="shared" si="81"/>
        <v>0.12428695346104686</v>
      </c>
      <c r="D459" s="1185">
        <f t="shared" si="82"/>
        <v>0</v>
      </c>
      <c r="E459" s="1227">
        <f>NPV(realdiscrt1,C$443:C459)/(1+realdiscrt1)^-Half_Year</f>
        <v>1.7473946777135509</v>
      </c>
      <c r="F459" s="1198">
        <f>NPV(realdiscrt1,D$443:D459)/(1+realdiscrt1)^-Half_Year</f>
        <v>7.6686628947347416E-2</v>
      </c>
      <c r="G459" s="1187" t="str">
        <f t="shared" si="83"/>
        <v>2021-Top 20 Winter Hours-17</v>
      </c>
      <c r="I459" s="1188">
        <v>2034</v>
      </c>
      <c r="J459" s="1189">
        <f t="shared" si="84"/>
        <v>0.10671066610658021</v>
      </c>
      <c r="K459" s="1190">
        <v>9.5798270454207635E-2</v>
      </c>
      <c r="L459" s="1210">
        <v>0</v>
      </c>
      <c r="M459" s="1210">
        <v>0</v>
      </c>
      <c r="N459" s="1192">
        <f>INDEX(AESC!$H$184:$H$216,MATCH(I459,AESC!$B$184:$B$216,0))</f>
        <v>3.0079018666999643E-3</v>
      </c>
    </row>
    <row r="460" spans="1:14" s="541" customFormat="1">
      <c r="A460" s="1182">
        <f t="shared" si="86"/>
        <v>18</v>
      </c>
      <c r="B460" s="1183">
        <f t="shared" si="85"/>
        <v>2038</v>
      </c>
      <c r="C460" s="1184">
        <f t="shared" si="81"/>
        <v>0.12480418177769559</v>
      </c>
      <c r="D460" s="1185">
        <f t="shared" si="82"/>
        <v>0</v>
      </c>
      <c r="E460" s="1227">
        <f>NPV(realdiscrt1,C$443:C460)/(1+realdiscrt1)^-Half_Year</f>
        <v>1.8450027502655417</v>
      </c>
      <c r="F460" s="1198">
        <f>NPV(realdiscrt1,D$443:D460)/(1+realdiscrt1)^-Half_Year</f>
        <v>7.6686628947347416E-2</v>
      </c>
      <c r="G460" s="1187" t="str">
        <f t="shared" si="83"/>
        <v>2021-Top 20 Winter Hours-18</v>
      </c>
      <c r="I460" s="1188">
        <v>2035</v>
      </c>
      <c r="J460" s="1189">
        <f t="shared" si="84"/>
        <v>0.11685559884278313</v>
      </c>
      <c r="K460" s="1190">
        <v>0.10507774466231724</v>
      </c>
      <c r="L460" s="1210">
        <v>0</v>
      </c>
      <c r="M460" s="1210">
        <v>0</v>
      </c>
      <c r="N460" s="1192">
        <f>INDEX(AESC!$H$184:$H$216,MATCH(I460,AESC!$B$184:$B$216,0))</f>
        <v>3.1218838958152807E-3</v>
      </c>
    </row>
    <row r="461" spans="1:14" s="541" customFormat="1">
      <c r="A461" s="1182">
        <f t="shared" si="86"/>
        <v>19</v>
      </c>
      <c r="B461" s="1183">
        <f t="shared" si="85"/>
        <v>2039</v>
      </c>
      <c r="C461" s="1184">
        <f t="shared" si="81"/>
        <v>0.12534481428319505</v>
      </c>
      <c r="D461" s="1185">
        <f t="shared" si="82"/>
        <v>0</v>
      </c>
      <c r="E461" s="1227">
        <f>NPV(realdiscrt1,C$443:C461)/(1+realdiscrt1)^-Half_Year</f>
        <v>1.9416664354088951</v>
      </c>
      <c r="F461" s="1198">
        <f>NPV(realdiscrt1,D$443:D461)/(1+realdiscrt1)^-Half_Year</f>
        <v>7.6686628947347416E-2</v>
      </c>
      <c r="G461" s="1187" t="str">
        <f t="shared" si="83"/>
        <v>2021-Top 20 Winter Hours-19</v>
      </c>
      <c r="I461" s="1188">
        <v>2036</v>
      </c>
      <c r="J461" s="1189">
        <f t="shared" si="84"/>
        <v>0.11730583017545801</v>
      </c>
      <c r="K461" s="1190">
        <v>0.10526090897788988</v>
      </c>
      <c r="L461" s="1210">
        <v>0</v>
      </c>
      <c r="M461" s="1210">
        <v>0</v>
      </c>
      <c r="N461" s="1192">
        <f>INDEX(AESC!$H$184:$H$216,MATCH(I461,AESC!$B$184:$B$216,0))</f>
        <v>3.3556004438304809E-3</v>
      </c>
    </row>
    <row r="462" spans="1:14" s="541" customFormat="1">
      <c r="A462" s="1182">
        <f t="shared" si="86"/>
        <v>20</v>
      </c>
      <c r="B462" s="1183">
        <f t="shared" si="85"/>
        <v>2040</v>
      </c>
      <c r="C462" s="1184">
        <f t="shared" si="81"/>
        <v>0.12591057640695344</v>
      </c>
      <c r="D462" s="1185">
        <f t="shared" si="82"/>
        <v>0</v>
      </c>
      <c r="E462" s="1227">
        <f>NPV(realdiscrt1,C$443:C462)/(1+realdiscrt1)^-Half_Year</f>
        <v>2.0374121987366114</v>
      </c>
      <c r="F462" s="1198">
        <f>NPV(realdiscrt1,D$443:D462)/(1+realdiscrt1)^-Half_Year</f>
        <v>7.6686628947347416E-2</v>
      </c>
      <c r="G462" s="1187" t="str">
        <f t="shared" si="83"/>
        <v>2021-Top 20 Winter Hours-20</v>
      </c>
      <c r="I462" s="1188">
        <v>2037</v>
      </c>
      <c r="J462" s="1189">
        <f t="shared" si="84"/>
        <v>0.11777530302848166</v>
      </c>
      <c r="K462" s="1190">
        <v>0.10544439257293133</v>
      </c>
      <c r="L462" s="1210">
        <v>0</v>
      </c>
      <c r="M462" s="1210">
        <v>0</v>
      </c>
      <c r="N462" s="1192">
        <f>INDEX(AESC!$H$184:$H$216,MATCH(I462,AESC!$B$184:$B$216,0))</f>
        <v>3.6068139349220594E-3</v>
      </c>
    </row>
    <row r="463" spans="1:14" s="541" customFormat="1">
      <c r="A463" s="1182">
        <f t="shared" si="86"/>
        <v>21</v>
      </c>
      <c r="B463" s="1183">
        <f t="shared" si="85"/>
        <v>2041</v>
      </c>
      <c r="C463" s="1184">
        <f t="shared" si="81"/>
        <v>0.12650332270429088</v>
      </c>
      <c r="D463" s="1185">
        <f t="shared" si="82"/>
        <v>0</v>
      </c>
      <c r="E463" s="1227">
        <f>NPV(realdiscrt1,C$443:C463)/(1+realdiscrt1)^-Half_Year</f>
        <v>2.1322670753923165</v>
      </c>
      <c r="F463" s="1198">
        <f>NPV(realdiscrt1,D$443:D463)/(1+realdiscrt1)^-Half_Year</f>
        <v>7.6686628947347416E-2</v>
      </c>
      <c r="G463" s="1187" t="str">
        <f t="shared" si="83"/>
        <v>2021-Top 20 Winter Hours-21</v>
      </c>
      <c r="I463" s="1188">
        <v>2038</v>
      </c>
      <c r="J463" s="1189">
        <f t="shared" si="84"/>
        <v>0.11826543268434539</v>
      </c>
      <c r="K463" s="1190">
        <v>0.10562819600398764</v>
      </c>
      <c r="L463" s="1210">
        <v>0</v>
      </c>
      <c r="M463" s="1210">
        <v>0</v>
      </c>
      <c r="N463" s="1192">
        <f>INDEX(AESC!$H$184:$H$216,MATCH(I463,AESC!$B$184:$B$216,0))</f>
        <v>3.8768342592951292E-3</v>
      </c>
    </row>
    <row r="464" spans="1:14" s="541" customFormat="1">
      <c r="A464" s="1182">
        <f t="shared" si="86"/>
        <v>22</v>
      </c>
      <c r="B464" s="1183">
        <f t="shared" si="85"/>
        <v>2042</v>
      </c>
      <c r="C464" s="1184">
        <f t="shared" si="81"/>
        <v>0.12712504652323342</v>
      </c>
      <c r="D464" s="1185">
        <f t="shared" si="82"/>
        <v>0</v>
      </c>
      <c r="E464" s="1227">
        <f>NPV(realdiscrt1,C$443:C464)/(1+realdiscrt1)^-Half_Year</f>
        <v>2.2262587165826813</v>
      </c>
      <c r="F464" s="1198">
        <f>NPV(realdiscrt1,D$443:D464)/(1+realdiscrt1)^-Half_Year</f>
        <v>7.6686628947347416E-2</v>
      </c>
      <c r="G464" s="1187" t="str">
        <f t="shared" si="83"/>
        <v>2021-Top 20 Winter Hours-22</v>
      </c>
      <c r="I464" s="1188">
        <v>2039</v>
      </c>
      <c r="J464" s="1189">
        <f t="shared" si="84"/>
        <v>0.11877774033522205</v>
      </c>
      <c r="K464" s="1190">
        <v>0.10581231982857503</v>
      </c>
      <c r="L464" s="1210">
        <v>0</v>
      </c>
      <c r="M464" s="1210">
        <v>0</v>
      </c>
      <c r="N464" s="1192">
        <f>INDEX(AESC!$H$184:$H$216,MATCH(I464,AESC!$B$184:$B$216,0))</f>
        <v>4.1670693707046456E-3</v>
      </c>
    </row>
    <row r="465" spans="1:14" s="541" customFormat="1">
      <c r="A465" s="1182">
        <f t="shared" si="86"/>
        <v>23</v>
      </c>
      <c r="B465" s="1183">
        <f t="shared" si="85"/>
        <v>2043</v>
      </c>
      <c r="C465" s="1184">
        <f t="shared" si="81"/>
        <v>0.12777789039500176</v>
      </c>
      <c r="D465" s="1185">
        <f t="shared" si="82"/>
        <v>0</v>
      </c>
      <c r="E465" s="1227">
        <f>NPV(realdiscrt1,C$443:C465)/(1+realdiscrt1)^-Half_Year</f>
        <v>2.3194154387229182</v>
      </c>
      <c r="F465" s="1198">
        <f>NPV(realdiscrt1,D$443:D465)/(1+realdiscrt1)^-Half_Year</f>
        <v>7.6686628947347416E-2</v>
      </c>
      <c r="G465" s="1187" t="str">
        <f t="shared" si="83"/>
        <v>2021-Top 20 Winter Hours-23</v>
      </c>
      <c r="I465" s="1188">
        <v>2040</v>
      </c>
      <c r="J465" s="1189">
        <f t="shared" si="84"/>
        <v>0.11931386101170614</v>
      </c>
      <c r="K465" s="1190">
        <v>0.10599676460518151</v>
      </c>
      <c r="L465" s="1210">
        <v>0</v>
      </c>
      <c r="M465" s="1210">
        <v>0</v>
      </c>
      <c r="N465" s="1192">
        <f>INDEX(AESC!$H$184:$H$216,MATCH(I465,AESC!$B$184:$B$216,0))</f>
        <v>4.4790326278797256E-3</v>
      </c>
    </row>
    <row r="466" spans="1:14" s="541" customFormat="1">
      <c r="A466" s="1182">
        <f t="shared" si="86"/>
        <v>24</v>
      </c>
      <c r="B466" s="1183">
        <f t="shared" si="85"/>
        <v>2044</v>
      </c>
      <c r="C466" s="1184">
        <f t="shared" si="81"/>
        <v>0.12846415720237209</v>
      </c>
      <c r="D466" s="1185">
        <f t="shared" si="82"/>
        <v>0</v>
      </c>
      <c r="E466" s="1227">
        <f>NPV(realdiscrt1,C$443:C466)/(1+realdiscrt1)^-Half_Year</f>
        <v>2.4117662753748608</v>
      </c>
      <c r="F466" s="1198">
        <f>NPV(realdiscrt1,D$443:D466)/(1+realdiscrt1)^-Half_Year</f>
        <v>7.6686628947347416E-2</v>
      </c>
      <c r="G466" s="1187" t="str">
        <f t="shared" si="83"/>
        <v>2021-Top 20 Winter Hours-24</v>
      </c>
      <c r="I466" s="1188">
        <v>2041</v>
      </c>
      <c r="J466" s="1189">
        <f t="shared" si="84"/>
        <v>0.11987555210513057</v>
      </c>
      <c r="K466" s="1190">
        <v>0.10618153089326862</v>
      </c>
      <c r="L466" s="1210">
        <v>0</v>
      </c>
      <c r="M466" s="1210">
        <v>0</v>
      </c>
      <c r="N466" s="1192">
        <f>INDEX(AESC!$H$184:$H$216,MATCH(I466,AESC!$B$184:$B$216,0))</f>
        <v>4.8143506855559621E-3</v>
      </c>
    </row>
    <row r="467" spans="1:14" s="541" customFormat="1">
      <c r="A467" s="1182">
        <f t="shared" si="86"/>
        <v>25</v>
      </c>
      <c r="B467" s="1183">
        <f t="shared" si="85"/>
        <v>2045</v>
      </c>
      <c r="C467" s="1184">
        <f t="shared" si="81"/>
        <v>0.12918632218414505</v>
      </c>
      <c r="D467" s="1185">
        <f t="shared" si="82"/>
        <v>0</v>
      </c>
      <c r="E467" s="1227">
        <f>NPV(realdiscrt1,C$443:C467)/(1+realdiscrt1)^-Half_Year</f>
        <v>2.5033410321466509</v>
      </c>
      <c r="F467" s="1198">
        <f>NPV(realdiscrt1,D$443:D467)/(1+realdiscrt1)^-Half_Year</f>
        <v>7.6686628947347416E-2</v>
      </c>
      <c r="G467" s="1187" t="str">
        <f t="shared" si="83"/>
        <v>2021-Top 20 Winter Hours-25</v>
      </c>
      <c r="I467" s="1188">
        <v>2042</v>
      </c>
      <c r="J467" s="1189">
        <f t="shared" si="84"/>
        <v>0.12046470252789745</v>
      </c>
      <c r="K467" s="1190">
        <v>0.10636661925327312</v>
      </c>
      <c r="L467" s="1210">
        <v>0</v>
      </c>
      <c r="M467" s="1210">
        <v>0</v>
      </c>
      <c r="N467" s="1192">
        <f>INDEX(AESC!$H$184:$H$216,MATCH(I467,AESC!$B$184:$B$216,0))</f>
        <v>5.1747719762615567E-3</v>
      </c>
    </row>
    <row r="468" spans="1:14" s="541" customFormat="1">
      <c r="A468" s="1182">
        <f t="shared" si="86"/>
        <v>26</v>
      </c>
      <c r="B468" s="1183">
        <f t="shared" si="85"/>
        <v>2046</v>
      </c>
      <c r="C468" s="1184">
        <f t="shared" si="81"/>
        <v>0.12994704583831612</v>
      </c>
      <c r="D468" s="1185">
        <f t="shared" si="82"/>
        <v>0</v>
      </c>
      <c r="E468" s="1227">
        <f>NPV(realdiscrt1,C$443:C468)/(1+realdiscrt1)^-Half_Year</f>
        <v>2.5941703447331776</v>
      </c>
      <c r="F468" s="1198">
        <f>NPV(realdiscrt1,D$443:D468)/(1+realdiscrt1)^-Half_Year</f>
        <v>7.6686628947347416E-2</v>
      </c>
      <c r="G468" s="1187" t="str">
        <f t="shared" si="83"/>
        <v>2021-Top 20 Winter Hours-26</v>
      </c>
      <c r="I468" s="1188">
        <v>2043</v>
      </c>
      <c r="J468" s="1189">
        <f t="shared" si="84"/>
        <v>0.1210833425595875</v>
      </c>
      <c r="K468" s="1190">
        <v>0.10655203024660868</v>
      </c>
      <c r="L468" s="1210">
        <v>0</v>
      </c>
      <c r="M468" s="1210">
        <v>0</v>
      </c>
      <c r="N468" s="1192">
        <f>INDEX(AESC!$H$184:$H$216,MATCH(I468,AESC!$B$184:$B$216,0))</f>
        <v>5.5621758270834355E-3</v>
      </c>
    </row>
    <row r="469" spans="1:14" s="541" customFormat="1">
      <c r="A469" s="1182">
        <f t="shared" si="86"/>
        <v>27</v>
      </c>
      <c r="B469" s="1183">
        <f t="shared" si="85"/>
        <v>2047</v>
      </c>
      <c r="C469" s="1184">
        <f t="shared" si="81"/>
        <v>0.13074918779122813</v>
      </c>
      <c r="D469" s="1185">
        <f t="shared" si="82"/>
        <v>0</v>
      </c>
      <c r="E469" s="1224">
        <f>NPV(realdiscrt1,C$443:C469)/(1+realdiscrt1)^-Half_Year</f>
        <v>2.6842857402870974</v>
      </c>
      <c r="F469" s="1199">
        <f>NPV(realdiscrt1,D$443:D469)/(1+realdiscrt1)^-Half_Year</f>
        <v>7.6686628947347416E-2</v>
      </c>
      <c r="G469" s="1187" t="str">
        <f t="shared" si="83"/>
        <v>2021-Top 20 Winter Hours-27</v>
      </c>
      <c r="I469" s="1188">
        <v>2044</v>
      </c>
      <c r="J469" s="1189">
        <f t="shared" si="84"/>
        <v>0.12173365443018751</v>
      </c>
      <c r="K469" s="1190">
        <v>0.1067377644356676</v>
      </c>
      <c r="L469" s="1210">
        <v>0</v>
      </c>
      <c r="M469" s="1210">
        <v>0</v>
      </c>
      <c r="N469" s="1192">
        <f>INDEX(AESC!$H$184:$H$216,MATCH(I469,AESC!$B$184:$B$216,0))</f>
        <v>5.9785822589504493E-3</v>
      </c>
    </row>
    <row r="470" spans="1:14" s="541" customFormat="1" ht="20.25">
      <c r="A470" s="1140">
        <f>Year2</f>
        <v>2022</v>
      </c>
      <c r="B470" s="1141" t="str">
        <f>Year2&amp;"$"</f>
        <v>2022$</v>
      </c>
      <c r="C470" s="1216"/>
      <c r="D470" s="1217"/>
      <c r="E470" s="1216"/>
      <c r="F470" s="1218"/>
      <c r="G470" s="1217"/>
      <c r="I470" s="1188">
        <v>2045</v>
      </c>
      <c r="J470" s="1189">
        <f t="shared" si="84"/>
        <v>0.12241798369562024</v>
      </c>
      <c r="K470" s="1190">
        <v>0.10692382238382248</v>
      </c>
      <c r="L470" s="1210">
        <v>0</v>
      </c>
      <c r="M470" s="1210">
        <v>0</v>
      </c>
      <c r="N470" s="1192">
        <f>INDEX(AESC!$H$184:$H$216,MATCH(I470,AESC!$B$184:$B$216,0))</f>
        <v>6.4261625195295869E-3</v>
      </c>
    </row>
    <row r="471" spans="1:14" s="541" customFormat="1">
      <c r="A471" s="1182">
        <v>1</v>
      </c>
      <c r="B471" s="1183">
        <f>Year2</f>
        <v>2022</v>
      </c>
      <c r="C471" s="1184">
        <f t="shared" ref="C471:C495" si="87">VLOOKUP($B471,$I$443:$N$475,C$12,FALSE)*(1+Inflation2)^(Year2-Real_Year)</f>
        <v>0.11170743892352274</v>
      </c>
      <c r="D471" s="1185">
        <f t="shared" ref="D471:D495" si="88">VLOOKUP($B471,$I$443:$N$475,IF($A$17=Year1,D$12,D$12+1),FALSE)*(1+Inflation1)^(Year1-Real_Year)</f>
        <v>1.8976461176253977E-2</v>
      </c>
      <c r="E471" s="1225">
        <f>NPV(realdiscrt1,C$471:C471)/(1+realdiscrt2)^-Half_Year</f>
        <v>0.11092572695795852</v>
      </c>
      <c r="F471" s="1226">
        <f>NPV(realdiscrt1,D$471:D471)/(1+realdiscrt2)^-Half_Year</f>
        <v>1.8843666736523795E-2</v>
      </c>
      <c r="G471" s="1187" t="str">
        <f t="shared" ref="G471:G495" si="89">$A$45&amp;"-"&amp;$A$438&amp;"-"&amp;A471</f>
        <v>2022-Top 20 Winter Hours-1</v>
      </c>
      <c r="I471" s="1188">
        <v>2046</v>
      </c>
      <c r="J471" s="1189">
        <f t="shared" si="84"/>
        <v>0.12313885146489106</v>
      </c>
      <c r="K471" s="1190">
        <v>0.10711020465542795</v>
      </c>
      <c r="L471" s="1210">
        <v>0</v>
      </c>
      <c r="M471" s="1210">
        <v>0</v>
      </c>
      <c r="N471" s="1192">
        <f>INDEX(AESC!$H$184:$H$216,MATCH(I471,AESC!$B$184:$B$216,0))</f>
        <v>6.9072504046563642E-3</v>
      </c>
    </row>
    <row r="472" spans="1:14" s="541" customFormat="1">
      <c r="A472" s="1182">
        <v>2</v>
      </c>
      <c r="B472" s="1183">
        <f t="shared" ref="B472:B495" si="90">B471+1</f>
        <v>2023</v>
      </c>
      <c r="C472" s="1184">
        <f t="shared" si="87"/>
        <v>0.10681701865926596</v>
      </c>
      <c r="D472" s="1185">
        <f t="shared" si="88"/>
        <v>1.4604075677616355E-2</v>
      </c>
      <c r="E472" s="1227">
        <f>NPV(realdiscrt1,C$471:C472)/(1+realdiscrt2)^-Half_Year</f>
        <v>0.21551593286701176</v>
      </c>
      <c r="F472" s="1198">
        <f>NPV(realdiscrt1,D$471:D472)/(1+realdiscrt2)^-Half_Year</f>
        <v>3.3143291472406564E-2</v>
      </c>
      <c r="G472" s="1187" t="str">
        <f t="shared" si="89"/>
        <v>2022-Top 20 Winter Hours-2</v>
      </c>
      <c r="I472" s="1188">
        <v>2047</v>
      </c>
      <c r="J472" s="1189">
        <f t="shared" si="84"/>
        <v>0.12389896754260696</v>
      </c>
      <c r="K472" s="1190">
        <v>0.10729691181582242</v>
      </c>
      <c r="L472" s="1210">
        <v>0</v>
      </c>
      <c r="M472" s="1210">
        <v>0</v>
      </c>
      <c r="N472" s="1192">
        <f>INDEX(AESC!$H$184:$H$216,MATCH(I472,AESC!$B$184:$B$216,0))</f>
        <v>7.4243544273321646E-3</v>
      </c>
    </row>
    <row r="473" spans="1:14" s="541" customFormat="1">
      <c r="A473" s="1182">
        <f t="shared" ref="A473:A495" si="91">A472+1</f>
        <v>3</v>
      </c>
      <c r="B473" s="1183">
        <f t="shared" si="90"/>
        <v>2024</v>
      </c>
      <c r="C473" s="1184">
        <f t="shared" si="87"/>
        <v>0.12288614326267459</v>
      </c>
      <c r="D473" s="1185">
        <f t="shared" si="88"/>
        <v>1.1297459286502999E-2</v>
      </c>
      <c r="E473" s="1227">
        <f>NPV(realdiscrt1,C$471:C473)/(1+realdiscrt2)^-Half_Year</f>
        <v>0.33416213938607742</v>
      </c>
      <c r="F473" s="1198">
        <f>NPV(realdiscrt1,D$471:D473)/(1+realdiscrt2)^-Half_Year</f>
        <v>4.4050954875773408E-2</v>
      </c>
      <c r="G473" s="1187" t="str">
        <f t="shared" si="89"/>
        <v>2022-Top 20 Winter Hours-3</v>
      </c>
      <c r="I473" s="1188">
        <v>2048</v>
      </c>
      <c r="J473" s="1189">
        <f t="shared" si="84"/>
        <v>0.12470124455539613</v>
      </c>
      <c r="K473" s="1190">
        <v>0.10748394443132973</v>
      </c>
      <c r="L473" s="1210">
        <v>0</v>
      </c>
      <c r="M473" s="1210">
        <v>0</v>
      </c>
      <c r="N473" s="1192">
        <f>INDEX(AESC!$H$184:$H$216,MATCH(I473,AESC!$B$184:$B$216,0))</f>
        <v>7.9801708977407463E-3</v>
      </c>
    </row>
    <row r="474" spans="1:14" s="541" customFormat="1">
      <c r="A474" s="1182">
        <f t="shared" si="91"/>
        <v>4</v>
      </c>
      <c r="B474" s="1183">
        <f t="shared" si="90"/>
        <v>2025</v>
      </c>
      <c r="C474" s="1184">
        <f t="shared" si="87"/>
        <v>0.11591660065303358</v>
      </c>
      <c r="D474" s="1185">
        <f t="shared" si="88"/>
        <v>7.1830094869619679E-3</v>
      </c>
      <c r="E474" s="1227">
        <f>NPV(realdiscrt1,C$471:C474)/(1+realdiscrt2)^-Half_Year</f>
        <v>0.44451839501943469</v>
      </c>
      <c r="F474" s="1198">
        <f>NPV(realdiscrt1,D$471:D474)/(1+realdiscrt2)^-Half_Year</f>
        <v>5.0889406199348002E-2</v>
      </c>
      <c r="G474" s="1187" t="str">
        <f t="shared" si="89"/>
        <v>2022-Top 20 Winter Hours-4</v>
      </c>
      <c r="I474" s="1188">
        <v>2049</v>
      </c>
      <c r="J474" s="1189">
        <f t="shared" si="84"/>
        <v>0.12554881313588712</v>
      </c>
      <c r="K474" s="1190">
        <v>0.10767130306926091</v>
      </c>
      <c r="L474" s="1210">
        <v>0</v>
      </c>
      <c r="M474" s="1210">
        <v>0</v>
      </c>
      <c r="N474" s="1192">
        <f>INDEX(AESC!$H$184:$H$216,MATCH(I474,AESC!$B$184:$B$216,0))</f>
        <v>8.5775979824864006E-3</v>
      </c>
    </row>
    <row r="475" spans="1:14" s="541" customFormat="1">
      <c r="A475" s="1182">
        <f t="shared" si="91"/>
        <v>5</v>
      </c>
      <c r="B475" s="1183">
        <f t="shared" si="90"/>
        <v>2026</v>
      </c>
      <c r="C475" s="1184">
        <f t="shared" si="87"/>
        <v>0.10118873545892898</v>
      </c>
      <c r="D475" s="1185">
        <f t="shared" si="88"/>
        <v>3.7485203540087247E-3</v>
      </c>
      <c r="E475" s="1227">
        <f>NPV(realdiscrt1,C$471:C475)/(1+realdiscrt2)^-Half_Year</f>
        <v>0.53950970254795805</v>
      </c>
      <c r="F475" s="1198">
        <f>NPV(realdiscrt1,D$471:D475)/(1+realdiscrt2)^-Half_Year</f>
        <v>5.4408343837115979E-2</v>
      </c>
      <c r="G475" s="1187" t="str">
        <f t="shared" si="89"/>
        <v>2022-Top 20 Winter Hours-5</v>
      </c>
      <c r="I475" s="1193">
        <v>2050</v>
      </c>
      <c r="J475" s="1194">
        <f t="shared" si="84"/>
        <v>0.12644503824342029</v>
      </c>
      <c r="K475" s="1195">
        <v>0.10785898829791588</v>
      </c>
      <c r="L475" s="1196">
        <v>0</v>
      </c>
      <c r="M475" s="1196">
        <v>0</v>
      </c>
      <c r="N475" s="1197">
        <f>INDEX(AESC!$H$184:$H$216,MATCH(I475,AESC!$B$184:$B$216,0))</f>
        <v>9.2197508163621572E-3</v>
      </c>
    </row>
    <row r="476" spans="1:14" s="541" customFormat="1">
      <c r="A476" s="1182">
        <f t="shared" si="91"/>
        <v>6</v>
      </c>
      <c r="B476" s="1183">
        <f t="shared" si="90"/>
        <v>2027</v>
      </c>
      <c r="C476" s="1184">
        <f t="shared" si="87"/>
        <v>0.11708709123776513</v>
      </c>
      <c r="D476" s="1185">
        <f t="shared" si="88"/>
        <v>2.5880904078745661E-3</v>
      </c>
      <c r="E476" s="1227">
        <f>NPV(realdiscrt1,C$471:C476)/(1+realdiscrt2)^-Half_Year</f>
        <v>0.64789268340056128</v>
      </c>
      <c r="F476" s="1198">
        <f>NPV(realdiscrt1,D$471:D476)/(1+realdiscrt2)^-Half_Year</f>
        <v>5.6804038786543512E-2</v>
      </c>
      <c r="G476" s="1187" t="str">
        <f t="shared" si="89"/>
        <v>2022-Top 20 Winter Hours-6</v>
      </c>
    </row>
    <row r="477" spans="1:14" s="541" customFormat="1">
      <c r="A477" s="1182">
        <f t="shared" si="91"/>
        <v>7</v>
      </c>
      <c r="B477" s="1183">
        <f t="shared" si="90"/>
        <v>2028</v>
      </c>
      <c r="C477" s="1184">
        <f t="shared" si="87"/>
        <v>0.12168117733626202</v>
      </c>
      <c r="D477" s="1185">
        <f t="shared" si="88"/>
        <v>0</v>
      </c>
      <c r="E477" s="1227">
        <f>NPV(realdiscrt1,C$471:C477)/(1+realdiscrt2)^-Half_Year</f>
        <v>0.75895733392147746</v>
      </c>
      <c r="F477" s="1198">
        <f>NPV(realdiscrt1,D$471:D477)/(1+realdiscrt2)^-Half_Year</f>
        <v>5.6804038786543512E-2</v>
      </c>
      <c r="G477" s="1187" t="str">
        <f t="shared" si="89"/>
        <v>2022-Top 20 Winter Hours-7</v>
      </c>
    </row>
    <row r="478" spans="1:14" s="541" customFormat="1">
      <c r="A478" s="1182">
        <f t="shared" si="91"/>
        <v>8</v>
      </c>
      <c r="B478" s="1183">
        <f t="shared" si="90"/>
        <v>2029</v>
      </c>
      <c r="C478" s="1184">
        <f t="shared" si="87"/>
        <v>0.12671796299337801</v>
      </c>
      <c r="D478" s="1185">
        <f t="shared" si="88"/>
        <v>0</v>
      </c>
      <c r="E478" s="1227">
        <f>NPV(realdiscrt1,C$471:C478)/(1+realdiscrt2)^-Half_Year</f>
        <v>0.87300621041229198</v>
      </c>
      <c r="F478" s="1198">
        <f>NPV(realdiscrt1,D$471:D478)/(1+realdiscrt2)^-Half_Year</f>
        <v>5.6804038786543512E-2</v>
      </c>
      <c r="G478" s="1187" t="str">
        <f t="shared" si="89"/>
        <v>2022-Top 20 Winter Hours-8</v>
      </c>
    </row>
    <row r="479" spans="1:14" s="541" customFormat="1">
      <c r="A479" s="1182">
        <f t="shared" si="91"/>
        <v>9</v>
      </c>
      <c r="B479" s="1183">
        <f t="shared" si="90"/>
        <v>2030</v>
      </c>
      <c r="C479" s="1184">
        <f t="shared" si="87"/>
        <v>0.1232080315446711</v>
      </c>
      <c r="D479" s="1185">
        <f t="shared" si="88"/>
        <v>0</v>
      </c>
      <c r="E479" s="1227">
        <f>NPV(realdiscrt1,C$471:C479)/(1+realdiscrt2)^-Half_Year</f>
        <v>0.9823495224235077</v>
      </c>
      <c r="F479" s="1198">
        <f>NPV(realdiscrt1,D$471:D479)/(1+realdiscrt2)^-Half_Year</f>
        <v>5.6804038786543512E-2</v>
      </c>
      <c r="G479" s="1187" t="str">
        <f t="shared" si="89"/>
        <v>2022-Top 20 Winter Hours-9</v>
      </c>
    </row>
    <row r="480" spans="1:14" s="541" customFormat="1">
      <c r="A480" s="1182">
        <f t="shared" si="91"/>
        <v>10</v>
      </c>
      <c r="B480" s="1183">
        <f t="shared" si="90"/>
        <v>2031</v>
      </c>
      <c r="C480" s="1184">
        <f t="shared" si="87"/>
        <v>0.12379340307530752</v>
      </c>
      <c r="D480" s="1185">
        <f t="shared" si="88"/>
        <v>0</v>
      </c>
      <c r="E480" s="1227">
        <f>NPV(realdiscrt1,C$471:C480)/(1+realdiscrt2)^-Half_Year</f>
        <v>1.090680106438783</v>
      </c>
      <c r="F480" s="1198">
        <f>NPV(realdiscrt1,D$471:D480)/(1+realdiscrt2)^-Half_Year</f>
        <v>5.6804038786543512E-2</v>
      </c>
      <c r="G480" s="1187" t="str">
        <f t="shared" si="89"/>
        <v>2022-Top 20 Winter Hours-10</v>
      </c>
    </row>
    <row r="481" spans="1:7" s="541" customFormat="1">
      <c r="A481" s="1182">
        <f t="shared" si="91"/>
        <v>11</v>
      </c>
      <c r="B481" s="1183">
        <f t="shared" si="90"/>
        <v>2032</v>
      </c>
      <c r="C481" s="1184">
        <f t="shared" si="87"/>
        <v>0.10642901839174242</v>
      </c>
      <c r="D481" s="1185">
        <f t="shared" si="88"/>
        <v>0</v>
      </c>
      <c r="E481" s="1227">
        <f>NPV(realdiscrt1,C$471:C481)/(1+realdiscrt2)^-Half_Year</f>
        <v>1.1825163299469585</v>
      </c>
      <c r="F481" s="1198">
        <f>NPV(realdiscrt1,D$471:D481)/(1+realdiscrt2)^-Half_Year</f>
        <v>5.6804038786543512E-2</v>
      </c>
      <c r="G481" s="1187" t="str">
        <f t="shared" si="89"/>
        <v>2022-Top 20 Winter Hours-11</v>
      </c>
    </row>
    <row r="482" spans="1:7" s="541" customFormat="1">
      <c r="A482" s="1182">
        <f t="shared" si="91"/>
        <v>12</v>
      </c>
      <c r="B482" s="1183">
        <f t="shared" si="90"/>
        <v>2033</v>
      </c>
      <c r="C482" s="1184">
        <f t="shared" si="87"/>
        <v>0.11828228169465836</v>
      </c>
      <c r="D482" s="1185">
        <f t="shared" si="88"/>
        <v>0</v>
      </c>
      <c r="E482" s="1227">
        <f>NPV(realdiscrt1,C$471:C482)/(1+realdiscrt2)^-Half_Year</f>
        <v>1.2831571183802823</v>
      </c>
      <c r="F482" s="1198">
        <f>NPV(realdiscrt1,D$471:D482)/(1+realdiscrt2)^-Half_Year</f>
        <v>5.6804038786543512E-2</v>
      </c>
      <c r="G482" s="1187" t="str">
        <f t="shared" si="89"/>
        <v>2022-Top 20 Winter Hours-12</v>
      </c>
    </row>
    <row r="483" spans="1:7" s="541" customFormat="1">
      <c r="A483" s="1182">
        <f t="shared" si="91"/>
        <v>13</v>
      </c>
      <c r="B483" s="1183">
        <f t="shared" si="90"/>
        <v>2034</v>
      </c>
      <c r="C483" s="1184">
        <f t="shared" si="87"/>
        <v>0.11464881774015917</v>
      </c>
      <c r="D483" s="1185">
        <f t="shared" si="88"/>
        <v>0</v>
      </c>
      <c r="E483" s="1227">
        <f>NPV(realdiscrt1,C$471:C483)/(1+realdiscrt2)^-Half_Year</f>
        <v>1.3793458713962432</v>
      </c>
      <c r="F483" s="1198">
        <f>NPV(realdiscrt1,D$471:D483)/(1+realdiscrt2)^-Half_Year</f>
        <v>5.6804038786543512E-2</v>
      </c>
      <c r="G483" s="1187" t="str">
        <f t="shared" si="89"/>
        <v>2022-Top 20 Winter Hours-13</v>
      </c>
    </row>
    <row r="484" spans="1:7" s="541" customFormat="1">
      <c r="A484" s="1182">
        <f t="shared" si="91"/>
        <v>14</v>
      </c>
      <c r="B484" s="1183">
        <f t="shared" si="90"/>
        <v>2035</v>
      </c>
      <c r="C484" s="1184">
        <f t="shared" si="87"/>
        <v>0.12554842681107828</v>
      </c>
      <c r="D484" s="1185">
        <f t="shared" si="88"/>
        <v>0</v>
      </c>
      <c r="E484" s="1227">
        <f>NPV(realdiscrt1,C$471:C484)/(1+realdiscrt2)^-Half_Year</f>
        <v>1.4832101875942529</v>
      </c>
      <c r="F484" s="1198">
        <f>NPV(realdiscrt1,D$471:D484)/(1+realdiscrt2)^-Half_Year</f>
        <v>5.6804038786543512E-2</v>
      </c>
      <c r="G484" s="1187" t="str">
        <f t="shared" si="89"/>
        <v>2022-Top 20 Winter Hours-14</v>
      </c>
    </row>
    <row r="485" spans="1:7" s="541" customFormat="1">
      <c r="A485" s="1182">
        <f t="shared" si="91"/>
        <v>15</v>
      </c>
      <c r="B485" s="1183">
        <f t="shared" si="90"/>
        <v>2036</v>
      </c>
      <c r="C485" s="1184">
        <f t="shared" si="87"/>
        <v>0.12603215062130355</v>
      </c>
      <c r="D485" s="1185">
        <f t="shared" si="88"/>
        <v>0</v>
      </c>
      <c r="E485" s="1227">
        <f>NPV(realdiscrt1,C$471:C485)/(1+realdiscrt2)^-Half_Year</f>
        <v>1.5860205323208458</v>
      </c>
      <c r="F485" s="1198">
        <f>NPV(realdiscrt1,D$471:D485)/(1+realdiscrt2)^-Half_Year</f>
        <v>5.6804038786543512E-2</v>
      </c>
      <c r="G485" s="1187" t="str">
        <f t="shared" si="89"/>
        <v>2022-Top 20 Winter Hours-15</v>
      </c>
    </row>
    <row r="486" spans="1:7" s="541" customFormat="1">
      <c r="A486" s="1182">
        <f t="shared" si="91"/>
        <v>16</v>
      </c>
      <c r="B486" s="1183">
        <f t="shared" si="90"/>
        <v>2037</v>
      </c>
      <c r="C486" s="1184">
        <f t="shared" si="87"/>
        <v>0.12653654731869182</v>
      </c>
      <c r="D486" s="1185">
        <f t="shared" si="88"/>
        <v>0</v>
      </c>
      <c r="E486" s="1227">
        <f>NPV(realdiscrt1,C$471:C486)/(1+realdiscrt2)^-Half_Year</f>
        <v>1.6878027303547825</v>
      </c>
      <c r="F486" s="1198">
        <f>NPV(realdiscrt1,D$471:D486)/(1+realdiscrt2)^-Half_Year</f>
        <v>5.6804038786543512E-2</v>
      </c>
      <c r="G486" s="1187" t="str">
        <f t="shared" si="89"/>
        <v>2022-Top 20 Winter Hours-16</v>
      </c>
    </row>
    <row r="487" spans="1:7" s="541" customFormat="1">
      <c r="A487" s="1182">
        <f t="shared" si="91"/>
        <v>17</v>
      </c>
      <c r="B487" s="1183">
        <f t="shared" si="90"/>
        <v>2038</v>
      </c>
      <c r="C487" s="1184">
        <f t="shared" si="87"/>
        <v>0.12706313746787187</v>
      </c>
      <c r="D487" s="1185">
        <f t="shared" si="88"/>
        <v>0</v>
      </c>
      <c r="E487" s="1227">
        <f>NPV(realdiscrt1,C$471:C487)/(1+realdiscrt2)^-Half_Year</f>
        <v>1.7885830652647128</v>
      </c>
      <c r="F487" s="1198">
        <f>NPV(realdiscrt1,D$471:D487)/(1+realdiscrt2)^-Half_Year</f>
        <v>5.6804038786543512E-2</v>
      </c>
      <c r="G487" s="1187" t="str">
        <f t="shared" si="89"/>
        <v>2022-Top 20 Winter Hours-17</v>
      </c>
    </row>
    <row r="488" spans="1:7" s="541" customFormat="1">
      <c r="A488" s="1182">
        <f t="shared" si="91"/>
        <v>18</v>
      </c>
      <c r="B488" s="1183">
        <f t="shared" si="90"/>
        <v>2039</v>
      </c>
      <c r="C488" s="1184">
        <f t="shared" si="87"/>
        <v>0.12761355542172087</v>
      </c>
      <c r="D488" s="1185">
        <f t="shared" si="88"/>
        <v>0</v>
      </c>
      <c r="E488" s="1227">
        <f>NPV(realdiscrt1,C$471:C488)/(1+realdiscrt2)^-Half_Year</f>
        <v>1.8883883201752247</v>
      </c>
      <c r="F488" s="1198">
        <f>NPV(realdiscrt1,D$471:D488)/(1+realdiscrt2)^-Half_Year</f>
        <v>5.6804038786543512E-2</v>
      </c>
      <c r="G488" s="1187" t="str">
        <f t="shared" si="89"/>
        <v>2022-Top 20 Winter Hours-18</v>
      </c>
    </row>
    <row r="489" spans="1:7" s="541" customFormat="1">
      <c r="A489" s="1182">
        <f t="shared" si="91"/>
        <v>19</v>
      </c>
      <c r="B489" s="1183">
        <f t="shared" si="90"/>
        <v>2040</v>
      </c>
      <c r="C489" s="1184">
        <f t="shared" si="87"/>
        <v>0.12818955783991931</v>
      </c>
      <c r="D489" s="1185">
        <f t="shared" si="88"/>
        <v>0</v>
      </c>
      <c r="E489" s="1227">
        <f>NPV(realdiscrt1,C$471:C489)/(1+realdiscrt2)^-Half_Year</f>
        <v>1.9872458208110919</v>
      </c>
      <c r="F489" s="1198">
        <f>NPV(realdiscrt1,D$471:D489)/(1+realdiscrt2)^-Half_Year</f>
        <v>5.6804038786543512E-2</v>
      </c>
      <c r="G489" s="1187" t="str">
        <f t="shared" si="89"/>
        <v>2022-Top 20 Winter Hours-19</v>
      </c>
    </row>
    <row r="490" spans="1:7" s="541" customFormat="1">
      <c r="A490" s="1182">
        <f t="shared" si="91"/>
        <v>20</v>
      </c>
      <c r="B490" s="1183">
        <f t="shared" si="90"/>
        <v>2041</v>
      </c>
      <c r="C490" s="1184">
        <f t="shared" si="87"/>
        <v>0.12879303284523855</v>
      </c>
      <c r="D490" s="1185">
        <f t="shared" si="88"/>
        <v>0</v>
      </c>
      <c r="E490" s="1227">
        <f>NPV(realdiscrt1,C$471:C490)/(1+realdiscrt2)^-Half_Year</f>
        <v>2.0851834809581073</v>
      </c>
      <c r="F490" s="1198">
        <f>NPV(realdiscrt1,D$471:D490)/(1+realdiscrt2)^-Half_Year</f>
        <v>5.6804038786543512E-2</v>
      </c>
      <c r="G490" s="1187" t="str">
        <f t="shared" si="89"/>
        <v>2022-Top 20 Winter Hours-20</v>
      </c>
    </row>
    <row r="491" spans="1:7" s="541" customFormat="1">
      <c r="A491" s="1182">
        <f t="shared" si="91"/>
        <v>21</v>
      </c>
      <c r="B491" s="1183">
        <f t="shared" si="90"/>
        <v>2042</v>
      </c>
      <c r="C491" s="1184">
        <f t="shared" si="87"/>
        <v>0.12942600986530395</v>
      </c>
      <c r="D491" s="1185">
        <f t="shared" si="88"/>
        <v>0</v>
      </c>
      <c r="E491" s="1227">
        <f>NPV(realdiscrt1,C$471:C491)/(1+realdiscrt2)^-Half_Year</f>
        <v>2.1822298504871589</v>
      </c>
      <c r="F491" s="1198">
        <f>NPV(realdiscrt1,D$471:D491)/(1+realdiscrt2)^-Half_Year</f>
        <v>5.6804038786543512E-2</v>
      </c>
      <c r="G491" s="1187" t="str">
        <f t="shared" si="89"/>
        <v>2022-Top 20 Winter Hours-21</v>
      </c>
    </row>
    <row r="492" spans="1:7" s="541" customFormat="1">
      <c r="A492" s="1182">
        <f t="shared" si="91"/>
        <v>22</v>
      </c>
      <c r="B492" s="1183">
        <f t="shared" si="90"/>
        <v>2043</v>
      </c>
      <c r="C492" s="1184">
        <f t="shared" si="87"/>
        <v>0.13009067021115128</v>
      </c>
      <c r="D492" s="1185">
        <f t="shared" si="88"/>
        <v>0</v>
      </c>
      <c r="E492" s="1227">
        <f>NPV(realdiscrt1,C$471:C492)/(1+realdiscrt2)^-Half_Year</f>
        <v>2.2784141660969541</v>
      </c>
      <c r="F492" s="1198">
        <f>NPV(realdiscrt1,D$471:D492)/(1+realdiscrt2)^-Half_Year</f>
        <v>5.6804038786543512E-2</v>
      </c>
      <c r="G492" s="1187" t="str">
        <f t="shared" si="89"/>
        <v>2022-Top 20 Winter Hours-22</v>
      </c>
    </row>
    <row r="493" spans="1:7" s="541" customFormat="1">
      <c r="A493" s="1182">
        <f t="shared" si="91"/>
        <v>23</v>
      </c>
      <c r="B493" s="1183">
        <f t="shared" si="90"/>
        <v>2044</v>
      </c>
      <c r="C493" s="1184">
        <f t="shared" si="87"/>
        <v>0.13078935844773501</v>
      </c>
      <c r="D493" s="1185">
        <f t="shared" si="88"/>
        <v>0</v>
      </c>
      <c r="E493" s="1227">
        <f>NPV(realdiscrt1,C$471:C493)/(1+realdiscrt2)^-Half_Year</f>
        <v>2.3737664049400848</v>
      </c>
      <c r="F493" s="1198">
        <f>NPV(realdiscrt1,D$471:D493)/(1+realdiscrt2)^-Half_Year</f>
        <v>5.6804038786543512E-2</v>
      </c>
      <c r="G493" s="1187" t="str">
        <f t="shared" si="89"/>
        <v>2022-Top 20 Winter Hours-23</v>
      </c>
    </row>
    <row r="494" spans="1:7" s="541" customFormat="1">
      <c r="A494" s="1182">
        <f t="shared" si="91"/>
        <v>24</v>
      </c>
      <c r="B494" s="1183">
        <f t="shared" si="90"/>
        <v>2045</v>
      </c>
      <c r="C494" s="1184">
        <f t="shared" si="87"/>
        <v>0.13152459461567809</v>
      </c>
      <c r="D494" s="1185">
        <f t="shared" si="88"/>
        <v>0</v>
      </c>
      <c r="E494" s="1227">
        <f>NPV(realdiscrt1,C$471:C494)/(1+realdiscrt2)^-Half_Year</f>
        <v>2.4683173413069581</v>
      </c>
      <c r="F494" s="1198">
        <f>NPV(realdiscrt1,D$471:D494)/(1+realdiscrt2)^-Half_Year</f>
        <v>5.6804038786543512E-2</v>
      </c>
      <c r="G494" s="1187" t="str">
        <f t="shared" si="89"/>
        <v>2022-Top 20 Winter Hours-24</v>
      </c>
    </row>
    <row r="495" spans="1:7" s="541" customFormat="1">
      <c r="A495" s="1182">
        <f t="shared" si="91"/>
        <v>25</v>
      </c>
      <c r="B495" s="1183">
        <f t="shared" si="90"/>
        <v>2046</v>
      </c>
      <c r="C495" s="1184">
        <f t="shared" si="87"/>
        <v>0.13229908736798965</v>
      </c>
      <c r="D495" s="1185">
        <f t="shared" si="88"/>
        <v>0</v>
      </c>
      <c r="E495" s="1224">
        <f>NPV(realdiscrt1,C$471:C495)/(1+realdiscrt2)^-Half_Year</f>
        <v>2.5620986065525471</v>
      </c>
      <c r="F495" s="1199">
        <f>NPV(realdiscrt1,D$471:D495)/(1+realdiscrt2)^-Half_Year</f>
        <v>5.6804038786543512E-2</v>
      </c>
      <c r="G495" s="1187" t="str">
        <f t="shared" si="89"/>
        <v>2022-Top 20 Winter Hours-25</v>
      </c>
    </row>
    <row r="496" spans="1:7" s="541" customFormat="1" ht="20.25">
      <c r="A496" s="1140">
        <f>Year3</f>
        <v>2023</v>
      </c>
      <c r="B496" s="1141" t="str">
        <f>Year3&amp;"$"</f>
        <v>2023$</v>
      </c>
      <c r="C496" s="1216"/>
      <c r="D496" s="1217"/>
      <c r="E496" s="1232"/>
      <c r="F496" s="1233"/>
      <c r="G496" s="1217"/>
    </row>
    <row r="497" spans="1:7" s="541" customFormat="1">
      <c r="A497" s="1182">
        <v>1</v>
      </c>
      <c r="B497" s="1183">
        <f>Year3</f>
        <v>2023</v>
      </c>
      <c r="C497" s="1219">
        <f t="shared" ref="C497:C521" si="92">VLOOKUP($B497,$I$443:$N$475,C$12,FALSE)*(1+Inflation3)^(Year3-Real_Year)</f>
        <v>0.10875040669699869</v>
      </c>
      <c r="D497" s="1185">
        <f t="shared" ref="D497:D521" si="93">VLOOKUP($B497,$I$443:$N$475,IF($A$17=Year1,D$12,D$12+1),FALSE)*(1+Inflation1)^(Year1-Real_Year)</f>
        <v>1.4604075677616355E-2</v>
      </c>
      <c r="E497" s="1225">
        <f>NPV(realdiscrt1,C$497:C497)/(1+realdiscrt3)^-Half_Year</f>
        <v>0.10798938760109748</v>
      </c>
      <c r="F497" s="1226">
        <f>NPV(realdiscrt1,D$497:D497)/(1+realdiscrt3)^-Half_Year</f>
        <v>1.4501878538256515E-2</v>
      </c>
      <c r="G497" s="1187" t="str">
        <f t="shared" ref="G497:G521" si="94">$A$71&amp;"-"&amp;$A$438&amp;"-"&amp;A497</f>
        <v>2023-Top 20 Winter Hours-1</v>
      </c>
    </row>
    <row r="498" spans="1:7" s="541" customFormat="1">
      <c r="A498" s="1182">
        <v>2</v>
      </c>
      <c r="B498" s="1183">
        <f t="shared" ref="B498:B521" si="95">B497+1</f>
        <v>2024</v>
      </c>
      <c r="C498" s="1220">
        <f t="shared" si="92"/>
        <v>0.125110382455729</v>
      </c>
      <c r="D498" s="1185">
        <f t="shared" si="93"/>
        <v>1.1297459286502999E-2</v>
      </c>
      <c r="E498" s="1227">
        <f>NPV(realdiscrt1,C$497:C498)/(1+realdiscrt3)^-Half_Year</f>
        <v>0.23049159583203277</v>
      </c>
      <c r="F498" s="1198">
        <f>NPV(realdiscrt1,D$497:D498)/(1+realdiscrt3)^-Half_Year</f>
        <v>2.5563819864232611E-2</v>
      </c>
      <c r="G498" s="1187" t="str">
        <f t="shared" si="94"/>
        <v>2023-Top 20 Winter Hours-2</v>
      </c>
    </row>
    <row r="499" spans="1:7" s="541" customFormat="1">
      <c r="A499" s="1182">
        <f t="shared" ref="A499:A521" si="96">A498+1</f>
        <v>3</v>
      </c>
      <c r="B499" s="1183">
        <f t="shared" si="95"/>
        <v>2025</v>
      </c>
      <c r="C499" s="1220">
        <f t="shared" si="92"/>
        <v>0.11801469112485349</v>
      </c>
      <c r="D499" s="1185">
        <f t="shared" si="93"/>
        <v>7.1830094869619679E-3</v>
      </c>
      <c r="E499" s="1227">
        <f>NPV(realdiscrt1,C$497:C499)/(1+realdiscrt3)^-Half_Year</f>
        <v>0.34443442977347422</v>
      </c>
      <c r="F499" s="1198">
        <f>NPV(realdiscrt1,D$497:D499)/(1+realdiscrt3)^-Half_Year</f>
        <v>3.2498994200339845E-2</v>
      </c>
      <c r="G499" s="1187" t="str">
        <f t="shared" si="94"/>
        <v>2023-Top 20 Winter Hours-3</v>
      </c>
    </row>
    <row r="500" spans="1:7" s="541" customFormat="1">
      <c r="A500" s="1182">
        <f t="shared" si="96"/>
        <v>4</v>
      </c>
      <c r="B500" s="1183">
        <f t="shared" si="95"/>
        <v>2026</v>
      </c>
      <c r="C500" s="1220">
        <f t="shared" si="92"/>
        <v>0.10302025157073559</v>
      </c>
      <c r="D500" s="1185">
        <f t="shared" si="93"/>
        <v>3.7485203540087247E-3</v>
      </c>
      <c r="E500" s="1227">
        <f>NPV(realdiscrt1,C$497:C500)/(1+realdiscrt3)^-Half_Year</f>
        <v>0.44251295479667457</v>
      </c>
      <c r="F500" s="1198">
        <f>NPV(realdiscrt1,D$497:D500)/(1+realdiscrt3)^-Half_Year</f>
        <v>3.6067703669935593E-2</v>
      </c>
      <c r="G500" s="1187" t="str">
        <f t="shared" si="94"/>
        <v>2023-Top 20 Winter Hours-4</v>
      </c>
    </row>
    <row r="501" spans="1:7" s="541" customFormat="1">
      <c r="A501" s="1182">
        <f t="shared" si="96"/>
        <v>5</v>
      </c>
      <c r="B501" s="1183">
        <f t="shared" si="95"/>
        <v>2027</v>
      </c>
      <c r="C501" s="1220">
        <f t="shared" si="92"/>
        <v>0.11920636758916869</v>
      </c>
      <c r="D501" s="1185">
        <f t="shared" si="93"/>
        <v>2.5880904078745661E-3</v>
      </c>
      <c r="E501" s="1227">
        <f>NPV(realdiscrt1,C$497:C501)/(1+realdiscrt3)^-Half_Year</f>
        <v>0.55441838252698739</v>
      </c>
      <c r="F501" s="1198">
        <f>NPV(realdiscrt1,D$497:D501)/(1+realdiscrt3)^-Half_Year</f>
        <v>3.8497283313667974E-2</v>
      </c>
      <c r="G501" s="1187" t="str">
        <f t="shared" si="94"/>
        <v>2023-Top 20 Winter Hours-5</v>
      </c>
    </row>
    <row r="502" spans="1:7" s="541" customFormat="1">
      <c r="A502" s="1182">
        <f t="shared" si="96"/>
        <v>6</v>
      </c>
      <c r="B502" s="1183">
        <f t="shared" si="95"/>
        <v>2028</v>
      </c>
      <c r="C502" s="1220">
        <f t="shared" si="92"/>
        <v>0.12388360664604837</v>
      </c>
      <c r="D502" s="1185">
        <f t="shared" si="93"/>
        <v>0</v>
      </c>
      <c r="E502" s="1227">
        <f>NPV(realdiscrt1,C$497:C502)/(1+realdiscrt3)^-Half_Year</f>
        <v>0.66909263418983322</v>
      </c>
      <c r="F502" s="1198">
        <f>NPV(realdiscrt1,D$497:D502)/(1+realdiscrt3)^-Half_Year</f>
        <v>3.8497283313667974E-2</v>
      </c>
      <c r="G502" s="1187" t="str">
        <f t="shared" si="94"/>
        <v>2023-Top 20 Winter Hours-6</v>
      </c>
    </row>
    <row r="503" spans="1:7" s="541" customFormat="1">
      <c r="A503" s="1182">
        <f t="shared" si="96"/>
        <v>7</v>
      </c>
      <c r="B503" s="1183">
        <f t="shared" si="95"/>
        <v>2029</v>
      </c>
      <c r="C503" s="1220">
        <f t="shared" si="92"/>
        <v>0.12901155812355816</v>
      </c>
      <c r="D503" s="1185">
        <f t="shared" si="93"/>
        <v>0</v>
      </c>
      <c r="E503" s="1227">
        <f>NPV(realdiscrt1,C$497:C503)/(1+realdiscrt3)^-Half_Year</f>
        <v>0.78684809916659926</v>
      </c>
      <c r="F503" s="1198">
        <f>NPV(realdiscrt1,D$497:D503)/(1+realdiscrt3)^-Half_Year</f>
        <v>3.8497283313667974E-2</v>
      </c>
      <c r="G503" s="1187" t="str">
        <f t="shared" si="94"/>
        <v>2023-Top 20 Winter Hours-7</v>
      </c>
    </row>
    <row r="504" spans="1:7" s="541" customFormat="1">
      <c r="A504" s="1182">
        <f t="shared" si="96"/>
        <v>8</v>
      </c>
      <c r="B504" s="1183">
        <f t="shared" si="95"/>
        <v>2030</v>
      </c>
      <c r="C504" s="1220">
        <f t="shared" si="92"/>
        <v>0.12543809691562965</v>
      </c>
      <c r="D504" s="1185">
        <f t="shared" si="93"/>
        <v>0</v>
      </c>
      <c r="E504" s="1227">
        <f>NPV(realdiscrt1,C$497:C504)/(1+realdiscrt3)^-Half_Year</f>
        <v>0.89974506881817951</v>
      </c>
      <c r="F504" s="1198">
        <f>NPV(realdiscrt1,D$497:D504)/(1+realdiscrt3)^-Half_Year</f>
        <v>3.8497283313667974E-2</v>
      </c>
      <c r="G504" s="1187" t="str">
        <f t="shared" si="94"/>
        <v>2023-Top 20 Winter Hours-8</v>
      </c>
    </row>
    <row r="505" spans="1:7" s="541" customFormat="1">
      <c r="A505" s="1182">
        <f t="shared" si="96"/>
        <v>9</v>
      </c>
      <c r="B505" s="1183">
        <f t="shared" si="95"/>
        <v>2031</v>
      </c>
      <c r="C505" s="1220">
        <f t="shared" si="92"/>
        <v>0.12603406367097059</v>
      </c>
      <c r="D505" s="1185">
        <f t="shared" si="93"/>
        <v>0</v>
      </c>
      <c r="E505" s="1227">
        <f>NPV(realdiscrt1,C$497:C505)/(1+realdiscrt3)^-Half_Year</f>
        <v>1.0115963968139507</v>
      </c>
      <c r="F505" s="1198">
        <f>NPV(realdiscrt1,D$497:D505)/(1+realdiscrt3)^-Half_Year</f>
        <v>3.8497283313667974E-2</v>
      </c>
      <c r="G505" s="1187" t="str">
        <f t="shared" si="94"/>
        <v>2023-Top 20 Winter Hours-9</v>
      </c>
    </row>
    <row r="506" spans="1:7" s="541" customFormat="1">
      <c r="A506" s="1182">
        <f t="shared" si="96"/>
        <v>10</v>
      </c>
      <c r="B506" s="1183">
        <f t="shared" si="95"/>
        <v>2032</v>
      </c>
      <c r="C506" s="1220">
        <f t="shared" si="92"/>
        <v>0.10835538362463296</v>
      </c>
      <c r="D506" s="1185">
        <f t="shared" si="93"/>
        <v>0</v>
      </c>
      <c r="E506" s="1227">
        <f>NPV(realdiscrt1,C$497:C506)/(1+realdiscrt3)^-Half_Year</f>
        <v>1.1064172975861424</v>
      </c>
      <c r="F506" s="1198">
        <f>NPV(realdiscrt1,D$497:D506)/(1+realdiscrt3)^-Half_Year</f>
        <v>3.8497283313667974E-2</v>
      </c>
      <c r="G506" s="1187" t="str">
        <f t="shared" si="94"/>
        <v>2023-Top 20 Winter Hours-10</v>
      </c>
    </row>
    <row r="507" spans="1:7" s="541" customFormat="1">
      <c r="A507" s="1182">
        <f t="shared" si="96"/>
        <v>11</v>
      </c>
      <c r="B507" s="1183">
        <f t="shared" si="95"/>
        <v>2033</v>
      </c>
      <c r="C507" s="1220">
        <f t="shared" si="92"/>
        <v>0.12042319099333168</v>
      </c>
      <c r="D507" s="1185">
        <f t="shared" si="93"/>
        <v>0</v>
      </c>
      <c r="E507" s="1227">
        <f>NPV(realdiscrt1,C$497:C507)/(1+realdiscrt3)^-Half_Year</f>
        <v>1.2103289116435492</v>
      </c>
      <c r="F507" s="1198">
        <f>NPV(realdiscrt1,D$497:D507)/(1+realdiscrt3)^-Half_Year</f>
        <v>3.8497283313667974E-2</v>
      </c>
      <c r="G507" s="1187" t="str">
        <f t="shared" si="94"/>
        <v>2023-Top 20 Winter Hours-11</v>
      </c>
    </row>
    <row r="508" spans="1:7" s="541" customFormat="1">
      <c r="A508" s="1182">
        <f t="shared" si="96"/>
        <v>12</v>
      </c>
      <c r="B508" s="1183">
        <f t="shared" si="95"/>
        <v>2034</v>
      </c>
      <c r="C508" s="1220">
        <f t="shared" si="92"/>
        <v>0.11672396134125605</v>
      </c>
      <c r="D508" s="1185">
        <f t="shared" si="93"/>
        <v>0</v>
      </c>
      <c r="E508" s="1227">
        <f>NPV(realdiscrt1,C$497:C508)/(1+realdiscrt3)^-Half_Year</f>
        <v>1.3096437991325287</v>
      </c>
      <c r="F508" s="1198">
        <f>NPV(realdiscrt1,D$497:D508)/(1+realdiscrt3)^-Half_Year</f>
        <v>3.8497283313667974E-2</v>
      </c>
      <c r="G508" s="1187" t="str">
        <f t="shared" si="94"/>
        <v>2023-Top 20 Winter Hours-12</v>
      </c>
    </row>
    <row r="509" spans="1:7" s="541" customFormat="1">
      <c r="A509" s="1182">
        <f t="shared" si="96"/>
        <v>13</v>
      </c>
      <c r="B509" s="1183">
        <f t="shared" si="95"/>
        <v>2035</v>
      </c>
      <c r="C509" s="1220">
        <f t="shared" si="92"/>
        <v>0.12782085333635881</v>
      </c>
      <c r="D509" s="1185">
        <f t="shared" si="93"/>
        <v>0</v>
      </c>
      <c r="E509" s="1227">
        <f>NPV(realdiscrt1,C$497:C509)/(1+realdiscrt3)^-Half_Year</f>
        <v>1.4168837056069739</v>
      </c>
      <c r="F509" s="1198">
        <f>NPV(realdiscrt1,D$497:D509)/(1+realdiscrt3)^-Half_Year</f>
        <v>3.8497283313667974E-2</v>
      </c>
      <c r="G509" s="1187" t="str">
        <f t="shared" si="94"/>
        <v>2023-Top 20 Winter Hours-13</v>
      </c>
    </row>
    <row r="510" spans="1:7" s="541" customFormat="1">
      <c r="A510" s="1182">
        <f t="shared" si="96"/>
        <v>14</v>
      </c>
      <c r="B510" s="1183">
        <f t="shared" si="95"/>
        <v>2036</v>
      </c>
      <c r="C510" s="1220">
        <f t="shared" si="92"/>
        <v>0.12831333254754915</v>
      </c>
      <c r="D510" s="1185">
        <f t="shared" si="93"/>
        <v>0</v>
      </c>
      <c r="E510" s="1227">
        <f>NPV(realdiscrt1,C$497:C510)/(1+realdiscrt3)^-Half_Year</f>
        <v>1.5230353865371811</v>
      </c>
      <c r="F510" s="1198">
        <f>NPV(realdiscrt1,D$497:D510)/(1+realdiscrt3)^-Half_Year</f>
        <v>3.8497283313667974E-2</v>
      </c>
      <c r="G510" s="1187" t="str">
        <f t="shared" si="94"/>
        <v>2023-Top 20 Winter Hours-14</v>
      </c>
    </row>
    <row r="511" spans="1:7" s="541" customFormat="1">
      <c r="A511" s="1182">
        <f t="shared" si="96"/>
        <v>15</v>
      </c>
      <c r="B511" s="1183">
        <f t="shared" si="95"/>
        <v>2037</v>
      </c>
      <c r="C511" s="1220">
        <f t="shared" si="92"/>
        <v>0.12882685882516015</v>
      </c>
      <c r="D511" s="1185">
        <f t="shared" si="93"/>
        <v>0</v>
      </c>
      <c r="E511" s="1227">
        <f>NPV(realdiscrt1,C$497:C511)/(1+realdiscrt3)^-Half_Year</f>
        <v>1.6281255060072204</v>
      </c>
      <c r="F511" s="1198">
        <f>NPV(realdiscrt1,D$497:D511)/(1+realdiscrt3)^-Half_Year</f>
        <v>3.8497283313667974E-2</v>
      </c>
      <c r="G511" s="1187" t="str">
        <f t="shared" si="94"/>
        <v>2023-Top 20 Winter Hours-15</v>
      </c>
    </row>
    <row r="512" spans="1:7" s="541" customFormat="1">
      <c r="A512" s="1182">
        <f t="shared" si="96"/>
        <v>16</v>
      </c>
      <c r="B512" s="1183">
        <f t="shared" si="95"/>
        <v>2038</v>
      </c>
      <c r="C512" s="1220">
        <f t="shared" si="92"/>
        <v>0.12936298025604037</v>
      </c>
      <c r="D512" s="1185">
        <f t="shared" si="93"/>
        <v>0</v>
      </c>
      <c r="E512" s="1227">
        <f>NPV(realdiscrt1,C$497:C512)/(1+realdiscrt3)^-Half_Year</f>
        <v>1.7321812018017235</v>
      </c>
      <c r="F512" s="1198">
        <f>NPV(realdiscrt1,D$497:D512)/(1+realdiscrt3)^-Half_Year</f>
        <v>3.8497283313667974E-2</v>
      </c>
      <c r="G512" s="1187" t="str">
        <f t="shared" si="94"/>
        <v>2023-Top 20 Winter Hours-16</v>
      </c>
    </row>
    <row r="513" spans="1:17" s="541" customFormat="1">
      <c r="A513" s="1182">
        <f t="shared" si="96"/>
        <v>17</v>
      </c>
      <c r="B513" s="1183">
        <f t="shared" si="95"/>
        <v>2039</v>
      </c>
      <c r="C513" s="1220">
        <f t="shared" si="92"/>
        <v>0.12992336077485403</v>
      </c>
      <c r="D513" s="1185">
        <f t="shared" si="93"/>
        <v>0</v>
      </c>
      <c r="E513" s="1227">
        <f>NPV(realdiscrt1,C$497:C513)/(1+realdiscrt3)^-Half_Year</f>
        <v>1.8352301274968275</v>
      </c>
      <c r="F513" s="1198">
        <f>NPV(realdiscrt1,D$497:D513)/(1+realdiscrt3)^-Half_Year</f>
        <v>3.8497283313667974E-2</v>
      </c>
      <c r="G513" s="1187" t="str">
        <f t="shared" si="94"/>
        <v>2023-Top 20 Winter Hours-17</v>
      </c>
    </row>
    <row r="514" spans="1:17" s="541" customFormat="1">
      <c r="A514" s="1182">
        <f t="shared" si="96"/>
        <v>18</v>
      </c>
      <c r="B514" s="1183">
        <f t="shared" si="95"/>
        <v>2040</v>
      </c>
      <c r="C514" s="1220">
        <f t="shared" si="92"/>
        <v>0.13050978883682185</v>
      </c>
      <c r="D514" s="1185">
        <f t="shared" si="93"/>
        <v>0</v>
      </c>
      <c r="E514" s="1227">
        <f>NPV(realdiscrt1,C$497:C514)/(1+realdiscrt3)^-Half_Year</f>
        <v>1.9373004969033605</v>
      </c>
      <c r="F514" s="1198">
        <f>NPV(realdiscrt1,D$497:D514)/(1+realdiscrt3)^-Half_Year</f>
        <v>3.8497283313667974E-2</v>
      </c>
      <c r="G514" s="1187" t="str">
        <f t="shared" si="94"/>
        <v>2023-Top 20 Winter Hours-18</v>
      </c>
    </row>
    <row r="515" spans="1:17" s="541" customFormat="1">
      <c r="A515" s="1182">
        <f t="shared" si="96"/>
        <v>19</v>
      </c>
      <c r="B515" s="1183">
        <f t="shared" si="95"/>
        <v>2041</v>
      </c>
      <c r="C515" s="1220">
        <f t="shared" si="92"/>
        <v>0.13112418673973736</v>
      </c>
      <c r="D515" s="1185">
        <f t="shared" si="93"/>
        <v>0</v>
      </c>
      <c r="E515" s="1227">
        <f>NPV(realdiscrt1,C$497:C515)/(1+realdiscrt3)^-Half_Year</f>
        <v>2.0384211310051543</v>
      </c>
      <c r="F515" s="1198">
        <f>NPV(realdiscrt1,D$497:D515)/(1+realdiscrt3)^-Half_Year</f>
        <v>3.8497283313667974E-2</v>
      </c>
      <c r="G515" s="1187" t="str">
        <f t="shared" si="94"/>
        <v>2023-Top 20 Winter Hours-19</v>
      </c>
    </row>
    <row r="516" spans="1:17" s="541" customFormat="1">
      <c r="A516" s="1182">
        <f t="shared" si="96"/>
        <v>20</v>
      </c>
      <c r="B516" s="1183">
        <f t="shared" si="95"/>
        <v>2042</v>
      </c>
      <c r="C516" s="1220">
        <f t="shared" si="92"/>
        <v>0.13176862064386596</v>
      </c>
      <c r="D516" s="1185">
        <f t="shared" si="93"/>
        <v>0</v>
      </c>
      <c r="E516" s="1227">
        <f>NPV(realdiscrt1,C$497:C516)/(1+realdiscrt3)^-Half_Year</f>
        <v>2.1386215075438999</v>
      </c>
      <c r="F516" s="1198">
        <f>NPV(realdiscrt1,D$497:D516)/(1+realdiscrt3)^-Half_Year</f>
        <v>3.8497283313667974E-2</v>
      </c>
      <c r="G516" s="1187" t="str">
        <f t="shared" si="94"/>
        <v>2023-Top 20 Winter Hours-20</v>
      </c>
    </row>
    <row r="517" spans="1:17" s="541" customFormat="1">
      <c r="A517" s="1182">
        <f t="shared" si="96"/>
        <v>21</v>
      </c>
      <c r="B517" s="1183">
        <f t="shared" si="95"/>
        <v>2043</v>
      </c>
      <c r="C517" s="1220">
        <f t="shared" si="92"/>
        <v>0.13244531134197313</v>
      </c>
      <c r="D517" s="1185">
        <f t="shared" si="93"/>
        <v>0</v>
      </c>
      <c r="E517" s="1227">
        <f>NPV(realdiscrt1,C$497:C517)/(1+realdiscrt3)^-Half_Year</f>
        <v>2.2379318134110133</v>
      </c>
      <c r="F517" s="1198">
        <f>NPV(realdiscrt1,D$497:D517)/(1+realdiscrt3)^-Half_Year</f>
        <v>3.8497283313667974E-2</v>
      </c>
      <c r="G517" s="1187" t="str">
        <f t="shared" si="94"/>
        <v>2023-Top 20 Winter Hours-21</v>
      </c>
    </row>
    <row r="518" spans="1:17" s="541" customFormat="1">
      <c r="A518" s="1182">
        <f t="shared" si="96"/>
        <v>22</v>
      </c>
      <c r="B518" s="1183">
        <f t="shared" si="95"/>
        <v>2044</v>
      </c>
      <c r="C518" s="1220">
        <f t="shared" si="92"/>
        <v>0.13315664583563902</v>
      </c>
      <c r="D518" s="1185">
        <f t="shared" si="93"/>
        <v>0</v>
      </c>
      <c r="E518" s="1227">
        <f>NPV(realdiscrt1,C$497:C518)/(1+realdiscrt3)^-Half_Year</f>
        <v>2.336383000016546</v>
      </c>
      <c r="F518" s="1198">
        <f>NPV(realdiscrt1,D$497:D518)/(1+realdiscrt3)^-Half_Year</f>
        <v>3.8497283313667974E-2</v>
      </c>
      <c r="G518" s="1187" t="str">
        <f t="shared" si="94"/>
        <v>2023-Top 20 Winter Hours-22</v>
      </c>
    </row>
    <row r="519" spans="1:17" s="541" customFormat="1">
      <c r="A519" s="1182">
        <f t="shared" si="96"/>
        <v>23</v>
      </c>
      <c r="B519" s="1183">
        <f t="shared" si="95"/>
        <v>2045</v>
      </c>
      <c r="C519" s="1220">
        <f t="shared" si="92"/>
        <v>0.13390518977822186</v>
      </c>
      <c r="D519" s="1185">
        <f t="shared" si="93"/>
        <v>0</v>
      </c>
      <c r="E519" s="1227">
        <f>NPV(realdiscrt1,C$497:C519)/(1+realdiscrt3)^-Half_Year</f>
        <v>2.434006841815342</v>
      </c>
      <c r="F519" s="1198">
        <f>NPV(realdiscrt1,D$497:D519)/(1+realdiscrt3)^-Half_Year</f>
        <v>3.8497283313667974E-2</v>
      </c>
      <c r="G519" s="1187" t="str">
        <f t="shared" si="94"/>
        <v>2023-Top 20 Winter Hours-23</v>
      </c>
    </row>
    <row r="520" spans="1:17" s="541" customFormat="1">
      <c r="A520" s="1182">
        <f t="shared" si="96"/>
        <v>24</v>
      </c>
      <c r="B520" s="1183">
        <f t="shared" si="95"/>
        <v>2046</v>
      </c>
      <c r="C520" s="1220">
        <f t="shared" si="92"/>
        <v>0.13469370084935026</v>
      </c>
      <c r="D520" s="1185">
        <f t="shared" si="93"/>
        <v>0</v>
      </c>
      <c r="E520" s="1227">
        <f>NPV(realdiscrt1,C$497:C520)/(1+realdiscrt3)^-Half_Year</f>
        <v>2.5308359981814128</v>
      </c>
      <c r="F520" s="1198">
        <f>NPV(realdiscrt1,D$497:D520)/(1+realdiscrt3)^-Half_Year</f>
        <v>3.8497283313667974E-2</v>
      </c>
      <c r="G520" s="1187" t="str">
        <f t="shared" si="94"/>
        <v>2023-Top 20 Winter Hours-24</v>
      </c>
    </row>
    <row r="521" spans="1:17" s="541" customFormat="1">
      <c r="A521" s="1208">
        <f t="shared" si="96"/>
        <v>25</v>
      </c>
      <c r="B521" s="1223">
        <f t="shared" si="95"/>
        <v>2047</v>
      </c>
      <c r="C521" s="1221">
        <f t="shared" si="92"/>
        <v>0.13552514313068287</v>
      </c>
      <c r="D521" s="1222">
        <f t="shared" si="93"/>
        <v>0</v>
      </c>
      <c r="E521" s="1224">
        <f>NPV(realdiscrt1,C$497:C521)/(1+realdiscrt3)^-Half_Year</f>
        <v>2.6269040788328906</v>
      </c>
      <c r="F521" s="1199">
        <f>NPV(realdiscrt1,D$497:D521)/(1+realdiscrt3)^-Half_Year</f>
        <v>3.8497283313667974E-2</v>
      </c>
      <c r="G521" s="1200" t="str">
        <f t="shared" si="94"/>
        <v>2023-Top 20 Winter Hours-25</v>
      </c>
    </row>
    <row r="522" spans="1:17">
      <c r="H522" s="541"/>
      <c r="I522" s="541"/>
      <c r="J522" s="541"/>
      <c r="K522" s="541"/>
      <c r="L522" s="541"/>
      <c r="M522" s="541"/>
      <c r="N522" s="541"/>
      <c r="O522" s="541"/>
      <c r="P522" s="541"/>
      <c r="Q522" s="541"/>
    </row>
    <row r="523" spans="1:17" ht="23.25">
      <c r="A523" s="1641" t="str">
        <f>A10</f>
        <v>Winter Targeted Charge</v>
      </c>
      <c r="B523" s="1642"/>
      <c r="C523" s="1642"/>
      <c r="D523" s="1642"/>
      <c r="E523" s="1642"/>
      <c r="F523" s="1642"/>
      <c r="G523" s="1642"/>
      <c r="H523" s="1642"/>
      <c r="I523" s="1642"/>
      <c r="J523" s="1642"/>
      <c r="K523" s="1642"/>
      <c r="L523" s="1642"/>
      <c r="M523" s="1642"/>
      <c r="N523" s="1643"/>
      <c r="O523" s="541"/>
      <c r="P523" s="541"/>
      <c r="Q523" s="541"/>
    </row>
    <row r="524" spans="1:17" s="541" customFormat="1" ht="30" customHeight="1">
      <c r="A524" s="1644" t="s">
        <v>593</v>
      </c>
      <c r="B524" s="1645"/>
      <c r="C524" s="1228" t="s">
        <v>918</v>
      </c>
      <c r="D524" s="1229" t="s">
        <v>63</v>
      </c>
      <c r="E524" s="1228" t="s">
        <v>918</v>
      </c>
      <c r="F524" s="1228" t="s">
        <v>63</v>
      </c>
      <c r="G524" s="1230" t="s">
        <v>704</v>
      </c>
      <c r="I524" s="1637" t="s">
        <v>76</v>
      </c>
      <c r="J524" s="1162" t="s">
        <v>914</v>
      </c>
      <c r="K524" s="1162" t="s">
        <v>915</v>
      </c>
      <c r="L524" s="1163" t="s">
        <v>942</v>
      </c>
      <c r="M524" s="1163" t="s">
        <v>916</v>
      </c>
      <c r="N524" s="1638" t="s">
        <v>917</v>
      </c>
    </row>
    <row r="525" spans="1:17" s="541" customFormat="1" ht="15">
      <c r="A525" s="1164"/>
      <c r="B525" s="1165"/>
      <c r="C525" s="1166" t="s">
        <v>71</v>
      </c>
      <c r="D525" s="1167" t="s">
        <v>71</v>
      </c>
      <c r="E525" s="1166" t="s">
        <v>71</v>
      </c>
      <c r="F525" s="1166" t="s">
        <v>71</v>
      </c>
      <c r="G525" s="1168"/>
      <c r="I525" s="1637"/>
      <c r="J525" s="1169" t="s">
        <v>919</v>
      </c>
      <c r="K525" s="1169" t="s">
        <v>919</v>
      </c>
      <c r="L525" s="1170" t="s">
        <v>919</v>
      </c>
      <c r="M525" s="1170" t="s">
        <v>919</v>
      </c>
      <c r="N525" s="1638"/>
    </row>
    <row r="526" spans="1:17" s="541" customFormat="1" ht="20.25" customHeight="1">
      <c r="A526" s="1211" t="s">
        <v>600</v>
      </c>
      <c r="B526" s="1212"/>
      <c r="C526" s="1213"/>
      <c r="D526" s="1214"/>
      <c r="E526" s="1215" t="s">
        <v>633</v>
      </c>
      <c r="F526" s="1138"/>
      <c r="G526" s="1139"/>
      <c r="I526" s="1646"/>
      <c r="J526" s="1204" t="s">
        <v>71</v>
      </c>
      <c r="K526" s="1204" t="s">
        <v>71</v>
      </c>
      <c r="L526" s="1172" t="s">
        <v>71</v>
      </c>
      <c r="M526" s="1205" t="s">
        <v>71</v>
      </c>
      <c r="N526" s="1647"/>
    </row>
    <row r="527" spans="1:17" s="1161" customFormat="1" ht="18" customHeight="1">
      <c r="A527" s="1140">
        <f>Year1</f>
        <v>2021</v>
      </c>
      <c r="B527" s="1141" t="str">
        <f>Year1&amp;"$"</f>
        <v>2021$</v>
      </c>
      <c r="C527" s="1173"/>
      <c r="D527" s="1174"/>
      <c r="E527" s="1175"/>
      <c r="F527" s="1176"/>
      <c r="G527" s="1174"/>
      <c r="H527" s="1144"/>
      <c r="I527" s="1178" t="s">
        <v>922</v>
      </c>
      <c r="J527" s="1179"/>
      <c r="K527" s="1179"/>
      <c r="L527" s="1179"/>
      <c r="M527" s="1180"/>
      <c r="N527" s="1181"/>
      <c r="O527" s="541"/>
      <c r="P527" s="541"/>
      <c r="Q527" s="541"/>
    </row>
    <row r="528" spans="1:17" s="541" customFormat="1" ht="14.25" customHeight="1">
      <c r="A528" s="1182">
        <v>1</v>
      </c>
      <c r="B528" s="1183">
        <f>Year1</f>
        <v>2021</v>
      </c>
      <c r="C528" s="1184">
        <f t="shared" ref="C528:C554" si="97">VLOOKUP($B528,$I$528:$N$560,C$12,FALSE)*(1+Inflation1)^(Year1-Real_Year)</f>
        <v>7.440715602628184E-2</v>
      </c>
      <c r="D528" s="1185">
        <f t="shared" ref="D528:D554" si="98">VLOOKUP($B528,$I$528:$N$560,IF($A$17=Year1,D$12,D$12+1),FALSE)*(1+Inflation1)^(Year1-Real_Year)</f>
        <v>0</v>
      </c>
      <c r="E528" s="1225">
        <f>NPV(realdiscrt1,C$528:C528)/(1+realdiscrt1)^-Half_Year</f>
        <v>7.3886465866791484E-2</v>
      </c>
      <c r="F528" s="1226">
        <f>NPV(realdiscrt1,D$528:D528)/(1+realdiscrt1)^-Half_Year</f>
        <v>0</v>
      </c>
      <c r="G528" s="1187" t="str">
        <f t="shared" ref="G528:G554" si="99">$A$17&amp;"-"&amp;$A$523&amp;"-"&amp;A528</f>
        <v>2021-Winter Targeted Charge-1</v>
      </c>
      <c r="I528" s="1188">
        <v>2018</v>
      </c>
      <c r="J528" s="1234">
        <f t="shared" ref="J528:J560" si="100">(K528+$N528)*(1+WholesaleRiskPremium)</f>
        <v>6.9720173357618306E-2</v>
      </c>
      <c r="K528" s="1190">
        <v>5.7143351859934528E-2</v>
      </c>
      <c r="L528" s="1209">
        <v>0</v>
      </c>
      <c r="M528" s="1209">
        <v>0</v>
      </c>
      <c r="N528" s="1206">
        <f>INDEX(AESC!$H$184:$H$216,MATCH(I528,AESC!$B$184:$B$216,0))</f>
        <v>7.4123642119342734E-3</v>
      </c>
    </row>
    <row r="529" spans="1:14" s="541" customFormat="1">
      <c r="A529" s="1182">
        <v>2</v>
      </c>
      <c r="B529" s="1183">
        <f t="shared" ref="B529:B554" si="101">B528+1</f>
        <v>2022</v>
      </c>
      <c r="C529" s="1184">
        <f t="shared" si="97"/>
        <v>7.0815840710225272E-2</v>
      </c>
      <c r="D529" s="1185">
        <f t="shared" si="98"/>
        <v>0</v>
      </c>
      <c r="E529" s="1227">
        <f>NPV(realdiscrt1,C$528:C529)/(1+realdiscrt1)^-Half_Year</f>
        <v>0.1432260098315179</v>
      </c>
      <c r="F529" s="1198">
        <f>NPV(realdiscrt1,D$528:D529)/(1+realdiscrt1)^-Half_Year</f>
        <v>0</v>
      </c>
      <c r="G529" s="1187" t="str">
        <f t="shared" si="99"/>
        <v>2021-Winter Targeted Charge-2</v>
      </c>
      <c r="H529" s="1161"/>
      <c r="I529" s="1188">
        <v>2019</v>
      </c>
      <c r="J529" s="1189">
        <f t="shared" si="100"/>
        <v>6.8245864464288805E-2</v>
      </c>
      <c r="K529" s="1190">
        <v>5.1899879192922257E-2</v>
      </c>
      <c r="L529" s="1210">
        <v>0</v>
      </c>
      <c r="M529" s="1210">
        <v>0</v>
      </c>
      <c r="N529" s="1192">
        <f>INDEX(AESC!$H$184:$H$216,MATCH(I529,AESC!$B$184:$B$216,0))</f>
        <v>1.1290736051789593E-2</v>
      </c>
    </row>
    <row r="530" spans="1:14" s="541" customFormat="1">
      <c r="A530" s="1182">
        <f t="shared" ref="A530:A554" si="102">A529+1</f>
        <v>3</v>
      </c>
      <c r="B530" s="1183">
        <f t="shared" si="101"/>
        <v>2023</v>
      </c>
      <c r="C530" s="1184">
        <f t="shared" si="97"/>
        <v>6.7908496460595075E-2</v>
      </c>
      <c r="D530" s="1185">
        <f t="shared" si="98"/>
        <v>0</v>
      </c>
      <c r="E530" s="1227">
        <f>NPV(realdiscrt1,C$528:C530)/(1+realdiscrt1)^-Half_Year</f>
        <v>0.20879146157037362</v>
      </c>
      <c r="F530" s="1198">
        <f>NPV(realdiscrt1,D$528:D530)/(1+realdiscrt1)^-Half_Year</f>
        <v>0</v>
      </c>
      <c r="G530" s="1187" t="str">
        <f t="shared" si="99"/>
        <v>2021-Winter Targeted Charge-3</v>
      </c>
      <c r="H530" s="1201"/>
      <c r="I530" s="1188">
        <v>2020</v>
      </c>
      <c r="J530" s="1189">
        <f t="shared" si="100"/>
        <v>7.1136211244091183E-2</v>
      </c>
      <c r="K530" s="1190">
        <v>5.7185029224780443E-2</v>
      </c>
      <c r="L530" s="1210">
        <v>0</v>
      </c>
      <c r="M530" s="1210">
        <v>0</v>
      </c>
      <c r="N530" s="1192">
        <f>INDEX(AESC!$H$184:$H$216,MATCH(I530,AESC!$B$184:$B$216,0))</f>
        <v>8.6818330382669468E-3</v>
      </c>
    </row>
    <row r="531" spans="1:14" s="541" customFormat="1">
      <c r="A531" s="1182">
        <f t="shared" si="102"/>
        <v>4</v>
      </c>
      <c r="B531" s="1183">
        <f t="shared" si="101"/>
        <v>2024</v>
      </c>
      <c r="C531" s="1184">
        <f t="shared" si="97"/>
        <v>7.9923507918286396E-2</v>
      </c>
      <c r="D531" s="1185">
        <f t="shared" si="98"/>
        <v>0</v>
      </c>
      <c r="E531" s="1227">
        <f>NPV(realdiscrt1,C$528:C531)/(1+realdiscrt1)^-Half_Year</f>
        <v>0.28488115900159522</v>
      </c>
      <c r="F531" s="1198">
        <f>NPV(realdiscrt1,D$528:D531)/(1+realdiscrt1)^-Half_Year</f>
        <v>0</v>
      </c>
      <c r="G531" s="1187" t="str">
        <f t="shared" si="99"/>
        <v>2021-Winter Targeted Charge-4</v>
      </c>
      <c r="I531" s="1188">
        <v>2021</v>
      </c>
      <c r="J531" s="1189">
        <f t="shared" si="100"/>
        <v>7.0508811298761118E-2</v>
      </c>
      <c r="K531" s="1190">
        <v>5.854963047701995E-2</v>
      </c>
      <c r="L531" s="1210">
        <v>0</v>
      </c>
      <c r="M531" s="1210">
        <v>0</v>
      </c>
      <c r="N531" s="1192">
        <f>INDEX(AESC!$H$184:$H$216,MATCH(I531,AESC!$B$184:$B$216,0))</f>
        <v>6.736305910721818E-3</v>
      </c>
    </row>
    <row r="532" spans="1:14" s="541" customFormat="1">
      <c r="A532" s="1182">
        <f t="shared" si="102"/>
        <v>5</v>
      </c>
      <c r="B532" s="1183">
        <f t="shared" si="101"/>
        <v>2025</v>
      </c>
      <c r="C532" s="1184">
        <f t="shared" si="97"/>
        <v>7.5052245380152829E-2</v>
      </c>
      <c r="D532" s="1185">
        <f t="shared" si="98"/>
        <v>0</v>
      </c>
      <c r="E532" s="1227">
        <f>NPV(realdiscrt1,C$528:C532)/(1+realdiscrt1)^-Half_Year</f>
        <v>0.35533673777010322</v>
      </c>
      <c r="F532" s="1198">
        <f>NPV(realdiscrt1,D$528:D532)/(1+realdiscrt1)^-Half_Year</f>
        <v>0</v>
      </c>
      <c r="G532" s="1187" t="str">
        <f t="shared" si="99"/>
        <v>2021-Winter Targeted Charge-5</v>
      </c>
      <c r="I532" s="1188">
        <v>2022</v>
      </c>
      <c r="J532" s="1189">
        <f t="shared" si="100"/>
        <v>6.7105652416506012E-2</v>
      </c>
      <c r="K532" s="1190">
        <v>5.7020432635486076E-2</v>
      </c>
      <c r="L532" s="1210">
        <v>0</v>
      </c>
      <c r="M532" s="1210">
        <v>0</v>
      </c>
      <c r="N532" s="1192">
        <f>INDEX(AESC!$H$184:$H$216,MATCH(I532,AESC!$B$184:$B$216,0))</f>
        <v>5.1144307131305942E-3</v>
      </c>
    </row>
    <row r="533" spans="1:14" s="541" customFormat="1">
      <c r="A533" s="1182">
        <f t="shared" si="102"/>
        <v>6</v>
      </c>
      <c r="B533" s="1183">
        <f t="shared" si="101"/>
        <v>2026</v>
      </c>
      <c r="C533" s="1184">
        <f t="shared" si="97"/>
        <v>6.4855666205186208E-2</v>
      </c>
      <c r="D533" s="1185">
        <f t="shared" si="98"/>
        <v>0</v>
      </c>
      <c r="E533" s="1227">
        <f>NPV(realdiscrt1,C$528:C533)/(1+realdiscrt1)^-Half_Year</f>
        <v>0.41537111350009243</v>
      </c>
      <c r="F533" s="1198">
        <f>NPV(realdiscrt1,D$528:D533)/(1+realdiscrt1)^-Half_Year</f>
        <v>0</v>
      </c>
      <c r="G533" s="1187" t="str">
        <f t="shared" si="99"/>
        <v>2021-Winter Targeted Charge-6</v>
      </c>
      <c r="I533" s="1188">
        <v>2023</v>
      </c>
      <c r="J533" s="1189">
        <f t="shared" si="100"/>
        <v>6.4350629942521026E-2</v>
      </c>
      <c r="K533" s="1190">
        <v>5.4111787397072182E-2</v>
      </c>
      <c r="L533" s="1210">
        <v>0</v>
      </c>
      <c r="M533" s="1210">
        <v>0</v>
      </c>
      <c r="N533" s="1192">
        <f>INDEX(AESC!$H$184:$H$216,MATCH(I533,AESC!$B$184:$B$216,0))</f>
        <v>5.4721292163732024E-3</v>
      </c>
    </row>
    <row r="534" spans="1:14">
      <c r="A534" s="1182">
        <f t="shared" si="102"/>
        <v>7</v>
      </c>
      <c r="B534" s="1183">
        <f t="shared" si="101"/>
        <v>2027</v>
      </c>
      <c r="C534" s="1184">
        <f t="shared" si="97"/>
        <v>7.8432899324659106E-2</v>
      </c>
      <c r="D534" s="1185">
        <f t="shared" si="98"/>
        <v>0</v>
      </c>
      <c r="E534" s="1227">
        <f>NPV(realdiscrt1,C$528:C534)/(1+realdiscrt1)^-Half_Year</f>
        <v>0.48696084285291219</v>
      </c>
      <c r="F534" s="1198">
        <f>NPV(realdiscrt1,D$528:D534)/(1+realdiscrt1)^-Half_Year</f>
        <v>0</v>
      </c>
      <c r="G534" s="1187" t="str">
        <f t="shared" si="99"/>
        <v>2021-Winter Targeted Charge-7</v>
      </c>
      <c r="H534" s="541"/>
      <c r="I534" s="1188">
        <v>2024</v>
      </c>
      <c r="J534" s="1189">
        <f t="shared" si="100"/>
        <v>7.5736150111086226E-2</v>
      </c>
      <c r="K534" s="1190">
        <v>6.5111787242588107E-2</v>
      </c>
      <c r="L534" s="1210">
        <v>0</v>
      </c>
      <c r="M534" s="1210">
        <v>0</v>
      </c>
      <c r="N534" s="1192">
        <f>INDEX(AESC!$H$184:$H$216,MATCH(I534,AESC!$B$184:$B$216,0))</f>
        <v>5.0142776750843193E-3</v>
      </c>
    </row>
    <row r="535" spans="1:14" s="541" customFormat="1">
      <c r="A535" s="1182">
        <f t="shared" si="102"/>
        <v>8</v>
      </c>
      <c r="B535" s="1183">
        <f t="shared" si="101"/>
        <v>2028</v>
      </c>
      <c r="C535" s="1184">
        <f t="shared" si="97"/>
        <v>7.6511333123074038E-2</v>
      </c>
      <c r="D535" s="1185">
        <f t="shared" si="98"/>
        <v>0</v>
      </c>
      <c r="E535" s="1227">
        <f>NPV(realdiscrt1,C$528:C535)/(1+realdiscrt1)^-Half_Year</f>
        <v>0.55582267881816561</v>
      </c>
      <c r="F535" s="1198">
        <f>NPV(realdiscrt1,D$528:D535)/(1+realdiscrt1)^-Half_Year</f>
        <v>0</v>
      </c>
      <c r="G535" s="1187" t="str">
        <f t="shared" si="99"/>
        <v>2021-Winter Targeted Charge-8</v>
      </c>
      <c r="I535" s="1188">
        <v>2025</v>
      </c>
      <c r="J535" s="1189">
        <f t="shared" si="100"/>
        <v>7.1120103087777539E-2</v>
      </c>
      <c r="K535" s="1190">
        <v>6.1719306209944112E-2</v>
      </c>
      <c r="L535" s="1210">
        <v>0</v>
      </c>
      <c r="M535" s="1210">
        <v>0</v>
      </c>
      <c r="N535" s="1192">
        <f>INDEX(AESC!$H$184:$H$216,MATCH(I535,AESC!$B$184:$B$216,0))</f>
        <v>4.1326410935536026E-3</v>
      </c>
    </row>
    <row r="536" spans="1:14" s="1161" customFormat="1" ht="15" customHeight="1">
      <c r="A536" s="1182">
        <f t="shared" si="102"/>
        <v>9</v>
      </c>
      <c r="B536" s="1183">
        <f t="shared" si="101"/>
        <v>2029</v>
      </c>
      <c r="C536" s="1184">
        <f t="shared" si="97"/>
        <v>7.7688531859392312E-2</v>
      </c>
      <c r="D536" s="1185">
        <f t="shared" si="98"/>
        <v>0</v>
      </c>
      <c r="E536" s="1227">
        <f>NPV(realdiscrt1,C$528:C536)/(1+realdiscrt1)^-Half_Year</f>
        <v>0.62476884468329352</v>
      </c>
      <c r="F536" s="1198">
        <f>NPV(realdiscrt1,D$528:D536)/(1+realdiscrt1)^-Half_Year</f>
        <v>0</v>
      </c>
      <c r="G536" s="1187" t="str">
        <f t="shared" si="99"/>
        <v>2021-Winter Targeted Charge-9</v>
      </c>
      <c r="H536" s="541"/>
      <c r="I536" s="1188">
        <v>2026</v>
      </c>
      <c r="J536" s="1189">
        <f t="shared" si="100"/>
        <v>6.1457743775366044E-2</v>
      </c>
      <c r="K536" s="1190">
        <v>5.3492407610652937E-2</v>
      </c>
      <c r="L536" s="1210">
        <v>0</v>
      </c>
      <c r="M536" s="1210">
        <v>0</v>
      </c>
      <c r="N536" s="1192">
        <f>INDEX(AESC!$H$184:$H$216,MATCH(I536,AESC!$B$184:$B$216,0))</f>
        <v>3.4129106998711735E-3</v>
      </c>
    </row>
    <row r="537" spans="1:14" s="541" customFormat="1">
      <c r="A537" s="1182">
        <f t="shared" si="102"/>
        <v>10</v>
      </c>
      <c r="B537" s="1183">
        <f t="shared" si="101"/>
        <v>2030</v>
      </c>
      <c r="C537" s="1184">
        <f t="shared" si="97"/>
        <v>7.3910039945792858E-2</v>
      </c>
      <c r="D537" s="1185">
        <f t="shared" si="98"/>
        <v>0</v>
      </c>
      <c r="E537" s="1227">
        <f>NPV(realdiscrt1,C$528:C537)/(1+realdiscrt1)^-Half_Year</f>
        <v>0.68944690985490287</v>
      </c>
      <c r="F537" s="1198">
        <f>NPV(realdiscrt1,D$528:D537)/(1+realdiscrt1)^-Half_Year</f>
        <v>0</v>
      </c>
      <c r="G537" s="1187" t="str">
        <f t="shared" si="99"/>
        <v>2021-Winter Targeted Charge-10</v>
      </c>
      <c r="H537" s="1144"/>
      <c r="I537" s="1188">
        <v>2027</v>
      </c>
      <c r="J537" s="1189">
        <f t="shared" si="100"/>
        <v>7.4323637583242064E-2</v>
      </c>
      <c r="K537" s="1190">
        <v>6.6115798911786441E-2</v>
      </c>
      <c r="L537" s="1210">
        <v>0</v>
      </c>
      <c r="M537" s="1210">
        <v>0</v>
      </c>
      <c r="N537" s="1192">
        <f>INDEX(AESC!$H$184:$H$216,MATCH(I537,AESC!$B$184:$B$216,0))</f>
        <v>2.7023840356599142E-3</v>
      </c>
    </row>
    <row r="538" spans="1:14" s="541" customFormat="1">
      <c r="A538" s="1182">
        <f t="shared" si="102"/>
        <v>11</v>
      </c>
      <c r="B538" s="1183">
        <f t="shared" si="101"/>
        <v>2031</v>
      </c>
      <c r="C538" s="1184">
        <f t="shared" si="97"/>
        <v>7.4006126221012061E-2</v>
      </c>
      <c r="D538" s="1185">
        <f t="shared" si="98"/>
        <v>0</v>
      </c>
      <c r="E538" s="1227">
        <f>NPV(realdiscrt1,C$528:C538)/(1+realdiscrt1)^-Half_Year</f>
        <v>0.75330583903896153</v>
      </c>
      <c r="F538" s="1198">
        <f>NPV(realdiscrt1,D$528:D538)/(1+realdiscrt1)^-Half_Year</f>
        <v>0</v>
      </c>
      <c r="G538" s="1187" t="str">
        <f t="shared" si="99"/>
        <v>2021-Winter Targeted Charge-11</v>
      </c>
      <c r="I538" s="1188">
        <v>2028</v>
      </c>
      <c r="J538" s="1189">
        <f t="shared" si="100"/>
        <v>7.2502746207447746E-2</v>
      </c>
      <c r="K538" s="1190">
        <v>6.4725897974017482E-2</v>
      </c>
      <c r="L538" s="1210">
        <v>0</v>
      </c>
      <c r="M538" s="1210">
        <v>0</v>
      </c>
      <c r="N538" s="1192">
        <f>INDEX(AESC!$H$184:$H$216,MATCH(I538,AESC!$B$184:$B$216,0))</f>
        <v>2.4062744402859834E-3</v>
      </c>
    </row>
    <row r="539" spans="1:14" s="541" customFormat="1">
      <c r="A539" s="1182">
        <f t="shared" si="102"/>
        <v>12</v>
      </c>
      <c r="B539" s="1183">
        <f t="shared" si="101"/>
        <v>2032</v>
      </c>
      <c r="C539" s="1184">
        <f t="shared" si="97"/>
        <v>6.6890040863150313E-2</v>
      </c>
      <c r="D539" s="1185">
        <f t="shared" si="98"/>
        <v>0</v>
      </c>
      <c r="E539" s="1227">
        <f>NPV(realdiscrt1,C$528:C539)/(1+realdiscrt1)^-Half_Year</f>
        <v>0.81021940508076951</v>
      </c>
      <c r="F539" s="1198">
        <f>NPV(realdiscrt1,D$528:D539)/(1+realdiscrt1)^-Half_Year</f>
        <v>0</v>
      </c>
      <c r="G539" s="1187" t="str">
        <f t="shared" si="99"/>
        <v>2021-Winter Targeted Charge-12</v>
      </c>
      <c r="H539" s="1161"/>
      <c r="I539" s="1188">
        <v>2029</v>
      </c>
      <c r="J539" s="1189">
        <f t="shared" si="100"/>
        <v>7.3618269068325373E-2</v>
      </c>
      <c r="K539" s="1190">
        <v>6.5883865542722436E-2</v>
      </c>
      <c r="L539" s="1210">
        <v>0</v>
      </c>
      <c r="M539" s="1210">
        <v>0</v>
      </c>
      <c r="N539" s="1192">
        <f>INDEX(AESC!$H$184:$H$216,MATCH(I539,AESC!$B$184:$B$216,0))</f>
        <v>2.2811984094306798E-3</v>
      </c>
    </row>
    <row r="540" spans="1:14" s="541" customFormat="1">
      <c r="A540" s="1182">
        <f t="shared" si="102"/>
        <v>13</v>
      </c>
      <c r="B540" s="1183">
        <f t="shared" si="101"/>
        <v>2033</v>
      </c>
      <c r="C540" s="1184">
        <f t="shared" si="97"/>
        <v>7.5013712031275423E-2</v>
      </c>
      <c r="D540" s="1185">
        <f t="shared" si="98"/>
        <v>0</v>
      </c>
      <c r="E540" s="1227">
        <f>NPV(realdiscrt1,C$528:C540)/(1+realdiscrt1)^-Half_Year</f>
        <v>0.87315485929312753</v>
      </c>
      <c r="F540" s="1198">
        <f>NPV(realdiscrt1,D$528:D540)/(1+realdiscrt1)^-Half_Year</f>
        <v>0</v>
      </c>
      <c r="G540" s="1187" t="str">
        <f t="shared" si="99"/>
        <v>2021-Winter Targeted Charge-13</v>
      </c>
      <c r="I540" s="1188">
        <v>2030</v>
      </c>
      <c r="J540" s="1189">
        <f t="shared" si="100"/>
        <v>7.0037740157426323E-2</v>
      </c>
      <c r="K540" s="1190">
        <v>6.2562941223941487E-2</v>
      </c>
      <c r="L540" s="1210">
        <v>0</v>
      </c>
      <c r="M540" s="1210">
        <v>0</v>
      </c>
      <c r="N540" s="1192">
        <f>INDEX(AESC!$H$184:$H$216,MATCH(I540,AESC!$B$184:$B$216,0))</f>
        <v>2.2868181810828765E-3</v>
      </c>
    </row>
    <row r="541" spans="1:14" s="541" customFormat="1">
      <c r="A541" s="1182">
        <f t="shared" si="102"/>
        <v>14</v>
      </c>
      <c r="B541" s="1183">
        <f t="shared" si="101"/>
        <v>2034</v>
      </c>
      <c r="C541" s="1184">
        <f t="shared" si="97"/>
        <v>7.3752064252301852E-2</v>
      </c>
      <c r="D541" s="1185">
        <f t="shared" si="98"/>
        <v>0</v>
      </c>
      <c r="E541" s="1227">
        <f>NPV(realdiscrt1,C$528:C541)/(1+realdiscrt1)^-Half_Year</f>
        <v>0.93416882749906838</v>
      </c>
      <c r="F541" s="1198">
        <f>NPV(realdiscrt1,D$528:D541)/(1+realdiscrt1)^-Half_Year</f>
        <v>0</v>
      </c>
      <c r="G541" s="1187" t="str">
        <f t="shared" si="99"/>
        <v>2021-Winter Targeted Charge-14</v>
      </c>
      <c r="I541" s="1188">
        <v>2031</v>
      </c>
      <c r="J541" s="1189">
        <f t="shared" si="100"/>
        <v>7.0128792274045837E-2</v>
      </c>
      <c r="K541" s="1190">
        <v>6.2595214793911558E-2</v>
      </c>
      <c r="L541" s="1210">
        <v>0</v>
      </c>
      <c r="M541" s="1210">
        <v>0</v>
      </c>
      <c r="N541" s="1192">
        <f>INDEX(AESC!$H$184:$H$216,MATCH(I541,AESC!$B$184:$B$216,0))</f>
        <v>2.3388521265012515E-3</v>
      </c>
    </row>
    <row r="542" spans="1:14" s="541" customFormat="1">
      <c r="A542" s="1182">
        <f t="shared" si="102"/>
        <v>15</v>
      </c>
      <c r="B542" s="1183">
        <f t="shared" si="101"/>
        <v>2035</v>
      </c>
      <c r="C542" s="1184">
        <f t="shared" si="97"/>
        <v>7.4299184758940401E-2</v>
      </c>
      <c r="D542" s="1185">
        <f t="shared" si="98"/>
        <v>0</v>
      </c>
      <c r="E542" s="1227">
        <f>NPV(realdiscrt1,C$528:C542)/(1+realdiscrt1)^-Half_Year</f>
        <v>0.99477816218323167</v>
      </c>
      <c r="F542" s="1198">
        <f>NPV(realdiscrt1,D$528:D542)/(1+realdiscrt1)^-Half_Year</f>
        <v>0</v>
      </c>
      <c r="G542" s="1187" t="str">
        <f t="shared" si="99"/>
        <v>2021-Winter Targeted Charge-15</v>
      </c>
      <c r="I542" s="1188">
        <v>2032</v>
      </c>
      <c r="J542" s="1189">
        <f t="shared" si="100"/>
        <v>6.338553333929868E-2</v>
      </c>
      <c r="K542" s="1190">
        <v>5.5898038104287118E-2</v>
      </c>
      <c r="L542" s="1210">
        <v>0</v>
      </c>
      <c r="M542" s="1210">
        <v>0</v>
      </c>
      <c r="N542" s="1192">
        <f>INDEX(AESC!$H$184:$H$216,MATCH(I542,AESC!$B$184:$B$216,0))</f>
        <v>2.7922705432116535E-3</v>
      </c>
    </row>
    <row r="543" spans="1:14" s="541" customFormat="1">
      <c r="A543" s="1182">
        <f t="shared" si="102"/>
        <v>16</v>
      </c>
      <c r="B543" s="1183">
        <f t="shared" si="101"/>
        <v>2036</v>
      </c>
      <c r="C543" s="1184">
        <f t="shared" si="97"/>
        <v>7.4416499747838538E-2</v>
      </c>
      <c r="D543" s="1185">
        <f t="shared" si="98"/>
        <v>0</v>
      </c>
      <c r="E543" s="1227">
        <f>NPV(realdiscrt1,C$528:C543)/(1+realdiscrt1)^-Half_Year</f>
        <v>1.0546365594196483</v>
      </c>
      <c r="F543" s="1198">
        <f>NPV(realdiscrt1,D$528:D543)/(1+realdiscrt1)^-Half_Year</f>
        <v>0</v>
      </c>
      <c r="G543" s="1187" t="str">
        <f t="shared" si="99"/>
        <v>2021-Winter Targeted Charge-16</v>
      </c>
      <c r="I543" s="1188">
        <v>2033</v>
      </c>
      <c r="J543" s="1189">
        <f t="shared" si="100"/>
        <v>7.1083588580708526E-2</v>
      </c>
      <c r="K543" s="1190">
        <v>6.2920056178485756E-2</v>
      </c>
      <c r="L543" s="1210">
        <v>0</v>
      </c>
      <c r="M543" s="1210">
        <v>0</v>
      </c>
      <c r="N543" s="1192">
        <f>INDEX(AESC!$H$184:$H$216,MATCH(I543,AESC!$B$184:$B$216,0))</f>
        <v>2.8980813962443596E-3</v>
      </c>
    </row>
    <row r="544" spans="1:14" s="541" customFormat="1">
      <c r="A544" s="1182">
        <f t="shared" si="102"/>
        <v>17</v>
      </c>
      <c r="B544" s="1183">
        <f t="shared" si="101"/>
        <v>2037</v>
      </c>
      <c r="C544" s="1184">
        <f t="shared" si="97"/>
        <v>7.4554070274416934E-2</v>
      </c>
      <c r="D544" s="1185">
        <f t="shared" si="98"/>
        <v>0</v>
      </c>
      <c r="E544" s="1227">
        <f>NPV(realdiscrt1,C$528:C544)/(1+realdiscrt1)^-Half_Year</f>
        <v>1.1137692419653951</v>
      </c>
      <c r="F544" s="1198">
        <f>NPV(realdiscrt1,D$528:D544)/(1+realdiscrt1)^-Half_Year</f>
        <v>0</v>
      </c>
      <c r="G544" s="1187" t="str">
        <f t="shared" si="99"/>
        <v>2021-Winter Targeted Charge-17</v>
      </c>
      <c r="I544" s="1188">
        <v>2034</v>
      </c>
      <c r="J544" s="1189">
        <f t="shared" si="100"/>
        <v>6.988804113710341E-2</v>
      </c>
      <c r="K544" s="1190">
        <v>6.1703247334321705E-2</v>
      </c>
      <c r="L544" s="1210">
        <v>0</v>
      </c>
      <c r="M544" s="1210">
        <v>0</v>
      </c>
      <c r="N544" s="1192">
        <f>INDEX(AESC!$H$184:$H$216,MATCH(I544,AESC!$B$184:$B$216,0))</f>
        <v>3.0079018666999643E-3</v>
      </c>
    </row>
    <row r="545" spans="1:14" s="541" customFormat="1">
      <c r="A545" s="1182">
        <f t="shared" si="102"/>
        <v>18</v>
      </c>
      <c r="B545" s="1183">
        <f t="shared" si="101"/>
        <v>2038</v>
      </c>
      <c r="C545" s="1184">
        <f t="shared" si="97"/>
        <v>7.4713388574332074E-2</v>
      </c>
      <c r="D545" s="1185">
        <f t="shared" si="98"/>
        <v>0</v>
      </c>
      <c r="E545" s="1227">
        <f>NPV(realdiscrt1,C$528:C545)/(1+realdiscrt1)^-Half_Year</f>
        <v>1.172201818091396</v>
      </c>
      <c r="F545" s="1198">
        <f>NPV(realdiscrt1,D$528:D545)/(1+realdiscrt1)^-Half_Year</f>
        <v>0</v>
      </c>
      <c r="G545" s="1187" t="str">
        <f t="shared" si="99"/>
        <v>2021-Winter Targeted Charge-18</v>
      </c>
      <c r="I545" s="1188">
        <v>2035</v>
      </c>
      <c r="J545" s="1189">
        <f t="shared" si="100"/>
        <v>7.0406496869326721E-2</v>
      </c>
      <c r="K545" s="1190">
        <v>6.2069316909116865E-2</v>
      </c>
      <c r="L545" s="1210">
        <v>0</v>
      </c>
      <c r="M545" s="1210">
        <v>0</v>
      </c>
      <c r="N545" s="1192">
        <f>INDEX(AESC!$H$184:$H$216,MATCH(I545,AESC!$B$184:$B$216,0))</f>
        <v>3.1218838958152807E-3</v>
      </c>
    </row>
    <row r="546" spans="1:14" s="541" customFormat="1">
      <c r="A546" s="1182">
        <f t="shared" si="102"/>
        <v>19</v>
      </c>
      <c r="B546" s="1183">
        <f t="shared" si="101"/>
        <v>2039</v>
      </c>
      <c r="C546" s="1184">
        <f t="shared" si="97"/>
        <v>7.4896058648825634E-2</v>
      </c>
      <c r="D546" s="1185">
        <f t="shared" si="98"/>
        <v>0</v>
      </c>
      <c r="E546" s="1227">
        <f>NPV(realdiscrt1,C$528:C546)/(1+realdiscrt1)^-Half_Year</f>
        <v>1.2299603226861793</v>
      </c>
      <c r="F546" s="1198">
        <f>NPV(realdiscrt1,D$528:D546)/(1+realdiscrt1)^-Half_Year</f>
        <v>0</v>
      </c>
      <c r="G546" s="1187" t="str">
        <f t="shared" si="99"/>
        <v>2021-Winter Targeted Charge-19</v>
      </c>
      <c r="I546" s="1188">
        <v>2036</v>
      </c>
      <c r="J546" s="1189">
        <f t="shared" si="100"/>
        <v>7.0517665483429012E-2</v>
      </c>
      <c r="K546" s="1190">
        <v>6.1938534263048226E-2</v>
      </c>
      <c r="L546" s="1210">
        <v>0</v>
      </c>
      <c r="M546" s="1210">
        <v>0</v>
      </c>
      <c r="N546" s="1192">
        <f>INDEX(AESC!$H$184:$H$216,MATCH(I546,AESC!$B$184:$B$216,0))</f>
        <v>3.3556004438304809E-3</v>
      </c>
    </row>
    <row r="547" spans="1:14" s="541" customFormat="1">
      <c r="A547" s="1182">
        <f t="shared" si="102"/>
        <v>20</v>
      </c>
      <c r="B547" s="1183">
        <f t="shared" si="101"/>
        <v>2040</v>
      </c>
      <c r="C547" s="1184">
        <f t="shared" si="97"/>
        <v>7.5103804631829862E-2</v>
      </c>
      <c r="D547" s="1185">
        <f t="shared" si="98"/>
        <v>0</v>
      </c>
      <c r="E547" s="1227">
        <f>NPV(realdiscrt1,C$528:C547)/(1+realdiscrt1)^-Half_Year</f>
        <v>1.2870712605318511</v>
      </c>
      <c r="F547" s="1198">
        <f>NPV(realdiscrt1,D$528:D547)/(1+realdiscrt1)^-Half_Year</f>
        <v>0</v>
      </c>
      <c r="G547" s="1187" t="str">
        <f t="shared" si="99"/>
        <v>2021-Winter Targeted Charge-20</v>
      </c>
      <c r="I547" s="1188">
        <v>2037</v>
      </c>
      <c r="J547" s="1189">
        <f t="shared" si="100"/>
        <v>7.064802840571785E-2</v>
      </c>
      <c r="K547" s="1190">
        <v>6.1808027181483351E-2</v>
      </c>
      <c r="L547" s="1210">
        <v>0</v>
      </c>
      <c r="M547" s="1210">
        <v>0</v>
      </c>
      <c r="N547" s="1192">
        <f>INDEX(AESC!$H$184:$H$216,MATCH(I547,AESC!$B$184:$B$216,0))</f>
        <v>3.6068139349220594E-3</v>
      </c>
    </row>
    <row r="548" spans="1:14" s="541" customFormat="1">
      <c r="A548" s="1182">
        <f t="shared" si="102"/>
        <v>21</v>
      </c>
      <c r="B548" s="1183">
        <f t="shared" si="101"/>
        <v>2041</v>
      </c>
      <c r="C548" s="1184">
        <f t="shared" si="97"/>
        <v>7.5338479783467791E-2</v>
      </c>
      <c r="D548" s="1185">
        <f t="shared" si="98"/>
        <v>0</v>
      </c>
      <c r="E548" s="1227">
        <f>NPV(realdiscrt1,C$528:C548)/(1+realdiscrt1)^-Half_Year</f>
        <v>1.3435616518869768</v>
      </c>
      <c r="F548" s="1198">
        <f>NPV(realdiscrt1,D$528:D548)/(1+realdiscrt1)^-Half_Year</f>
        <v>0</v>
      </c>
      <c r="G548" s="1187" t="str">
        <f t="shared" si="99"/>
        <v>2021-Winter Targeted Charge-21</v>
      </c>
      <c r="I548" s="1188">
        <v>2038</v>
      </c>
      <c r="J548" s="1189">
        <f t="shared" si="100"/>
        <v>7.0798999690538739E-2</v>
      </c>
      <c r="K548" s="1190">
        <v>6.1677795083796297E-2</v>
      </c>
      <c r="L548" s="1210">
        <v>0</v>
      </c>
      <c r="M548" s="1210">
        <v>0</v>
      </c>
      <c r="N548" s="1192">
        <f>INDEX(AESC!$H$184:$H$216,MATCH(I548,AESC!$B$184:$B$216,0))</f>
        <v>3.8768342592951292E-3</v>
      </c>
    </row>
    <row r="549" spans="1:14" s="541" customFormat="1">
      <c r="A549" s="1182">
        <f t="shared" si="102"/>
        <v>22</v>
      </c>
      <c r="B549" s="1183">
        <f t="shared" si="101"/>
        <v>2042</v>
      </c>
      <c r="C549" s="1184">
        <f t="shared" si="97"/>
        <v>7.5602076156842557E-2</v>
      </c>
      <c r="D549" s="1185">
        <f t="shared" si="98"/>
        <v>0</v>
      </c>
      <c r="E549" s="1227">
        <f>NPV(realdiscrt1,C$528:C549)/(1+realdiscrt1)^-Half_Year</f>
        <v>1.3994590805190432</v>
      </c>
      <c r="F549" s="1198">
        <f>NPV(realdiscrt1,D$528:D549)/(1+realdiscrt1)^-Half_Year</f>
        <v>0</v>
      </c>
      <c r="G549" s="1187" t="str">
        <f t="shared" si="99"/>
        <v>2021-Winter Targeted Charge-22</v>
      </c>
      <c r="I549" s="1188">
        <v>2039</v>
      </c>
      <c r="J549" s="1189">
        <f t="shared" si="100"/>
        <v>7.0972099302192324E-2</v>
      </c>
      <c r="K549" s="1190">
        <v>6.1547837390584545E-2</v>
      </c>
      <c r="L549" s="1210">
        <v>0</v>
      </c>
      <c r="M549" s="1210">
        <v>0</v>
      </c>
      <c r="N549" s="1192">
        <f>INDEX(AESC!$H$184:$H$216,MATCH(I549,AESC!$B$184:$B$216,0))</f>
        <v>4.1670693707046456E-3</v>
      </c>
    </row>
    <row r="550" spans="1:14" s="541" customFormat="1">
      <c r="A550" s="1182">
        <f t="shared" si="102"/>
        <v>23</v>
      </c>
      <c r="B550" s="1183">
        <f t="shared" si="101"/>
        <v>2043</v>
      </c>
      <c r="C550" s="1184">
        <f t="shared" si="97"/>
        <v>7.5896734988521009E-2</v>
      </c>
      <c r="D550" s="1185">
        <f t="shared" si="98"/>
        <v>0</v>
      </c>
      <c r="E550" s="1227">
        <f>NPV(realdiscrt1,C$528:C550)/(1+realdiscrt1)^-Half_Year</f>
        <v>1.4547917443376459</v>
      </c>
      <c r="F550" s="1198">
        <f>NPV(realdiscrt1,D$528:D550)/(1+realdiscrt1)^-Half_Year</f>
        <v>0</v>
      </c>
      <c r="G550" s="1187" t="str">
        <f t="shared" si="99"/>
        <v>2021-Winter Targeted Charge-23</v>
      </c>
      <c r="I550" s="1188">
        <v>2040</v>
      </c>
      <c r="J550" s="1189">
        <f t="shared" si="100"/>
        <v>7.1168961043669807E-2</v>
      </c>
      <c r="K550" s="1190">
        <v>6.1418153523666391E-2</v>
      </c>
      <c r="L550" s="1210">
        <v>0</v>
      </c>
      <c r="M550" s="1210">
        <v>0</v>
      </c>
      <c r="N550" s="1192">
        <f>INDEX(AESC!$H$184:$H$216,MATCH(I550,AESC!$B$184:$B$216,0))</f>
        <v>4.4790326278797256E-3</v>
      </c>
    </row>
    <row r="551" spans="1:14" s="541" customFormat="1">
      <c r="A551" s="1182">
        <f t="shared" si="102"/>
        <v>24</v>
      </c>
      <c r="B551" s="1183">
        <f t="shared" si="101"/>
        <v>2044</v>
      </c>
      <c r="C551" s="1184">
        <f t="shared" si="97"/>
        <v>7.6224757866890008E-2</v>
      </c>
      <c r="D551" s="1185">
        <f t="shared" si="98"/>
        <v>0</v>
      </c>
      <c r="E551" s="1227">
        <f>NPV(realdiscrt1,C$528:C551)/(1+realdiscrt1)^-Half_Year</f>
        <v>1.5095885087885248</v>
      </c>
      <c r="F551" s="1198">
        <f>NPV(realdiscrt1,D$528:D551)/(1+realdiscrt1)^-Half_Year</f>
        <v>0</v>
      </c>
      <c r="G551" s="1187" t="str">
        <f t="shared" si="99"/>
        <v>2021-Winter Targeted Charge-24</v>
      </c>
      <c r="I551" s="1188">
        <v>2041</v>
      </c>
      <c r="J551" s="1189">
        <f t="shared" si="100"/>
        <v>7.1391341078965095E-2</v>
      </c>
      <c r="K551" s="1190">
        <v>6.1288742906078379E-2</v>
      </c>
      <c r="L551" s="1210">
        <v>0</v>
      </c>
      <c r="M551" s="1210">
        <v>0</v>
      </c>
      <c r="N551" s="1192">
        <f>INDEX(AESC!$H$184:$H$216,MATCH(I551,AESC!$B$184:$B$216,0))</f>
        <v>4.8143506855559621E-3</v>
      </c>
    </row>
    <row r="552" spans="1:14" s="541" customFormat="1">
      <c r="A552" s="1182">
        <f t="shared" si="102"/>
        <v>25</v>
      </c>
      <c r="B552" s="1183">
        <f t="shared" si="101"/>
        <v>2045</v>
      </c>
      <c r="C552" s="1184">
        <f t="shared" si="97"/>
        <v>7.658861873662029E-2</v>
      </c>
      <c r="D552" s="1185">
        <f t="shared" si="98"/>
        <v>0</v>
      </c>
      <c r="E552" s="1227">
        <f>NPV(realdiscrt1,C$528:C552)/(1+realdiscrt1)^-Half_Year</f>
        <v>1.5638789631780849</v>
      </c>
      <c r="F552" s="1198">
        <f>NPV(realdiscrt1,D$528:D552)/(1+realdiscrt1)^-Half_Year</f>
        <v>0</v>
      </c>
      <c r="G552" s="1187" t="str">
        <f t="shared" si="99"/>
        <v>2021-Winter Targeted Charge-25</v>
      </c>
      <c r="I552" s="1188">
        <v>2042</v>
      </c>
      <c r="J552" s="1189">
        <f t="shared" si="100"/>
        <v>7.164112709340105E-2</v>
      </c>
      <c r="K552" s="1190">
        <v>6.1159604962072747E-2</v>
      </c>
      <c r="L552" s="1210">
        <v>0</v>
      </c>
      <c r="M552" s="1210">
        <v>0</v>
      </c>
      <c r="N552" s="1192">
        <f>INDEX(AESC!$H$184:$H$216,MATCH(I552,AESC!$B$184:$B$216,0))</f>
        <v>5.1747719762615567E-3</v>
      </c>
    </row>
    <row r="553" spans="1:14" s="541" customFormat="1">
      <c r="A553" s="1182">
        <f t="shared" si="102"/>
        <v>26</v>
      </c>
      <c r="B553" s="1183">
        <f t="shared" si="101"/>
        <v>2046</v>
      </c>
      <c r="C553" s="1184">
        <f t="shared" si="97"/>
        <v>7.6990976801832076E-2</v>
      </c>
      <c r="D553" s="1185">
        <f t="shared" si="98"/>
        <v>0</v>
      </c>
      <c r="E553" s="1227">
        <f>NPV(realdiscrt1,C$528:C553)/(1+realdiscrt1)^-Half_Year</f>
        <v>1.6176934801081317</v>
      </c>
      <c r="F553" s="1198">
        <f>NPV(realdiscrt1,D$528:D553)/(1+realdiscrt1)^-Half_Year</f>
        <v>0</v>
      </c>
      <c r="G553" s="1187" t="str">
        <f t="shared" si="99"/>
        <v>2021-Winter Targeted Charge-26</v>
      </c>
      <c r="I553" s="1188">
        <v>2043</v>
      </c>
      <c r="J553" s="1189">
        <f t="shared" si="100"/>
        <v>7.1920348139734164E-2</v>
      </c>
      <c r="K553" s="1190">
        <v>6.103073911711486E-2</v>
      </c>
      <c r="L553" s="1210">
        <v>0</v>
      </c>
      <c r="M553" s="1210">
        <v>0</v>
      </c>
      <c r="N553" s="1192">
        <f>INDEX(AESC!$H$184:$H$216,MATCH(I553,AESC!$B$184:$B$216,0))</f>
        <v>5.5621758270834355E-3</v>
      </c>
    </row>
    <row r="554" spans="1:14" s="541" customFormat="1">
      <c r="A554" s="1182">
        <f t="shared" si="102"/>
        <v>27</v>
      </c>
      <c r="B554" s="1183">
        <f t="shared" si="101"/>
        <v>2047</v>
      </c>
      <c r="C554" s="1184">
        <f t="shared" si="97"/>
        <v>7.7434690395242728E-2</v>
      </c>
      <c r="D554" s="1185">
        <f t="shared" si="98"/>
        <v>0</v>
      </c>
      <c r="E554" s="1224">
        <f>NPV(realdiscrt1,C$528:C554)/(1+realdiscrt1)^-Half_Year</f>
        <v>1.6710632782112351</v>
      </c>
      <c r="F554" s="1199">
        <f>NPV(realdiscrt1,D$528:D554)/(1+realdiscrt1)^-Half_Year</f>
        <v>0</v>
      </c>
      <c r="G554" s="1187" t="str">
        <f t="shared" si="99"/>
        <v>2021-Winter Targeted Charge-27</v>
      </c>
      <c r="I554" s="1188">
        <v>2044</v>
      </c>
      <c r="J554" s="1189">
        <f t="shared" si="100"/>
        <v>7.2231185221377586E-2</v>
      </c>
      <c r="K554" s="1190">
        <v>6.0902144797880642E-2</v>
      </c>
      <c r="L554" s="1210">
        <v>0</v>
      </c>
      <c r="M554" s="1210">
        <v>0</v>
      </c>
      <c r="N554" s="1192">
        <f>INDEX(AESC!$H$184:$H$216,MATCH(I554,AESC!$B$184:$B$216,0))</f>
        <v>5.9785822589504493E-3</v>
      </c>
    </row>
    <row r="555" spans="1:14" s="541" customFormat="1" ht="20.25">
      <c r="A555" s="1140">
        <f>Year2</f>
        <v>2022</v>
      </c>
      <c r="B555" s="1141" t="str">
        <f>Year2&amp;"$"</f>
        <v>2022$</v>
      </c>
      <c r="C555" s="1216"/>
      <c r="D555" s="1217"/>
      <c r="E555" s="1216"/>
      <c r="F555" s="1218"/>
      <c r="G555" s="1217"/>
      <c r="I555" s="1188">
        <v>2045</v>
      </c>
      <c r="J555" s="1189">
        <f t="shared" si="100"/>
        <v>7.2575982667926323E-2</v>
      </c>
      <c r="K555" s="1190">
        <v>6.0773821432254037E-2</v>
      </c>
      <c r="L555" s="1210">
        <v>0</v>
      </c>
      <c r="M555" s="1210">
        <v>0</v>
      </c>
      <c r="N555" s="1192">
        <f>INDEX(AESC!$H$184:$H$216,MATCH(I555,AESC!$B$184:$B$216,0))</f>
        <v>6.4261625195295869E-3</v>
      </c>
    </row>
    <row r="556" spans="1:14" s="541" customFormat="1">
      <c r="A556" s="1182">
        <v>1</v>
      </c>
      <c r="B556" s="1183">
        <f>Year2</f>
        <v>2022</v>
      </c>
      <c r="C556" s="1184">
        <f t="shared" ref="C556:C580" si="103">VLOOKUP($B556,$I$528:$N$560,C$12,FALSE)*(1+Inflation2)^(Year2-Real_Year)</f>
        <v>7.2097607427080351E-2</v>
      </c>
      <c r="D556" s="1185">
        <f t="shared" ref="D556:D580" si="104">VLOOKUP($B556,$I$528:$N$560,IF($A$17=Year1,D$12,D$12+1),FALSE)*(1+Inflation1)^(Year1-Real_Year)</f>
        <v>0</v>
      </c>
      <c r="E556" s="1225">
        <f>NPV(realdiscrt1,C$556:C556)/(1+realdiscrt2)^-Half_Year</f>
        <v>7.1593079143580055E-2</v>
      </c>
      <c r="F556" s="1226">
        <f>NPV(realdiscrt1,D$556:D556)/(1+realdiscrt2)^-Half_Year</f>
        <v>0</v>
      </c>
      <c r="G556" s="1187" t="str">
        <f t="shared" ref="G556:G580" si="105">$A$45&amp;"-"&amp;$A$523&amp;"-"&amp;A556</f>
        <v>2022-Winter Targeted Charge-1</v>
      </c>
      <c r="I556" s="1188">
        <v>2046</v>
      </c>
      <c r="J556" s="1189">
        <f t="shared" si="100"/>
        <v>7.2957260362299312E-2</v>
      </c>
      <c r="K556" s="1190">
        <v>6.0645768449324469E-2</v>
      </c>
      <c r="L556" s="1210">
        <v>0</v>
      </c>
      <c r="M556" s="1210">
        <v>0</v>
      </c>
      <c r="N556" s="1192">
        <f>INDEX(AESC!$H$184:$H$216,MATCH(I556,AESC!$B$184:$B$216,0))</f>
        <v>6.9072504046563642E-3</v>
      </c>
    </row>
    <row r="557" spans="1:14" s="541" customFormat="1">
      <c r="A557" s="1182">
        <v>2</v>
      </c>
      <c r="B557" s="1183">
        <f t="shared" ref="B557:B580" si="106">B556+1</f>
        <v>2023</v>
      </c>
      <c r="C557" s="1184">
        <f t="shared" si="103"/>
        <v>6.9137640246531851E-2</v>
      </c>
      <c r="D557" s="1185">
        <f t="shared" si="104"/>
        <v>0</v>
      </c>
      <c r="E557" s="1227">
        <f>NPV(realdiscrt1,C$556:C557)/(1+realdiscrt2)^-Half_Year</f>
        <v>0.1392894080639486</v>
      </c>
      <c r="F557" s="1198">
        <f>NPV(realdiscrt1,D$556:D557)/(1+realdiscrt2)^-Half_Year</f>
        <v>0</v>
      </c>
      <c r="G557" s="1187" t="str">
        <f t="shared" si="105"/>
        <v>2022-Winter Targeted Charge-2</v>
      </c>
      <c r="I557" s="1188">
        <v>2047</v>
      </c>
      <c r="J557" s="1189">
        <f t="shared" si="100"/>
        <v>7.337772688325378E-2</v>
      </c>
      <c r="K557" s="1190">
        <v>6.051798527938429E-2</v>
      </c>
      <c r="L557" s="1210">
        <v>0</v>
      </c>
      <c r="M557" s="1210">
        <v>0</v>
      </c>
      <c r="N557" s="1192">
        <f>INDEX(AESC!$H$184:$H$216,MATCH(I557,AESC!$B$184:$B$216,0))</f>
        <v>7.4243544273321646E-3</v>
      </c>
    </row>
    <row r="558" spans="1:14" s="541" customFormat="1">
      <c r="A558" s="1182">
        <f t="shared" ref="A558:A580" si="107">A557+1</f>
        <v>3</v>
      </c>
      <c r="B558" s="1183">
        <f t="shared" si="106"/>
        <v>2024</v>
      </c>
      <c r="C558" s="1184">
        <f t="shared" si="103"/>
        <v>8.1370123411607376E-2</v>
      </c>
      <c r="D558" s="1185">
        <f t="shared" si="104"/>
        <v>0</v>
      </c>
      <c r="E558" s="1227">
        <f>NPV(realdiscrt1,C$556:C558)/(1+realdiscrt2)^-Half_Year</f>
        <v>0.21785202066168488</v>
      </c>
      <c r="F558" s="1198">
        <f>NPV(realdiscrt1,D$556:D558)/(1+realdiscrt2)^-Half_Year</f>
        <v>0</v>
      </c>
      <c r="G558" s="1187" t="str">
        <f t="shared" si="105"/>
        <v>2022-Winter Targeted Charge-3</v>
      </c>
      <c r="I558" s="1188">
        <v>2048</v>
      </c>
      <c r="J558" s="1189">
        <f t="shared" si="100"/>
        <v>7.3840293631800363E-2</v>
      </c>
      <c r="K558" s="1190">
        <v>6.0390471353926251E-2</v>
      </c>
      <c r="L558" s="1210">
        <v>0</v>
      </c>
      <c r="M558" s="1210">
        <v>0</v>
      </c>
      <c r="N558" s="1192">
        <f>INDEX(AESC!$H$184:$H$216,MATCH(I558,AESC!$B$184:$B$216,0))</f>
        <v>7.9801708977407463E-3</v>
      </c>
    </row>
    <row r="559" spans="1:14" s="541" customFormat="1">
      <c r="A559" s="1182">
        <f t="shared" si="107"/>
        <v>4</v>
      </c>
      <c r="B559" s="1183">
        <f t="shared" si="106"/>
        <v>2025</v>
      </c>
      <c r="C559" s="1184">
        <f t="shared" si="103"/>
        <v>7.6410691021533597E-2</v>
      </c>
      <c r="D559" s="1185">
        <f t="shared" si="104"/>
        <v>0</v>
      </c>
      <c r="E559" s="1227">
        <f>NPV(realdiscrt1,C$556:C559)/(1+realdiscrt2)^-Half_Year</f>
        <v>0.29059740574016946</v>
      </c>
      <c r="F559" s="1198">
        <f>NPV(realdiscrt1,D$556:D559)/(1+realdiscrt2)^-Half_Year</f>
        <v>0</v>
      </c>
      <c r="G559" s="1187" t="str">
        <f t="shared" si="105"/>
        <v>2022-Winter Targeted Charge-4</v>
      </c>
      <c r="I559" s="1188">
        <v>2049</v>
      </c>
      <c r="J559" s="1189">
        <f t="shared" si="100"/>
        <v>7.4348090015177559E-2</v>
      </c>
      <c r="K559" s="1190">
        <v>6.0263226105640964E-2</v>
      </c>
      <c r="L559" s="1210">
        <v>0</v>
      </c>
      <c r="M559" s="1210">
        <v>0</v>
      </c>
      <c r="N559" s="1192">
        <f>INDEX(AESC!$H$184:$H$216,MATCH(I559,AESC!$B$184:$B$216,0))</f>
        <v>8.5775979824864006E-3</v>
      </c>
    </row>
    <row r="560" spans="1:14" s="541" customFormat="1">
      <c r="A560" s="1182">
        <f t="shared" si="107"/>
        <v>5</v>
      </c>
      <c r="B560" s="1183">
        <f t="shared" si="106"/>
        <v>2026</v>
      </c>
      <c r="C560" s="1184">
        <f t="shared" si="103"/>
        <v>6.6029553763500073E-2</v>
      </c>
      <c r="D560" s="1185">
        <f t="shared" si="104"/>
        <v>0</v>
      </c>
      <c r="E560" s="1227">
        <f>NPV(realdiscrt1,C$556:C560)/(1+realdiscrt2)^-Half_Year</f>
        <v>0.35258289868138332</v>
      </c>
      <c r="F560" s="1198">
        <f>NPV(realdiscrt1,D$556:D560)/(1+realdiscrt2)^-Half_Year</f>
        <v>0</v>
      </c>
      <c r="G560" s="1187" t="str">
        <f t="shared" si="105"/>
        <v>2022-Winter Targeted Charge-5</v>
      </c>
      <c r="I560" s="1193">
        <v>2050</v>
      </c>
      <c r="J560" s="1194">
        <f t="shared" si="100"/>
        <v>7.4904479767558679E-2</v>
      </c>
      <c r="K560" s="1195">
        <v>6.0136248968414394E-2</v>
      </c>
      <c r="L560" s="1196">
        <v>0</v>
      </c>
      <c r="M560" s="1196">
        <v>0</v>
      </c>
      <c r="N560" s="1197">
        <f>INDEX(AESC!$H$184:$H$216,MATCH(I560,AESC!$B$184:$B$216,0))</f>
        <v>9.2197508163621572E-3</v>
      </c>
    </row>
    <row r="561" spans="1:7" s="541" customFormat="1">
      <c r="A561" s="1182">
        <f t="shared" si="107"/>
        <v>6</v>
      </c>
      <c r="B561" s="1183">
        <f t="shared" si="106"/>
        <v>2027</v>
      </c>
      <c r="C561" s="1184">
        <f t="shared" si="103"/>
        <v>7.9852534802435426E-2</v>
      </c>
      <c r="D561" s="1185">
        <f t="shared" si="104"/>
        <v>0</v>
      </c>
      <c r="E561" s="1227">
        <f>NPV(realdiscrt1,C$556:C561)/(1+realdiscrt2)^-Half_Year</f>
        <v>0.42649929423816973</v>
      </c>
      <c r="F561" s="1198">
        <f>NPV(realdiscrt1,D$556:D561)/(1+realdiscrt2)^-Half_Year</f>
        <v>0</v>
      </c>
      <c r="G561" s="1187" t="str">
        <f t="shared" si="105"/>
        <v>2022-Winter Targeted Charge-6</v>
      </c>
    </row>
    <row r="562" spans="1:7" s="541" customFormat="1">
      <c r="A562" s="1182">
        <f t="shared" si="107"/>
        <v>7</v>
      </c>
      <c r="B562" s="1183">
        <f t="shared" si="106"/>
        <v>2028</v>
      </c>
      <c r="C562" s="1184">
        <f t="shared" si="103"/>
        <v>7.7896188252601667E-2</v>
      </c>
      <c r="D562" s="1185">
        <f t="shared" si="104"/>
        <v>0</v>
      </c>
      <c r="E562" s="1227">
        <f>NPV(realdiscrt1,C$556:C562)/(1+realdiscrt2)^-Half_Year</f>
        <v>0.49759913987229382</v>
      </c>
      <c r="F562" s="1198">
        <f>NPV(realdiscrt1,D$556:D562)/(1+realdiscrt2)^-Half_Year</f>
        <v>0</v>
      </c>
      <c r="G562" s="1187" t="str">
        <f t="shared" si="105"/>
        <v>2022-Winter Targeted Charge-7</v>
      </c>
    </row>
    <row r="563" spans="1:7" s="541" customFormat="1">
      <c r="A563" s="1182">
        <f t="shared" si="107"/>
        <v>8</v>
      </c>
      <c r="B563" s="1183">
        <f t="shared" si="106"/>
        <v>2029</v>
      </c>
      <c r="C563" s="1184">
        <f t="shared" si="103"/>
        <v>7.9094694286047318E-2</v>
      </c>
      <c r="D563" s="1185">
        <f t="shared" si="104"/>
        <v>0</v>
      </c>
      <c r="E563" s="1227">
        <f>NPV(realdiscrt1,C$556:C563)/(1+realdiscrt2)^-Half_Year</f>
        <v>0.56878605612803834</v>
      </c>
      <c r="F563" s="1198">
        <f>NPV(realdiscrt1,D$556:D563)/(1+realdiscrt2)^-Half_Year</f>
        <v>0</v>
      </c>
      <c r="G563" s="1187" t="str">
        <f t="shared" si="105"/>
        <v>2022-Winter Targeted Charge-8</v>
      </c>
    </row>
    <row r="564" spans="1:7" s="541" customFormat="1">
      <c r="A564" s="1182">
        <f t="shared" si="107"/>
        <v>9</v>
      </c>
      <c r="B564" s="1183">
        <f t="shared" si="106"/>
        <v>2030</v>
      </c>
      <c r="C564" s="1184">
        <f t="shared" si="103"/>
        <v>7.5247811668811712E-2</v>
      </c>
      <c r="D564" s="1185">
        <f t="shared" si="104"/>
        <v>0</v>
      </c>
      <c r="E564" s="1227">
        <f>NPV(realdiscrt1,C$556:C564)/(1+realdiscrt2)^-Half_Year</f>
        <v>0.63556615841772501</v>
      </c>
      <c r="F564" s="1198">
        <f>NPV(realdiscrt1,D$556:D564)/(1+realdiscrt2)^-Half_Year</f>
        <v>0</v>
      </c>
      <c r="G564" s="1187" t="str">
        <f t="shared" si="105"/>
        <v>2022-Winter Targeted Charge-9</v>
      </c>
    </row>
    <row r="565" spans="1:7" s="541" customFormat="1">
      <c r="A565" s="1182">
        <f t="shared" si="107"/>
        <v>10</v>
      </c>
      <c r="B565" s="1183">
        <f t="shared" si="106"/>
        <v>2031</v>
      </c>
      <c r="C565" s="1184">
        <f t="shared" si="103"/>
        <v>7.5345637105612387E-2</v>
      </c>
      <c r="D565" s="1185">
        <f t="shared" si="104"/>
        <v>0</v>
      </c>
      <c r="E565" s="1227">
        <f>NPV(realdiscrt1,C$556:C565)/(1+realdiscrt2)^-Half_Year</f>
        <v>0.70150050280026544</v>
      </c>
      <c r="F565" s="1198">
        <f>NPV(realdiscrt1,D$556:D565)/(1+realdiscrt2)^-Half_Year</f>
        <v>0</v>
      </c>
      <c r="G565" s="1187" t="str">
        <f t="shared" si="105"/>
        <v>2022-Winter Targeted Charge-10</v>
      </c>
    </row>
    <row r="566" spans="1:7" s="541" customFormat="1">
      <c r="A566" s="1182">
        <f t="shared" si="107"/>
        <v>11</v>
      </c>
      <c r="B566" s="1183">
        <f t="shared" si="106"/>
        <v>2032</v>
      </c>
      <c r="C566" s="1184">
        <f t="shared" si="103"/>
        <v>6.8100750602773333E-2</v>
      </c>
      <c r="D566" s="1185">
        <f t="shared" si="104"/>
        <v>0</v>
      </c>
      <c r="E566" s="1227">
        <f>NPV(realdiscrt1,C$556:C566)/(1+realdiscrt2)^-Half_Year</f>
        <v>0.7602637597384323</v>
      </c>
      <c r="F566" s="1198">
        <f>NPV(realdiscrt1,D$556:D566)/(1+realdiscrt2)^-Half_Year</f>
        <v>0</v>
      </c>
      <c r="G566" s="1187" t="str">
        <f t="shared" si="105"/>
        <v>2022-Winter Targeted Charge-11</v>
      </c>
    </row>
    <row r="567" spans="1:7" s="541" customFormat="1">
      <c r="A567" s="1182">
        <f t="shared" si="107"/>
        <v>12</v>
      </c>
      <c r="B567" s="1183">
        <f t="shared" si="106"/>
        <v>2033</v>
      </c>
      <c r="C567" s="1184">
        <f t="shared" si="103"/>
        <v>7.6371460219041509E-2</v>
      </c>
      <c r="D567" s="1185">
        <f t="shared" si="104"/>
        <v>0</v>
      </c>
      <c r="E567" s="1227">
        <f>NPV(realdiscrt1,C$556:C567)/(1+realdiscrt2)^-Half_Year</f>
        <v>0.82524461621269185</v>
      </c>
      <c r="F567" s="1198">
        <f>NPV(realdiscrt1,D$556:D567)/(1+realdiscrt2)^-Half_Year</f>
        <v>0</v>
      </c>
      <c r="G567" s="1187" t="str">
        <f t="shared" si="105"/>
        <v>2022-Winter Targeted Charge-12</v>
      </c>
    </row>
    <row r="568" spans="1:7" s="541" customFormat="1">
      <c r="A568" s="1182">
        <f t="shared" si="107"/>
        <v>13</v>
      </c>
      <c r="B568" s="1183">
        <f t="shared" si="106"/>
        <v>2034</v>
      </c>
      <c r="C568" s="1184">
        <f t="shared" si="103"/>
        <v>7.5086976615268516E-2</v>
      </c>
      <c r="D568" s="1185">
        <f t="shared" si="104"/>
        <v>0</v>
      </c>
      <c r="E568" s="1227">
        <f>NPV(realdiscrt1,C$556:C568)/(1+realdiscrt2)^-Half_Year</f>
        <v>0.88824153838532582</v>
      </c>
      <c r="F568" s="1198">
        <f>NPV(realdiscrt1,D$556:D568)/(1+realdiscrt2)^-Half_Year</f>
        <v>0</v>
      </c>
      <c r="G568" s="1187" t="str">
        <f t="shared" si="105"/>
        <v>2022-Winter Targeted Charge-13</v>
      </c>
    </row>
    <row r="569" spans="1:7" s="541" customFormat="1">
      <c r="A569" s="1182">
        <f t="shared" si="107"/>
        <v>14</v>
      </c>
      <c r="B569" s="1183">
        <f t="shared" si="106"/>
        <v>2035</v>
      </c>
      <c r="C569" s="1184">
        <f t="shared" si="103"/>
        <v>7.5644000003077222E-2</v>
      </c>
      <c r="D569" s="1185">
        <f t="shared" si="104"/>
        <v>0</v>
      </c>
      <c r="E569" s="1227">
        <f>NPV(realdiscrt1,C$556:C569)/(1+realdiscrt2)^-Half_Year</f>
        <v>0.95082067644672452</v>
      </c>
      <c r="F569" s="1198">
        <f>NPV(realdiscrt1,D$556:D569)/(1+realdiscrt2)^-Half_Year</f>
        <v>0</v>
      </c>
      <c r="G569" s="1187" t="str">
        <f t="shared" si="105"/>
        <v>2022-Winter Targeted Charge-14</v>
      </c>
    </row>
    <row r="570" spans="1:7" s="541" customFormat="1">
      <c r="A570" s="1182">
        <f t="shared" si="107"/>
        <v>15</v>
      </c>
      <c r="B570" s="1183">
        <f t="shared" si="106"/>
        <v>2036</v>
      </c>
      <c r="C570" s="1184">
        <f t="shared" si="103"/>
        <v>7.5763438393274415E-2</v>
      </c>
      <c r="D570" s="1185">
        <f t="shared" si="104"/>
        <v>0</v>
      </c>
      <c r="E570" s="1227">
        <f>NPV(realdiscrt1,C$556:C570)/(1+realdiscrt2)^-Half_Year</f>
        <v>1.0126244715933248</v>
      </c>
      <c r="F570" s="1198">
        <f>NPV(realdiscrt1,D$556:D570)/(1+realdiscrt2)^-Half_Year</f>
        <v>0</v>
      </c>
      <c r="G570" s="1187" t="str">
        <f t="shared" si="105"/>
        <v>2022-Winter Targeted Charge-15</v>
      </c>
    </row>
    <row r="571" spans="1:7" s="541" customFormat="1">
      <c r="A571" s="1182">
        <f t="shared" si="107"/>
        <v>16</v>
      </c>
      <c r="B571" s="1183">
        <f t="shared" si="106"/>
        <v>2037</v>
      </c>
      <c r="C571" s="1184">
        <f t="shared" si="103"/>
        <v>7.5903498946383888E-2</v>
      </c>
      <c r="D571" s="1185">
        <f t="shared" si="104"/>
        <v>0</v>
      </c>
      <c r="E571" s="1227">
        <f>NPV(realdiscrt1,C$556:C571)/(1+realdiscrt2)^-Half_Year</f>
        <v>1.073678966321808</v>
      </c>
      <c r="F571" s="1198">
        <f>NPV(realdiscrt1,D$556:D571)/(1+realdiscrt2)^-Half_Year</f>
        <v>0</v>
      </c>
      <c r="G571" s="1187" t="str">
        <f t="shared" si="105"/>
        <v>2022-Winter Targeted Charge-16</v>
      </c>
    </row>
    <row r="572" spans="1:7" s="541" customFormat="1">
      <c r="A572" s="1182">
        <f t="shared" si="107"/>
        <v>17</v>
      </c>
      <c r="B572" s="1183">
        <f t="shared" si="106"/>
        <v>2038</v>
      </c>
      <c r="C572" s="1184">
        <f t="shared" si="103"/>
        <v>7.6065700907527484E-2</v>
      </c>
      <c r="D572" s="1185">
        <f t="shared" si="104"/>
        <v>0</v>
      </c>
      <c r="E572" s="1227">
        <f>NPV(realdiscrt1,C$556:C572)/(1+realdiscrt2)^-Half_Year</f>
        <v>1.1340106011719042</v>
      </c>
      <c r="F572" s="1198">
        <f>NPV(realdiscrt1,D$556:D572)/(1+realdiscrt2)^-Half_Year</f>
        <v>0</v>
      </c>
      <c r="G572" s="1187" t="str">
        <f t="shared" si="105"/>
        <v>2022-Winter Targeted Charge-17</v>
      </c>
    </row>
    <row r="573" spans="1:7" s="541" customFormat="1">
      <c r="A573" s="1182">
        <f t="shared" si="107"/>
        <v>18</v>
      </c>
      <c r="B573" s="1183">
        <f t="shared" si="106"/>
        <v>2039</v>
      </c>
      <c r="C573" s="1184">
        <f t="shared" si="103"/>
        <v>7.6251677310369387E-2</v>
      </c>
      <c r="D573" s="1185">
        <f t="shared" si="104"/>
        <v>0</v>
      </c>
      <c r="E573" s="1227">
        <f>NPV(realdiscrt1,C$556:C573)/(1+realdiscrt2)^-Half_Year</f>
        <v>1.1936462571660178</v>
      </c>
      <c r="F573" s="1198">
        <f>NPV(realdiscrt1,D$556:D573)/(1+realdiscrt2)^-Half_Year</f>
        <v>0</v>
      </c>
      <c r="G573" s="1187" t="str">
        <f t="shared" si="105"/>
        <v>2022-Winter Targeted Charge-18</v>
      </c>
    </row>
    <row r="574" spans="1:7" s="541" customFormat="1">
      <c r="A574" s="1182">
        <f t="shared" si="107"/>
        <v>19</v>
      </c>
      <c r="B574" s="1183">
        <f t="shared" si="106"/>
        <v>2040</v>
      </c>
      <c r="C574" s="1184">
        <f t="shared" si="103"/>
        <v>7.6463183495665984E-2</v>
      </c>
      <c r="D574" s="1185">
        <f t="shared" si="104"/>
        <v>0</v>
      </c>
      <c r="E574" s="1227">
        <f>NPV(realdiscrt1,C$556:C574)/(1+realdiscrt2)^-Half_Year</f>
        <v>1.2526133004916742</v>
      </c>
      <c r="F574" s="1198">
        <f>NPV(realdiscrt1,D$556:D574)/(1+realdiscrt2)^-Half_Year</f>
        <v>0</v>
      </c>
      <c r="G574" s="1187" t="str">
        <f t="shared" si="105"/>
        <v>2022-Winter Targeted Charge-19</v>
      </c>
    </row>
    <row r="575" spans="1:7" s="541" customFormat="1">
      <c r="A575" s="1182">
        <f t="shared" si="107"/>
        <v>20</v>
      </c>
      <c r="B575" s="1183">
        <f t="shared" si="106"/>
        <v>2041</v>
      </c>
      <c r="C575" s="1184">
        <f t="shared" si="103"/>
        <v>7.6702106267548559E-2</v>
      </c>
      <c r="D575" s="1185">
        <f t="shared" si="104"/>
        <v>0</v>
      </c>
      <c r="E575" s="1227">
        <f>NPV(realdiscrt1,C$556:C575)/(1+realdiscrt2)^-Half_Year</f>
        <v>1.3109396295658418</v>
      </c>
      <c r="F575" s="1198">
        <f>NPV(realdiscrt1,D$556:D575)/(1+realdiscrt2)^-Half_Year</f>
        <v>0</v>
      </c>
      <c r="G575" s="1187" t="str">
        <f t="shared" si="105"/>
        <v>2022-Winter Targeted Charge-20</v>
      </c>
    </row>
    <row r="576" spans="1:7" s="541" customFormat="1">
      <c r="A576" s="1182">
        <f t="shared" si="107"/>
        <v>21</v>
      </c>
      <c r="B576" s="1183">
        <f t="shared" si="106"/>
        <v>2042</v>
      </c>
      <c r="C576" s="1184">
        <f t="shared" si="103"/>
        <v>7.6970473735281403E-2</v>
      </c>
      <c r="D576" s="1185">
        <f t="shared" si="104"/>
        <v>0</v>
      </c>
      <c r="E576" s="1227">
        <f>NPV(realdiscrt1,C$556:C576)/(1+realdiscrt2)^-Half_Year</f>
        <v>1.3686537246284505</v>
      </c>
      <c r="F576" s="1198">
        <f>NPV(realdiscrt1,D$556:D576)/(1+realdiscrt2)^-Half_Year</f>
        <v>0</v>
      </c>
      <c r="G576" s="1187" t="str">
        <f t="shared" si="105"/>
        <v>2022-Winter Targeted Charge-21</v>
      </c>
    </row>
    <row r="577" spans="1:7" s="541" customFormat="1">
      <c r="A577" s="1182">
        <f t="shared" si="107"/>
        <v>22</v>
      </c>
      <c r="B577" s="1183">
        <f t="shared" si="106"/>
        <v>2043</v>
      </c>
      <c r="C577" s="1184">
        <f t="shared" si="103"/>
        <v>7.7270465891813245E-2</v>
      </c>
      <c r="D577" s="1185">
        <f t="shared" si="104"/>
        <v>0</v>
      </c>
      <c r="E577" s="1227">
        <f>NPV(realdiscrt1,C$556:C577)/(1+realdiscrt2)^-Half_Year</f>
        <v>1.4257847000211579</v>
      </c>
      <c r="F577" s="1198">
        <f>NPV(realdiscrt1,D$556:D577)/(1+realdiscrt2)^-Half_Year</f>
        <v>0</v>
      </c>
      <c r="G577" s="1187" t="str">
        <f t="shared" si="105"/>
        <v>2022-Winter Targeted Charge-22</v>
      </c>
    </row>
    <row r="578" spans="1:7" s="541" customFormat="1">
      <c r="A578" s="1182">
        <f t="shared" si="107"/>
        <v>23</v>
      </c>
      <c r="B578" s="1183">
        <f t="shared" si="106"/>
        <v>2044</v>
      </c>
      <c r="C578" s="1184">
        <f t="shared" si="103"/>
        <v>7.7604425984280717E-2</v>
      </c>
      <c r="D578" s="1185">
        <f t="shared" si="104"/>
        <v>0</v>
      </c>
      <c r="E578" s="1227">
        <f>NPV(realdiscrt1,C$556:C578)/(1+realdiscrt2)^-Half_Year</f>
        <v>1.4823623593166899</v>
      </c>
      <c r="F578" s="1198">
        <f>NPV(realdiscrt1,D$556:D578)/(1+realdiscrt2)^-Half_Year</f>
        <v>0</v>
      </c>
      <c r="G578" s="1187" t="str">
        <f t="shared" si="105"/>
        <v>2022-Winter Targeted Charge-23</v>
      </c>
    </row>
    <row r="579" spans="1:7" s="541" customFormat="1">
      <c r="A579" s="1182">
        <f t="shared" si="107"/>
        <v>24</v>
      </c>
      <c r="B579" s="1183">
        <f t="shared" si="106"/>
        <v>2045</v>
      </c>
      <c r="C579" s="1184">
        <f t="shared" si="103"/>
        <v>7.7974872735753112E-2</v>
      </c>
      <c r="D579" s="1185">
        <f t="shared" si="104"/>
        <v>0</v>
      </c>
      <c r="E579" s="1227">
        <f>NPV(realdiscrt1,C$556:C579)/(1+realdiscrt2)^-Half_Year</f>
        <v>1.5384172534739109</v>
      </c>
      <c r="F579" s="1198">
        <f>NPV(realdiscrt1,D$556:D579)/(1+realdiscrt2)^-Half_Year</f>
        <v>0</v>
      </c>
      <c r="G579" s="1187" t="str">
        <f t="shared" si="105"/>
        <v>2022-Winter Targeted Charge-24</v>
      </c>
    </row>
    <row r="580" spans="1:7" s="541" customFormat="1">
      <c r="A580" s="1182">
        <f t="shared" si="107"/>
        <v>25</v>
      </c>
      <c r="B580" s="1183">
        <f t="shared" si="106"/>
        <v>2046</v>
      </c>
      <c r="C580" s="1184">
        <f t="shared" si="103"/>
        <v>7.8384513481945237E-2</v>
      </c>
      <c r="D580" s="1185">
        <f t="shared" si="104"/>
        <v>0</v>
      </c>
      <c r="E580" s="1224">
        <f>NPV(realdiscrt1,C$556:C580)/(1+realdiscrt2)^-Half_Year</f>
        <v>1.5939807422041843</v>
      </c>
      <c r="F580" s="1199">
        <f>NPV(realdiscrt1,D$556:D580)/(1+realdiscrt2)^-Half_Year</f>
        <v>0</v>
      </c>
      <c r="G580" s="1187" t="str">
        <f t="shared" si="105"/>
        <v>2022-Winter Targeted Charge-25</v>
      </c>
    </row>
    <row r="581" spans="1:7" s="541" customFormat="1" ht="20.25">
      <c r="A581" s="1140">
        <f>Year3</f>
        <v>2023</v>
      </c>
      <c r="B581" s="1141" t="str">
        <f>Year3&amp;"$"</f>
        <v>2023$</v>
      </c>
      <c r="C581" s="1216"/>
      <c r="D581" s="1217"/>
      <c r="E581" s="1232"/>
      <c r="F581" s="1233"/>
      <c r="G581" s="1217"/>
    </row>
    <row r="582" spans="1:7" s="541" customFormat="1">
      <c r="A582" s="1182">
        <v>1</v>
      </c>
      <c r="B582" s="1183">
        <f>Year3</f>
        <v>2023</v>
      </c>
      <c r="C582" s="1219">
        <f t="shared" ref="C582:C606" si="108">VLOOKUP($B582,$I$528:$N$560,C$12,FALSE)*(1+Inflation3)^(Year3-Real_Year)</f>
        <v>7.0389031534994081E-2</v>
      </c>
      <c r="D582" s="1347">
        <f t="shared" ref="D582:D606" si="109">VLOOKUP($B582,$I$528:$N$560,IF($A$17=Year1,D$12,D$12+1),FALSE)*(1+Inflation1)^(Year1-Real_Year)</f>
        <v>0</v>
      </c>
      <c r="E582" s="1225">
        <f>NPV(realdiscrt1,C$582:C582)/(1+realdiscrt3)^-Half_Year</f>
        <v>6.9896459610280515E-2</v>
      </c>
      <c r="F582" s="1226">
        <f>NPV(realdiscrt1,D$582:D582)/(1+realdiscrt3)^-Half_Year</f>
        <v>0</v>
      </c>
      <c r="G582" s="1187" t="str">
        <f t="shared" ref="G582:G606" si="110">$A$71&amp;"-"&amp;$A$523&amp;"-"&amp;A582</f>
        <v>2023-Winter Targeted Charge-1</v>
      </c>
    </row>
    <row r="583" spans="1:7" s="541" customFormat="1">
      <c r="A583" s="1182">
        <v>2</v>
      </c>
      <c r="B583" s="1183">
        <f t="shared" ref="B583:B606" si="111">B582+1</f>
        <v>2024</v>
      </c>
      <c r="C583" s="1220">
        <f t="shared" si="108"/>
        <v>8.2842922645357475E-2</v>
      </c>
      <c r="D583" s="1185">
        <f t="shared" si="109"/>
        <v>0</v>
      </c>
      <c r="E583" s="1227">
        <f>NPV(realdiscrt1,C$582:C583)/(1+realdiscrt3)^-Half_Year</f>
        <v>0.15101235711744326</v>
      </c>
      <c r="F583" s="1198">
        <f>NPV(realdiscrt1,D$582:D583)/(1+realdiscrt3)^-Half_Year</f>
        <v>0</v>
      </c>
      <c r="G583" s="1187" t="str">
        <f t="shared" si="110"/>
        <v>2023-Winter Targeted Charge-2</v>
      </c>
    </row>
    <row r="584" spans="1:7" s="541" customFormat="1">
      <c r="A584" s="1182">
        <f t="shared" ref="A584:A606" si="112">A583+1</f>
        <v>3</v>
      </c>
      <c r="B584" s="1183">
        <f t="shared" si="111"/>
        <v>2025</v>
      </c>
      <c r="C584" s="1220">
        <f t="shared" si="108"/>
        <v>7.7793724529023361E-2</v>
      </c>
      <c r="D584" s="1185">
        <f t="shared" si="109"/>
        <v>0</v>
      </c>
      <c r="E584" s="1227">
        <f>NPV(realdiscrt1,C$582:C584)/(1+realdiscrt3)^-Half_Year</f>
        <v>0.22612196721097852</v>
      </c>
      <c r="F584" s="1198">
        <f>NPV(realdiscrt1,D$582:D584)/(1+realdiscrt3)^-Half_Year</f>
        <v>0</v>
      </c>
      <c r="G584" s="1187" t="str">
        <f t="shared" si="110"/>
        <v>2023-Winter Targeted Charge-3</v>
      </c>
    </row>
    <row r="585" spans="1:7" s="541" customFormat="1">
      <c r="A585" s="1182">
        <f t="shared" si="112"/>
        <v>4</v>
      </c>
      <c r="B585" s="1183">
        <f t="shared" si="111"/>
        <v>2026</v>
      </c>
      <c r="C585" s="1220">
        <f t="shared" si="108"/>
        <v>6.7224688686619433E-2</v>
      </c>
      <c r="D585" s="1185">
        <f t="shared" si="109"/>
        <v>0</v>
      </c>
      <c r="E585" s="1227">
        <f>NPV(realdiscrt1,C$582:C585)/(1+realdiscrt3)^-Half_Year</f>
        <v>0.29012198867278188</v>
      </c>
      <c r="F585" s="1198">
        <f>NPV(realdiscrt1,D$582:D585)/(1+realdiscrt3)^-Half_Year</f>
        <v>0</v>
      </c>
      <c r="G585" s="1187" t="str">
        <f t="shared" si="110"/>
        <v>2023-Winter Targeted Charge-4</v>
      </c>
    </row>
    <row r="586" spans="1:7" s="541" customFormat="1">
      <c r="A586" s="1182">
        <f t="shared" si="112"/>
        <v>5</v>
      </c>
      <c r="B586" s="1183">
        <f t="shared" si="111"/>
        <v>2027</v>
      </c>
      <c r="C586" s="1220">
        <f t="shared" si="108"/>
        <v>8.1297865682359513E-2</v>
      </c>
      <c r="D586" s="1185">
        <f t="shared" si="109"/>
        <v>0</v>
      </c>
      <c r="E586" s="1227">
        <f>NPV(realdiscrt1,C$582:C586)/(1+realdiscrt3)^-Half_Year</f>
        <v>0.36644066708516387</v>
      </c>
      <c r="F586" s="1198">
        <f>NPV(realdiscrt1,D$582:D586)/(1+realdiscrt3)^-Half_Year</f>
        <v>0</v>
      </c>
      <c r="G586" s="1187" t="str">
        <f t="shared" si="110"/>
        <v>2023-Winter Targeted Charge-5</v>
      </c>
    </row>
    <row r="587" spans="1:7" s="541" customFormat="1">
      <c r="A587" s="1182">
        <f t="shared" si="112"/>
        <v>6</v>
      </c>
      <c r="B587" s="1183">
        <f t="shared" si="111"/>
        <v>2028</v>
      </c>
      <c r="C587" s="1220">
        <f t="shared" si="108"/>
        <v>7.9306109259973764E-2</v>
      </c>
      <c r="D587" s="1185">
        <f t="shared" si="109"/>
        <v>0</v>
      </c>
      <c r="E587" s="1227">
        <f>NPV(realdiscrt1,C$582:C587)/(1+realdiscrt3)^-Half_Year</f>
        <v>0.43985125770239697</v>
      </c>
      <c r="F587" s="1198">
        <f>NPV(realdiscrt1,D$582:D587)/(1+realdiscrt3)^-Half_Year</f>
        <v>0</v>
      </c>
      <c r="G587" s="1187" t="str">
        <f t="shared" si="110"/>
        <v>2023-Winter Targeted Charge-6</v>
      </c>
    </row>
    <row r="588" spans="1:7" s="541" customFormat="1">
      <c r="A588" s="1182">
        <f t="shared" si="112"/>
        <v>7</v>
      </c>
      <c r="B588" s="1183">
        <f t="shared" si="111"/>
        <v>2029</v>
      </c>
      <c r="C588" s="1220">
        <f t="shared" si="108"/>
        <v>8.0526308252624773E-2</v>
      </c>
      <c r="D588" s="1185">
        <f t="shared" si="109"/>
        <v>0</v>
      </c>
      <c r="E588" s="1227">
        <f>NPV(realdiscrt1,C$582:C588)/(1+realdiscrt3)^-Half_Year</f>
        <v>0.51335174873645317</v>
      </c>
      <c r="F588" s="1198">
        <f>NPV(realdiscrt1,D$582:D588)/(1+realdiscrt3)^-Half_Year</f>
        <v>0</v>
      </c>
      <c r="G588" s="1187" t="str">
        <f t="shared" si="110"/>
        <v>2023-Winter Targeted Charge-7</v>
      </c>
    </row>
    <row r="589" spans="1:7" s="541" customFormat="1">
      <c r="A589" s="1182">
        <f t="shared" si="112"/>
        <v>8</v>
      </c>
      <c r="B589" s="1183">
        <f t="shared" si="111"/>
        <v>2030</v>
      </c>
      <c r="C589" s="1220">
        <f t="shared" si="108"/>
        <v>7.6609797060017207E-2</v>
      </c>
      <c r="D589" s="1185">
        <f t="shared" si="109"/>
        <v>0</v>
      </c>
      <c r="E589" s="1227">
        <f>NPV(realdiscrt1,C$582:C589)/(1+realdiscrt3)^-Half_Year</f>
        <v>0.58230220435055469</v>
      </c>
      <c r="F589" s="1198">
        <f>NPV(realdiscrt1,D$582:D589)/(1+realdiscrt3)^-Half_Year</f>
        <v>0</v>
      </c>
      <c r="G589" s="1187" t="str">
        <f t="shared" si="110"/>
        <v>2023-Winter Targeted Charge-8</v>
      </c>
    </row>
    <row r="590" spans="1:7" s="541" customFormat="1">
      <c r="A590" s="1182">
        <f t="shared" si="112"/>
        <v>9</v>
      </c>
      <c r="B590" s="1183">
        <f t="shared" si="111"/>
        <v>2031</v>
      </c>
      <c r="C590" s="1220">
        <f t="shared" si="108"/>
        <v>7.6709393137223969E-2</v>
      </c>
      <c r="D590" s="1185">
        <f t="shared" si="109"/>
        <v>0</v>
      </c>
      <c r="E590" s="1227">
        <f>NPV(realdiscrt1,C$582:C590)/(1+realdiscrt3)^-Half_Year</f>
        <v>0.65037941492552775</v>
      </c>
      <c r="F590" s="1198">
        <f>NPV(realdiscrt1,D$582:D590)/(1+realdiscrt3)^-Half_Year</f>
        <v>0</v>
      </c>
      <c r="G590" s="1187" t="str">
        <f t="shared" si="110"/>
        <v>2023-Winter Targeted Charge-9</v>
      </c>
    </row>
    <row r="591" spans="1:7" s="541" customFormat="1">
      <c r="A591" s="1182">
        <f t="shared" si="112"/>
        <v>10</v>
      </c>
      <c r="B591" s="1183">
        <f t="shared" si="111"/>
        <v>2032</v>
      </c>
      <c r="C591" s="1220">
        <f t="shared" si="108"/>
        <v>6.9333374188683544E-2</v>
      </c>
      <c r="D591" s="1185">
        <f t="shared" si="109"/>
        <v>0</v>
      </c>
      <c r="E591" s="1227">
        <f>NPV(realdiscrt1,C$582:C591)/(1+realdiscrt3)^-Half_Year</f>
        <v>0.71105247771418501</v>
      </c>
      <c r="F591" s="1198">
        <f>NPV(realdiscrt1,D$582:D591)/(1+realdiscrt3)^-Half_Year</f>
        <v>0</v>
      </c>
      <c r="G591" s="1187" t="str">
        <f t="shared" si="110"/>
        <v>2023-Winter Targeted Charge-10</v>
      </c>
    </row>
    <row r="592" spans="1:7" s="541" customFormat="1">
      <c r="A592" s="1182">
        <f t="shared" si="112"/>
        <v>11</v>
      </c>
      <c r="B592" s="1183">
        <f t="shared" si="111"/>
        <v>2033</v>
      </c>
      <c r="C592" s="1220">
        <f t="shared" si="108"/>
        <v>7.7753783649006161E-2</v>
      </c>
      <c r="D592" s="1185">
        <f t="shared" si="109"/>
        <v>0</v>
      </c>
      <c r="E592" s="1227">
        <f>NPV(realdiscrt1,C$582:C592)/(1+realdiscrt3)^-Half_Year</f>
        <v>0.77814521202385811</v>
      </c>
      <c r="F592" s="1198">
        <f>NPV(realdiscrt1,D$582:D592)/(1+realdiscrt3)^-Half_Year</f>
        <v>0</v>
      </c>
      <c r="G592" s="1187" t="str">
        <f t="shared" si="110"/>
        <v>2023-Winter Targeted Charge-11</v>
      </c>
    </row>
    <row r="593" spans="1:17" s="541" customFormat="1">
      <c r="A593" s="1182">
        <f t="shared" si="112"/>
        <v>12</v>
      </c>
      <c r="B593" s="1183">
        <f t="shared" si="111"/>
        <v>2034</v>
      </c>
      <c r="C593" s="1220">
        <f t="shared" si="108"/>
        <v>7.6446050892004888E-2</v>
      </c>
      <c r="D593" s="1185">
        <f t="shared" si="109"/>
        <v>0</v>
      </c>
      <c r="E593" s="1227">
        <f>NPV(realdiscrt1,C$582:C593)/(1+realdiscrt3)^-Half_Year</f>
        <v>0.84318953416710263</v>
      </c>
      <c r="F593" s="1198">
        <f>NPV(realdiscrt1,D$582:D593)/(1+realdiscrt3)^-Half_Year</f>
        <v>0</v>
      </c>
      <c r="G593" s="1187" t="str">
        <f t="shared" si="110"/>
        <v>2023-Winter Targeted Charge-12</v>
      </c>
    </row>
    <row r="594" spans="1:17" s="541" customFormat="1">
      <c r="A594" s="1182">
        <f t="shared" si="112"/>
        <v>13</v>
      </c>
      <c r="B594" s="1183">
        <f t="shared" si="111"/>
        <v>2035</v>
      </c>
      <c r="C594" s="1220">
        <f t="shared" si="108"/>
        <v>7.7013156403132929E-2</v>
      </c>
      <c r="D594" s="1185">
        <f t="shared" si="109"/>
        <v>0</v>
      </c>
      <c r="E594" s="1227">
        <f>NPV(realdiscrt1,C$582:C594)/(1+realdiscrt3)^-Half_Year</f>
        <v>0.90780249421549675</v>
      </c>
      <c r="F594" s="1198">
        <f>NPV(realdiscrt1,D$582:D594)/(1+realdiscrt3)^-Half_Year</f>
        <v>0</v>
      </c>
      <c r="G594" s="1187" t="str">
        <f t="shared" si="110"/>
        <v>2023-Winter Targeted Charge-13</v>
      </c>
    </row>
    <row r="595" spans="1:17" s="541" customFormat="1">
      <c r="A595" s="1182">
        <f t="shared" si="112"/>
        <v>14</v>
      </c>
      <c r="B595" s="1183">
        <f t="shared" si="111"/>
        <v>2036</v>
      </c>
      <c r="C595" s="1220">
        <f t="shared" si="108"/>
        <v>7.7134756628192691E-2</v>
      </c>
      <c r="D595" s="1185">
        <f t="shared" si="109"/>
        <v>0</v>
      </c>
      <c r="E595" s="1227">
        <f>NPV(realdiscrt1,C$582:C595)/(1+realdiscrt3)^-Half_Year</f>
        <v>0.9716149127043614</v>
      </c>
      <c r="F595" s="1198">
        <f>NPV(realdiscrt1,D$582:D595)/(1+realdiscrt3)^-Half_Year</f>
        <v>0</v>
      </c>
      <c r="G595" s="1187" t="str">
        <f t="shared" si="110"/>
        <v>2023-Winter Targeted Charge-14</v>
      </c>
    </row>
    <row r="596" spans="1:17" s="541" customFormat="1">
      <c r="A596" s="1182">
        <f t="shared" si="112"/>
        <v>15</v>
      </c>
      <c r="B596" s="1183">
        <f t="shared" si="111"/>
        <v>2037</v>
      </c>
      <c r="C596" s="1220">
        <f t="shared" si="108"/>
        <v>7.727735227731343E-2</v>
      </c>
      <c r="D596" s="1185">
        <f t="shared" si="109"/>
        <v>0</v>
      </c>
      <c r="E596" s="1227">
        <f>NPV(realdiscrt1,C$582:C596)/(1+realdiscrt3)^-Half_Year</f>
        <v>1.0346536785115203</v>
      </c>
      <c r="F596" s="1198">
        <f>NPV(realdiscrt1,D$582:D596)/(1+realdiscrt3)^-Half_Year</f>
        <v>0</v>
      </c>
      <c r="G596" s="1187" t="str">
        <f t="shared" si="110"/>
        <v>2023-Winter Targeted Charge-15</v>
      </c>
    </row>
    <row r="597" spans="1:17" s="541" customFormat="1">
      <c r="A597" s="1182">
        <f t="shared" si="112"/>
        <v>16</v>
      </c>
      <c r="B597" s="1183">
        <f t="shared" si="111"/>
        <v>2038</v>
      </c>
      <c r="C597" s="1220">
        <f t="shared" si="108"/>
        <v>7.7442490093953736E-2</v>
      </c>
      <c r="D597" s="1185">
        <f t="shared" si="109"/>
        <v>0</v>
      </c>
      <c r="E597" s="1227">
        <f>NPV(realdiscrt1,C$582:C597)/(1+realdiscrt3)^-Half_Year</f>
        <v>1.0969460914942446</v>
      </c>
      <c r="F597" s="1198">
        <f>NPV(realdiscrt1,D$582:D597)/(1+realdiscrt3)^-Half_Year</f>
        <v>0</v>
      </c>
      <c r="G597" s="1187" t="str">
        <f t="shared" si="110"/>
        <v>2023-Winter Targeted Charge-16</v>
      </c>
    </row>
    <row r="598" spans="1:17" s="541" customFormat="1">
      <c r="A598" s="1182">
        <f t="shared" si="112"/>
        <v>17</v>
      </c>
      <c r="B598" s="1183">
        <f t="shared" si="111"/>
        <v>2039</v>
      </c>
      <c r="C598" s="1220">
        <f t="shared" si="108"/>
        <v>7.7631832669687068E-2</v>
      </c>
      <c r="D598" s="1185">
        <f t="shared" si="109"/>
        <v>0</v>
      </c>
      <c r="E598" s="1227">
        <f>NPV(realdiscrt1,C$582:C598)/(1+realdiscrt3)^-Half_Year</f>
        <v>1.1585199063081673</v>
      </c>
      <c r="F598" s="1198">
        <f>NPV(realdiscrt1,D$582:D598)/(1+realdiscrt3)^-Half_Year</f>
        <v>0</v>
      </c>
      <c r="G598" s="1187" t="str">
        <f t="shared" si="110"/>
        <v>2023-Winter Targeted Charge-17</v>
      </c>
    </row>
    <row r="599" spans="1:17" s="541" customFormat="1">
      <c r="A599" s="1182">
        <f t="shared" si="112"/>
        <v>18</v>
      </c>
      <c r="B599" s="1183">
        <f t="shared" si="111"/>
        <v>2040</v>
      </c>
      <c r="C599" s="1220">
        <f t="shared" si="108"/>
        <v>7.7847167116937538E-2</v>
      </c>
      <c r="D599" s="1185">
        <f t="shared" si="109"/>
        <v>0</v>
      </c>
      <c r="E599" s="1227">
        <f>NPV(realdiscrt1,C$582:C599)/(1+realdiscrt3)^-Half_Year</f>
        <v>1.2194033785419074</v>
      </c>
      <c r="F599" s="1198">
        <f>NPV(realdiscrt1,D$582:D599)/(1+realdiscrt3)^-Half_Year</f>
        <v>0</v>
      </c>
      <c r="G599" s="1187" t="str">
        <f t="shared" si="110"/>
        <v>2023-Winter Targeted Charge-18</v>
      </c>
    </row>
    <row r="600" spans="1:17" s="541" customFormat="1">
      <c r="A600" s="1182">
        <f t="shared" si="112"/>
        <v>19</v>
      </c>
      <c r="B600" s="1183">
        <f t="shared" si="111"/>
        <v>2041</v>
      </c>
      <c r="C600" s="1220">
        <f t="shared" si="108"/>
        <v>7.8090414390991195E-2</v>
      </c>
      <c r="D600" s="1185">
        <f t="shared" si="109"/>
        <v>0</v>
      </c>
      <c r="E600" s="1227">
        <f>NPV(realdiscrt1,C$582:C600)/(1+realdiscrt3)^-Half_Year</f>
        <v>1.2796253133109854</v>
      </c>
      <c r="F600" s="1198">
        <f>NPV(realdiscrt1,D$582:D600)/(1+realdiscrt3)^-Half_Year</f>
        <v>0</v>
      </c>
      <c r="G600" s="1187" t="str">
        <f t="shared" si="110"/>
        <v>2023-Winter Targeted Charge-19</v>
      </c>
    </row>
    <row r="601" spans="1:17" s="541" customFormat="1">
      <c r="A601" s="1182">
        <f t="shared" si="112"/>
        <v>20</v>
      </c>
      <c r="B601" s="1183">
        <f t="shared" si="111"/>
        <v>2042</v>
      </c>
      <c r="C601" s="1220">
        <f t="shared" si="108"/>
        <v>7.8363639309890001E-2</v>
      </c>
      <c r="D601" s="1185">
        <f t="shared" si="109"/>
        <v>0</v>
      </c>
      <c r="E601" s="1227">
        <f>NPV(realdiscrt1,C$582:C601)/(1+realdiscrt3)^-Half_Year</f>
        <v>1.3392151164631285</v>
      </c>
      <c r="F601" s="1198">
        <f>NPV(realdiscrt1,D$582:D601)/(1+realdiscrt3)^-Half_Year</f>
        <v>0</v>
      </c>
      <c r="G601" s="1187" t="str">
        <f t="shared" si="110"/>
        <v>2023-Winter Targeted Charge-20</v>
      </c>
    </row>
    <row r="602" spans="1:17" s="541" customFormat="1">
      <c r="A602" s="1182">
        <f t="shared" si="112"/>
        <v>21</v>
      </c>
      <c r="B602" s="1183">
        <f t="shared" si="111"/>
        <v>2043</v>
      </c>
      <c r="C602" s="1220">
        <f t="shared" si="108"/>
        <v>7.8669061324455072E-2</v>
      </c>
      <c r="D602" s="1185">
        <f t="shared" si="109"/>
        <v>0</v>
      </c>
      <c r="E602" s="1227">
        <f>NPV(realdiscrt1,C$582:C602)/(1+realdiscrt3)^-Half_Year</f>
        <v>1.3982028485560989</v>
      </c>
      <c r="F602" s="1198">
        <f>NPV(realdiscrt1,D$582:D602)/(1+realdiscrt3)^-Half_Year</f>
        <v>0</v>
      </c>
      <c r="G602" s="1187" t="str">
        <f t="shared" si="110"/>
        <v>2023-Winter Targeted Charge-21</v>
      </c>
    </row>
    <row r="603" spans="1:17" s="541" customFormat="1">
      <c r="A603" s="1182">
        <f t="shared" si="112"/>
        <v>22</v>
      </c>
      <c r="B603" s="1183">
        <f t="shared" si="111"/>
        <v>2044</v>
      </c>
      <c r="C603" s="1220">
        <f t="shared" si="108"/>
        <v>7.9009066094596209E-2</v>
      </c>
      <c r="D603" s="1185">
        <f t="shared" si="109"/>
        <v>0</v>
      </c>
      <c r="E603" s="1227">
        <f>NPV(realdiscrt1,C$582:C603)/(1+realdiscrt3)^-Half_Year</f>
        <v>1.456619281778736</v>
      </c>
      <c r="F603" s="1198">
        <f>NPV(realdiscrt1,D$582:D603)/(1+realdiscrt3)^-Half_Year</f>
        <v>0</v>
      </c>
      <c r="G603" s="1187" t="str">
        <f t="shared" si="110"/>
        <v>2023-Winter Targeted Charge-22</v>
      </c>
    </row>
    <row r="604" spans="1:17" s="541" customFormat="1">
      <c r="A604" s="1182">
        <f t="shared" si="112"/>
        <v>23</v>
      </c>
      <c r="B604" s="1183">
        <f t="shared" si="111"/>
        <v>2045</v>
      </c>
      <c r="C604" s="1220">
        <f t="shared" si="108"/>
        <v>7.9386217932270256E-2</v>
      </c>
      <c r="D604" s="1185">
        <f t="shared" si="109"/>
        <v>0</v>
      </c>
      <c r="E604" s="1227">
        <f>NPV(realdiscrt1,C$582:C604)/(1+realdiscrt3)^-Half_Year</f>
        <v>1.5144959599960666</v>
      </c>
      <c r="F604" s="1198">
        <f>NPV(realdiscrt1,D$582:D604)/(1+realdiscrt3)^-Half_Year</f>
        <v>0</v>
      </c>
      <c r="G604" s="1187" t="str">
        <f t="shared" si="110"/>
        <v>2023-Winter Targeted Charge-23</v>
      </c>
    </row>
    <row r="605" spans="1:17" s="541" customFormat="1">
      <c r="A605" s="1182">
        <f t="shared" si="112"/>
        <v>24</v>
      </c>
      <c r="B605" s="1183">
        <f t="shared" si="111"/>
        <v>2046</v>
      </c>
      <c r="C605" s="1220">
        <f t="shared" si="108"/>
        <v>7.9803273175968442E-2</v>
      </c>
      <c r="D605" s="1185">
        <f t="shared" si="109"/>
        <v>0</v>
      </c>
      <c r="E605" s="1227">
        <f>NPV(realdiscrt1,C$582:C605)/(1+realdiscrt3)^-Half_Year</f>
        <v>1.5718652621100737</v>
      </c>
      <c r="F605" s="1198">
        <f>NPV(realdiscrt1,D$582:D605)/(1+realdiscrt3)^-Half_Year</f>
        <v>0</v>
      </c>
      <c r="G605" s="1187" t="str">
        <f t="shared" si="110"/>
        <v>2023-Winter Targeted Charge-24</v>
      </c>
    </row>
    <row r="606" spans="1:17" s="541" customFormat="1">
      <c r="A606" s="1208">
        <f t="shared" si="112"/>
        <v>25</v>
      </c>
      <c r="B606" s="1223">
        <f t="shared" si="111"/>
        <v>2047</v>
      </c>
      <c r="C606" s="1221">
        <f t="shared" si="108"/>
        <v>8.0263194566470908E-2</v>
      </c>
      <c r="D606" s="1222">
        <f t="shared" si="109"/>
        <v>0</v>
      </c>
      <c r="E606" s="1224">
        <f>NPV(realdiscrt1,C$582:C606)/(1+realdiscrt3)^-Half_Year</f>
        <v>1.6287604689391253</v>
      </c>
      <c r="F606" s="1199">
        <f>NPV(realdiscrt1,D$582:D606)/(1+realdiscrt3)^-Half_Year</f>
        <v>0</v>
      </c>
      <c r="G606" s="1200" t="str">
        <f t="shared" si="110"/>
        <v>2023-Winter Targeted Charge-25</v>
      </c>
    </row>
    <row r="607" spans="1:17">
      <c r="H607" s="541"/>
      <c r="I607" s="541"/>
      <c r="J607" s="541"/>
      <c r="K607" s="541"/>
      <c r="L607" s="541"/>
      <c r="M607" s="541"/>
      <c r="N607" s="541"/>
      <c r="O607" s="541"/>
      <c r="P607" s="541"/>
      <c r="Q607" s="541"/>
    </row>
    <row r="608" spans="1:17">
      <c r="H608" s="541"/>
      <c r="O608" s="541"/>
      <c r="P608" s="541"/>
      <c r="Q608" s="541"/>
    </row>
    <row r="609" spans="1:17" s="541" customFormat="1">
      <c r="A609" s="1144"/>
      <c r="B609" s="1144"/>
      <c r="C609" s="1144"/>
      <c r="D609" s="1144"/>
      <c r="E609" s="1144"/>
      <c r="F609" s="1144"/>
      <c r="G609" s="1144"/>
      <c r="I609" s="1144"/>
      <c r="J609" s="1144"/>
      <c r="K609" s="1144"/>
      <c r="L609" s="1144"/>
      <c r="M609" s="1144"/>
      <c r="N609" s="1144"/>
    </row>
    <row r="610" spans="1:17" s="1161" customFormat="1">
      <c r="A610" s="1144"/>
      <c r="B610" s="1144"/>
      <c r="C610" s="1144"/>
      <c r="D610" s="1144"/>
      <c r="E610" s="1144"/>
      <c r="F610" s="1144"/>
      <c r="G610" s="1144"/>
      <c r="H610" s="1144"/>
      <c r="I610" s="1144"/>
      <c r="J610" s="1144"/>
      <c r="K610" s="1144"/>
      <c r="L610" s="1144"/>
      <c r="M610" s="1144"/>
      <c r="N610" s="1144"/>
      <c r="O610" s="541"/>
      <c r="P610" s="541"/>
      <c r="Q610" s="541"/>
    </row>
    <row r="611" spans="1:17" s="1201" customFormat="1">
      <c r="A611" s="1144"/>
      <c r="B611" s="1144"/>
      <c r="C611" s="1144"/>
      <c r="D611" s="1144"/>
      <c r="E611" s="1144"/>
      <c r="F611" s="1144"/>
      <c r="G611" s="1144"/>
      <c r="H611" s="1144"/>
      <c r="I611" s="1144"/>
      <c r="J611" s="1144"/>
      <c r="K611" s="1144"/>
      <c r="L611" s="1144"/>
      <c r="M611" s="1144"/>
      <c r="N611" s="1144"/>
      <c r="O611" s="541"/>
      <c r="P611" s="541"/>
      <c r="Q611" s="541"/>
    </row>
    <row r="612" spans="1:17" s="541" customFormat="1">
      <c r="A612" s="1144"/>
      <c r="B612" s="1144"/>
      <c r="C612" s="1144"/>
      <c r="D612" s="1144"/>
      <c r="E612" s="1144"/>
      <c r="F612" s="1144"/>
      <c r="G612" s="1144"/>
      <c r="I612" s="1144"/>
      <c r="J612" s="1144"/>
      <c r="K612" s="1144"/>
      <c r="L612" s="1144"/>
      <c r="M612" s="1144"/>
      <c r="N612" s="1144"/>
    </row>
    <row r="613" spans="1:17" s="541" customFormat="1">
      <c r="A613" s="1144"/>
      <c r="B613" s="1144"/>
      <c r="C613" s="1144"/>
      <c r="D613" s="1144"/>
      <c r="E613" s="1144"/>
      <c r="F613" s="1144"/>
      <c r="G613" s="1144"/>
      <c r="H613" s="1161"/>
      <c r="I613" s="1144"/>
      <c r="J613" s="1144"/>
      <c r="K613" s="1144"/>
      <c r="L613" s="1144"/>
      <c r="M613" s="1144"/>
      <c r="N613" s="1144"/>
    </row>
    <row r="614" spans="1:17" s="541" customFormat="1">
      <c r="A614" s="1144"/>
      <c r="B614" s="1144"/>
      <c r="C614" s="1144"/>
      <c r="D614" s="1144"/>
      <c r="E614" s="1144"/>
      <c r="F614" s="1144"/>
      <c r="G614" s="1144"/>
      <c r="H614" s="1201"/>
      <c r="I614" s="1144"/>
      <c r="J614" s="1144"/>
      <c r="K614" s="1144"/>
      <c r="L614" s="1144"/>
      <c r="M614" s="1144"/>
      <c r="N614" s="1144"/>
    </row>
    <row r="615" spans="1:17" s="541" customFormat="1">
      <c r="A615" s="1144"/>
      <c r="B615" s="1144"/>
      <c r="C615" s="1144"/>
      <c r="D615" s="1144"/>
      <c r="E615" s="1144"/>
      <c r="F615" s="1144"/>
      <c r="G615" s="1144"/>
      <c r="I615" s="1144"/>
      <c r="J615" s="1144"/>
      <c r="K615" s="1144"/>
      <c r="L615" s="1144"/>
      <c r="M615" s="1144"/>
      <c r="N615" s="1144"/>
    </row>
    <row r="616" spans="1:17" s="541" customFormat="1">
      <c r="A616" s="1144"/>
      <c r="B616" s="1144"/>
      <c r="C616" s="1144"/>
      <c r="D616" s="1144"/>
      <c r="E616" s="1144"/>
      <c r="F616" s="1144"/>
      <c r="G616" s="1144"/>
      <c r="I616" s="1144"/>
      <c r="J616" s="1144"/>
      <c r="K616" s="1144"/>
      <c r="L616" s="1144"/>
      <c r="M616" s="1144"/>
      <c r="N616" s="1144"/>
    </row>
    <row r="617" spans="1:17" s="541" customFormat="1">
      <c r="A617" s="1144"/>
      <c r="B617" s="1144"/>
      <c r="C617" s="1144"/>
      <c r="D617" s="1144"/>
      <c r="E617" s="1144"/>
      <c r="F617" s="1144"/>
      <c r="G617" s="1144"/>
      <c r="I617" s="1144"/>
      <c r="J617" s="1144"/>
      <c r="K617" s="1144"/>
      <c r="L617" s="1144"/>
      <c r="M617" s="1144"/>
      <c r="N617" s="1144"/>
    </row>
    <row r="618" spans="1:17">
      <c r="H618" s="541"/>
    </row>
    <row r="619" spans="1:17">
      <c r="H619" s="541"/>
    </row>
    <row r="620" spans="1:17">
      <c r="H620" s="541"/>
    </row>
  </sheetData>
  <mergeCells count="29">
    <mergeCell ref="A524:B524"/>
    <mergeCell ref="I524:I526"/>
    <mergeCell ref="N524:N526"/>
    <mergeCell ref="A523:N523"/>
    <mergeCell ref="A354:B354"/>
    <mergeCell ref="I354:I356"/>
    <mergeCell ref="N354:N356"/>
    <mergeCell ref="A353:N353"/>
    <mergeCell ref="A439:B439"/>
    <mergeCell ref="I439:I441"/>
    <mergeCell ref="N439:N441"/>
    <mergeCell ref="A438:N438"/>
    <mergeCell ref="A98:N98"/>
    <mergeCell ref="A269:B269"/>
    <mergeCell ref="A268:N268"/>
    <mergeCell ref="I269:I271"/>
    <mergeCell ref="N269:N271"/>
    <mergeCell ref="A99:B99"/>
    <mergeCell ref="I99:I101"/>
    <mergeCell ref="N99:N101"/>
    <mergeCell ref="N184:N186"/>
    <mergeCell ref="A184:B184"/>
    <mergeCell ref="A183:N183"/>
    <mergeCell ref="I184:I186"/>
    <mergeCell ref="K8:M9"/>
    <mergeCell ref="I14:I16"/>
    <mergeCell ref="N14:N16"/>
    <mergeCell ref="A14:B14"/>
    <mergeCell ref="A13:N13"/>
  </mergeCells>
  <dataValidations count="2">
    <dataValidation type="list" allowBlank="1" showInputMessage="1" showErrorMessage="1" sqref="C4:C10">
      <formula1>"Main 2018 AESC, Energy Efficiency, High Load"</formula1>
    </dataValidation>
    <dataValidation type="list" allowBlank="1" showInputMessage="1" showErrorMessage="1" sqref="D4:D10">
      <formula1>"Default,User Input,Peak Load (Top %), Peak Load (Top MW), Peak Price (Top %), Peak Price (Top $/MWh)"</formula1>
    </dataValidation>
  </dataValidations>
  <hyperlinks>
    <hyperlink ref="B4" location="AvoidedEnergy!A13" display="Strategy 1"/>
    <hyperlink ref="B10" location="AvoidedEnergy!A523" display="Strategy 7"/>
    <hyperlink ref="B5" location="AvoidedEnergy!A98" display="Strategy 2"/>
    <hyperlink ref="B6" location="AvoidedEnergy!A183" display="Strategy 3"/>
    <hyperlink ref="B7" location="AvoidedEnergy!A268" display="Strategy 4"/>
    <hyperlink ref="B8" location="AvoidedEnergy!A353" display="Strategy 5"/>
    <hyperlink ref="B9" location="AvoidedEnergy!A438" display="Strategy 6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7"/>
  <sheetViews>
    <sheetView showGridLines="0" tabSelected="1" zoomScale="90" zoomScaleNormal="90" zoomScaleSheetLayoutView="90" zoomScalePageLayoutView="60" workbookViewId="0">
      <selection activeCell="M16" sqref="M16"/>
    </sheetView>
  </sheetViews>
  <sheetFormatPr defaultColWidth="10" defaultRowHeight="12.75"/>
  <cols>
    <col min="1" max="1" width="37" style="118" customWidth="1"/>
    <col min="2" max="6" width="11.42578125" style="118" customWidth="1"/>
    <col min="7" max="7" width="11.42578125" style="230" customWidth="1"/>
    <col min="8" max="9" width="11.42578125" style="118" customWidth="1"/>
    <col min="10" max="10" width="11.42578125" style="231" customWidth="1"/>
    <col min="11" max="12" width="11.42578125" style="118" hidden="1" customWidth="1"/>
    <col min="13" max="14" width="19.28515625" style="118" customWidth="1"/>
    <col min="15" max="15" width="16.28515625" style="118" bestFit="1" customWidth="1"/>
    <col min="16" max="16" width="10" style="118"/>
    <col min="17" max="17" width="21.28515625" style="118" customWidth="1"/>
    <col min="18" max="16384" width="10" style="118"/>
  </cols>
  <sheetData>
    <row r="1" spans="1:28">
      <c r="A1" s="117"/>
      <c r="B1" s="117"/>
      <c r="C1" s="117"/>
      <c r="D1" s="117"/>
      <c r="E1" s="117"/>
      <c r="F1" s="117"/>
      <c r="G1" s="225"/>
      <c r="H1" s="117"/>
      <c r="I1" s="117"/>
      <c r="J1" s="1262"/>
      <c r="K1" s="117"/>
    </row>
    <row r="2" spans="1:28">
      <c r="A2" s="117"/>
      <c r="B2" s="117"/>
      <c r="C2" s="117"/>
      <c r="D2" s="117"/>
      <c r="E2" s="117"/>
      <c r="F2" s="117"/>
      <c r="G2" s="225"/>
      <c r="H2" s="117"/>
      <c r="I2" s="117"/>
      <c r="J2" s="171"/>
      <c r="K2" s="117"/>
    </row>
    <row r="3" spans="1:28">
      <c r="A3" s="117"/>
      <c r="B3" s="117"/>
      <c r="C3" s="117"/>
      <c r="D3" s="117"/>
      <c r="E3" s="117"/>
      <c r="F3" s="117"/>
      <c r="G3" s="225"/>
      <c r="H3" s="117"/>
      <c r="I3" s="117"/>
      <c r="J3" s="200"/>
      <c r="K3" s="117"/>
      <c r="L3" s="171"/>
    </row>
    <row r="4" spans="1:28">
      <c r="A4" s="117"/>
      <c r="B4" s="117"/>
      <c r="C4" s="117"/>
      <c r="D4" s="117"/>
      <c r="E4" s="117"/>
      <c r="F4" s="117"/>
      <c r="G4" s="225"/>
      <c r="H4" s="117"/>
      <c r="I4" s="117"/>
      <c r="J4" s="200"/>
      <c r="K4" s="117"/>
      <c r="L4" s="171"/>
    </row>
    <row r="5" spans="1:28">
      <c r="A5" s="117"/>
      <c r="B5" s="117"/>
      <c r="C5" s="117"/>
      <c r="D5" s="956"/>
      <c r="E5" s="956"/>
      <c r="F5" s="956"/>
      <c r="G5" s="956"/>
      <c r="H5" s="956"/>
      <c r="I5" s="956"/>
      <c r="J5" s="956"/>
      <c r="K5" s="956"/>
      <c r="L5" s="956"/>
    </row>
    <row r="6" spans="1:28" ht="15.75">
      <c r="A6" s="1650" t="s">
        <v>927</v>
      </c>
      <c r="B6" s="1650"/>
      <c r="C6" s="1650"/>
      <c r="D6" s="1650"/>
      <c r="E6" s="1650"/>
      <c r="F6" s="1650"/>
      <c r="G6" s="1650"/>
      <c r="H6" s="1650"/>
      <c r="I6" s="1650"/>
      <c r="J6" s="1650"/>
      <c r="K6" s="1650"/>
      <c r="L6" s="1650"/>
    </row>
    <row r="7" spans="1:28" s="1266" customFormat="1" ht="13.5" thickBot="1">
      <c r="A7" s="1263"/>
      <c r="B7" s="1263"/>
      <c r="C7" s="1263"/>
      <c r="D7" s="1264"/>
      <c r="E7" s="1263"/>
      <c r="F7" s="1265"/>
      <c r="G7" s="1265"/>
      <c r="H7" s="1264"/>
      <c r="I7" s="1264"/>
      <c r="J7" s="1264"/>
      <c r="K7" s="1264"/>
      <c r="L7" s="1265"/>
    </row>
    <row r="8" spans="1:28" ht="13.5" thickBot="1">
      <c r="A8" s="1292">
        <f>Year1</f>
        <v>2021</v>
      </c>
      <c r="B8" s="1293"/>
      <c r="C8" s="1294"/>
      <c r="D8" s="1295"/>
      <c r="E8" s="1296"/>
      <c r="F8" s="1297"/>
      <c r="G8" s="1297"/>
      <c r="H8" s="1297"/>
      <c r="I8" s="1297"/>
      <c r="J8" s="1298"/>
      <c r="K8" s="1297"/>
      <c r="L8" s="1298"/>
    </row>
    <row r="9" spans="1:28" ht="50.25" thickBot="1">
      <c r="A9" s="122"/>
      <c r="B9" s="1407" t="s">
        <v>983</v>
      </c>
      <c r="C9" s="1407" t="s">
        <v>980</v>
      </c>
      <c r="D9" s="1406" t="s">
        <v>981</v>
      </c>
      <c r="E9" s="1406" t="s">
        <v>982</v>
      </c>
      <c r="F9" s="1400" t="s">
        <v>294</v>
      </c>
      <c r="G9" s="1401" t="s">
        <v>295</v>
      </c>
      <c r="H9" s="1400" t="s">
        <v>296</v>
      </c>
      <c r="I9" s="1402" t="s">
        <v>297</v>
      </c>
      <c r="J9" s="1403" t="s">
        <v>298</v>
      </c>
      <c r="K9" s="123" t="s">
        <v>299</v>
      </c>
      <c r="L9" s="124" t="s">
        <v>300</v>
      </c>
    </row>
    <row r="10" spans="1:28">
      <c r="A10" s="172" t="s">
        <v>301</v>
      </c>
      <c r="B10" s="126"/>
      <c r="C10" s="126"/>
      <c r="D10" s="126"/>
      <c r="E10" s="126"/>
      <c r="F10" s="126"/>
      <c r="G10" s="226"/>
      <c r="H10" s="126"/>
      <c r="I10" s="126"/>
      <c r="J10" s="1360"/>
      <c r="K10" s="126"/>
      <c r="L10" s="127"/>
      <c r="N10" s="233"/>
    </row>
    <row r="11" spans="1:28" hidden="1">
      <c r="A11" s="173" t="s">
        <v>271</v>
      </c>
      <c r="B11" s="184">
        <f ca="1">IFERROR(IF(C11=0,0,C11/(D11+E11)),"")</f>
        <v>0</v>
      </c>
      <c r="C11" s="233">
        <f ca="1">SUMIFS('Master Data'!$CK$2:$CK$12,'Master Data'!$F$2:$F$12,$A11,'Master Data'!$C$2:$C$12,$A$8)/1000</f>
        <v>0</v>
      </c>
      <c r="D11" s="233">
        <f>SUMIFS('Master Data'!$O$2:$O$12,'Master Data'!$F$2:$F$12,$A11,'Master Data'!$C$2:$C$12,$A$8)/1000</f>
        <v>0</v>
      </c>
      <c r="E11" s="233">
        <f ca="1">SUMIFS('Master Data'!$S$2:$S$12,'Master Data'!$F$2:$F$12,$A11,'Master Data'!$C$2:$C$12,$A$8)/1000</f>
        <v>0</v>
      </c>
      <c r="F11" s="233">
        <f ca="1">SUMIFS('Master Data'!$Y$2:$Y$12,'Master Data'!$F$2:$F$12,$A11,'Master Data'!$C$2:$C$12,$A$8)</f>
        <v>0</v>
      </c>
      <c r="G11" s="233">
        <f ca="1">SUMIFS('Master Data'!$AA$2:$AA$12,'Master Data'!$F$2:$F$12,$A11,'Master Data'!$C$2:$C$12,$A$8)</f>
        <v>0</v>
      </c>
      <c r="H11" s="233">
        <f ca="1">SUMIFS('Master Data'!$W$2:$W$12,'Master Data'!$F$2:$F$12,$A11,'Master Data'!$C$2:$C$12,$A$8)</f>
        <v>0</v>
      </c>
      <c r="I11" s="233">
        <f ca="1">SUMIFS('Master Data'!$X$2:$X$12,'Master Data'!$F$2:$F$12,$A11,'Master Data'!$C$2:$C$12,$A$8)</f>
        <v>0</v>
      </c>
      <c r="J11" s="1361">
        <f>SUMIFS(ADRYr1!$G$5:$G$50,ADRYr1!$B$5:$B$50,A11)</f>
        <v>0</v>
      </c>
      <c r="K11" s="233">
        <f ca="1">SUMIFS('Master Data'!$BC$2:$BC$12,'Master Data'!$F$2:$F$12,$A11,'Master Data'!$C$2:$C$12,$A$8)</f>
        <v>0</v>
      </c>
      <c r="L11" s="174">
        <f ca="1">SUMIFS('Master Data'!$BD$2:$BD$12,'Master Data'!$F$2:$F$12,$A11,'Master Data'!$C$2:$C$12,$A$8)</f>
        <v>0</v>
      </c>
      <c r="N11" s="184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0"/>
      <c r="AB11" s="780"/>
    </row>
    <row r="12" spans="1:28">
      <c r="A12" s="942" t="s">
        <v>962</v>
      </c>
      <c r="B12" s="184">
        <f ca="1">IFERROR(IF(C12=0,0,C12/(D12)),"")</f>
        <v>0.786910185686853</v>
      </c>
      <c r="C12" s="233">
        <f ca="1">SUMIFS('Master Data'!$CL$2:$CL$12,'Master Data'!$F$2:$F$12,$A12,'Master Data'!$C$2:$C$12,$A$8)/1000</f>
        <v>27.148401406196427</v>
      </c>
      <c r="D12" s="233">
        <f>SUMIFS('Master Data'!$O$2:$O$12,'Master Data'!$F$2:$F$12,$A12,'Master Data'!$C$2:$C$12,$A$8)/1000</f>
        <v>34.5</v>
      </c>
      <c r="E12" s="233">
        <f ca="1">SUMIFS('Master Data'!$S$2:$S$12,'Master Data'!$F$2:$F$12,$A12,'Master Data'!$C$2:$C$12,$A$8)/1000</f>
        <v>0</v>
      </c>
      <c r="F12" s="233">
        <f ca="1">SUMIFS('Master Data'!$Y$2:$Y$12,'Master Data'!$F$2:$F$12,$A12,'Master Data'!$C$2:$C$12,$A$8)</f>
        <v>0</v>
      </c>
      <c r="G12" s="233">
        <f ca="1">SUMIFS('Master Data'!$AA$2:$AA$12,'Master Data'!$F$2:$F$12,$A12,'Master Data'!$C$2:$C$12,$A$8)</f>
        <v>0</v>
      </c>
      <c r="H12" s="233">
        <f ca="1">SUMIFS('Master Data'!$W$2:$W$12,'Master Data'!$F$2:$F$12,$A12,'Master Data'!$C$2:$C$12,$A$8)</f>
        <v>0</v>
      </c>
      <c r="I12" s="233">
        <f ca="1">SUMIFS('Master Data'!$X$2:$X$12,'Master Data'!$F$2:$F$12,$A12,'Master Data'!$C$2:$C$12,$A$8)</f>
        <v>125</v>
      </c>
      <c r="J12" s="1361">
        <f>0.5*SUMIFS(ADRYr1!$G$5:$G$50,ADRYr1!$B$5:$B$50,A12)</f>
        <v>125</v>
      </c>
      <c r="K12" s="233">
        <f ca="1">SUMIFS('Master Data'!$BC$2:$BC$12,'Master Data'!$F$2:$F$12,$A12,'Master Data'!$C$2:$C$12,$A$8)</f>
        <v>0</v>
      </c>
      <c r="L12" s="174">
        <f ca="1">SUMIFS('Master Data'!$BD$2:$BD$12,'Master Data'!$F$2:$F$12,$A12,'Master Data'!$C$2:$C$12,$A$8)</f>
        <v>0</v>
      </c>
      <c r="N12" s="184"/>
      <c r="O12" s="781"/>
      <c r="P12" s="781"/>
      <c r="Q12" s="781"/>
      <c r="R12" s="781"/>
      <c r="S12" s="781"/>
      <c r="T12" s="781"/>
      <c r="U12" s="781"/>
      <c r="V12" s="781"/>
      <c r="W12" s="781"/>
      <c r="X12" s="781"/>
      <c r="Y12" s="781"/>
    </row>
    <row r="13" spans="1:28">
      <c r="A13" s="183" t="s">
        <v>404</v>
      </c>
      <c r="B13" s="185">
        <f ca="1">IFERROR(IF(C13=0,0,C13/(D13)),"")</f>
        <v>0.786910185686853</v>
      </c>
      <c r="C13" s="235">
        <f t="shared" ref="C13:L13" ca="1" si="0">SUM(C11:C12)</f>
        <v>27.148401406196427</v>
      </c>
      <c r="D13" s="235">
        <f t="shared" si="0"/>
        <v>34.5</v>
      </c>
      <c r="E13" s="235">
        <f t="shared" ca="1" si="0"/>
        <v>0</v>
      </c>
      <c r="F13" s="180">
        <f t="shared" ca="1" si="0"/>
        <v>0</v>
      </c>
      <c r="G13" s="236">
        <f t="shared" ca="1" si="0"/>
        <v>0</v>
      </c>
      <c r="H13" s="180">
        <f t="shared" ca="1" si="0"/>
        <v>0</v>
      </c>
      <c r="I13" s="180">
        <f t="shared" ca="1" si="0"/>
        <v>125</v>
      </c>
      <c r="J13" s="1362">
        <f t="shared" si="0"/>
        <v>125</v>
      </c>
      <c r="K13" s="1267">
        <f t="shared" ca="1" si="0"/>
        <v>0</v>
      </c>
      <c r="L13" s="1268">
        <f t="shared" ca="1" si="0"/>
        <v>0</v>
      </c>
      <c r="N13" s="184"/>
      <c r="O13" s="781"/>
      <c r="P13" s="781"/>
      <c r="Q13" s="781"/>
      <c r="R13" s="781"/>
      <c r="S13" s="781"/>
      <c r="T13" s="781"/>
      <c r="U13" s="781"/>
      <c r="V13" s="781"/>
      <c r="W13" s="781"/>
      <c r="X13" s="781"/>
      <c r="Y13" s="781"/>
    </row>
    <row r="14" spans="1:28">
      <c r="A14" s="128"/>
      <c r="B14" s="943"/>
      <c r="C14" s="944"/>
      <c r="D14" s="944"/>
      <c r="E14" s="944"/>
      <c r="F14" s="946"/>
      <c r="G14" s="947"/>
      <c r="H14" s="948"/>
      <c r="I14" s="946"/>
      <c r="J14" s="1363"/>
      <c r="K14" s="945"/>
      <c r="L14" s="949"/>
      <c r="N14" s="184"/>
      <c r="O14" s="781"/>
      <c r="P14" s="781"/>
      <c r="Q14" s="781"/>
      <c r="R14" s="781"/>
      <c r="S14" s="781"/>
      <c r="T14" s="781"/>
      <c r="U14" s="781"/>
      <c r="V14" s="781"/>
      <c r="W14" s="781"/>
      <c r="X14" s="781"/>
      <c r="Y14" s="781"/>
    </row>
    <row r="15" spans="1:28">
      <c r="A15" s="172" t="s">
        <v>401</v>
      </c>
      <c r="B15" s="184"/>
      <c r="C15" s="233"/>
      <c r="D15" s="233"/>
      <c r="E15" s="233"/>
      <c r="F15" s="181"/>
      <c r="G15" s="234"/>
      <c r="H15" s="179"/>
      <c r="I15" s="181"/>
      <c r="J15" s="1364"/>
      <c r="K15" s="177"/>
      <c r="L15" s="178"/>
      <c r="N15" s="184"/>
      <c r="O15" s="781"/>
      <c r="P15" s="781"/>
      <c r="Q15" s="781"/>
      <c r="R15" s="781"/>
      <c r="S15" s="781"/>
      <c r="T15" s="781"/>
      <c r="U15" s="781"/>
      <c r="V15" s="781"/>
      <c r="W15" s="781"/>
      <c r="X15" s="781"/>
      <c r="Y15" s="781"/>
    </row>
    <row r="16" spans="1:28">
      <c r="A16" s="942" t="s">
        <v>963</v>
      </c>
      <c r="B16" s="184">
        <f ca="1">IFERROR(IF(C16=0,0,C16/(D16)),"")</f>
        <v>3.2092102458457878</v>
      </c>
      <c r="C16" s="233">
        <f ca="1">SUMIFS('Master Data'!$CL$2:$CL$12,'Master Data'!$F$2:$F$12,$A16,'Master Data'!$C$2:$C$12,$A$8)/1000</f>
        <v>442.87101392671872</v>
      </c>
      <c r="D16" s="233">
        <f>SUMIFS('Master Data'!$O$2:$O$12,'Master Data'!$F$2:$F$12,$A16,'Master Data'!$C$2:$C$12,$A$8)/1000</f>
        <v>138</v>
      </c>
      <c r="E16" s="233">
        <f ca="1">SUMIFS('Master Data'!$S$2:$S$12,'Master Data'!$F$2:$F$12,$A16,'Master Data'!$C$2:$C$12,$A$8)/1000</f>
        <v>0</v>
      </c>
      <c r="F16" s="233">
        <f ca="1">SUMIFS('Master Data'!$Y$2:$Y$12,'Master Data'!$F$2:$F$12,$A16,'Master Data'!$C$2:$C$12,$A$8)</f>
        <v>-2.647058823529413</v>
      </c>
      <c r="G16" s="233">
        <f ca="1">SUMIFS('Master Data'!$AA$2:$AA$12,'Master Data'!$F$2:$F$12,$A16,'Master Data'!$C$2:$C$12,$A$8)</f>
        <v>-2.647058823529413</v>
      </c>
      <c r="H16" s="233">
        <f ca="1">SUMIFS('Master Data'!$W$2:$W$12,'Master Data'!$F$2:$F$12,$A16,'Master Data'!$C$2:$C$12,$A$8)</f>
        <v>0</v>
      </c>
      <c r="I16" s="233">
        <f ca="1">SUMIFS('Master Data'!$X$2:$X$12,'Master Data'!$F$2:$F$12,$A16,'Master Data'!$C$2:$C$12,$A$8)</f>
        <v>1900</v>
      </c>
      <c r="J16" s="1361">
        <v>19</v>
      </c>
      <c r="K16" s="233">
        <f ca="1">SUMIFS('Master Data'!$BC$2:$BC$12,'Master Data'!$F$2:$F$12,$A16,'Master Data'!$C$2:$C$12,$A$8)</f>
        <v>0</v>
      </c>
      <c r="L16" s="174">
        <f ca="1">SUMIFS('Master Data'!$BD$2:$BD$12,'Master Data'!$F$2:$F$12,$A16,'Master Data'!$C$2:$C$12,$A$8)</f>
        <v>0</v>
      </c>
      <c r="N16" s="184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</row>
    <row r="17" spans="1:28">
      <c r="A17" s="183" t="s">
        <v>405</v>
      </c>
      <c r="B17" s="185">
        <f ca="1">IFERROR(IF(C17=0,0,C17/(D17)),"")</f>
        <v>3.2092102458457878</v>
      </c>
      <c r="C17" s="235">
        <f t="shared" ref="C17:L17" ca="1" si="1">SUM(C16:C16)</f>
        <v>442.87101392671872</v>
      </c>
      <c r="D17" s="235">
        <f t="shared" si="1"/>
        <v>138</v>
      </c>
      <c r="E17" s="235">
        <f t="shared" ca="1" si="1"/>
        <v>0</v>
      </c>
      <c r="F17" s="180">
        <f t="shared" ca="1" si="1"/>
        <v>-2.647058823529413</v>
      </c>
      <c r="G17" s="236">
        <f t="shared" ca="1" si="1"/>
        <v>-2.647058823529413</v>
      </c>
      <c r="H17" s="180">
        <f t="shared" ca="1" si="1"/>
        <v>0</v>
      </c>
      <c r="I17" s="180">
        <f t="shared" ca="1" si="1"/>
        <v>1900</v>
      </c>
      <c r="J17" s="1365">
        <f t="shared" si="1"/>
        <v>19</v>
      </c>
      <c r="K17" s="175">
        <f t="shared" ca="1" si="1"/>
        <v>0</v>
      </c>
      <c r="L17" s="176">
        <f t="shared" ca="1" si="1"/>
        <v>0</v>
      </c>
      <c r="N17" s="184"/>
      <c r="O17" s="781"/>
      <c r="P17" s="781"/>
      <c r="Q17" s="781"/>
      <c r="R17" s="781"/>
      <c r="S17" s="781"/>
      <c r="T17" s="781"/>
      <c r="U17" s="781"/>
      <c r="V17" s="781"/>
      <c r="W17" s="781"/>
      <c r="X17" s="781"/>
      <c r="Y17" s="781"/>
    </row>
    <row r="18" spans="1:28">
      <c r="A18" s="183"/>
      <c r="B18" s="943"/>
      <c r="C18" s="944"/>
      <c r="D18" s="944"/>
      <c r="E18" s="944"/>
      <c r="F18" s="946"/>
      <c r="G18" s="947"/>
      <c r="H18" s="948"/>
      <c r="I18" s="946"/>
      <c r="J18" s="1363"/>
      <c r="K18" s="945"/>
      <c r="L18" s="949"/>
      <c r="N18" s="184"/>
      <c r="O18" s="781"/>
      <c r="P18" s="781"/>
      <c r="Q18" s="781"/>
      <c r="R18" s="781"/>
      <c r="S18" s="781"/>
      <c r="T18" s="781"/>
      <c r="U18" s="781"/>
      <c r="V18" s="781"/>
      <c r="W18" s="781"/>
      <c r="X18" s="781"/>
      <c r="Y18" s="781"/>
    </row>
    <row r="19" spans="1:28" ht="13.5" thickBot="1">
      <c r="A19" s="853" t="s">
        <v>82</v>
      </c>
      <c r="B19" s="950">
        <f ca="1">IFERROR(IF(C19=0,0,C19/(D19)),"")</f>
        <v>2.7247502338140008</v>
      </c>
      <c r="C19" s="951">
        <f ca="1">C13+C17</f>
        <v>470.01941533291517</v>
      </c>
      <c r="D19" s="951">
        <f t="shared" ref="D19:L19" si="2">D13+D17</f>
        <v>172.5</v>
      </c>
      <c r="E19" s="951">
        <f t="shared" ca="1" si="2"/>
        <v>0</v>
      </c>
      <c r="F19" s="952">
        <f t="shared" ca="1" si="2"/>
        <v>-2.647058823529413</v>
      </c>
      <c r="G19" s="953">
        <f t="shared" ca="1" si="2"/>
        <v>-2.647058823529413</v>
      </c>
      <c r="H19" s="952">
        <f t="shared" ca="1" si="2"/>
        <v>0</v>
      </c>
      <c r="I19" s="952">
        <f t="shared" ca="1" si="2"/>
        <v>2025</v>
      </c>
      <c r="J19" s="1366">
        <f t="shared" si="2"/>
        <v>144</v>
      </c>
      <c r="K19" s="954">
        <f t="shared" ca="1" si="2"/>
        <v>0</v>
      </c>
      <c r="L19" s="955">
        <f t="shared" ca="1" si="2"/>
        <v>0</v>
      </c>
      <c r="N19" s="919"/>
      <c r="O19" s="781"/>
      <c r="P19" s="781"/>
      <c r="Q19" s="781"/>
      <c r="R19" s="781"/>
      <c r="S19" s="781"/>
      <c r="T19" s="781"/>
      <c r="U19" s="781"/>
      <c r="V19" s="781"/>
      <c r="W19" s="781"/>
      <c r="X19" s="781"/>
      <c r="Y19" s="781"/>
    </row>
    <row r="20" spans="1:28">
      <c r="A20" s="1408" t="s">
        <v>984</v>
      </c>
      <c r="B20" s="129"/>
      <c r="C20" s="120"/>
      <c r="D20" s="858"/>
      <c r="E20" s="120"/>
      <c r="F20" s="852"/>
      <c r="G20" s="228"/>
      <c r="H20" s="130"/>
      <c r="I20" s="130"/>
      <c r="J20" s="120"/>
      <c r="K20" s="119"/>
      <c r="L20" s="119"/>
      <c r="M20" s="855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</row>
    <row r="21" spans="1:28">
      <c r="A21" s="121"/>
      <c r="B21" s="121"/>
      <c r="C21" s="130"/>
      <c r="D21" s="130"/>
      <c r="E21" s="130"/>
      <c r="F21" s="852"/>
      <c r="G21" s="859"/>
      <c r="H21" s="231"/>
      <c r="I21" s="231"/>
      <c r="J21" s="130"/>
      <c r="K21" s="121"/>
      <c r="L21" s="121"/>
      <c r="M21" s="15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</row>
    <row r="22" spans="1:28" hidden="1">
      <c r="A22" s="186" t="s">
        <v>303</v>
      </c>
      <c r="B22" s="187"/>
      <c r="C22" s="188">
        <f ca="1">F19*1000</f>
        <v>-2647.0588235294131</v>
      </c>
      <c r="D22" s="189">
        <f ca="1">C22/C24</f>
        <v>1</v>
      </c>
      <c r="E22" s="190" t="str">
        <f ca="1">IF(D22&gt;0.5499,"kWh &gt; 55%","kWh &lt; 55%")</f>
        <v>kWh &gt; 55%</v>
      </c>
      <c r="F22" s="187" t="s">
        <v>304</v>
      </c>
      <c r="G22" s="227"/>
      <c r="H22" s="187"/>
      <c r="I22" s="188">
        <f ca="1">G19*1000</f>
        <v>-2647.0588235294131</v>
      </c>
      <c r="J22" s="189">
        <f ca="1">I22/I24</f>
        <v>1</v>
      </c>
      <c r="K22" s="190" t="str">
        <f ca="1">IF(J22&gt;0.5499,"kWh &gt; 55%","kWh &lt; 55%")</f>
        <v>kWh &gt; 55%</v>
      </c>
      <c r="L22" s="191"/>
      <c r="M22" s="15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</row>
    <row r="23" spans="1:28" hidden="1">
      <c r="A23" s="131" t="s">
        <v>305</v>
      </c>
      <c r="B23" s="130"/>
      <c r="C23" s="132">
        <f ca="1">K19/Lookups!G$26</f>
        <v>0</v>
      </c>
      <c r="D23" s="133">
        <f ca="1">C23/C24</f>
        <v>0</v>
      </c>
      <c r="E23" s="130"/>
      <c r="F23" s="130" t="s">
        <v>306</v>
      </c>
      <c r="G23" s="228"/>
      <c r="H23" s="130"/>
      <c r="I23" s="132">
        <f ca="1">L19/Lookups!G$26</f>
        <v>0</v>
      </c>
      <c r="J23" s="133">
        <f ca="1">I23/I$24</f>
        <v>0</v>
      </c>
      <c r="K23" s="130"/>
      <c r="L23" s="134"/>
      <c r="M23" s="15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</row>
    <row r="24" spans="1:28" hidden="1">
      <c r="A24" s="136"/>
      <c r="B24" s="137"/>
      <c r="C24" s="138">
        <f ca="1">SUM(C22:C23)</f>
        <v>-2647.0588235294131</v>
      </c>
      <c r="D24" s="139">
        <f ca="1">SUM(D22:D23)</f>
        <v>1</v>
      </c>
      <c r="E24" s="137"/>
      <c r="F24" s="137"/>
      <c r="G24" s="229"/>
      <c r="H24" s="137"/>
      <c r="I24" s="138">
        <f ca="1">SUM(I22:I23)</f>
        <v>-2647.0588235294131</v>
      </c>
      <c r="J24" s="139">
        <f ca="1">SUM(J22:J23)</f>
        <v>1</v>
      </c>
      <c r="K24" s="137"/>
      <c r="L24" s="135"/>
      <c r="N24" s="781"/>
      <c r="O24" s="781"/>
      <c r="P24" s="781"/>
      <c r="Q24" s="781"/>
      <c r="R24" s="781"/>
      <c r="S24" s="781"/>
      <c r="T24" s="781"/>
      <c r="U24" s="781"/>
      <c r="V24" s="781"/>
      <c r="W24" s="781"/>
      <c r="X24" s="781"/>
      <c r="Y24" s="781"/>
    </row>
    <row r="25" spans="1:28">
      <c r="M25" s="15"/>
      <c r="N25" s="15"/>
    </row>
    <row r="26" spans="1:28" ht="13.5" thickBot="1">
      <c r="M26" s="15"/>
      <c r="N26" s="15"/>
    </row>
    <row r="27" spans="1:28" ht="13.5" thickBot="1">
      <c r="A27" s="1292">
        <f>Year2</f>
        <v>2022</v>
      </c>
      <c r="B27" s="1293"/>
      <c r="C27" s="1294"/>
      <c r="D27" s="1295"/>
      <c r="E27" s="1296"/>
      <c r="F27" s="1297"/>
      <c r="G27" s="1297"/>
      <c r="H27" s="1297"/>
      <c r="I27" s="1297"/>
      <c r="J27" s="1298"/>
      <c r="K27" s="1297"/>
      <c r="L27" s="1298"/>
    </row>
    <row r="28" spans="1:28" ht="50.25" thickBot="1">
      <c r="A28" s="122"/>
      <c r="B28" s="1407" t="s">
        <v>983</v>
      </c>
      <c r="C28" s="1407" t="s">
        <v>980</v>
      </c>
      <c r="D28" s="1406" t="s">
        <v>981</v>
      </c>
      <c r="E28" s="1406" t="s">
        <v>982</v>
      </c>
      <c r="F28" s="1400" t="s">
        <v>294</v>
      </c>
      <c r="G28" s="1401" t="s">
        <v>295</v>
      </c>
      <c r="H28" s="1400" t="s">
        <v>296</v>
      </c>
      <c r="I28" s="1402" t="s">
        <v>297</v>
      </c>
      <c r="J28" s="1403" t="s">
        <v>298</v>
      </c>
      <c r="K28" s="123" t="s">
        <v>299</v>
      </c>
      <c r="L28" s="124" t="s">
        <v>300</v>
      </c>
    </row>
    <row r="29" spans="1:28">
      <c r="A29" s="172" t="s">
        <v>301</v>
      </c>
      <c r="B29" s="126"/>
      <c r="C29" s="126"/>
      <c r="D29" s="126"/>
      <c r="E29" s="126"/>
      <c r="F29" s="126"/>
      <c r="G29" s="226"/>
      <c r="H29" s="126"/>
      <c r="I29" s="126"/>
      <c r="J29" s="1360"/>
      <c r="K29" s="126"/>
      <c r="L29" s="127"/>
      <c r="N29" s="233"/>
    </row>
    <row r="30" spans="1:28" hidden="1">
      <c r="A30" s="173" t="s">
        <v>271</v>
      </c>
      <c r="B30" s="184">
        <f ca="1">IFERROR(IF(C30=0,0,C30/(D30+E30)),"")</f>
        <v>0</v>
      </c>
      <c r="C30" s="233">
        <f ca="1">SUMIFS('Master Data'!$CK$2:$CK$12,'Master Data'!$F$2:$F$12,$A30,'Master Data'!$C$2:$C$12,$A$27)/1000</f>
        <v>0</v>
      </c>
      <c r="D30" s="233">
        <f>SUMIFS('Master Data'!$O$2:$O$12,'Master Data'!$F$2:$F$12,$A30,'Master Data'!$C$2:$C$12,$A$27)/1000</f>
        <v>0</v>
      </c>
      <c r="E30" s="233">
        <f ca="1">SUMIFS('Master Data'!$S$2:$S$12,'Master Data'!$F$2:$F$12,$A30,'Master Data'!$C$2:$C$12,$A$27)/1000</f>
        <v>0</v>
      </c>
      <c r="F30" s="233">
        <f ca="1">SUMIFS('Master Data'!$Y$2:$Y$12,'Master Data'!$F$2:$F$12,$A30,'Master Data'!$C$2:$C$12,$A$27)</f>
        <v>0</v>
      </c>
      <c r="G30" s="233">
        <f ca="1">SUMIFS('Master Data'!$AA$2:$AA$12,'Master Data'!$F$2:$F$12,$A30,'Master Data'!$C$2:$C$12,$A$27)</f>
        <v>0</v>
      </c>
      <c r="H30" s="233">
        <f ca="1">SUMIFS('Master Data'!$W$2:$W$12,'Master Data'!$F$2:$F$12,$A30,'Master Data'!$C$2:$C$12,$A$27)</f>
        <v>0</v>
      </c>
      <c r="I30" s="233">
        <f ca="1">SUMIFS('Master Data'!$X$2:$X$12,'Master Data'!$F$2:$F$12,$A30,'Master Data'!$C$2:$C$12,$A$27)</f>
        <v>0</v>
      </c>
      <c r="J30" s="1361">
        <f>SUMIFS(ADRYr2!$G$5:$G$50,ADRYr2!$B$5:$B$50,A30)</f>
        <v>0</v>
      </c>
      <c r="K30" s="233">
        <f ca="1">SUMIFS('Master Data'!$BC$2:$BC$12,'Master Data'!$F$2:$F$12,$A30,'Master Data'!$C$2:$C$12,$A$27)</f>
        <v>0</v>
      </c>
      <c r="L30" s="174">
        <f ca="1">SUMIFS('Master Data'!$BD$2:$BD$12,'Master Data'!$F$2:$F$12,$A30,'Master Data'!$C$2:$C$12,$A$27)</f>
        <v>0</v>
      </c>
      <c r="N30" s="184"/>
      <c r="O30" s="781"/>
      <c r="P30" s="781"/>
      <c r="Q30" s="781"/>
      <c r="R30" s="781"/>
      <c r="S30" s="781"/>
      <c r="T30" s="781"/>
      <c r="U30" s="781"/>
      <c r="V30" s="781"/>
      <c r="W30" s="781"/>
      <c r="X30" s="781"/>
      <c r="Y30" s="781"/>
      <c r="Z30" s="781"/>
      <c r="AA30" s="780"/>
      <c r="AB30" s="780"/>
    </row>
    <row r="31" spans="1:28">
      <c r="A31" s="942" t="s">
        <v>962</v>
      </c>
      <c r="B31" s="184">
        <f ca="1">IFERROR(IF(C31=0,0,C31/(D31)),"")</f>
        <v>1.0167574231319856</v>
      </c>
      <c r="C31" s="233">
        <f ca="1">SUMIFS('Master Data'!$CL$2:$CL$12,'Master Data'!$F$2:$F$12,$A31,'Master Data'!$C$2:$C$12,$A$27)/1000</f>
        <v>41.57996246486119</v>
      </c>
      <c r="D31" s="233">
        <f>SUMIFS('Master Data'!$O$2:$O$12,'Master Data'!$F$2:$F$12,$A31,'Master Data'!$C$2:$C$12,$A$27)/1000</f>
        <v>40.894673123486683</v>
      </c>
      <c r="E31" s="233">
        <f ca="1">SUMIFS('Master Data'!$S$2:$S$12,'Master Data'!$F$2:$F$12,$A31,'Master Data'!$C$2:$C$12,$A$27)/1000</f>
        <v>0</v>
      </c>
      <c r="F31" s="233">
        <f ca="1">SUMIFS('Master Data'!$Y$2:$Y$12,'Master Data'!$F$2:$F$12,$A31,'Master Data'!$C$2:$C$12,$A$27)</f>
        <v>0</v>
      </c>
      <c r="G31" s="233">
        <f ca="1">SUMIFS('Master Data'!$AA$2:$AA$12,'Master Data'!$F$2:$F$12,$A31,'Master Data'!$C$2:$C$12,$A$27)</f>
        <v>0</v>
      </c>
      <c r="H31" s="233">
        <f ca="1">SUMIFS('Master Data'!$W$2:$W$12,'Master Data'!$F$2:$F$12,$A31,'Master Data'!$C$2:$C$12,$A$27)</f>
        <v>0</v>
      </c>
      <c r="I31" s="233">
        <f ca="1">SUMIFS('Master Data'!$X$2:$X$12,'Master Data'!$F$2:$F$12,$A31,'Master Data'!$C$2:$C$12,$A$27)</f>
        <v>187.5</v>
      </c>
      <c r="J31" s="1361">
        <f>0.5*SUMIFS(ADRYr2!$G$5:$G$50,ADRYr2!$B$5:$B$50,A31)</f>
        <v>187.5</v>
      </c>
      <c r="K31" s="233">
        <f ca="1">SUMIFS('Master Data'!$BC$2:$BC$12,'Master Data'!$F$2:$F$12,$A31,'Master Data'!$C$2:$C$12,$A$27)</f>
        <v>0</v>
      </c>
      <c r="L31" s="174">
        <f ca="1">SUMIFS('Master Data'!$BD$2:$BD$12,'Master Data'!$F$2:$F$12,$A31,'Master Data'!$C$2:$C$12,$A$27)</f>
        <v>0</v>
      </c>
      <c r="M31" s="1410"/>
      <c r="N31" s="184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</row>
    <row r="32" spans="1:28">
      <c r="A32" s="183" t="s">
        <v>404</v>
      </c>
      <c r="B32" s="185">
        <f ca="1">IFERROR(IF(C32=0,0,C32/(D32)),"")</f>
        <v>1.0167574231319856</v>
      </c>
      <c r="C32" s="235">
        <f t="shared" ref="C32:L32" ca="1" si="3">SUM(C30:C31)</f>
        <v>41.57996246486119</v>
      </c>
      <c r="D32" s="235">
        <f t="shared" si="3"/>
        <v>40.894673123486683</v>
      </c>
      <c r="E32" s="235">
        <f t="shared" ca="1" si="3"/>
        <v>0</v>
      </c>
      <c r="F32" s="180">
        <f t="shared" ca="1" si="3"/>
        <v>0</v>
      </c>
      <c r="G32" s="236">
        <f t="shared" ca="1" si="3"/>
        <v>0</v>
      </c>
      <c r="H32" s="180">
        <f t="shared" ca="1" si="3"/>
        <v>0</v>
      </c>
      <c r="I32" s="180">
        <f t="shared" ca="1" si="3"/>
        <v>187.5</v>
      </c>
      <c r="J32" s="1362">
        <f t="shared" si="3"/>
        <v>187.5</v>
      </c>
      <c r="K32" s="1267">
        <f t="shared" ca="1" si="3"/>
        <v>0</v>
      </c>
      <c r="L32" s="1268">
        <f t="shared" ca="1" si="3"/>
        <v>0</v>
      </c>
      <c r="N32" s="184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</row>
    <row r="33" spans="1:25">
      <c r="A33" s="128"/>
      <c r="B33" s="943"/>
      <c r="C33" s="944"/>
      <c r="D33" s="944"/>
      <c r="E33" s="944"/>
      <c r="F33" s="946"/>
      <c r="G33" s="947"/>
      <c r="H33" s="948"/>
      <c r="I33" s="946"/>
      <c r="J33" s="1363"/>
      <c r="K33" s="945"/>
      <c r="L33" s="949"/>
      <c r="N33" s="184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</row>
    <row r="34" spans="1:25">
      <c r="A34" s="172" t="s">
        <v>401</v>
      </c>
      <c r="B34" s="184"/>
      <c r="C34" s="233"/>
      <c r="D34" s="233"/>
      <c r="E34" s="233"/>
      <c r="F34" s="181"/>
      <c r="G34" s="234"/>
      <c r="H34" s="179"/>
      <c r="I34" s="181"/>
      <c r="J34" s="1364"/>
      <c r="K34" s="177"/>
      <c r="L34" s="178"/>
      <c r="N34" s="184"/>
      <c r="O34" s="781"/>
      <c r="P34" s="781"/>
      <c r="Q34" s="781"/>
      <c r="R34" s="781"/>
      <c r="S34" s="781"/>
      <c r="T34" s="781"/>
      <c r="U34" s="781"/>
      <c r="V34" s="781"/>
      <c r="W34" s="781"/>
      <c r="X34" s="781"/>
      <c r="Y34" s="781"/>
    </row>
    <row r="35" spans="1:25">
      <c r="A35" s="942" t="s">
        <v>963</v>
      </c>
      <c r="B35" s="184">
        <f ca="1">IFERROR(IF(C35=0,0,C35/(D35)),"")</f>
        <v>3.8179901779953092</v>
      </c>
      <c r="C35" s="233">
        <f ca="1">SUMIFS('Master Data'!$CL$2:$CL$12,'Master Data'!$F$2:$F$12,$A35,'Master Data'!$C$2:$C$12,$A$27)/1000</f>
        <v>541.26713056083611</v>
      </c>
      <c r="D35" s="233">
        <f>SUMIFS('Master Data'!$O$2:$O$12,'Master Data'!$F$2:$F$12,$A35,'Master Data'!$C$2:$C$12,$A$27)/1000</f>
        <v>141.76755447941886</v>
      </c>
      <c r="E35" s="233">
        <f ca="1">SUMIFS('Master Data'!$S$2:$S$12,'Master Data'!$F$2:$F$12,$A35,'Master Data'!$C$2:$C$12,$A$27)/1000</f>
        <v>0</v>
      </c>
      <c r="F35" s="233">
        <f ca="1">SUMIFS('Master Data'!$Y$2:$Y$12,'Master Data'!$F$2:$F$12,$A35,'Master Data'!$C$2:$C$12,$A$27)</f>
        <v>-2.647058823529413</v>
      </c>
      <c r="G35" s="233">
        <f ca="1">SUMIFS('Master Data'!$AA$2:$AA$12,'Master Data'!$F$2:$F$12,$A35,'Master Data'!$C$2:$C$12,$A$27)</f>
        <v>-2.647058823529413</v>
      </c>
      <c r="H35" s="233">
        <f ca="1">SUMIFS('Master Data'!$W$2:$W$12,'Master Data'!$F$2:$F$12,$A35,'Master Data'!$C$2:$C$12,$A$27)</f>
        <v>0</v>
      </c>
      <c r="I35" s="233">
        <f ca="1">SUMIFS('Master Data'!$X$2:$X$12,'Master Data'!$F$2:$F$12,$A35,'Master Data'!$C$2:$C$12,$A$27)</f>
        <v>2300</v>
      </c>
      <c r="J35" s="1361">
        <v>23</v>
      </c>
      <c r="K35" s="233">
        <f ca="1">SUMIFS('Master Data'!$BC$2:$BC$12,'Master Data'!$F$2:$F$12,$A35,'Master Data'!$C$2:$C$12,$A$27)</f>
        <v>0</v>
      </c>
      <c r="L35" s="174">
        <f ca="1">SUMIFS('Master Data'!$BD$2:$BD$12,'Master Data'!$F$2:$F$12,$A35,'Master Data'!$C$2:$C$12,$A$27)</f>
        <v>0</v>
      </c>
      <c r="N35" s="184"/>
      <c r="O35" s="781"/>
      <c r="P35" s="781"/>
      <c r="Q35" s="781"/>
      <c r="R35" s="781"/>
      <c r="S35" s="781"/>
      <c r="T35" s="781"/>
      <c r="U35" s="781"/>
      <c r="V35" s="781"/>
      <c r="W35" s="781"/>
      <c r="X35" s="781"/>
      <c r="Y35" s="781"/>
    </row>
    <row r="36" spans="1:25">
      <c r="A36" s="183" t="s">
        <v>405</v>
      </c>
      <c r="B36" s="185">
        <f ca="1">IFERROR(IF(C36=0,0,C36/(D36)),"")</f>
        <v>3.8179901779953092</v>
      </c>
      <c r="C36" s="235">
        <f t="shared" ref="C36:L36" ca="1" si="4">SUM(C35:C35)</f>
        <v>541.26713056083611</v>
      </c>
      <c r="D36" s="235">
        <f t="shared" si="4"/>
        <v>141.76755447941886</v>
      </c>
      <c r="E36" s="235">
        <f t="shared" ca="1" si="4"/>
        <v>0</v>
      </c>
      <c r="F36" s="180">
        <f t="shared" ca="1" si="4"/>
        <v>-2.647058823529413</v>
      </c>
      <c r="G36" s="236">
        <f t="shared" ca="1" si="4"/>
        <v>-2.647058823529413</v>
      </c>
      <c r="H36" s="180">
        <f t="shared" ca="1" si="4"/>
        <v>0</v>
      </c>
      <c r="I36" s="180">
        <f t="shared" ca="1" si="4"/>
        <v>2300</v>
      </c>
      <c r="J36" s="1365">
        <f t="shared" si="4"/>
        <v>23</v>
      </c>
      <c r="K36" s="175">
        <f t="shared" ca="1" si="4"/>
        <v>0</v>
      </c>
      <c r="L36" s="176">
        <f t="shared" ca="1" si="4"/>
        <v>0</v>
      </c>
      <c r="N36" s="184"/>
      <c r="O36" s="781"/>
      <c r="P36" s="781"/>
      <c r="Q36" s="781"/>
      <c r="R36" s="781"/>
      <c r="S36" s="781"/>
      <c r="T36" s="781"/>
      <c r="U36" s="781"/>
      <c r="V36" s="781"/>
      <c r="W36" s="781"/>
      <c r="X36" s="781"/>
      <c r="Y36" s="781"/>
    </row>
    <row r="37" spans="1:25">
      <c r="A37" s="183"/>
      <c r="B37" s="943"/>
      <c r="C37" s="944"/>
      <c r="D37" s="944"/>
      <c r="E37" s="944"/>
      <c r="F37" s="946"/>
      <c r="G37" s="947"/>
      <c r="H37" s="948"/>
      <c r="I37" s="946"/>
      <c r="J37" s="1363"/>
      <c r="K37" s="945"/>
      <c r="L37" s="949"/>
      <c r="N37" s="184"/>
      <c r="O37" s="781"/>
      <c r="P37" s="781"/>
      <c r="Q37" s="781"/>
      <c r="R37" s="781"/>
      <c r="S37" s="781"/>
      <c r="T37" s="781"/>
      <c r="U37" s="781"/>
      <c r="V37" s="781"/>
      <c r="W37" s="781"/>
      <c r="X37" s="781"/>
      <c r="Y37" s="781"/>
    </row>
    <row r="38" spans="1:25" ht="13.5" thickBot="1">
      <c r="A38" s="853" t="s">
        <v>82</v>
      </c>
      <c r="B38" s="950">
        <f ca="1">IFERROR(IF(C38=0,0,C38/(D38)),"")</f>
        <v>3.1908462996124447</v>
      </c>
      <c r="C38" s="951">
        <f ca="1">C32+C36</f>
        <v>582.84709302569729</v>
      </c>
      <c r="D38" s="951">
        <f t="shared" ref="D38:L38" si="5">D32+D36</f>
        <v>182.66222760290555</v>
      </c>
      <c r="E38" s="951">
        <f t="shared" ca="1" si="5"/>
        <v>0</v>
      </c>
      <c r="F38" s="952">
        <f t="shared" ca="1" si="5"/>
        <v>-2.647058823529413</v>
      </c>
      <c r="G38" s="953">
        <f t="shared" ca="1" si="5"/>
        <v>-2.647058823529413</v>
      </c>
      <c r="H38" s="952">
        <f t="shared" ca="1" si="5"/>
        <v>0</v>
      </c>
      <c r="I38" s="952">
        <f t="shared" ca="1" si="5"/>
        <v>2487.5</v>
      </c>
      <c r="J38" s="1366">
        <f t="shared" si="5"/>
        <v>210.5</v>
      </c>
      <c r="K38" s="954">
        <f t="shared" ca="1" si="5"/>
        <v>0</v>
      </c>
      <c r="L38" s="955">
        <f t="shared" ca="1" si="5"/>
        <v>0</v>
      </c>
      <c r="N38" s="919"/>
      <c r="O38" s="781"/>
      <c r="P38" s="781"/>
      <c r="Q38" s="781"/>
      <c r="R38" s="781"/>
      <c r="S38" s="781"/>
      <c r="T38" s="781"/>
      <c r="U38" s="781"/>
      <c r="V38" s="781"/>
      <c r="W38" s="781"/>
      <c r="X38" s="781"/>
      <c r="Y38" s="781"/>
    </row>
    <row r="39" spans="1:25">
      <c r="A39" s="1408" t="s">
        <v>985</v>
      </c>
      <c r="B39" s="129"/>
      <c r="C39" s="120"/>
      <c r="D39" s="858"/>
      <c r="E39" s="120"/>
      <c r="F39" s="852"/>
      <c r="G39" s="228"/>
      <c r="H39" s="130"/>
      <c r="I39" s="130"/>
      <c r="J39" s="120"/>
      <c r="K39" s="119"/>
      <c r="L39" s="119"/>
      <c r="M39" s="855"/>
      <c r="N39" s="781"/>
      <c r="O39" s="781"/>
      <c r="P39" s="781"/>
      <c r="Q39" s="781"/>
      <c r="R39" s="781"/>
      <c r="S39" s="781"/>
      <c r="T39" s="781"/>
      <c r="U39" s="781"/>
      <c r="V39" s="781"/>
      <c r="W39" s="781"/>
      <c r="X39" s="781"/>
      <c r="Y39" s="781"/>
    </row>
    <row r="40" spans="1:25">
      <c r="A40" s="121"/>
      <c r="B40" s="121"/>
      <c r="C40" s="130"/>
      <c r="D40" s="130"/>
      <c r="E40" s="130"/>
      <c r="F40" s="852"/>
      <c r="G40" s="859"/>
      <c r="H40" s="231"/>
      <c r="I40" s="231"/>
      <c r="J40" s="130"/>
      <c r="K40" s="121"/>
      <c r="L40" s="121"/>
      <c r="M40" s="15"/>
      <c r="N40" s="781"/>
      <c r="O40" s="781"/>
      <c r="P40" s="781"/>
      <c r="Q40" s="781"/>
      <c r="R40" s="781"/>
      <c r="S40" s="781"/>
      <c r="T40" s="781"/>
      <c r="U40" s="781"/>
      <c r="V40" s="781"/>
      <c r="W40" s="781"/>
      <c r="X40" s="781"/>
      <c r="Y40" s="781"/>
    </row>
    <row r="41" spans="1:25" hidden="1">
      <c r="A41" s="186" t="s">
        <v>303</v>
      </c>
      <c r="B41" s="187"/>
      <c r="C41" s="188">
        <f ca="1">F38*1000</f>
        <v>-2647.0588235294131</v>
      </c>
      <c r="D41" s="189">
        <f ca="1">C41/C43</f>
        <v>1</v>
      </c>
      <c r="E41" s="190" t="str">
        <f ca="1">IF(D41&gt;0.5499,"kWh &gt; 55%","kWh &lt; 55%")</f>
        <v>kWh &gt; 55%</v>
      </c>
      <c r="F41" s="187" t="s">
        <v>304</v>
      </c>
      <c r="G41" s="227"/>
      <c r="H41" s="187"/>
      <c r="I41" s="188">
        <f ca="1">G38*1000</f>
        <v>-2647.0588235294131</v>
      </c>
      <c r="J41" s="189">
        <f ca="1">I41/I43</f>
        <v>1</v>
      </c>
      <c r="K41" s="190" t="str">
        <f ca="1">IF(J41&gt;0.5499,"kWh &gt; 55%","kWh &lt; 55%")</f>
        <v>kWh &gt; 55%</v>
      </c>
      <c r="L41" s="191"/>
      <c r="M41" s="15"/>
      <c r="N41" s="781"/>
      <c r="O41" s="781"/>
      <c r="P41" s="781"/>
      <c r="Q41" s="781"/>
      <c r="R41" s="781"/>
      <c r="S41" s="781"/>
      <c r="T41" s="781"/>
      <c r="U41" s="781"/>
      <c r="V41" s="781"/>
      <c r="W41" s="781"/>
      <c r="X41" s="781"/>
      <c r="Y41" s="781"/>
    </row>
    <row r="42" spans="1:25" hidden="1">
      <c r="A42" s="131" t="s">
        <v>305</v>
      </c>
      <c r="B42" s="130"/>
      <c r="C42" s="132">
        <f ca="1">K38/Lookups!G$26</f>
        <v>0</v>
      </c>
      <c r="D42" s="133">
        <f ca="1">C42/C43</f>
        <v>0</v>
      </c>
      <c r="E42" s="130"/>
      <c r="F42" s="130" t="s">
        <v>306</v>
      </c>
      <c r="G42" s="228"/>
      <c r="H42" s="130"/>
      <c r="I42" s="132">
        <f ca="1">L38/Lookups!G$26</f>
        <v>0</v>
      </c>
      <c r="J42" s="133">
        <f ca="1">I42/I$43</f>
        <v>0</v>
      </c>
      <c r="K42" s="130"/>
      <c r="L42" s="134"/>
      <c r="M42" s="15"/>
      <c r="N42" s="781"/>
      <c r="O42" s="781"/>
      <c r="P42" s="781"/>
      <c r="Q42" s="781"/>
      <c r="R42" s="781"/>
      <c r="S42" s="781"/>
      <c r="T42" s="781"/>
      <c r="U42" s="781"/>
      <c r="V42" s="781"/>
      <c r="W42" s="781"/>
      <c r="X42" s="781"/>
      <c r="Y42" s="781"/>
    </row>
    <row r="43" spans="1:25" hidden="1">
      <c r="A43" s="136"/>
      <c r="B43" s="137"/>
      <c r="C43" s="138">
        <f ca="1">SUM(C41:C42)</f>
        <v>-2647.0588235294131</v>
      </c>
      <c r="D43" s="139">
        <f ca="1">SUM(D41:D42)</f>
        <v>1</v>
      </c>
      <c r="E43" s="137"/>
      <c r="F43" s="137"/>
      <c r="G43" s="229"/>
      <c r="H43" s="137"/>
      <c r="I43" s="138">
        <f ca="1">SUM(I41:I42)</f>
        <v>-2647.0588235294131</v>
      </c>
      <c r="J43" s="139">
        <f ca="1">SUM(J41:J42)</f>
        <v>1</v>
      </c>
      <c r="K43" s="137"/>
      <c r="L43" s="135"/>
      <c r="N43" s="781"/>
      <c r="O43" s="781"/>
      <c r="P43" s="781"/>
      <c r="Q43" s="781"/>
      <c r="R43" s="781"/>
      <c r="S43" s="781"/>
      <c r="T43" s="781"/>
      <c r="U43" s="781"/>
      <c r="V43" s="781"/>
      <c r="W43" s="781"/>
      <c r="X43" s="781"/>
      <c r="Y43" s="781"/>
    </row>
    <row r="45" spans="1:25" ht="13.5" thickBot="1"/>
    <row r="46" spans="1:25" ht="13.5" thickBot="1">
      <c r="A46" s="1292">
        <f>Year3</f>
        <v>2023</v>
      </c>
      <c r="B46" s="1293"/>
      <c r="C46" s="1294"/>
      <c r="D46" s="1295"/>
      <c r="E46" s="1296"/>
      <c r="F46" s="1297"/>
      <c r="G46" s="1297"/>
      <c r="H46" s="1297"/>
      <c r="I46" s="1297"/>
      <c r="J46" s="1298"/>
      <c r="K46" s="1297"/>
      <c r="L46" s="1298"/>
    </row>
    <row r="47" spans="1:25" ht="50.25" thickBot="1">
      <c r="A47" s="122"/>
      <c r="B47" s="1407" t="s">
        <v>983</v>
      </c>
      <c r="C47" s="1407" t="s">
        <v>980</v>
      </c>
      <c r="D47" s="1406" t="s">
        <v>981</v>
      </c>
      <c r="E47" s="1406" t="s">
        <v>982</v>
      </c>
      <c r="F47" s="1400" t="s">
        <v>294</v>
      </c>
      <c r="G47" s="1401" t="s">
        <v>295</v>
      </c>
      <c r="H47" s="1400" t="s">
        <v>296</v>
      </c>
      <c r="I47" s="1402" t="s">
        <v>297</v>
      </c>
      <c r="J47" s="1403" t="s">
        <v>298</v>
      </c>
      <c r="K47" s="123" t="s">
        <v>299</v>
      </c>
      <c r="L47" s="124" t="s">
        <v>300</v>
      </c>
    </row>
    <row r="48" spans="1:25">
      <c r="A48" s="172" t="s">
        <v>301</v>
      </c>
      <c r="B48" s="126"/>
      <c r="C48" s="126"/>
      <c r="D48" s="126"/>
      <c r="E48" s="126"/>
      <c r="F48" s="126"/>
      <c r="G48" s="226"/>
      <c r="H48" s="126"/>
      <c r="I48" s="126"/>
      <c r="J48" s="1360"/>
      <c r="K48" s="126"/>
      <c r="L48" s="127"/>
      <c r="N48" s="233"/>
    </row>
    <row r="49" spans="1:28" hidden="1">
      <c r="A49" s="173" t="s">
        <v>271</v>
      </c>
      <c r="B49" s="184">
        <f ca="1">IFERROR(IF(C49=0,0,C49/(D49+E49)),"")</f>
        <v>0</v>
      </c>
      <c r="C49" s="233">
        <f ca="1">SUMIFS('Master Data'!$CK$2:$CK$12,'Master Data'!$F$2:$F$12,$A49,'Master Data'!$C$2:$C$12,$A$46)/1000</f>
        <v>0</v>
      </c>
      <c r="D49" s="233">
        <f>SUMIFS('Master Data'!$O$2:$O$12,'Master Data'!$F$2:$F$12,$A49,'Master Data'!$C$2:$C$12,$A$46)/1000</f>
        <v>0</v>
      </c>
      <c r="E49" s="233">
        <f ca="1">SUMIFS('Master Data'!$S$2:$S$12,'Master Data'!$F$2:$F$12,$A49,'Master Data'!$C$2:$C$12,$A$46)/1000</f>
        <v>0</v>
      </c>
      <c r="F49" s="233">
        <f ca="1">SUMIFS('Master Data'!$Y$2:$Y$12,'Master Data'!$F$2:$F$12,$A49,'Master Data'!$C$2:$C$12,$A$46)</f>
        <v>0</v>
      </c>
      <c r="G49" s="233">
        <f ca="1">SUMIFS('Master Data'!$AA$2:$AA$12,'Master Data'!$F$2:$F$12,$A49,'Master Data'!$C$2:$C$12,$A$46)</f>
        <v>0</v>
      </c>
      <c r="H49" s="233">
        <f ca="1">SUMIFS('Master Data'!$W$2:$W$12,'Master Data'!$F$2:$F$12,$A49,'Master Data'!$C$2:$C$12,$A$46)</f>
        <v>0</v>
      </c>
      <c r="I49" s="233">
        <f ca="1">SUMIFS('Master Data'!$X$2:$X$12,'Master Data'!$F$2:$F$12,$A49,'Master Data'!$C$2:$C$12,$A$46)</f>
        <v>0</v>
      </c>
      <c r="J49" s="1361">
        <f>SUMIFS(ADRYr3!$G$5:$G$50,ADRYr3!$B$5:$B$50,A49)</f>
        <v>0</v>
      </c>
      <c r="K49" s="233">
        <f ca="1">SUMIFS('Master Data'!$BC$2:$BC$12,'Master Data'!$F$2:$F$12,$A49,'Master Data'!$C$2:$C$12,$A$46)</f>
        <v>0</v>
      </c>
      <c r="L49" s="174">
        <f ca="1">SUMIFS('Master Data'!$BD$2:$BD$12,'Master Data'!$F$2:$F$12,$A49,'Master Data'!$C$2:$C$12,$A$46)</f>
        <v>0</v>
      </c>
      <c r="N49" s="184"/>
      <c r="O49" s="781"/>
      <c r="P49" s="781"/>
      <c r="Q49" s="781"/>
      <c r="R49" s="781"/>
      <c r="S49" s="781"/>
      <c r="T49" s="781"/>
      <c r="U49" s="781"/>
      <c r="V49" s="781"/>
      <c r="W49" s="781"/>
      <c r="X49" s="781"/>
      <c r="Y49" s="781"/>
      <c r="Z49" s="781"/>
      <c r="AA49" s="780"/>
      <c r="AB49" s="780"/>
    </row>
    <row r="50" spans="1:28">
      <c r="A50" s="942" t="s">
        <v>962</v>
      </c>
      <c r="B50" s="184">
        <f ca="1">IFERROR(IF(C50=0,0,C50/(D50)),"")</f>
        <v>1.1982843068749953</v>
      </c>
      <c r="C50" s="233">
        <f ca="1">SUMIFS('Master Data'!$CL$2:$CL$12,'Master Data'!$F$2:$F$12,$A50,'Master Data'!$C$2:$C$12,$A$46)/1000</f>
        <v>56.482747904220368</v>
      </c>
      <c r="D50" s="233">
        <f>SUMIFS('Master Data'!$O$2:$O$12,'Master Data'!$F$2:$F$12,$A50,'Master Data'!$C$2:$C$12,$A$46)/1000</f>
        <v>47.136349512514002</v>
      </c>
      <c r="E50" s="233">
        <f ca="1">SUMIFS('Master Data'!$S$2:$S$12,'Master Data'!$F$2:$F$12,$A50,'Master Data'!$C$2:$C$12,$A$46)/1000</f>
        <v>0</v>
      </c>
      <c r="F50" s="233">
        <f ca="1">SUMIFS('Master Data'!$Y$2:$Y$12,'Master Data'!$F$2:$F$12,$A50,'Master Data'!$C$2:$C$12,$A$46)</f>
        <v>0</v>
      </c>
      <c r="G50" s="233">
        <f ca="1">SUMIFS('Master Data'!$AA$2:$AA$12,'Master Data'!$F$2:$F$12,$A50,'Master Data'!$C$2:$C$12,$A$46)</f>
        <v>0</v>
      </c>
      <c r="H50" s="233">
        <f ca="1">SUMIFS('Master Data'!$W$2:$W$12,'Master Data'!$F$2:$F$12,$A50,'Master Data'!$C$2:$C$12,$A$46)</f>
        <v>0</v>
      </c>
      <c r="I50" s="233">
        <f ca="1">SUMIFS('Master Data'!$X$2:$X$12,'Master Data'!$F$2:$F$12,$A50,'Master Data'!$C$2:$C$12,$A$46)</f>
        <v>250</v>
      </c>
      <c r="J50" s="1361">
        <f>0.5*SUMIFS(ADRYr3!$G$5:$G$50,ADRYr3!$B$5:$B$50,A50)</f>
        <v>250</v>
      </c>
      <c r="K50" s="233">
        <f ca="1">SUMIFS('Master Data'!$BC$2:$BC$12,'Master Data'!$F$2:$F$12,$A50,'Master Data'!$C$2:$C$12,$A$46)</f>
        <v>0</v>
      </c>
      <c r="L50" s="174">
        <f ca="1">SUMIFS('Master Data'!$BD$2:$BD$12,'Master Data'!$F$2:$F$12,$A50,'Master Data'!$C$2:$C$12,$A$46)</f>
        <v>0</v>
      </c>
      <c r="N50" s="184"/>
      <c r="O50" s="781"/>
      <c r="P50" s="781"/>
      <c r="Q50" s="781"/>
      <c r="R50" s="781"/>
      <c r="S50" s="781"/>
      <c r="T50" s="781"/>
      <c r="U50" s="781"/>
      <c r="V50" s="781"/>
      <c r="W50" s="781"/>
      <c r="X50" s="781"/>
      <c r="Y50" s="781"/>
    </row>
    <row r="51" spans="1:28">
      <c r="A51" s="183" t="s">
        <v>404</v>
      </c>
      <c r="B51" s="185">
        <f ca="1">IFERROR(IF(C51=0,0,C51/(D51)),"")</f>
        <v>1.1982843068749953</v>
      </c>
      <c r="C51" s="235">
        <f t="shared" ref="C51:L51" ca="1" si="6">SUM(C49:C50)</f>
        <v>56.482747904220368</v>
      </c>
      <c r="D51" s="235">
        <f t="shared" si="6"/>
        <v>47.136349512514002</v>
      </c>
      <c r="E51" s="235">
        <f t="shared" ca="1" si="6"/>
        <v>0</v>
      </c>
      <c r="F51" s="180">
        <f t="shared" ca="1" si="6"/>
        <v>0</v>
      </c>
      <c r="G51" s="236">
        <f t="shared" ca="1" si="6"/>
        <v>0</v>
      </c>
      <c r="H51" s="180">
        <f t="shared" ca="1" si="6"/>
        <v>0</v>
      </c>
      <c r="I51" s="180">
        <f t="shared" ca="1" si="6"/>
        <v>250</v>
      </c>
      <c r="J51" s="1362">
        <f>SUM(J49:J50)</f>
        <v>250</v>
      </c>
      <c r="K51" s="1267">
        <f t="shared" ca="1" si="6"/>
        <v>0</v>
      </c>
      <c r="L51" s="1268">
        <f t="shared" ca="1" si="6"/>
        <v>0</v>
      </c>
      <c r="N51" s="184"/>
      <c r="O51" s="781"/>
      <c r="P51" s="781"/>
      <c r="Q51" s="781"/>
      <c r="R51" s="781"/>
      <c r="S51" s="781"/>
      <c r="T51" s="781"/>
      <c r="U51" s="781"/>
      <c r="V51" s="781"/>
      <c r="W51" s="781"/>
      <c r="X51" s="781"/>
      <c r="Y51" s="781"/>
    </row>
    <row r="52" spans="1:28">
      <c r="A52" s="128"/>
      <c r="B52" s="943"/>
      <c r="C52" s="944"/>
      <c r="D52" s="944"/>
      <c r="E52" s="944"/>
      <c r="F52" s="946"/>
      <c r="G52" s="947"/>
      <c r="H52" s="948"/>
      <c r="I52" s="946"/>
      <c r="J52" s="1363"/>
      <c r="K52" s="945"/>
      <c r="L52" s="949"/>
      <c r="N52" s="184"/>
      <c r="O52" s="781"/>
      <c r="P52" s="781"/>
      <c r="Q52" s="781"/>
      <c r="R52" s="781"/>
      <c r="S52" s="781"/>
      <c r="T52" s="781"/>
      <c r="U52" s="781"/>
      <c r="V52" s="781"/>
      <c r="W52" s="781"/>
      <c r="X52" s="781"/>
      <c r="Y52" s="781"/>
    </row>
    <row r="53" spans="1:28">
      <c r="A53" s="172" t="s">
        <v>401</v>
      </c>
      <c r="B53" s="184"/>
      <c r="C53" s="233"/>
      <c r="D53" s="233"/>
      <c r="E53" s="233"/>
      <c r="F53" s="181"/>
      <c r="G53" s="234"/>
      <c r="H53" s="179"/>
      <c r="I53" s="181"/>
      <c r="J53" s="1364"/>
      <c r="K53" s="177"/>
      <c r="L53" s="178"/>
      <c r="N53" s="184"/>
      <c r="O53" s="781"/>
      <c r="P53" s="781"/>
      <c r="Q53" s="781"/>
      <c r="R53" s="781"/>
      <c r="S53" s="781"/>
      <c r="T53" s="781"/>
      <c r="U53" s="781"/>
      <c r="V53" s="781"/>
      <c r="W53" s="781"/>
      <c r="X53" s="781"/>
      <c r="Y53" s="781"/>
    </row>
    <row r="54" spans="1:28">
      <c r="A54" s="942" t="s">
        <v>963</v>
      </c>
      <c r="B54" s="184">
        <f ca="1">IFERROR(IF(C54=0,0,C54/(D54)),"")</f>
        <v>3.9457827853884084</v>
      </c>
      <c r="C54" s="233">
        <f ca="1">SUMIFS('Master Data'!$CL$2:$CL$12,'Master Data'!$F$2:$F$12,$A54,'Master Data'!$C$2:$C$12,$A$46)/1000</f>
        <v>641.91833615974497</v>
      </c>
      <c r="D54" s="233">
        <f>SUMIFS('Master Data'!$O$2:$O$12,'Master Data'!$F$2:$F$12,$A54,'Master Data'!$C$2:$C$12,$A$46)/1000</f>
        <v>162.68466133939933</v>
      </c>
      <c r="E54" s="233">
        <f ca="1">SUMIFS('Master Data'!$S$2:$S$12,'Master Data'!$F$2:$F$12,$A54,'Master Data'!$C$2:$C$12,$A$46)/1000</f>
        <v>0</v>
      </c>
      <c r="F54" s="233">
        <f ca="1">SUMIFS('Master Data'!$Y$2:$Y$12,'Master Data'!$F$2:$F$12,$A54,'Master Data'!$C$2:$C$12,$A$46)</f>
        <v>-2.647058823529413</v>
      </c>
      <c r="G54" s="233">
        <f ca="1">SUMIFS('Master Data'!$AA$2:$AA$12,'Master Data'!$F$2:$F$12,$A54,'Master Data'!$C$2:$C$12,$A$46)</f>
        <v>-2.647058823529413</v>
      </c>
      <c r="H54" s="233">
        <f ca="1">SUMIFS('Master Data'!$W$2:$W$12,'Master Data'!$F$2:$F$12,$A54,'Master Data'!$C$2:$C$12,$A$46)</f>
        <v>0</v>
      </c>
      <c r="I54" s="233">
        <f ca="1">SUMIFS('Master Data'!$X$2:$X$12,'Master Data'!$F$2:$F$12,$A54,'Master Data'!$C$2:$C$12,$A$46)</f>
        <v>2700</v>
      </c>
      <c r="J54" s="1361">
        <v>27</v>
      </c>
      <c r="K54" s="233">
        <f ca="1">SUMIFS('Master Data'!$BC$2:$BC$12,'Master Data'!$F$2:$F$12,$A54,'Master Data'!$C$2:$C$12,$A$46)</f>
        <v>0</v>
      </c>
      <c r="L54" s="174">
        <f ca="1">SUMIFS('Master Data'!$BD$2:$BD$12,'Master Data'!$F$2:$F$12,$A54,'Master Data'!$C$2:$C$12,$A$46)</f>
        <v>0</v>
      </c>
      <c r="N54" s="184"/>
      <c r="O54" s="781"/>
      <c r="P54" s="781"/>
      <c r="Q54" s="781"/>
      <c r="R54" s="781"/>
      <c r="S54" s="781"/>
      <c r="T54" s="781"/>
      <c r="U54" s="781"/>
      <c r="V54" s="781"/>
      <c r="W54" s="781"/>
      <c r="X54" s="781"/>
      <c r="Y54" s="781"/>
    </row>
    <row r="55" spans="1:28">
      <c r="A55" s="183" t="s">
        <v>405</v>
      </c>
      <c r="B55" s="185">
        <f ca="1">IFERROR(IF(C55=0,0,C55/(D55)),"")</f>
        <v>3.9457827853884084</v>
      </c>
      <c r="C55" s="235">
        <f t="shared" ref="C55:L55" ca="1" si="7">SUM(C54:C54)</f>
        <v>641.91833615974497</v>
      </c>
      <c r="D55" s="235">
        <f t="shared" si="7"/>
        <v>162.68466133939933</v>
      </c>
      <c r="E55" s="235">
        <f t="shared" ca="1" si="7"/>
        <v>0</v>
      </c>
      <c r="F55" s="180">
        <f t="shared" ca="1" si="7"/>
        <v>-2.647058823529413</v>
      </c>
      <c r="G55" s="236">
        <f t="shared" ca="1" si="7"/>
        <v>-2.647058823529413</v>
      </c>
      <c r="H55" s="180">
        <f t="shared" ca="1" si="7"/>
        <v>0</v>
      </c>
      <c r="I55" s="180">
        <f t="shared" ca="1" si="7"/>
        <v>2700</v>
      </c>
      <c r="J55" s="1365">
        <f t="shared" si="7"/>
        <v>27</v>
      </c>
      <c r="K55" s="175">
        <f t="shared" ca="1" si="7"/>
        <v>0</v>
      </c>
      <c r="L55" s="176">
        <f t="shared" ca="1" si="7"/>
        <v>0</v>
      </c>
      <c r="N55" s="184"/>
      <c r="O55" s="781"/>
      <c r="P55" s="781"/>
      <c r="Q55" s="781"/>
      <c r="R55" s="781"/>
      <c r="S55" s="781"/>
      <c r="T55" s="781"/>
      <c r="U55" s="781"/>
      <c r="V55" s="781"/>
      <c r="W55" s="781"/>
      <c r="X55" s="781"/>
      <c r="Y55" s="781"/>
    </row>
    <row r="56" spans="1:28">
      <c r="A56" s="183"/>
      <c r="B56" s="943"/>
      <c r="C56" s="944"/>
      <c r="D56" s="944"/>
      <c r="E56" s="944"/>
      <c r="F56" s="946"/>
      <c r="G56" s="947"/>
      <c r="H56" s="948"/>
      <c r="I56" s="946"/>
      <c r="J56" s="1363"/>
      <c r="K56" s="945"/>
      <c r="L56" s="949"/>
      <c r="N56" s="184"/>
      <c r="O56" s="781"/>
      <c r="P56" s="781"/>
      <c r="Q56" s="781"/>
      <c r="R56" s="781"/>
      <c r="S56" s="781"/>
      <c r="T56" s="781"/>
      <c r="U56" s="781"/>
      <c r="V56" s="781"/>
      <c r="W56" s="781"/>
      <c r="X56" s="781"/>
      <c r="Y56" s="781"/>
    </row>
    <row r="57" spans="1:28" ht="13.5" thickBot="1">
      <c r="A57" s="853" t="s">
        <v>82</v>
      </c>
      <c r="B57" s="950">
        <f ca="1">IFERROR(IF(C57=0,0,C57/(D57)),"")</f>
        <v>3.3285564740553086</v>
      </c>
      <c r="C57" s="951">
        <f ca="1">C51+C55</f>
        <v>698.4010840639653</v>
      </c>
      <c r="D57" s="951">
        <f t="shared" ref="D57:L57" si="8">D51+D55</f>
        <v>209.82101085191334</v>
      </c>
      <c r="E57" s="951">
        <f t="shared" ca="1" si="8"/>
        <v>0</v>
      </c>
      <c r="F57" s="952">
        <f t="shared" ca="1" si="8"/>
        <v>-2.647058823529413</v>
      </c>
      <c r="G57" s="953">
        <f t="shared" ca="1" si="8"/>
        <v>-2.647058823529413</v>
      </c>
      <c r="H57" s="952">
        <f t="shared" ca="1" si="8"/>
        <v>0</v>
      </c>
      <c r="I57" s="952">
        <f t="shared" ca="1" si="8"/>
        <v>2950</v>
      </c>
      <c r="J57" s="1366">
        <f t="shared" si="8"/>
        <v>277</v>
      </c>
      <c r="K57" s="954">
        <f t="shared" ca="1" si="8"/>
        <v>0</v>
      </c>
      <c r="L57" s="955">
        <f t="shared" ca="1" si="8"/>
        <v>0</v>
      </c>
      <c r="N57" s="919"/>
      <c r="O57" s="781"/>
      <c r="P57" s="781"/>
      <c r="Q57" s="781"/>
      <c r="R57" s="781"/>
      <c r="S57" s="781"/>
      <c r="T57" s="781"/>
      <c r="U57" s="781"/>
      <c r="V57" s="781"/>
      <c r="W57" s="781"/>
      <c r="X57" s="781"/>
      <c r="Y57" s="781"/>
    </row>
    <row r="58" spans="1:28">
      <c r="A58" s="1408" t="s">
        <v>985</v>
      </c>
      <c r="B58" s="129"/>
      <c r="C58" s="120"/>
      <c r="D58" s="858"/>
      <c r="E58" s="120"/>
      <c r="F58" s="852"/>
      <c r="G58" s="228"/>
      <c r="H58" s="130"/>
      <c r="I58" s="130"/>
      <c r="J58" s="120"/>
      <c r="K58" s="119"/>
      <c r="L58" s="119"/>
      <c r="M58" s="855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</row>
    <row r="59" spans="1:28">
      <c r="A59" s="121"/>
      <c r="B59" s="1409"/>
      <c r="C59" s="852"/>
      <c r="D59" s="852"/>
      <c r="E59" s="130"/>
      <c r="F59" s="852"/>
      <c r="G59" s="859"/>
      <c r="H59" s="231"/>
      <c r="I59" s="231"/>
      <c r="J59" s="130"/>
      <c r="K59" s="121"/>
      <c r="L59" s="121"/>
      <c r="M59" s="15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</row>
    <row r="60" spans="1:28" hidden="1">
      <c r="A60" s="186" t="s">
        <v>303</v>
      </c>
      <c r="B60" s="187"/>
      <c r="C60" s="188">
        <f ca="1">F57*1000</f>
        <v>-2647.0588235294131</v>
      </c>
      <c r="D60" s="189">
        <f ca="1">C60/C62</f>
        <v>1</v>
      </c>
      <c r="E60" s="190" t="str">
        <f ca="1">IF(D60&gt;0.5499,"kWh &gt; 55%","kWh &lt; 55%")</f>
        <v>kWh &gt; 55%</v>
      </c>
      <c r="F60" s="187" t="s">
        <v>304</v>
      </c>
      <c r="G60" s="227"/>
      <c r="H60" s="187"/>
      <c r="I60" s="188">
        <f ca="1">G57*1000</f>
        <v>-2647.0588235294131</v>
      </c>
      <c r="J60" s="189">
        <f ca="1">I60/I62</f>
        <v>1</v>
      </c>
      <c r="K60" s="190" t="str">
        <f ca="1">IF(J60&gt;0.5499,"kWh &gt; 55%","kWh &lt; 55%")</f>
        <v>kWh &gt; 55%</v>
      </c>
      <c r="L60" s="191"/>
      <c r="M60" s="15"/>
      <c r="N60" s="781"/>
      <c r="O60" s="781"/>
      <c r="P60" s="781"/>
      <c r="Q60" s="781"/>
      <c r="R60" s="781"/>
      <c r="S60" s="781"/>
      <c r="T60" s="781"/>
      <c r="U60" s="781"/>
      <c r="V60" s="781"/>
      <c r="W60" s="781"/>
      <c r="X60" s="781"/>
      <c r="Y60" s="781"/>
    </row>
    <row r="61" spans="1:28" hidden="1">
      <c r="A61" s="131" t="s">
        <v>305</v>
      </c>
      <c r="B61" s="130"/>
      <c r="C61" s="132">
        <f ca="1">K57/Lookups!G$26</f>
        <v>0</v>
      </c>
      <c r="D61" s="133">
        <f ca="1">C61/C62</f>
        <v>0</v>
      </c>
      <c r="E61" s="130"/>
      <c r="F61" s="130" t="s">
        <v>306</v>
      </c>
      <c r="G61" s="228"/>
      <c r="H61" s="130"/>
      <c r="I61" s="132">
        <f ca="1">L57/Lookups!G$26</f>
        <v>0</v>
      </c>
      <c r="J61" s="133">
        <f ca="1">I61/I$62</f>
        <v>0</v>
      </c>
      <c r="K61" s="130"/>
      <c r="L61" s="134"/>
      <c r="M61" s="15"/>
      <c r="N61" s="781"/>
      <c r="O61" s="781"/>
      <c r="P61" s="781"/>
      <c r="Q61" s="781"/>
      <c r="R61" s="781"/>
      <c r="S61" s="781"/>
      <c r="T61" s="781"/>
      <c r="U61" s="781"/>
      <c r="V61" s="781"/>
      <c r="W61" s="781"/>
      <c r="X61" s="781"/>
      <c r="Y61" s="781"/>
    </row>
    <row r="62" spans="1:28" hidden="1">
      <c r="A62" s="136"/>
      <c r="B62" s="137"/>
      <c r="C62" s="138">
        <f ca="1">SUM(C60:C61)</f>
        <v>-2647.0588235294131</v>
      </c>
      <c r="D62" s="139">
        <f ca="1">SUM(D60:D61)</f>
        <v>1</v>
      </c>
      <c r="E62" s="137"/>
      <c r="F62" s="137"/>
      <c r="G62" s="229"/>
      <c r="H62" s="137"/>
      <c r="I62" s="138">
        <f ca="1">SUM(I60:I61)</f>
        <v>-2647.0588235294131</v>
      </c>
      <c r="J62" s="139">
        <f ca="1">SUM(J60:J61)</f>
        <v>1</v>
      </c>
      <c r="K62" s="137"/>
      <c r="L62" s="135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</row>
    <row r="63" spans="1:28">
      <c r="F63" s="855"/>
      <c r="G63" s="855"/>
    </row>
    <row r="65" spans="3:7">
      <c r="C65" s="855"/>
      <c r="D65" s="855"/>
      <c r="E65" s="855"/>
    </row>
    <row r="66" spans="3:7">
      <c r="C66" s="855"/>
      <c r="D66" s="855"/>
      <c r="F66" s="855"/>
      <c r="G66" s="855"/>
    </row>
    <row r="67" spans="3:7">
      <c r="D67" s="1411"/>
    </row>
  </sheetData>
  <mergeCells count="1">
    <mergeCell ref="A6:L6"/>
  </mergeCells>
  <dataValidations count="1">
    <dataValidation type="list" allowBlank="1" showInputMessage="1" showErrorMessage="1" sqref="A11:A12 A16 A35 A49:A50 A30:A31 A54">
      <formula1>ElecProg</formula1>
    </dataValidation>
  </dataValidations>
  <printOptions horizontalCentered="1"/>
  <pageMargins left="0.25" right="0.25" top="0.75" bottom="0.75" header="0.3" footer="0.3"/>
  <pageSetup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1:W44"/>
  <sheetViews>
    <sheetView showGridLines="0" zoomScale="85" zoomScaleNormal="85" zoomScaleSheetLayoutView="85" zoomScalePageLayoutView="40" workbookViewId="0">
      <selection activeCell="A6" sqref="A6:U6"/>
    </sheetView>
  </sheetViews>
  <sheetFormatPr defaultColWidth="10" defaultRowHeight="15" outlineLevelCol="1"/>
  <cols>
    <col min="1" max="1" width="36.7109375" style="140" customWidth="1"/>
    <col min="2" max="2" width="11.7109375" style="140" customWidth="1"/>
    <col min="3" max="3" width="9.85546875" style="140" customWidth="1"/>
    <col min="4" max="4" width="9.7109375" style="140" customWidth="1"/>
    <col min="5" max="5" width="11.42578125" style="140" customWidth="1"/>
    <col min="6" max="6" width="10.42578125" style="140" customWidth="1"/>
    <col min="7" max="7" width="10.5703125" style="140" customWidth="1"/>
    <col min="8" max="8" width="10" style="140" customWidth="1"/>
    <col min="9" max="9" width="10.28515625" style="140" customWidth="1"/>
    <col min="10" max="10" width="10.85546875" style="140" customWidth="1"/>
    <col min="11" max="11" width="10.140625" style="140" customWidth="1"/>
    <col min="12" max="12" width="13.5703125" style="140" customWidth="1"/>
    <col min="13" max="13" width="9" style="140" hidden="1" customWidth="1" outlineLevel="1"/>
    <col min="14" max="14" width="8.5703125" style="140" hidden="1" customWidth="1" outlineLevel="1"/>
    <col min="15" max="15" width="10.28515625" style="140" hidden="1" customWidth="1" outlineLevel="1"/>
    <col min="16" max="16" width="11.140625" style="140" customWidth="1" collapsed="1"/>
    <col min="17" max="18" width="11.140625" style="140" customWidth="1"/>
    <col min="19" max="19" width="11" style="140" customWidth="1"/>
    <col min="20" max="21" width="12.42578125" style="140" customWidth="1"/>
    <col min="22" max="23" width="14" style="140" customWidth="1"/>
    <col min="24" max="16384" width="10" style="140"/>
  </cols>
  <sheetData>
    <row r="1" spans="1:23">
      <c r="U1" s="1262" t="str">
        <f>PA</f>
        <v>Unitil Energy Systems Inc</v>
      </c>
      <c r="V1" s="195"/>
      <c r="W1" s="142"/>
    </row>
    <row r="2" spans="1:23">
      <c r="U2" s="171" t="s">
        <v>554</v>
      </c>
      <c r="V2" s="195"/>
      <c r="W2" s="142"/>
    </row>
    <row r="3" spans="1:23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S3" s="117"/>
      <c r="U3" s="171"/>
      <c r="V3" s="195"/>
      <c r="W3" s="142"/>
    </row>
    <row r="4" spans="1:23">
      <c r="A4" s="117"/>
      <c r="B4" s="117"/>
      <c r="C4" s="141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S4" s="117"/>
      <c r="U4" s="1269"/>
      <c r="V4" s="195"/>
      <c r="W4" s="142"/>
    </row>
    <row r="5" spans="1:23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V5" s="195"/>
      <c r="W5" s="142"/>
    </row>
    <row r="6" spans="1:23" ht="15.75">
      <c r="A6" s="1650" t="s">
        <v>928</v>
      </c>
      <c r="B6" s="1650"/>
      <c r="C6" s="1650"/>
      <c r="D6" s="1650"/>
      <c r="E6" s="1650"/>
      <c r="F6" s="1650"/>
      <c r="G6" s="1650"/>
      <c r="H6" s="1650"/>
      <c r="I6" s="1650"/>
      <c r="J6" s="1650"/>
      <c r="K6" s="1650"/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95"/>
      <c r="W6" s="142"/>
    </row>
    <row r="7" spans="1:23" s="1281" customFormat="1" ht="15.75" thickBot="1">
      <c r="A7" s="1276"/>
      <c r="B7" s="1277"/>
      <c r="C7" s="1277"/>
      <c r="D7" s="1277"/>
      <c r="E7" s="1277"/>
      <c r="F7" s="1277"/>
      <c r="G7" s="1277"/>
      <c r="H7" s="1277"/>
      <c r="I7" s="1277"/>
      <c r="J7" s="1277"/>
      <c r="K7" s="1277"/>
      <c r="L7" s="1276"/>
      <c r="M7" s="1277"/>
      <c r="N7" s="1277"/>
      <c r="O7" s="1277"/>
      <c r="P7" s="1277"/>
      <c r="Q7" s="1277"/>
      <c r="R7" s="1277"/>
      <c r="S7" s="1277"/>
      <c r="T7" s="1277"/>
      <c r="U7" s="1278"/>
      <c r="V7" s="1279"/>
      <c r="W7" s="1280"/>
    </row>
    <row r="8" spans="1:23" ht="15.6" customHeight="1">
      <c r="A8" s="117"/>
      <c r="B8" s="1651" t="s">
        <v>309</v>
      </c>
      <c r="C8" s="1662" t="s">
        <v>766</v>
      </c>
      <c r="D8" s="1663"/>
      <c r="E8" s="1663"/>
      <c r="F8" s="1663"/>
      <c r="G8" s="1663"/>
      <c r="H8" s="1663"/>
      <c r="I8" s="1663"/>
      <c r="J8" s="1663"/>
      <c r="K8" s="1663"/>
      <c r="L8" s="1663"/>
      <c r="M8" s="1663"/>
      <c r="N8" s="1663"/>
      <c r="O8" s="1663"/>
      <c r="P8" s="1663"/>
      <c r="Q8" s="1663"/>
      <c r="R8" s="1664"/>
      <c r="S8" s="1665" t="s">
        <v>767</v>
      </c>
      <c r="T8" s="1666"/>
      <c r="U8" s="1667"/>
      <c r="V8" s="195"/>
      <c r="W8" s="142"/>
    </row>
    <row r="9" spans="1:23" ht="14.45" customHeight="1">
      <c r="A9" s="117"/>
      <c r="B9" s="1652"/>
      <c r="C9" s="1659" t="s">
        <v>213</v>
      </c>
      <c r="D9" s="1660"/>
      <c r="E9" s="1660"/>
      <c r="F9" s="1660"/>
      <c r="G9" s="1660"/>
      <c r="H9" s="1660"/>
      <c r="I9" s="1660"/>
      <c r="J9" s="1660"/>
      <c r="K9" s="1660"/>
      <c r="L9" s="1661"/>
      <c r="M9" s="121"/>
      <c r="N9" s="121"/>
      <c r="O9" s="121"/>
      <c r="P9" s="1659" t="s">
        <v>765</v>
      </c>
      <c r="Q9" s="1661"/>
      <c r="R9" s="134"/>
      <c r="S9" s="965"/>
      <c r="T9" s="121"/>
      <c r="U9" s="980"/>
      <c r="V9" s="195"/>
      <c r="W9" s="142"/>
    </row>
    <row r="10" spans="1:23" ht="14.45" customHeight="1">
      <c r="A10" s="127"/>
      <c r="B10" s="1652"/>
      <c r="C10" s="1655" t="s">
        <v>307</v>
      </c>
      <c r="D10" s="1656"/>
      <c r="E10" s="1656"/>
      <c r="F10" s="1656"/>
      <c r="G10" s="1657" t="s">
        <v>308</v>
      </c>
      <c r="H10" s="1656"/>
      <c r="I10" s="1656"/>
      <c r="J10" s="1658"/>
      <c r="K10" s="1653" t="s">
        <v>393</v>
      </c>
      <c r="L10" s="1676" t="s">
        <v>394</v>
      </c>
      <c r="M10" s="979"/>
      <c r="N10" s="979"/>
      <c r="O10" s="979"/>
      <c r="P10" s="1672" t="s">
        <v>110</v>
      </c>
      <c r="Q10" s="1674" t="s">
        <v>437</v>
      </c>
      <c r="R10" s="1670" t="s">
        <v>139</v>
      </c>
      <c r="S10" s="1672" t="s">
        <v>542</v>
      </c>
      <c r="T10" s="1653" t="s">
        <v>761</v>
      </c>
      <c r="U10" s="1668" t="s">
        <v>762</v>
      </c>
      <c r="V10" s="195"/>
      <c r="W10" s="142"/>
    </row>
    <row r="11" spans="1:23" ht="39" thickBot="1">
      <c r="A11" s="1275"/>
      <c r="B11" s="1399" t="s">
        <v>979</v>
      </c>
      <c r="C11" s="1270" t="s">
        <v>310</v>
      </c>
      <c r="D11" s="1271" t="s">
        <v>311</v>
      </c>
      <c r="E11" s="1271" t="s">
        <v>46</v>
      </c>
      <c r="F11" s="1273" t="s">
        <v>47</v>
      </c>
      <c r="G11" s="1272" t="s">
        <v>312</v>
      </c>
      <c r="H11" s="1271" t="s">
        <v>313</v>
      </c>
      <c r="I11" s="1271" t="s">
        <v>314</v>
      </c>
      <c r="J11" s="1273" t="s">
        <v>315</v>
      </c>
      <c r="K11" s="1654"/>
      <c r="L11" s="1677"/>
      <c r="M11" s="1274" t="s">
        <v>395</v>
      </c>
      <c r="N11" s="1274" t="s">
        <v>396</v>
      </c>
      <c r="O11" s="1274" t="s">
        <v>397</v>
      </c>
      <c r="P11" s="1673"/>
      <c r="Q11" s="1675"/>
      <c r="R11" s="1671"/>
      <c r="S11" s="1673"/>
      <c r="T11" s="1654"/>
      <c r="U11" s="1669"/>
      <c r="V11" s="195"/>
      <c r="W11" s="142"/>
    </row>
    <row r="12" spans="1:23" ht="16.5" thickBot="1">
      <c r="A12" s="1286">
        <f>Year1</f>
        <v>2021</v>
      </c>
      <c r="B12" s="1287"/>
      <c r="C12" s="1288"/>
      <c r="D12" s="1288"/>
      <c r="E12" s="1288"/>
      <c r="F12" s="1288"/>
      <c r="G12" s="1288"/>
      <c r="H12" s="1288"/>
      <c r="I12" s="1288"/>
      <c r="J12" s="1288"/>
      <c r="K12" s="1289"/>
      <c r="L12" s="1290"/>
      <c r="M12" s="1289"/>
      <c r="N12" s="1289"/>
      <c r="O12" s="1289"/>
      <c r="P12" s="1289"/>
      <c r="Q12" s="1289"/>
      <c r="R12" s="1290"/>
      <c r="S12" s="1289"/>
      <c r="T12" s="1289"/>
      <c r="U12" s="1291"/>
      <c r="V12" s="195"/>
      <c r="W12" s="142"/>
    </row>
    <row r="13" spans="1:23">
      <c r="A13" s="125" t="s">
        <v>301</v>
      </c>
      <c r="B13" s="1008"/>
      <c r="C13" s="962"/>
      <c r="D13" s="126"/>
      <c r="E13" s="126"/>
      <c r="F13" s="126"/>
      <c r="G13" s="970"/>
      <c r="H13" s="126"/>
      <c r="I13" s="126"/>
      <c r="J13" s="971"/>
      <c r="K13" s="126"/>
      <c r="L13" s="978"/>
      <c r="M13" s="126"/>
      <c r="N13" s="126"/>
      <c r="O13" s="126"/>
      <c r="P13" s="962"/>
      <c r="Q13" s="963"/>
      <c r="R13" s="963"/>
      <c r="S13" s="962"/>
      <c r="T13" s="126"/>
      <c r="U13" s="127"/>
      <c r="V13" s="195"/>
      <c r="W13" s="142"/>
    </row>
    <row r="14" spans="1:23">
      <c r="A14" s="128" t="s">
        <v>271</v>
      </c>
      <c r="B14" s="981">
        <f ca="1">SUMIFS('Master Data'!$CL$2:$CL$12,'Master Data'!$F$2:$F$12,$A14,'Master Data'!$C$2:$C$12,$A$12)/1000</f>
        <v>0</v>
      </c>
      <c r="C14" s="957">
        <f ca="1">SUMIFS('Master Data'!$BN$2:$BN$12,'Master Data'!$F$2:$F$12,$A14,'Master Data'!$C$2:$C$12,$A$12)/1000+SUMIFS('Master Data'!$BQ$2:$BQ$12,'Master Data'!$F$2:$F$12,$A14,'Master Data'!$C$2:$C$12,$A$12)/1000</f>
        <v>0</v>
      </c>
      <c r="D14" s="237">
        <f ca="1">SUMIFS('Master Data'!$BO$2:$BO$12,'Master Data'!$F$2:$F$12,$A14,'Master Data'!$C$2:$C$12,$A$12)/1000</f>
        <v>0</v>
      </c>
      <c r="E14" s="237">
        <f ca="1">SUMIFS('Master Data'!$BS$2:$BS$12,'Master Data'!$F$2:$F$12,$A14,'Master Data'!$C$2:$C$12,$A$12)/1000+SUMIFS('Master Data'!$BR$2:$BR$12,'Master Data'!$F$2:$F$12,$A14,'Master Data'!$C$2:$C$12,$A$12)/1000</f>
        <v>0</v>
      </c>
      <c r="F14" s="237">
        <f ca="1">SUMIFS('Master Data'!$BT$2:$BT$12,'Master Data'!$F$2:$F$12,$A14,'Master Data'!$C$2:$C$12,$A$12)/1000</f>
        <v>0</v>
      </c>
      <c r="G14" s="972">
        <f ca="1">SUMIFS('Master Data'!$BG$2:$BG$12,'Master Data'!$F$2:$F$12,$A14,'Master Data'!$C$2:$C$12,$A$12)/1000</f>
        <v>0</v>
      </c>
      <c r="H14" s="237">
        <f ca="1">SUMIFS('Master Data'!$BH$2:$BH$12,'Master Data'!$F$2:$F$12,$A14,'Master Data'!$C$2:$C$12,$A$12)/1000</f>
        <v>0</v>
      </c>
      <c r="I14" s="237">
        <f ca="1">SUMIFS('Master Data'!$BI$2:$BI$12,'Master Data'!$F$2:$F$12,$A14,'Master Data'!$C$2:$C$12,$A$12)/1000</f>
        <v>0</v>
      </c>
      <c r="J14" s="973">
        <f ca="1">SUMIFS('Master Data'!$BJ$2:$BJ$12,'Master Data'!$F$2:$F$12,$A14,'Master Data'!$C$2:$C$12,$A$12)/1000</f>
        <v>0</v>
      </c>
      <c r="K14" s="237">
        <f ca="1">SUMIFS('Master Data'!$BL$2:$BL$12,'Master Data'!$F$2:$F$12,$A14,'Master Data'!$C$2:$C$12,$A$12)/1000+SUMIFS('Master Data'!$BP$2:$BP$12,'Master Data'!$F$2:$F$12,$A14,'Master Data'!$C$2:$C$12,$A$12)/1000</f>
        <v>0</v>
      </c>
      <c r="L14" s="967">
        <f ca="1">SUM(C14:K14)</f>
        <v>0</v>
      </c>
      <c r="M14" s="237">
        <f ca="1">SUMIFS('Master Data'!$BV$2:$BV$12,'Master Data'!$F$2:$F$12,$A14,'Master Data'!$C$2:$C$12,$A$12)/1000</f>
        <v>0</v>
      </c>
      <c r="N14" s="237">
        <f ca="1">SUMIFS('Master Data'!$BW$2:$BW$12,'Master Data'!$F$2:$F$12,$A14,'Master Data'!$C$2:$C$12,$A$12)/1000</f>
        <v>0</v>
      </c>
      <c r="O14" s="238">
        <f ca="1">M14+N14</f>
        <v>0</v>
      </c>
      <c r="P14" s="1007">
        <f ca="1">SUMIFS('Master Data'!$CQ$2:$CQ$12,'Master Data'!$F$2:$F$12,$A14,'Master Data'!$C$2:$C$12,$A$12)/1000+O14</f>
        <v>0</v>
      </c>
      <c r="Q14" s="964">
        <f ca="1">SUMIFS('Master Data'!$CE$2:$CE$12,'Master Data'!$F$2:$F$12,$A14,'Master Data'!$C$2:$C$12,$A$12)/1000</f>
        <v>0</v>
      </c>
      <c r="R14" s="967">
        <f ca="1">SUMIFS('Master Data'!$CG$2:$CG$12,'Master Data'!$F$2:$F$12,$A14,'Master Data'!$C$2:$C$12,$A$12)/1000</f>
        <v>0</v>
      </c>
      <c r="S14" s="966">
        <f ca="1">SUMIFS('Master Data'!$CH$2:$CH$12,'Master Data'!$F$2:$F$12,$A14,'Master Data'!$C$2:$C$12,$A$12)/1000</f>
        <v>0</v>
      </c>
      <c r="T14" s="238">
        <f ca="1">SUMIFS('Master Data'!$CI$2:$CI$12,'Master Data'!$F$2:$F$12,$A14,'Master Data'!$C$2:$C$12,$A$12)/1000-S14</f>
        <v>0</v>
      </c>
      <c r="U14" s="932">
        <f ca="1">SUMIFS('Master Data'!$CI$2:$CI$12,'Master Data'!$F$2:$F$12,$A14,'Master Data'!$C$2:$C$12,$A$12)/1000</f>
        <v>0</v>
      </c>
      <c r="V14" s="195"/>
      <c r="W14" s="142"/>
    </row>
    <row r="15" spans="1:23">
      <c r="A15" s="942" t="s">
        <v>962</v>
      </c>
      <c r="B15" s="981">
        <f ca="1">SUMIFS('Master Data'!$CL$2:$CL$12,'Master Data'!$F$2:$F$12,$A15,'Master Data'!$C$2:$C$12,$A$12)/1000</f>
        <v>27.148401406196427</v>
      </c>
      <c r="C15" s="957">
        <f ca="1">SUMIFS('Master Data'!$BN$2:$BN$12,'Master Data'!$F$2:$F$12,$A15,'Master Data'!$C$2:$C$12,$A$12)/1000+SUMIFS('Master Data'!$BQ$2:$BQ$12,'Master Data'!$F$2:$F$12,$A15,'Master Data'!$C$2:$C$12,$A$12)/1000</f>
        <v>1.3295415092251819</v>
      </c>
      <c r="D15" s="237">
        <f ca="1">SUMIFS('Master Data'!$BO$2:$BO$12,'Master Data'!$F$2:$F$12,$A15,'Master Data'!$C$2:$C$12,$A$12)/1000</f>
        <v>0</v>
      </c>
      <c r="E15" s="237">
        <f ca="1">SUMIFS('Master Data'!$BS$2:$BS$12,'Master Data'!$F$2:$F$12,$A15,'Master Data'!$C$2:$C$12,$A$12)/1000+SUMIFS('Master Data'!$BR$2:$BR$12,'Master Data'!$F$2:$F$12,$A15,'Master Data'!$C$2:$C$12,$A$12)/1000</f>
        <v>12.312872078585929</v>
      </c>
      <c r="F15" s="237">
        <f ca="1">SUMIFS('Master Data'!$BT$2:$BT$12,'Master Data'!$F$2:$F$12,$A15,'Master Data'!$C$2:$C$12,$A$12)/1000</f>
        <v>10.666502206905017</v>
      </c>
      <c r="G15" s="972">
        <f ca="1">SUMIFS('Master Data'!$BG$2:$BG$12,'Master Data'!$F$2:$F$12,$A15,'Master Data'!$C$2:$C$12,$A$12)/1000</f>
        <v>0</v>
      </c>
      <c r="H15" s="237">
        <f ca="1">SUMIFS('Master Data'!$BH$2:$BH$12,'Master Data'!$F$2:$F$12,$A15,'Master Data'!$C$2:$C$12,$A$12)/1000</f>
        <v>0</v>
      </c>
      <c r="I15" s="237">
        <f ca="1">SUMIFS('Master Data'!$BI$2:$BI$12,'Master Data'!$F$2:$F$12,$A15,'Master Data'!$C$2:$C$12,$A$12)/1000</f>
        <v>0</v>
      </c>
      <c r="J15" s="973">
        <f ca="1">SUMIFS('Master Data'!$BJ$2:$BJ$12,'Master Data'!$F$2:$F$12,$A15,'Master Data'!$C$2:$C$12,$A$12)/1000</f>
        <v>0</v>
      </c>
      <c r="K15" s="237">
        <f ca="1">SUMIFS('Master Data'!$BL$2:$BL$12,'Master Data'!$F$2:$F$12,$A15,'Master Data'!$C$2:$C$12,$A$12)/1000+SUMIFS('Master Data'!$BP$2:$BP$12,'Master Data'!$F$2:$F$12,$A15,'Master Data'!$C$2:$C$12,$A$12)/1000</f>
        <v>2.8394856114802991</v>
      </c>
      <c r="L15" s="967">
        <f ca="1">SUM(C15:K15)</f>
        <v>27.148401406196427</v>
      </c>
      <c r="M15" s="237">
        <f ca="1">SUMIFS('Master Data'!$BV$2:$BV$12,'Master Data'!$F$2:$F$12,$A15,'Master Data'!$C$2:$C$12,$A$12)/1000</f>
        <v>0</v>
      </c>
      <c r="N15" s="237">
        <f ca="1">SUMIFS('Master Data'!$BW$2:$BW$12,'Master Data'!$F$2:$F$12,$A15,'Master Data'!$C$2:$C$12,$A$12)/1000</f>
        <v>0</v>
      </c>
      <c r="O15" s="238">
        <f ca="1">M15+N15</f>
        <v>0</v>
      </c>
      <c r="P15" s="1007">
        <f ca="1">SUMIFS('Master Data'!$CQ$2:$CQ$12,'Master Data'!$F$2:$F$12,$A15,'Master Data'!$C$2:$C$12,$A$12)/1000+O15</f>
        <v>0</v>
      </c>
      <c r="Q15" s="964">
        <f ca="1">SUMIFS('Master Data'!$CE$2:$CE$12,'Master Data'!$F$2:$F$12,$A15,'Master Data'!$C$2:$C$12,$A$12)/1000</f>
        <v>0</v>
      </c>
      <c r="R15" s="967">
        <f ca="1">SUMIFS('Master Data'!$CG$2:$CG$12,'Master Data'!$F$2:$F$12,$A15,'Master Data'!$C$2:$C$12,$A$12)/1000</f>
        <v>27.148401406196427</v>
      </c>
      <c r="S15" s="966">
        <f ca="1">SUMIFS('Master Data'!$CH$2:$CH$12,'Master Data'!$F$2:$F$12,$A15,'Master Data'!$C$2:$C$12,$A$12)/1000</f>
        <v>0</v>
      </c>
      <c r="T15" s="238">
        <f ca="1">SUMIFS('Master Data'!$CI$2:$CI$12,'Master Data'!$F$2:$F$12,$A15,'Master Data'!$C$2:$C$12,$A$12)/1000-S15</f>
        <v>2.7148401406196427</v>
      </c>
      <c r="U15" s="932">
        <f ca="1">SUMIFS('Master Data'!$CI$2:$CI$12,'Master Data'!$F$2:$F$12,$A15,'Master Data'!$C$2:$C$12,$A$12)/1000</f>
        <v>2.7148401406196427</v>
      </c>
      <c r="V15" s="195"/>
      <c r="W15" s="142"/>
    </row>
    <row r="16" spans="1:23">
      <c r="A16" s="183" t="s">
        <v>404</v>
      </c>
      <c r="B16" s="982">
        <f t="shared" ref="B16:U16" ca="1" si="0">SUM(B14:B15)</f>
        <v>27.148401406196427</v>
      </c>
      <c r="C16" s="958">
        <f t="shared" ca="1" si="0"/>
        <v>1.3295415092251819</v>
      </c>
      <c r="D16" s="239">
        <f t="shared" ca="1" si="0"/>
        <v>0</v>
      </c>
      <c r="E16" s="239">
        <f t="shared" ca="1" si="0"/>
        <v>12.312872078585929</v>
      </c>
      <c r="F16" s="239">
        <f t="shared" ca="1" si="0"/>
        <v>10.666502206905017</v>
      </c>
      <c r="G16" s="974">
        <f t="shared" ca="1" si="0"/>
        <v>0</v>
      </c>
      <c r="H16" s="239">
        <f t="shared" ca="1" si="0"/>
        <v>0</v>
      </c>
      <c r="I16" s="239">
        <f t="shared" ca="1" si="0"/>
        <v>0</v>
      </c>
      <c r="J16" s="975">
        <f t="shared" ca="1" si="0"/>
        <v>0</v>
      </c>
      <c r="K16" s="239">
        <f t="shared" ca="1" si="0"/>
        <v>2.8394856114802991</v>
      </c>
      <c r="L16" s="969">
        <f t="shared" ca="1" si="0"/>
        <v>27.148401406196427</v>
      </c>
      <c r="M16" s="239">
        <f t="shared" ca="1" si="0"/>
        <v>0</v>
      </c>
      <c r="N16" s="239">
        <f t="shared" ca="1" si="0"/>
        <v>0</v>
      </c>
      <c r="O16" s="239">
        <f t="shared" ca="1" si="0"/>
        <v>0</v>
      </c>
      <c r="P16" s="958">
        <f t="shared" ca="1" si="0"/>
        <v>0</v>
      </c>
      <c r="Q16" s="959">
        <f t="shared" ca="1" si="0"/>
        <v>0</v>
      </c>
      <c r="R16" s="969">
        <f t="shared" ca="1" si="0"/>
        <v>27.148401406196427</v>
      </c>
      <c r="S16" s="968">
        <f t="shared" ca="1" si="0"/>
        <v>0</v>
      </c>
      <c r="T16" s="246">
        <f t="shared" ca="1" si="0"/>
        <v>2.7148401406196427</v>
      </c>
      <c r="U16" s="247">
        <f t="shared" ca="1" si="0"/>
        <v>2.7148401406196427</v>
      </c>
      <c r="V16" s="195"/>
      <c r="W16" s="142"/>
    </row>
    <row r="17" spans="1:23">
      <c r="A17" s="182"/>
      <c r="B17" s="982"/>
      <c r="C17" s="960"/>
      <c r="D17" s="240"/>
      <c r="E17" s="240"/>
      <c r="F17" s="240"/>
      <c r="G17" s="976"/>
      <c r="H17" s="240"/>
      <c r="I17" s="240"/>
      <c r="J17" s="977"/>
      <c r="K17" s="240"/>
      <c r="L17" s="969"/>
      <c r="M17" s="240"/>
      <c r="N17" s="240"/>
      <c r="O17" s="240"/>
      <c r="P17" s="960"/>
      <c r="Q17" s="961"/>
      <c r="R17" s="969"/>
      <c r="S17" s="960"/>
      <c r="T17" s="240"/>
      <c r="U17" s="247"/>
      <c r="V17" s="195"/>
      <c r="W17" s="142"/>
    </row>
    <row r="18" spans="1:23">
      <c r="A18" s="125" t="s">
        <v>302</v>
      </c>
      <c r="B18" s="982"/>
      <c r="C18" s="960"/>
      <c r="D18" s="240"/>
      <c r="E18" s="240"/>
      <c r="F18" s="240"/>
      <c r="G18" s="976"/>
      <c r="H18" s="240"/>
      <c r="I18" s="240"/>
      <c r="J18" s="977"/>
      <c r="K18" s="240"/>
      <c r="L18" s="969"/>
      <c r="M18" s="240"/>
      <c r="N18" s="240"/>
      <c r="O18" s="240"/>
      <c r="P18" s="960"/>
      <c r="Q18" s="961"/>
      <c r="R18" s="969"/>
      <c r="S18" s="960"/>
      <c r="T18" s="240"/>
      <c r="U18" s="247"/>
      <c r="V18" s="195"/>
      <c r="W18" s="142"/>
    </row>
    <row r="19" spans="1:23">
      <c r="A19" s="942" t="s">
        <v>963</v>
      </c>
      <c r="B19" s="981">
        <f ca="1">SUMIFS('Master Data'!$CL$2:$CL$12,'Master Data'!$F$2:$F$12,$A19,'Master Data'!$C$2:$C$12,$A$12)/1000</f>
        <v>442.87101392671872</v>
      </c>
      <c r="C19" s="957">
        <f ca="1">SUMIFS('Master Data'!$BN$2:$BN$12,'Master Data'!$F$2:$F$12,$A19,'Master Data'!$C$2:$C$12,$A$12)/1000+SUMIFS('Master Data'!$BQ$2:$BQ$12,'Master Data'!$F$2:$F$12,$A19,'Master Data'!$C$2:$C$12,$A$12)/1000</f>
        <v>29.781729806644076</v>
      </c>
      <c r="D19" s="237">
        <f ca="1">SUMIFS('Master Data'!$BO$2:$BO$12,'Master Data'!$F$2:$F$12,$A19,'Master Data'!$C$2:$C$12,$A$12)/1000</f>
        <v>0</v>
      </c>
      <c r="E19" s="237">
        <f ca="1">SUMIFS('Master Data'!$BS$2:$BS$12,'Master Data'!$F$2:$F$12,$A19,'Master Data'!$C$2:$C$12,$A$12)/1000+SUMIFS('Master Data'!$BR$2:$BR$12,'Master Data'!$F$2:$F$12,$A19,'Master Data'!$C$2:$C$12,$A$12)/1000</f>
        <v>187.15565559450613</v>
      </c>
      <c r="F19" s="237">
        <f ca="1">SUMIFS('Master Data'!$BT$2:$BT$12,'Master Data'!$F$2:$F$12,$A19,'Master Data'!$C$2:$C$12,$A$12)/1000</f>
        <v>162.13083354495626</v>
      </c>
      <c r="G19" s="972">
        <f ca="1">SUMIFS('Master Data'!$BG$2:$BG$12,'Master Data'!$F$2:$F$12,$A19,'Master Data'!$C$2:$C$12,$A$12)/1000</f>
        <v>0</v>
      </c>
      <c r="H19" s="237">
        <f ca="1">SUMIFS('Master Data'!$BH$2:$BH$12,'Master Data'!$F$2:$F$12,$A19,'Master Data'!$C$2:$C$12,$A$12)/1000</f>
        <v>0</v>
      </c>
      <c r="I19" s="237">
        <f ca="1">SUMIFS('Master Data'!$BI$2:$BI$12,'Master Data'!$F$2:$F$12,$A19,'Master Data'!$C$2:$C$12,$A$12)/1000</f>
        <v>0</v>
      </c>
      <c r="J19" s="973">
        <f ca="1">SUMIFS('Master Data'!$BJ$2:$BJ$12,'Master Data'!$F$2:$F$12,$A19,'Master Data'!$C$2:$C$12,$A$12)/1000</f>
        <v>0</v>
      </c>
      <c r="K19" s="237">
        <f ca="1">SUMIFS('Master Data'!$BL$2:$BL$12,'Master Data'!$F$2:$F$12,$A19,'Master Data'!$C$2:$C$12,$A$12)/1000+SUMIFS('Master Data'!$BP$2:$BP$12,'Master Data'!$F$2:$F$12,$A19,'Master Data'!$C$2:$C$12,$A$12)/1000</f>
        <v>63.599627255548555</v>
      </c>
      <c r="L19" s="967">
        <f ca="1">SUM(C19:K19)</f>
        <v>442.66784620165504</v>
      </c>
      <c r="M19" s="237">
        <f ca="1">SUMIFS('Master Data'!$BV$2:$BV$12,'Master Data'!$F$2:$F$12,$A19,'Master Data'!$C$2:$C$12,$A$12)/1000</f>
        <v>0</v>
      </c>
      <c r="N19" s="237">
        <f ca="1">SUMIFS('Master Data'!$BW$2:$BW$12,'Master Data'!$F$2:$F$12,$A19,'Master Data'!$C$2:$C$12,$A$12)/1000</f>
        <v>0</v>
      </c>
      <c r="O19" s="238">
        <f ca="1">M19+N19</f>
        <v>0</v>
      </c>
      <c r="P19" s="957">
        <f ca="1">SUMIFS('Master Data'!$CQ$2:$CQ$12,'Master Data'!$F$2:$F$12,$A19,'Master Data'!$C$2:$C$12,$A$12)/1000+O19</f>
        <v>0</v>
      </c>
      <c r="Q19" s="964">
        <f ca="1">SUMIFS('Master Data'!$CE$2:$CE$12,'Master Data'!$F$2:$F$12,$A19,'Master Data'!$C$2:$C$12,$A$12)/1000</f>
        <v>0</v>
      </c>
      <c r="R19" s="967">
        <f ca="1">SUMIFS('Master Data'!$CG$2:$CG$12,'Master Data'!$F$2:$F$12,$A19,'Master Data'!$C$2:$C$12,$A$12)/1000</f>
        <v>442.87101392671872</v>
      </c>
      <c r="S19" s="966">
        <f ca="1">SUMIFS('Master Data'!$CH$2:$CH$12,'Master Data'!$F$2:$F$12,$A19,'Master Data'!$C$2:$C$12,$A$12)/1000</f>
        <v>0</v>
      </c>
      <c r="T19" s="238">
        <f ca="1">SUMIFS('Master Data'!$CI$2:$CI$12,'Master Data'!$F$2:$F$12,$A19,'Master Data'!$C$2:$C$12,$A$12)/1000-S19</f>
        <v>44.287101392671872</v>
      </c>
      <c r="U19" s="932">
        <f ca="1">SUMIFS('Master Data'!$CI$2:$CI$12,'Master Data'!$F$2:$F$12,$A19,'Master Data'!$C$2:$C$12,$A$12)/1000</f>
        <v>44.287101392671872</v>
      </c>
      <c r="V19" s="195"/>
      <c r="W19" s="142"/>
    </row>
    <row r="20" spans="1:23">
      <c r="A20" s="183" t="s">
        <v>406</v>
      </c>
      <c r="B20" s="982">
        <f t="shared" ref="B20:U20" ca="1" si="1">SUM(B19:B19)</f>
        <v>442.87101392671872</v>
      </c>
      <c r="C20" s="958">
        <f t="shared" ca="1" si="1"/>
        <v>29.781729806644076</v>
      </c>
      <c r="D20" s="239">
        <f t="shared" ca="1" si="1"/>
        <v>0</v>
      </c>
      <c r="E20" s="239">
        <f t="shared" ca="1" si="1"/>
        <v>187.15565559450613</v>
      </c>
      <c r="F20" s="239">
        <f t="shared" ca="1" si="1"/>
        <v>162.13083354495626</v>
      </c>
      <c r="G20" s="974">
        <f t="shared" ca="1" si="1"/>
        <v>0</v>
      </c>
      <c r="H20" s="239">
        <f t="shared" ca="1" si="1"/>
        <v>0</v>
      </c>
      <c r="I20" s="239">
        <f t="shared" ca="1" si="1"/>
        <v>0</v>
      </c>
      <c r="J20" s="975">
        <f t="shared" ca="1" si="1"/>
        <v>0</v>
      </c>
      <c r="K20" s="239">
        <f t="shared" ca="1" si="1"/>
        <v>63.599627255548555</v>
      </c>
      <c r="L20" s="969">
        <f t="shared" ca="1" si="1"/>
        <v>442.66784620165504</v>
      </c>
      <c r="M20" s="239">
        <f t="shared" ca="1" si="1"/>
        <v>0</v>
      </c>
      <c r="N20" s="239">
        <f t="shared" ca="1" si="1"/>
        <v>0</v>
      </c>
      <c r="O20" s="239">
        <f t="shared" ca="1" si="1"/>
        <v>0</v>
      </c>
      <c r="P20" s="958">
        <f t="shared" ca="1" si="1"/>
        <v>0</v>
      </c>
      <c r="Q20" s="959">
        <f t="shared" ca="1" si="1"/>
        <v>0</v>
      </c>
      <c r="R20" s="969">
        <f t="shared" ca="1" si="1"/>
        <v>442.87101392671872</v>
      </c>
      <c r="S20" s="958">
        <f t="shared" ca="1" si="1"/>
        <v>0</v>
      </c>
      <c r="T20" s="239">
        <f t="shared" ca="1" si="1"/>
        <v>44.287101392671872</v>
      </c>
      <c r="U20" s="247">
        <f t="shared" ca="1" si="1"/>
        <v>44.287101392671872</v>
      </c>
      <c r="V20" s="195"/>
      <c r="W20" s="142"/>
    </row>
    <row r="21" spans="1:23">
      <c r="A21" s="182"/>
      <c r="B21" s="982"/>
      <c r="C21" s="960"/>
      <c r="D21" s="240"/>
      <c r="E21" s="240"/>
      <c r="F21" s="240"/>
      <c r="G21" s="976"/>
      <c r="H21" s="240"/>
      <c r="I21" s="240"/>
      <c r="J21" s="977"/>
      <c r="K21" s="240"/>
      <c r="L21" s="969"/>
      <c r="M21" s="240"/>
      <c r="N21" s="240"/>
      <c r="O21" s="240"/>
      <c r="P21" s="960"/>
      <c r="Q21" s="961"/>
      <c r="R21" s="969"/>
      <c r="S21" s="960"/>
      <c r="T21" s="240"/>
      <c r="U21" s="247"/>
      <c r="V21" s="195"/>
      <c r="W21" s="142"/>
    </row>
    <row r="22" spans="1:23" ht="15.75" thickBot="1">
      <c r="A22" s="249" t="s">
        <v>82</v>
      </c>
      <c r="B22" s="983">
        <f ca="1">B16+B20</f>
        <v>470.01941533291517</v>
      </c>
      <c r="C22" s="984">
        <f t="shared" ref="C22:U22" ca="1" si="2">C16+C20</f>
        <v>31.11127131586926</v>
      </c>
      <c r="D22" s="931">
        <f t="shared" ca="1" si="2"/>
        <v>0</v>
      </c>
      <c r="E22" s="931">
        <f t="shared" ca="1" si="2"/>
        <v>199.46852767309207</v>
      </c>
      <c r="F22" s="931">
        <f t="shared" ca="1" si="2"/>
        <v>172.79733575186128</v>
      </c>
      <c r="G22" s="985">
        <f t="shared" ca="1" si="2"/>
        <v>0</v>
      </c>
      <c r="H22" s="931">
        <f t="shared" ca="1" si="2"/>
        <v>0</v>
      </c>
      <c r="I22" s="931">
        <f t="shared" ca="1" si="2"/>
        <v>0</v>
      </c>
      <c r="J22" s="986">
        <f t="shared" ca="1" si="2"/>
        <v>0</v>
      </c>
      <c r="K22" s="931">
        <f t="shared" ca="1" si="2"/>
        <v>66.439112867028854</v>
      </c>
      <c r="L22" s="987">
        <f t="shared" ca="1" si="2"/>
        <v>469.81624760785144</v>
      </c>
      <c r="M22" s="931">
        <f t="shared" ca="1" si="2"/>
        <v>0</v>
      </c>
      <c r="N22" s="931">
        <f t="shared" ca="1" si="2"/>
        <v>0</v>
      </c>
      <c r="O22" s="931">
        <f t="shared" ca="1" si="2"/>
        <v>0</v>
      </c>
      <c r="P22" s="984">
        <f t="shared" ca="1" si="2"/>
        <v>0</v>
      </c>
      <c r="Q22" s="988">
        <f t="shared" ca="1" si="2"/>
        <v>0</v>
      </c>
      <c r="R22" s="987">
        <f t="shared" ca="1" si="2"/>
        <v>470.01941533291517</v>
      </c>
      <c r="S22" s="989">
        <f t="shared" ca="1" si="2"/>
        <v>0</v>
      </c>
      <c r="T22" s="929">
        <f t="shared" ca="1" si="2"/>
        <v>47.001941533291514</v>
      </c>
      <c r="U22" s="930">
        <f t="shared" ca="1" si="2"/>
        <v>47.001941533291514</v>
      </c>
      <c r="V22" s="195"/>
      <c r="W22" s="142"/>
    </row>
    <row r="23" spans="1:23" ht="16.5" thickBot="1">
      <c r="A23" s="1286">
        <f>Year2</f>
        <v>2022</v>
      </c>
      <c r="B23" s="1287"/>
      <c r="C23" s="1288"/>
      <c r="D23" s="1288"/>
      <c r="E23" s="1288"/>
      <c r="F23" s="1288"/>
      <c r="G23" s="1288"/>
      <c r="H23" s="1288"/>
      <c r="I23" s="1288"/>
      <c r="J23" s="1288"/>
      <c r="K23" s="1289"/>
      <c r="L23" s="1290"/>
      <c r="M23" s="1289"/>
      <c r="N23" s="1289"/>
      <c r="O23" s="1289"/>
      <c r="P23" s="1289"/>
      <c r="Q23" s="1289"/>
      <c r="R23" s="1290"/>
      <c r="S23" s="1289"/>
      <c r="T23" s="1289"/>
      <c r="U23" s="1291"/>
      <c r="V23" s="195"/>
      <c r="W23" s="142"/>
    </row>
    <row r="24" spans="1:23">
      <c r="A24" s="125" t="s">
        <v>301</v>
      </c>
      <c r="B24" s="1008"/>
      <c r="C24" s="962"/>
      <c r="D24" s="126"/>
      <c r="E24" s="126"/>
      <c r="F24" s="126"/>
      <c r="G24" s="970"/>
      <c r="H24" s="126"/>
      <c r="I24" s="126"/>
      <c r="J24" s="971"/>
      <c r="K24" s="126"/>
      <c r="L24" s="978"/>
      <c r="M24" s="126"/>
      <c r="N24" s="126"/>
      <c r="O24" s="126"/>
      <c r="P24" s="962"/>
      <c r="Q24" s="963"/>
      <c r="R24" s="963"/>
      <c r="S24" s="962"/>
      <c r="T24" s="126"/>
      <c r="U24" s="127"/>
      <c r="V24" s="195"/>
      <c r="W24" s="142"/>
    </row>
    <row r="25" spans="1:23">
      <c r="A25" s="128" t="s">
        <v>271</v>
      </c>
      <c r="B25" s="981">
        <f ca="1">SUMIFS('Master Data'!$CK$2:$CK$12,'Master Data'!$F$2:$F$12,$A25,'Master Data'!$C$2:$C$12,$A$23)/1000</f>
        <v>0</v>
      </c>
      <c r="C25" s="957">
        <f ca="1">SUMIFS('Master Data'!$BN$2:$BN$12,'Master Data'!$F$2:$F$12,$A25,'Master Data'!$C$2:$C$12,$A$23)/1000+SUMIFS('Master Data'!$BQ$2:$BQ$12,'Master Data'!$F$2:$F$12,$A25,'Master Data'!$C$2:$C$12,$A$23)/1000</f>
        <v>0</v>
      </c>
      <c r="D25" s="237">
        <f ca="1">SUMIFS('Master Data'!$BO$2:$BO$12,'Master Data'!$F$2:$F$12,$A25,'Master Data'!$C$2:$C$12,$A$23)/1000</f>
        <v>0</v>
      </c>
      <c r="E25" s="237">
        <f ca="1">SUMIFS('Master Data'!$BS$2:$BS$12,'Master Data'!$F$2:$F$12,$A25,'Master Data'!$C$2:$C$12,$A$23)/1000+SUMIFS('Master Data'!$BR$2:$BR$12,'Master Data'!$F$2:$F$12,$A25,'Master Data'!$C$2:$C$12,$A$23)/1000</f>
        <v>0</v>
      </c>
      <c r="F25" s="237">
        <f ca="1">SUMIFS('Master Data'!$BT$2:$BT$12,'Master Data'!$F$2:$F$12,$A25,'Master Data'!$C$2:$C$12,$A$23)/1000</f>
        <v>0</v>
      </c>
      <c r="G25" s="972">
        <f ca="1">SUMIFS('Master Data'!$BG$2:$BG$12,'Master Data'!$F$2:$F$12,$A25,'Master Data'!$C$2:$C$12,$A$23)/1000</f>
        <v>0</v>
      </c>
      <c r="H25" s="237">
        <f ca="1">SUMIFS('Master Data'!$BH$2:$BH$12,'Master Data'!$F$2:$F$12,$A25,'Master Data'!$C$2:$C$12,$A$23)/1000</f>
        <v>0</v>
      </c>
      <c r="I25" s="237">
        <f ca="1">SUMIFS('Master Data'!$BI$2:$BI$12,'Master Data'!$F$2:$F$12,$A25,'Master Data'!$C$2:$C$12,$A$23)/1000</f>
        <v>0</v>
      </c>
      <c r="J25" s="973">
        <f ca="1">SUMIFS('Master Data'!$BJ$2:$BJ$12,'Master Data'!$F$2:$F$12,$A25,'Master Data'!$C$2:$C$12,$A$23)/1000</f>
        <v>0</v>
      </c>
      <c r="K25" s="237">
        <f ca="1">SUMIFS('Master Data'!$BL$2:$BL$12,'Master Data'!$F$2:$F$12,$A25,'Master Data'!$C$2:$C$12,$A$23)/1000+SUMIFS('Master Data'!$BP$2:$BP$12,'Master Data'!$F$2:$F$12,$A25,'Master Data'!$C$2:$C$12,$A$23)/1000</f>
        <v>0</v>
      </c>
      <c r="L25" s="967">
        <f ca="1">SUM(C25:K25)</f>
        <v>0</v>
      </c>
      <c r="M25" s="237">
        <f ca="1">SUMIFS('Master Data'!$BV$2:$BV$12,'Master Data'!$F$2:$F$12,$A25,'Master Data'!$C$2:$C$12,$A$23)/1000</f>
        <v>0</v>
      </c>
      <c r="N25" s="237">
        <f ca="1">SUMIFS('Master Data'!$BW$2:$BW$12,'Master Data'!$F$2:$F$12,$A25,'Master Data'!$C$2:$C$12,$A$23)/1000</f>
        <v>0</v>
      </c>
      <c r="O25" s="238">
        <f ca="1">M25+N25</f>
        <v>0</v>
      </c>
      <c r="P25" s="1007">
        <f ca="1">SUMIFS('Master Data'!$CQ$2:$CQ$12,'Master Data'!$F$2:$F$12,$A25,'Master Data'!$C$2:$C$12,$A$23)/1000+O25</f>
        <v>0</v>
      </c>
      <c r="Q25" s="964">
        <f ca="1">SUMIFS('Master Data'!$CE$2:$CE$12,'Master Data'!$F$2:$F$12,$A25,'Master Data'!$C$2:$C$12,$A$23)/1000</f>
        <v>0</v>
      </c>
      <c r="R25" s="967">
        <f ca="1">SUMIFS('Master Data'!$CG$2:$CG$12,'Master Data'!$F$2:$F$12,$A25,'Master Data'!$C$2:$C$12,$A$23)/1000</f>
        <v>0</v>
      </c>
      <c r="S25" s="966">
        <f ca="1">SUMIFS('Master Data'!$CH$2:$CH$12,'Master Data'!$F$2:$F$12,$A25,'Master Data'!$C$2:$C$12,$A$23)/1000</f>
        <v>0</v>
      </c>
      <c r="T25" s="238">
        <f ca="1">SUMIFS('Master Data'!$CI$2:$CI$12,'Master Data'!$F$2:$F$12,$A25,'Master Data'!$C$2:$C$12,$A$23)/1000-S25</f>
        <v>0</v>
      </c>
      <c r="U25" s="932">
        <f ca="1">SUMIFS('Master Data'!$CI$2:$CI$12,'Master Data'!$F$2:$F$12,$A25,'Master Data'!$C$2:$C$12,$A$23)/1000</f>
        <v>0</v>
      </c>
      <c r="V25" s="195"/>
      <c r="W25" s="142"/>
    </row>
    <row r="26" spans="1:23">
      <c r="A26" s="942" t="s">
        <v>962</v>
      </c>
      <c r="B26" s="981">
        <f ca="1">SUMIFS('Master Data'!$CL$2:$CL$12,'Master Data'!$F$2:$F$12,$A26,'Master Data'!$C$2:$C$12,$A$23)/1000</f>
        <v>41.57996246486119</v>
      </c>
      <c r="C26" s="957">
        <f ca="1">SUMIFS('Master Data'!$BN$2:$BN$12,'Master Data'!$F$2:$F$12,$A26,'Master Data'!$C$2:$C$12,$A$23)/1000+SUMIFS('Master Data'!$BQ$2:$BQ$12,'Master Data'!$F$2:$F$12,$A26,'Master Data'!$C$2:$C$12,$A$23)/1000</f>
        <v>2.0745294550621161</v>
      </c>
      <c r="D26" s="237">
        <f ca="1">SUMIFS('Master Data'!$BO$2:$BO$12,'Master Data'!$F$2:$F$12,$A26,'Master Data'!$C$2:$C$12,$A$23)/1000</f>
        <v>0</v>
      </c>
      <c r="E26" s="237">
        <f ca="1">SUMIFS('Master Data'!$BS$2:$BS$12,'Master Data'!$F$2:$F$12,$A26,'Master Data'!$C$2:$C$12,$A$23)/1000+SUMIFS('Master Data'!$BR$2:$BR$12,'Master Data'!$F$2:$F$12,$A26,'Master Data'!$C$2:$C$12,$A$23)/1000</f>
        <v>18.803602594812503</v>
      </c>
      <c r="F26" s="237">
        <f ca="1">SUMIFS('Master Data'!$BT$2:$BT$12,'Master Data'!$F$2:$F$12,$A26,'Master Data'!$C$2:$C$12,$A$23)/1000</f>
        <v>16.289348845274997</v>
      </c>
      <c r="G26" s="972">
        <f ca="1">SUMIFS('Master Data'!$BG$2:$BG$12,'Master Data'!$F$2:$F$12,$A26,'Master Data'!$C$2:$C$12,$A$23)/1000</f>
        <v>0</v>
      </c>
      <c r="H26" s="237">
        <f ca="1">SUMIFS('Master Data'!$BH$2:$BH$12,'Master Data'!$F$2:$F$12,$A26,'Master Data'!$C$2:$C$12,$A$23)/1000</f>
        <v>0</v>
      </c>
      <c r="I26" s="237">
        <f ca="1">SUMIFS('Master Data'!$BI$2:$BI$12,'Master Data'!$F$2:$F$12,$A26,'Master Data'!$C$2:$C$12,$A$23)/1000</f>
        <v>0</v>
      </c>
      <c r="J26" s="973">
        <f ca="1">SUMIFS('Master Data'!$BJ$2:$BJ$12,'Master Data'!$F$2:$F$12,$A26,'Master Data'!$C$2:$C$12,$A$23)/1000</f>
        <v>0</v>
      </c>
      <c r="K26" s="237">
        <f ca="1">SUMIFS('Master Data'!$BL$2:$BL$12,'Master Data'!$F$2:$F$12,$A26,'Master Data'!$C$2:$C$12,$A$23)/1000+SUMIFS('Master Data'!$BP$2:$BP$12,'Master Data'!$F$2:$F$12,$A26,'Master Data'!$C$2:$C$12,$A$23)/1000</f>
        <v>4.4124815697115727</v>
      </c>
      <c r="L26" s="967">
        <f ca="1">SUM(C26:K26)</f>
        <v>41.57996246486119</v>
      </c>
      <c r="M26" s="237">
        <f ca="1">SUMIFS('Master Data'!$BV$2:$BV$12,'Master Data'!$F$2:$F$12,$A26,'Master Data'!$C$2:$C$12,$A$23)/1000</f>
        <v>0</v>
      </c>
      <c r="N26" s="237">
        <f ca="1">SUMIFS('Master Data'!$BW$2:$BW$12,'Master Data'!$F$2:$F$12,$A26,'Master Data'!$C$2:$C$12,$A$23)/1000</f>
        <v>0</v>
      </c>
      <c r="O26" s="238">
        <f ca="1">M26+N26</f>
        <v>0</v>
      </c>
      <c r="P26" s="1007">
        <f ca="1">SUMIFS('Master Data'!$CQ$2:$CQ$12,'Master Data'!$F$2:$F$12,$A26,'Master Data'!$C$2:$C$12,$A$23)/1000+O26</f>
        <v>0</v>
      </c>
      <c r="Q26" s="964">
        <f ca="1">SUMIFS('Master Data'!$CE$2:$CE$12,'Master Data'!$F$2:$F$12,$A26,'Master Data'!$C$2:$C$12,$A$23)/1000</f>
        <v>0</v>
      </c>
      <c r="R26" s="967">
        <f ca="1">SUMIFS('Master Data'!$CG$2:$CG$12,'Master Data'!$F$2:$F$12,$A26,'Master Data'!$C$2:$C$12,$A$23)/1000</f>
        <v>41.57996246486119</v>
      </c>
      <c r="S26" s="966">
        <f ca="1">SUMIFS('Master Data'!$CH$2:$CH$12,'Master Data'!$F$2:$F$12,$A26,'Master Data'!$C$2:$C$12,$A$23)/1000</f>
        <v>0</v>
      </c>
      <c r="T26" s="238">
        <f ca="1">SUMIFS('Master Data'!$CI$2:$CI$12,'Master Data'!$F$2:$F$12,$A26,'Master Data'!$C$2:$C$12,$A$23)/1000-S26</f>
        <v>4.1579962464861193</v>
      </c>
      <c r="U26" s="932">
        <f ca="1">SUMIFS('Master Data'!$CI$2:$CI$12,'Master Data'!$F$2:$F$12,$A26,'Master Data'!$C$2:$C$12,$A$23)/1000</f>
        <v>4.1579962464861193</v>
      </c>
      <c r="V26" s="195"/>
      <c r="W26" s="142"/>
    </row>
    <row r="27" spans="1:23">
      <c r="A27" s="183" t="s">
        <v>404</v>
      </c>
      <c r="B27" s="982">
        <f t="shared" ref="B27:U27" ca="1" si="3">SUM(B25:B26)</f>
        <v>41.57996246486119</v>
      </c>
      <c r="C27" s="958">
        <f t="shared" ca="1" si="3"/>
        <v>2.0745294550621161</v>
      </c>
      <c r="D27" s="239">
        <f t="shared" ca="1" si="3"/>
        <v>0</v>
      </c>
      <c r="E27" s="239">
        <f t="shared" ca="1" si="3"/>
        <v>18.803602594812503</v>
      </c>
      <c r="F27" s="239">
        <f t="shared" ca="1" si="3"/>
        <v>16.289348845274997</v>
      </c>
      <c r="G27" s="974">
        <f t="shared" ca="1" si="3"/>
        <v>0</v>
      </c>
      <c r="H27" s="239">
        <f t="shared" ca="1" si="3"/>
        <v>0</v>
      </c>
      <c r="I27" s="239">
        <f t="shared" ca="1" si="3"/>
        <v>0</v>
      </c>
      <c r="J27" s="975">
        <f t="shared" ca="1" si="3"/>
        <v>0</v>
      </c>
      <c r="K27" s="239">
        <f t="shared" ca="1" si="3"/>
        <v>4.4124815697115727</v>
      </c>
      <c r="L27" s="969">
        <f t="shared" ca="1" si="3"/>
        <v>41.57996246486119</v>
      </c>
      <c r="M27" s="239">
        <f t="shared" ca="1" si="3"/>
        <v>0</v>
      </c>
      <c r="N27" s="239">
        <f t="shared" ca="1" si="3"/>
        <v>0</v>
      </c>
      <c r="O27" s="239">
        <f t="shared" ca="1" si="3"/>
        <v>0</v>
      </c>
      <c r="P27" s="958">
        <f t="shared" ca="1" si="3"/>
        <v>0</v>
      </c>
      <c r="Q27" s="959">
        <f t="shared" ca="1" si="3"/>
        <v>0</v>
      </c>
      <c r="R27" s="969">
        <f t="shared" ca="1" si="3"/>
        <v>41.57996246486119</v>
      </c>
      <c r="S27" s="968">
        <f t="shared" ca="1" si="3"/>
        <v>0</v>
      </c>
      <c r="T27" s="246">
        <f t="shared" ca="1" si="3"/>
        <v>4.1579962464861193</v>
      </c>
      <c r="U27" s="247">
        <f t="shared" ca="1" si="3"/>
        <v>4.1579962464861193</v>
      </c>
      <c r="V27" s="195"/>
      <c r="W27" s="142"/>
    </row>
    <row r="28" spans="1:23">
      <c r="A28" s="182"/>
      <c r="B28" s="982"/>
      <c r="C28" s="960"/>
      <c r="D28" s="240"/>
      <c r="E28" s="240"/>
      <c r="F28" s="240"/>
      <c r="G28" s="976"/>
      <c r="H28" s="240"/>
      <c r="I28" s="240"/>
      <c r="J28" s="977"/>
      <c r="K28" s="240"/>
      <c r="L28" s="969"/>
      <c r="M28" s="240"/>
      <c r="N28" s="240"/>
      <c r="O28" s="240"/>
      <c r="P28" s="960"/>
      <c r="Q28" s="961"/>
      <c r="R28" s="969"/>
      <c r="S28" s="960"/>
      <c r="T28" s="240"/>
      <c r="U28" s="247"/>
      <c r="V28" s="195"/>
      <c r="W28" s="142"/>
    </row>
    <row r="29" spans="1:23">
      <c r="A29" s="125" t="s">
        <v>302</v>
      </c>
      <c r="B29" s="982"/>
      <c r="C29" s="960"/>
      <c r="D29" s="240"/>
      <c r="E29" s="240"/>
      <c r="F29" s="240"/>
      <c r="G29" s="976"/>
      <c r="H29" s="240"/>
      <c r="I29" s="240"/>
      <c r="J29" s="977"/>
      <c r="K29" s="240"/>
      <c r="L29" s="969"/>
      <c r="M29" s="240"/>
      <c r="N29" s="240"/>
      <c r="O29" s="240"/>
      <c r="P29" s="960"/>
      <c r="Q29" s="961"/>
      <c r="R29" s="969"/>
      <c r="S29" s="960"/>
      <c r="T29" s="240"/>
      <c r="U29" s="247"/>
      <c r="V29" s="195"/>
      <c r="W29" s="142"/>
    </row>
    <row r="30" spans="1:23">
      <c r="A30" s="942" t="s">
        <v>963</v>
      </c>
      <c r="B30" s="981">
        <f ca="1">SUMIFS('Master Data'!$CL$2:$CL$12,'Master Data'!$F$2:$F$12,$A30,'Master Data'!$C$2:$C$12,$A$23)/1000</f>
        <v>541.26713056083611</v>
      </c>
      <c r="C30" s="957">
        <f ca="1">SUMIFS('Master Data'!$BN$2:$BN$12,'Master Data'!$F$2:$F$12,$A30,'Master Data'!$C$2:$C$12,$A$23)/1000+SUMIFS('Master Data'!$BQ$2:$BQ$12,'Master Data'!$F$2:$F$12,$A30,'Master Data'!$C$2:$C$12,$A$23)/1000</f>
        <v>35.405302699726789</v>
      </c>
      <c r="D30" s="237">
        <f ca="1">SUMIFS('Master Data'!$BO$2:$BO$12,'Master Data'!$F$2:$F$12,$A30,'Master Data'!$C$2:$C$12,$A$23)/1000</f>
        <v>0</v>
      </c>
      <c r="E30" s="237">
        <f ca="1">SUMIFS('Master Data'!$BS$2:$BS$12,'Master Data'!$F$2:$F$12,$A30,'Master Data'!$C$2:$C$12,$A$23)/1000+SUMIFS('Master Data'!$BR$2:$BR$12,'Master Data'!$F$2:$F$12,$A30,'Master Data'!$C$2:$C$12,$A$23)/1000</f>
        <v>230.65752516303337</v>
      </c>
      <c r="F30" s="237">
        <f ca="1">SUMIFS('Master Data'!$BT$2:$BT$12,'Master Data'!$F$2:$F$12,$A30,'Master Data'!$C$2:$C$12,$A$23)/1000</f>
        <v>199.81601250204</v>
      </c>
      <c r="G30" s="972">
        <f ca="1">SUMIFS('Master Data'!$BG$2:$BG$12,'Master Data'!$F$2:$F$12,$A30,'Master Data'!$C$2:$C$12,$A$23)/1000</f>
        <v>0</v>
      </c>
      <c r="H30" s="237">
        <f ca="1">SUMIFS('Master Data'!$BH$2:$BH$12,'Master Data'!$F$2:$F$12,$A30,'Master Data'!$C$2:$C$12,$A$23)/1000</f>
        <v>0</v>
      </c>
      <c r="I30" s="237">
        <f ca="1">SUMIFS('Master Data'!$BI$2:$BI$12,'Master Data'!$F$2:$F$12,$A30,'Master Data'!$C$2:$C$12,$A$23)/1000</f>
        <v>0</v>
      </c>
      <c r="J30" s="973">
        <f ca="1">SUMIFS('Master Data'!$BJ$2:$BJ$12,'Master Data'!$F$2:$F$12,$A30,'Master Data'!$C$2:$C$12,$A$23)/1000</f>
        <v>0</v>
      </c>
      <c r="K30" s="237">
        <f ca="1">SUMIFS('Master Data'!$BL$2:$BL$12,'Master Data'!$F$2:$F$12,$A30,'Master Data'!$C$2:$C$12,$A$23)/1000+SUMIFS('Master Data'!$BP$2:$BP$12,'Master Data'!$F$2:$F$12,$A30,'Master Data'!$C$2:$C$12,$A$23)/1000</f>
        <v>75.301413888474201</v>
      </c>
      <c r="L30" s="967">
        <f ca="1">SUM(C30:K30)</f>
        <v>541.18025425327437</v>
      </c>
      <c r="M30" s="237">
        <f ca="1">SUMIFS('Master Data'!$BV$2:$BV$12,'Master Data'!$F$2:$F$12,$A30,'Master Data'!$C$2:$C$12,$A$23)/1000</f>
        <v>0</v>
      </c>
      <c r="N30" s="237">
        <f ca="1">SUMIFS('Master Data'!$BW$2:$BW$12,'Master Data'!$F$2:$F$12,$A30,'Master Data'!$C$2:$C$12,$A$23)/1000</f>
        <v>0</v>
      </c>
      <c r="O30" s="238">
        <f ca="1">M30+N30</f>
        <v>0</v>
      </c>
      <c r="P30" s="957">
        <f ca="1">SUMIFS('Master Data'!$CQ$2:$CQ$12,'Master Data'!$F$2:$F$12,$A30,'Master Data'!$C$2:$C$12,$A$23)/1000+O30</f>
        <v>0</v>
      </c>
      <c r="Q30" s="964">
        <f ca="1">SUMIFS('Master Data'!$CE$2:$CE$12,'Master Data'!$F$2:$F$12,$A30,'Master Data'!$C$2:$C$12,$A$23)/1000</f>
        <v>0</v>
      </c>
      <c r="R30" s="967">
        <f ca="1">SUMIFS('Master Data'!$CG$2:$CG$12,'Master Data'!$F$2:$F$12,$A30,'Master Data'!$C$2:$C$12,$A$23)/1000</f>
        <v>541.26713056083611</v>
      </c>
      <c r="S30" s="966">
        <f ca="1">SUMIFS('Master Data'!$CH$2:$CH$12,'Master Data'!$F$2:$F$12,$A30,'Master Data'!$C$2:$C$12,$A$23)/1000</f>
        <v>0</v>
      </c>
      <c r="T30" s="238">
        <f ca="1">SUMIFS('Master Data'!$CI$2:$CI$12,'Master Data'!$F$2:$F$12,$A30,'Master Data'!$C$2:$C$12,$A$23)/1000-S30</f>
        <v>54.126713056083609</v>
      </c>
      <c r="U30" s="932">
        <f ca="1">SUMIFS('Master Data'!$CI$2:$CI$12,'Master Data'!$F$2:$F$12,$A30,'Master Data'!$C$2:$C$12,$A$23)/1000</f>
        <v>54.126713056083609</v>
      </c>
      <c r="V30" s="195"/>
      <c r="W30" s="142"/>
    </row>
    <row r="31" spans="1:23">
      <c r="A31" s="183" t="s">
        <v>406</v>
      </c>
      <c r="B31" s="982">
        <f t="shared" ref="B31:U31" ca="1" si="4">SUM(B30:B30)</f>
        <v>541.26713056083611</v>
      </c>
      <c r="C31" s="958">
        <f t="shared" ca="1" si="4"/>
        <v>35.405302699726789</v>
      </c>
      <c r="D31" s="239">
        <f t="shared" ca="1" si="4"/>
        <v>0</v>
      </c>
      <c r="E31" s="239">
        <f t="shared" ca="1" si="4"/>
        <v>230.65752516303337</v>
      </c>
      <c r="F31" s="239">
        <f t="shared" ca="1" si="4"/>
        <v>199.81601250204</v>
      </c>
      <c r="G31" s="974">
        <f t="shared" ca="1" si="4"/>
        <v>0</v>
      </c>
      <c r="H31" s="239">
        <f t="shared" ca="1" si="4"/>
        <v>0</v>
      </c>
      <c r="I31" s="239">
        <f t="shared" ca="1" si="4"/>
        <v>0</v>
      </c>
      <c r="J31" s="975">
        <f t="shared" ca="1" si="4"/>
        <v>0</v>
      </c>
      <c r="K31" s="239">
        <f t="shared" ca="1" si="4"/>
        <v>75.301413888474201</v>
      </c>
      <c r="L31" s="969">
        <f t="shared" ca="1" si="4"/>
        <v>541.18025425327437</v>
      </c>
      <c r="M31" s="239">
        <f t="shared" ca="1" si="4"/>
        <v>0</v>
      </c>
      <c r="N31" s="239">
        <f t="shared" ca="1" si="4"/>
        <v>0</v>
      </c>
      <c r="O31" s="239">
        <f t="shared" ca="1" si="4"/>
        <v>0</v>
      </c>
      <c r="P31" s="958">
        <f t="shared" ca="1" si="4"/>
        <v>0</v>
      </c>
      <c r="Q31" s="959">
        <f t="shared" ca="1" si="4"/>
        <v>0</v>
      </c>
      <c r="R31" s="969">
        <f t="shared" ca="1" si="4"/>
        <v>541.26713056083611</v>
      </c>
      <c r="S31" s="958">
        <f t="shared" ca="1" si="4"/>
        <v>0</v>
      </c>
      <c r="T31" s="239">
        <f t="shared" ca="1" si="4"/>
        <v>54.126713056083609</v>
      </c>
      <c r="U31" s="247">
        <f t="shared" ca="1" si="4"/>
        <v>54.126713056083609</v>
      </c>
      <c r="V31" s="195"/>
      <c r="W31" s="142"/>
    </row>
    <row r="32" spans="1:23">
      <c r="A32" s="182"/>
      <c r="B32" s="982"/>
      <c r="C32" s="960"/>
      <c r="D32" s="240"/>
      <c r="E32" s="240"/>
      <c r="F32" s="240"/>
      <c r="G32" s="976"/>
      <c r="H32" s="240"/>
      <c r="I32" s="240"/>
      <c r="J32" s="977"/>
      <c r="K32" s="240"/>
      <c r="L32" s="969"/>
      <c r="M32" s="240"/>
      <c r="N32" s="240"/>
      <c r="O32" s="240"/>
      <c r="P32" s="960"/>
      <c r="Q32" s="961"/>
      <c r="R32" s="969"/>
      <c r="S32" s="960"/>
      <c r="T32" s="240"/>
      <c r="U32" s="247"/>
      <c r="V32" s="195"/>
      <c r="W32" s="142"/>
    </row>
    <row r="33" spans="1:23" ht="15.75" thickBot="1">
      <c r="A33" s="249" t="s">
        <v>82</v>
      </c>
      <c r="B33" s="983">
        <f ca="1">B27+B31</f>
        <v>582.84709302569729</v>
      </c>
      <c r="C33" s="984">
        <f t="shared" ref="C33:U33" ca="1" si="5">C27+C31</f>
        <v>37.479832154788909</v>
      </c>
      <c r="D33" s="931">
        <f t="shared" ca="1" si="5"/>
        <v>0</v>
      </c>
      <c r="E33" s="931">
        <f t="shared" ca="1" si="5"/>
        <v>249.46112775784587</v>
      </c>
      <c r="F33" s="931">
        <f t="shared" ca="1" si="5"/>
        <v>216.10536134731498</v>
      </c>
      <c r="G33" s="985">
        <f t="shared" ca="1" si="5"/>
        <v>0</v>
      </c>
      <c r="H33" s="931">
        <f t="shared" ca="1" si="5"/>
        <v>0</v>
      </c>
      <c r="I33" s="931">
        <f t="shared" ca="1" si="5"/>
        <v>0</v>
      </c>
      <c r="J33" s="986">
        <f t="shared" ca="1" si="5"/>
        <v>0</v>
      </c>
      <c r="K33" s="931">
        <f t="shared" ca="1" si="5"/>
        <v>79.713895458185775</v>
      </c>
      <c r="L33" s="987">
        <f t="shared" ca="1" si="5"/>
        <v>582.76021671813555</v>
      </c>
      <c r="M33" s="931">
        <f t="shared" ca="1" si="5"/>
        <v>0</v>
      </c>
      <c r="N33" s="931">
        <f t="shared" ca="1" si="5"/>
        <v>0</v>
      </c>
      <c r="O33" s="931">
        <f t="shared" ca="1" si="5"/>
        <v>0</v>
      </c>
      <c r="P33" s="984">
        <f t="shared" ca="1" si="5"/>
        <v>0</v>
      </c>
      <c r="Q33" s="988">
        <f t="shared" ca="1" si="5"/>
        <v>0</v>
      </c>
      <c r="R33" s="987">
        <f t="shared" ca="1" si="5"/>
        <v>582.84709302569729</v>
      </c>
      <c r="S33" s="989">
        <f t="shared" ca="1" si="5"/>
        <v>0</v>
      </c>
      <c r="T33" s="929">
        <f t="shared" ca="1" si="5"/>
        <v>58.28470930256973</v>
      </c>
      <c r="U33" s="930">
        <f t="shared" ca="1" si="5"/>
        <v>58.28470930256973</v>
      </c>
      <c r="V33" s="195"/>
      <c r="W33" s="142"/>
    </row>
    <row r="34" spans="1:23" ht="16.5" thickBot="1">
      <c r="A34" s="1286">
        <f>Year3</f>
        <v>2023</v>
      </c>
      <c r="B34" s="1287"/>
      <c r="C34" s="1288"/>
      <c r="D34" s="1288"/>
      <c r="E34" s="1288"/>
      <c r="F34" s="1288"/>
      <c r="G34" s="1288"/>
      <c r="H34" s="1288"/>
      <c r="I34" s="1288"/>
      <c r="J34" s="1288"/>
      <c r="K34" s="1289"/>
      <c r="L34" s="1290"/>
      <c r="M34" s="1289"/>
      <c r="N34" s="1289"/>
      <c r="O34" s="1289"/>
      <c r="P34" s="1289"/>
      <c r="Q34" s="1289"/>
      <c r="R34" s="1290"/>
      <c r="S34" s="1289"/>
      <c r="T34" s="1289"/>
      <c r="U34" s="1291"/>
      <c r="V34" s="195"/>
      <c r="W34" s="142"/>
    </row>
    <row r="35" spans="1:23">
      <c r="A35" s="125" t="s">
        <v>301</v>
      </c>
      <c r="B35" s="1008"/>
      <c r="C35" s="962"/>
      <c r="D35" s="126"/>
      <c r="E35" s="126"/>
      <c r="F35" s="126"/>
      <c r="G35" s="970"/>
      <c r="H35" s="126"/>
      <c r="I35" s="126"/>
      <c r="J35" s="971"/>
      <c r="K35" s="126"/>
      <c r="L35" s="978"/>
      <c r="M35" s="126"/>
      <c r="N35" s="126"/>
      <c r="O35" s="126"/>
      <c r="P35" s="962"/>
      <c r="Q35" s="963"/>
      <c r="R35" s="963"/>
      <c r="S35" s="962"/>
      <c r="T35" s="126"/>
      <c r="U35" s="127"/>
      <c r="V35" s="195"/>
      <c r="W35" s="142"/>
    </row>
    <row r="36" spans="1:23">
      <c r="A36" s="128" t="s">
        <v>271</v>
      </c>
      <c r="B36" s="981">
        <f ca="1">SUMIFS('Master Data'!$CK$2:$CK$12,'Master Data'!$F$2:$F$12,$A36,'Master Data'!$C$2:$C$12,$A$34)/1000</f>
        <v>0</v>
      </c>
      <c r="C36" s="957">
        <f ca="1">SUMIFS('Master Data'!$BN$2:$BN$12,'Master Data'!$F$2:$F$12,$A36,'Master Data'!$C$2:$C$12,$A$34)/1000+SUMIFS('Master Data'!$BQ$2:$BQ$12,'Master Data'!$F$2:$F$12,$A36,'Master Data'!$C$2:$C$12,$A$34)/1000</f>
        <v>0</v>
      </c>
      <c r="D36" s="237">
        <f ca="1">SUMIFS('Master Data'!$BO$2:$BO$12,'Master Data'!$F$2:$F$12,$A36,'Master Data'!$C$2:$C$12,$A$34)/1000</f>
        <v>0</v>
      </c>
      <c r="E36" s="237">
        <f ca="1">SUMIFS('Master Data'!$BS$2:$BS$12,'Master Data'!$F$2:$F$12,$A36,'Master Data'!$C$2:$C$12,$A$34)/1000+SUMIFS('Master Data'!$BR$2:$BR$12,'Master Data'!$F$2:$F$12,$A36,'Master Data'!$C$2:$C$12,$A$34)/1000</f>
        <v>0</v>
      </c>
      <c r="F36" s="237">
        <f ca="1">SUMIFS('Master Data'!$BT$2:$BT$12,'Master Data'!$F$2:$F$12,$A36,'Master Data'!$C$2:$C$12,$A$34)/1000</f>
        <v>0</v>
      </c>
      <c r="G36" s="972">
        <f ca="1">SUMIFS('Master Data'!$BG$2:$BG$12,'Master Data'!$F$2:$F$12,$A36,'Master Data'!$C$2:$C$12,$A$34)/1000</f>
        <v>0</v>
      </c>
      <c r="H36" s="237">
        <f ca="1">SUMIFS('Master Data'!$BH$2:$BH$12,'Master Data'!$F$2:$F$12,$A36,'Master Data'!$C$2:$C$12,$A$34)/1000</f>
        <v>0</v>
      </c>
      <c r="I36" s="237">
        <f ca="1">SUMIFS('Master Data'!$BI$2:$BI$12,'Master Data'!$F$2:$F$12,$A36,'Master Data'!$C$2:$C$12,$A$34)/1000</f>
        <v>0</v>
      </c>
      <c r="J36" s="973">
        <f ca="1">SUMIFS('Master Data'!$BJ$2:$BJ$12,'Master Data'!$F$2:$F$12,$A36,'Master Data'!$C$2:$C$12,$A$34)/1000</f>
        <v>0</v>
      </c>
      <c r="K36" s="237">
        <f ca="1">SUMIFS('Master Data'!$BL$2:$BL$12,'Master Data'!$F$2:$F$12,$A36,'Master Data'!$C$2:$C$12,$A$34)/1000+SUMIFS('Master Data'!$BP$2:$BP$12,'Master Data'!$F$2:$F$12,$A36,'Master Data'!$C$2:$C$12,$A$34)/1000</f>
        <v>0</v>
      </c>
      <c r="L36" s="967">
        <f ca="1">SUM(C36:K36)</f>
        <v>0</v>
      </c>
      <c r="M36" s="237">
        <f ca="1">SUMIFS('Master Data'!$BV$2:$BV$12,'Master Data'!$F$2:$F$12,$A36,'Master Data'!$C$2:$C$12,$A$34)/1000</f>
        <v>0</v>
      </c>
      <c r="N36" s="237">
        <f ca="1">SUMIFS('Master Data'!$BW$2:$BW$12,'Master Data'!$F$2:$F$12,$A36,'Master Data'!$C$2:$C$12,$A$34)/1000</f>
        <v>0</v>
      </c>
      <c r="O36" s="238">
        <f ca="1">M36+N36</f>
        <v>0</v>
      </c>
      <c r="P36" s="1007">
        <f ca="1">SUMIFS('Master Data'!$CQ$2:$CQ$12,'Master Data'!$F$2:$F$12,$A36,'Master Data'!$C$2:$C$12,$A$34)/1000+O36</f>
        <v>0</v>
      </c>
      <c r="Q36" s="964">
        <f ca="1">SUMIFS('Master Data'!$CE$2:$CE$12,'Master Data'!$F$2:$F$12,$A36,'Master Data'!$C$2:$C$12,$A$34)/1000</f>
        <v>0</v>
      </c>
      <c r="R36" s="967">
        <f ca="1">SUMIFS('Master Data'!$CG$2:$CG$12,'Master Data'!$F$2:$F$12,$A36,'Master Data'!$C$2:$C$12,$A$34)/1000</f>
        <v>0</v>
      </c>
      <c r="S36" s="966">
        <f ca="1">SUMIFS('Master Data'!$CH$2:$CH$12,'Master Data'!$F$2:$F$12,$A36,'Master Data'!$C$2:$C$12,$A$34)/1000</f>
        <v>0</v>
      </c>
      <c r="T36" s="238">
        <f ca="1">SUMIFS('Master Data'!$CI$2:$CI$12,'Master Data'!$F$2:$F$12,$A36,'Master Data'!$C$2:$C$12,$A$34)/1000-S36</f>
        <v>0</v>
      </c>
      <c r="U36" s="932">
        <f ca="1">SUMIFS('Master Data'!$CI$2:$CI$12,'Master Data'!$F$2:$F$12,$A36,'Master Data'!$C$2:$C$12,$A$34)/1000</f>
        <v>0</v>
      </c>
      <c r="V36" s="195"/>
      <c r="W36" s="142"/>
    </row>
    <row r="37" spans="1:23">
      <c r="A37" s="942" t="s">
        <v>962</v>
      </c>
      <c r="B37" s="982">
        <f ca="1">SUMIFS('Master Data'!$CL$2:$CL$12,'Master Data'!$F$2:$F$12,$A37,'Master Data'!$C$2:$C$12,$A$34)/1000</f>
        <v>56.482747904220368</v>
      </c>
      <c r="C37" s="960">
        <f ca="1">SUMIFS('Master Data'!$BN$2:$BN$12,'Master Data'!$F$2:$F$12,$A37,'Master Data'!$C$2:$C$12,$A$34)/1000+SUMIFS('Master Data'!$BQ$2:$BQ$12,'Master Data'!$F$2:$F$12,$A37,'Master Data'!$C$2:$C$12,$A$34)/1000</f>
        <v>2.8422342868749189</v>
      </c>
      <c r="D37" s="240">
        <f ca="1">SUMIFS('Master Data'!$BO$2:$BO$12,'Master Data'!$F$2:$F$12,$A37,'Master Data'!$C$2:$C$12,$A$34)/1000</f>
        <v>0</v>
      </c>
      <c r="E37" s="240">
        <f ca="1">SUMIFS('Master Data'!$BS$2:$BS$12,'Master Data'!$F$2:$F$12,$A37,'Master Data'!$C$2:$C$12,$A$34)/1000+SUMIFS('Master Data'!$BR$2:$BR$12,'Master Data'!$F$2:$F$12,$A37,'Master Data'!$C$2:$C$12,$A$34)/1000</f>
        <v>25.525263735704815</v>
      </c>
      <c r="F37" s="240">
        <f ca="1">SUMIFS('Master Data'!$BT$2:$BT$12,'Master Data'!$F$2:$F$12,$A37,'Master Data'!$C$2:$C$12,$A$34)/1000</f>
        <v>22.112248079165969</v>
      </c>
      <c r="G37" s="976">
        <f ca="1">SUMIFS('Master Data'!$BG$2:$BG$12,'Master Data'!$F$2:$F$12,$A37,'Master Data'!$C$2:$C$12,$A$34)/1000</f>
        <v>0</v>
      </c>
      <c r="H37" s="240">
        <f ca="1">SUMIFS('Master Data'!$BH$2:$BH$12,'Master Data'!$F$2:$F$12,$A37,'Master Data'!$C$2:$C$12,$A$34)/1000</f>
        <v>0</v>
      </c>
      <c r="I37" s="240">
        <f ca="1">SUMIFS('Master Data'!$BI$2:$BI$12,'Master Data'!$F$2:$F$12,$A37,'Master Data'!$C$2:$C$12,$A$34)/1000</f>
        <v>0</v>
      </c>
      <c r="J37" s="977">
        <f ca="1">SUMIFS('Master Data'!$BJ$2:$BJ$12,'Master Data'!$F$2:$F$12,$A37,'Master Data'!$C$2:$C$12,$A$34)/1000</f>
        <v>0</v>
      </c>
      <c r="K37" s="240">
        <f ca="1">SUMIFS('Master Data'!$BL$2:$BL$12,'Master Data'!$F$2:$F$12,$A37,'Master Data'!$C$2:$C$12,$A$34)/1000+SUMIFS('Master Data'!$BP$2:$BP$12,'Master Data'!$F$2:$F$12,$A37,'Master Data'!$C$2:$C$12,$A$34)/1000</f>
        <v>6.0030018024746683</v>
      </c>
      <c r="L37" s="969">
        <f ca="1">SUM(C37:K37)</f>
        <v>56.482747904220375</v>
      </c>
      <c r="M37" s="240">
        <f ca="1">SUMIFS('Master Data'!$BV$2:$BV$12,'Master Data'!$F$2:$F$12,$A37,'Master Data'!$C$2:$C$12,$A$34)/1000</f>
        <v>0</v>
      </c>
      <c r="N37" s="240">
        <f ca="1">SUMIFS('Master Data'!$BW$2:$BW$12,'Master Data'!$F$2:$F$12,$A37,'Master Data'!$C$2:$C$12,$A$34)/1000</f>
        <v>0</v>
      </c>
      <c r="O37" s="874">
        <f ca="1">M37+N37</f>
        <v>0</v>
      </c>
      <c r="P37" s="1348">
        <f ca="1">SUMIFS('Master Data'!$CQ$2:$CQ$12,'Master Data'!$F$2:$F$12,$A37,'Master Data'!$C$2:$C$12,$A$34)/1000+O37</f>
        <v>0</v>
      </c>
      <c r="Q37" s="961">
        <f ca="1">SUMIFS('Master Data'!$CE$2:$CE$12,'Master Data'!$F$2:$F$12,$A37,'Master Data'!$C$2:$C$12,$A$34)/1000</f>
        <v>0</v>
      </c>
      <c r="R37" s="969">
        <f ca="1">SUMIFS('Master Data'!$CG$2:$CG$12,'Master Data'!$F$2:$F$12,$A37,'Master Data'!$C$2:$C$12,$A$34)/1000</f>
        <v>56.482747904220368</v>
      </c>
      <c r="S37" s="1349">
        <f ca="1">SUMIFS('Master Data'!$CH$2:$CH$12,'Master Data'!$F$2:$F$12,$A37,'Master Data'!$C$2:$C$12,$A$34)/1000</f>
        <v>0</v>
      </c>
      <c r="T37" s="874">
        <f ca="1">SUMIFS('Master Data'!$CI$2:$CI$12,'Master Data'!$F$2:$F$12,$A37,'Master Data'!$C$2:$C$12,$A$34)/1000-S37</f>
        <v>5.6482747904220378</v>
      </c>
      <c r="U37" s="247">
        <f ca="1">SUMIFS('Master Data'!$CI$2:$CI$12,'Master Data'!$F$2:$F$12,$A37,'Master Data'!$C$2:$C$12,$A$34)/1000</f>
        <v>5.6482747904220378</v>
      </c>
      <c r="V37" s="195"/>
      <c r="W37" s="142"/>
    </row>
    <row r="38" spans="1:23">
      <c r="A38" s="183" t="s">
        <v>404</v>
      </c>
      <c r="B38" s="982">
        <f t="shared" ref="B38:U38" ca="1" si="6">SUM(B36:B37)</f>
        <v>56.482747904220368</v>
      </c>
      <c r="C38" s="958">
        <f t="shared" ca="1" si="6"/>
        <v>2.8422342868749189</v>
      </c>
      <c r="D38" s="239">
        <f t="shared" ca="1" si="6"/>
        <v>0</v>
      </c>
      <c r="E38" s="239">
        <f t="shared" ca="1" si="6"/>
        <v>25.525263735704815</v>
      </c>
      <c r="F38" s="239">
        <f t="shared" ca="1" si="6"/>
        <v>22.112248079165969</v>
      </c>
      <c r="G38" s="974">
        <f t="shared" ca="1" si="6"/>
        <v>0</v>
      </c>
      <c r="H38" s="239">
        <f t="shared" ca="1" si="6"/>
        <v>0</v>
      </c>
      <c r="I38" s="239">
        <f t="shared" ca="1" si="6"/>
        <v>0</v>
      </c>
      <c r="J38" s="975">
        <f t="shared" ca="1" si="6"/>
        <v>0</v>
      </c>
      <c r="K38" s="239">
        <f t="shared" ca="1" si="6"/>
        <v>6.0030018024746683</v>
      </c>
      <c r="L38" s="969">
        <f t="shared" ca="1" si="6"/>
        <v>56.482747904220375</v>
      </c>
      <c r="M38" s="239">
        <f t="shared" ca="1" si="6"/>
        <v>0</v>
      </c>
      <c r="N38" s="239">
        <f t="shared" ca="1" si="6"/>
        <v>0</v>
      </c>
      <c r="O38" s="239">
        <f t="shared" ca="1" si="6"/>
        <v>0</v>
      </c>
      <c r="P38" s="958">
        <f t="shared" ca="1" si="6"/>
        <v>0</v>
      </c>
      <c r="Q38" s="959">
        <f t="shared" ca="1" si="6"/>
        <v>0</v>
      </c>
      <c r="R38" s="969">
        <f t="shared" ca="1" si="6"/>
        <v>56.482747904220368</v>
      </c>
      <c r="S38" s="968">
        <f t="shared" ca="1" si="6"/>
        <v>0</v>
      </c>
      <c r="T38" s="246">
        <f t="shared" ca="1" si="6"/>
        <v>5.6482747904220378</v>
      </c>
      <c r="U38" s="247">
        <f t="shared" ca="1" si="6"/>
        <v>5.6482747904220378</v>
      </c>
      <c r="V38" s="195"/>
      <c r="W38" s="142"/>
    </row>
    <row r="39" spans="1:23">
      <c r="A39" s="182"/>
      <c r="B39" s="982"/>
      <c r="C39" s="960"/>
      <c r="D39" s="240"/>
      <c r="E39" s="240"/>
      <c r="F39" s="240"/>
      <c r="G39" s="976"/>
      <c r="H39" s="240"/>
      <c r="I39" s="240"/>
      <c r="J39" s="977"/>
      <c r="K39" s="240"/>
      <c r="L39" s="969"/>
      <c r="M39" s="240"/>
      <c r="N39" s="240"/>
      <c r="O39" s="240"/>
      <c r="P39" s="960"/>
      <c r="Q39" s="961"/>
      <c r="R39" s="969"/>
      <c r="S39" s="960"/>
      <c r="T39" s="240"/>
      <c r="U39" s="247"/>
      <c r="V39" s="195"/>
      <c r="W39" s="142"/>
    </row>
    <row r="40" spans="1:23">
      <c r="A40" s="125" t="s">
        <v>302</v>
      </c>
      <c r="B40" s="982"/>
      <c r="C40" s="960"/>
      <c r="D40" s="240"/>
      <c r="E40" s="240"/>
      <c r="F40" s="240"/>
      <c r="G40" s="976"/>
      <c r="H40" s="240"/>
      <c r="I40" s="240"/>
      <c r="J40" s="977"/>
      <c r="K40" s="240"/>
      <c r="L40" s="969"/>
      <c r="M40" s="240"/>
      <c r="N40" s="240"/>
      <c r="O40" s="240"/>
      <c r="P40" s="960"/>
      <c r="Q40" s="961"/>
      <c r="R40" s="969"/>
      <c r="S40" s="960"/>
      <c r="T40" s="240"/>
      <c r="U40" s="247"/>
      <c r="V40" s="195"/>
      <c r="W40" s="142"/>
    </row>
    <row r="41" spans="1:23">
      <c r="A41" s="942" t="s">
        <v>963</v>
      </c>
      <c r="B41" s="981">
        <f ca="1">SUMIFS('Master Data'!$CL$2:$CL$12,'Master Data'!$F$2:$F$12,$A41,'Master Data'!$C$2:$C$12,$A$34)/1000</f>
        <v>641.91833615974497</v>
      </c>
      <c r="C41" s="957">
        <f ca="1">SUMIFS('Master Data'!$BN$2:$BN$12,'Master Data'!$F$2:$F$12,$A41,'Master Data'!$C$2:$C$12,$A$34)/1000+SUMIFS('Master Data'!$BQ$2:$BQ$12,'Master Data'!$F$2:$F$12,$A41,'Master Data'!$C$2:$C$12,$A$34)/1000</f>
        <v>40.928173730998829</v>
      </c>
      <c r="D41" s="237">
        <f ca="1">SUMIFS('Master Data'!$BO$2:$BO$12,'Master Data'!$F$2:$F$12,$A41,'Master Data'!$C$2:$C$12,$A$34)/1000</f>
        <v>0</v>
      </c>
      <c r="E41" s="237">
        <f ca="1">SUMIFS('Master Data'!$BS$2:$BS$12,'Master Data'!$F$2:$F$12,$A41,'Master Data'!$C$2:$C$12,$A$34)/1000+SUMIFS('Master Data'!$BR$2:$BR$12,'Master Data'!$F$2:$F$12,$A41,'Master Data'!$C$2:$C$12,$A$34)/1000</f>
        <v>275.67284834561201</v>
      </c>
      <c r="F41" s="237">
        <f ca="1">SUMIFS('Master Data'!$BT$2:$BT$12,'Master Data'!$F$2:$F$12,$A41,'Master Data'!$C$2:$C$12,$A$34)/1000</f>
        <v>238.81227925499246</v>
      </c>
      <c r="G41" s="972">
        <f ca="1">SUMIFS('Master Data'!$BG$2:$BG$12,'Master Data'!$F$2:$F$12,$A41,'Master Data'!$C$2:$C$12,$A$34)/1000</f>
        <v>0</v>
      </c>
      <c r="H41" s="237">
        <f ca="1">SUMIFS('Master Data'!$BH$2:$BH$12,'Master Data'!$F$2:$F$12,$A41,'Master Data'!$C$2:$C$12,$A$34)/1000</f>
        <v>0</v>
      </c>
      <c r="I41" s="237">
        <f ca="1">SUMIFS('Master Data'!$BI$2:$BI$12,'Master Data'!$F$2:$F$12,$A41,'Master Data'!$C$2:$C$12,$A$34)/1000</f>
        <v>0</v>
      </c>
      <c r="J41" s="973">
        <f ca="1">SUMIFS('Master Data'!$BJ$2:$BJ$12,'Master Data'!$F$2:$F$12,$A41,'Master Data'!$C$2:$C$12,$A$34)/1000</f>
        <v>0</v>
      </c>
      <c r="K41" s="237">
        <f ca="1">SUMIFS('Master Data'!$BL$2:$BL$12,'Master Data'!$F$2:$F$12,$A41,'Master Data'!$C$2:$C$12,$A$34)/1000+SUMIFS('Master Data'!$BP$2:$BP$12,'Master Data'!$F$2:$F$12,$A41,'Master Data'!$C$2:$C$12,$A$34)/1000</f>
        <v>86.438198338985615</v>
      </c>
      <c r="L41" s="967">
        <f ca="1">SUM(C41:K41)</f>
        <v>641.85149967058896</v>
      </c>
      <c r="M41" s="237">
        <f ca="1">SUMIFS('Master Data'!$BV$2:$BV$12,'Master Data'!$F$2:$F$12,$A41,'Master Data'!$C$2:$C$12,$A$34)/1000</f>
        <v>0</v>
      </c>
      <c r="N41" s="237">
        <f ca="1">SUMIFS('Master Data'!$BW$2:$BW$12,'Master Data'!$F$2:$F$12,$A41,'Master Data'!$C$2:$C$12,$A$34)/1000</f>
        <v>0</v>
      </c>
      <c r="O41" s="238">
        <f ca="1">M41+N41</f>
        <v>0</v>
      </c>
      <c r="P41" s="957">
        <f ca="1">SUMIFS('Master Data'!$CQ$2:$CQ$12,'Master Data'!$F$2:$F$12,$A41,'Master Data'!$C$2:$C$12,$A$34)/1000+O41</f>
        <v>0</v>
      </c>
      <c r="Q41" s="964">
        <f ca="1">SUMIFS('Master Data'!$CE$2:$CE$12,'Master Data'!$F$2:$F$12,$A41,'Master Data'!$C$2:$C$12,$A$34)/1000</f>
        <v>0</v>
      </c>
      <c r="R41" s="967">
        <f ca="1">SUMIFS('Master Data'!$CG$2:$CG$12,'Master Data'!$F$2:$F$12,$A41,'Master Data'!$C$2:$C$12,$A$34)/1000</f>
        <v>641.91833615974497</v>
      </c>
      <c r="S41" s="966">
        <f ca="1">SUMIFS('Master Data'!$CH$2:$CH$12,'Master Data'!$F$2:$F$12,$A41,'Master Data'!$C$2:$C$12,$A$34)/1000</f>
        <v>0</v>
      </c>
      <c r="T41" s="238">
        <f ca="1">SUMIFS('Master Data'!$CI$2:$CI$12,'Master Data'!$F$2:$F$12,$A41,'Master Data'!$C$2:$C$12,$A$34)/1000-S41</f>
        <v>64.191833615974502</v>
      </c>
      <c r="U41" s="932">
        <f ca="1">SUMIFS('Master Data'!$CI$2:$CI$12,'Master Data'!$F$2:$F$12,$A41,'Master Data'!$C$2:$C$12,$A$34)/1000</f>
        <v>64.191833615974502</v>
      </c>
      <c r="V41" s="195"/>
      <c r="W41" s="142"/>
    </row>
    <row r="42" spans="1:23">
      <c r="A42" s="183" t="s">
        <v>406</v>
      </c>
      <c r="B42" s="982">
        <f t="shared" ref="B42:U42" ca="1" si="7">SUM(B41:B41)</f>
        <v>641.91833615974497</v>
      </c>
      <c r="C42" s="958">
        <f t="shared" ca="1" si="7"/>
        <v>40.928173730998829</v>
      </c>
      <c r="D42" s="239">
        <f t="shared" ca="1" si="7"/>
        <v>0</v>
      </c>
      <c r="E42" s="239">
        <f t="shared" ca="1" si="7"/>
        <v>275.67284834561201</v>
      </c>
      <c r="F42" s="239">
        <f t="shared" ca="1" si="7"/>
        <v>238.81227925499246</v>
      </c>
      <c r="G42" s="974">
        <f t="shared" ca="1" si="7"/>
        <v>0</v>
      </c>
      <c r="H42" s="239">
        <f t="shared" ca="1" si="7"/>
        <v>0</v>
      </c>
      <c r="I42" s="239">
        <f t="shared" ca="1" si="7"/>
        <v>0</v>
      </c>
      <c r="J42" s="975">
        <f t="shared" ca="1" si="7"/>
        <v>0</v>
      </c>
      <c r="K42" s="239">
        <f t="shared" ca="1" si="7"/>
        <v>86.438198338985615</v>
      </c>
      <c r="L42" s="969">
        <f t="shared" ca="1" si="7"/>
        <v>641.85149967058896</v>
      </c>
      <c r="M42" s="239">
        <f t="shared" ca="1" si="7"/>
        <v>0</v>
      </c>
      <c r="N42" s="239">
        <f t="shared" ca="1" si="7"/>
        <v>0</v>
      </c>
      <c r="O42" s="239">
        <f t="shared" ca="1" si="7"/>
        <v>0</v>
      </c>
      <c r="P42" s="958">
        <f t="shared" ca="1" si="7"/>
        <v>0</v>
      </c>
      <c r="Q42" s="959">
        <f t="shared" ca="1" si="7"/>
        <v>0</v>
      </c>
      <c r="R42" s="969">
        <f t="shared" ca="1" si="7"/>
        <v>641.91833615974497</v>
      </c>
      <c r="S42" s="958">
        <f t="shared" ca="1" si="7"/>
        <v>0</v>
      </c>
      <c r="T42" s="239">
        <f t="shared" ca="1" si="7"/>
        <v>64.191833615974502</v>
      </c>
      <c r="U42" s="247">
        <f t="shared" ca="1" si="7"/>
        <v>64.191833615974502</v>
      </c>
      <c r="V42" s="195"/>
      <c r="W42" s="142"/>
    </row>
    <row r="43" spans="1:23">
      <c r="A43" s="182"/>
      <c r="B43" s="982"/>
      <c r="C43" s="960"/>
      <c r="D43" s="240"/>
      <c r="E43" s="240"/>
      <c r="F43" s="240"/>
      <c r="G43" s="976"/>
      <c r="H43" s="240"/>
      <c r="I43" s="240"/>
      <c r="J43" s="977"/>
      <c r="K43" s="240"/>
      <c r="L43" s="969"/>
      <c r="M43" s="240"/>
      <c r="N43" s="240"/>
      <c r="O43" s="240"/>
      <c r="P43" s="960"/>
      <c r="Q43" s="961"/>
      <c r="R43" s="969"/>
      <c r="S43" s="960"/>
      <c r="T43" s="240"/>
      <c r="U43" s="247"/>
      <c r="V43" s="195"/>
      <c r="W43" s="142"/>
    </row>
    <row r="44" spans="1:23" ht="15.75" thickBot="1">
      <c r="A44" s="249" t="s">
        <v>82</v>
      </c>
      <c r="B44" s="983">
        <f ca="1">B38+B42</f>
        <v>698.4010840639653</v>
      </c>
      <c r="C44" s="984">
        <f t="shared" ref="C44:U44" ca="1" si="8">C38+C42</f>
        <v>43.770408017873748</v>
      </c>
      <c r="D44" s="931">
        <f t="shared" ca="1" si="8"/>
        <v>0</v>
      </c>
      <c r="E44" s="931">
        <f t="shared" ca="1" si="8"/>
        <v>301.19811208131682</v>
      </c>
      <c r="F44" s="931">
        <f t="shared" ca="1" si="8"/>
        <v>260.92452733415843</v>
      </c>
      <c r="G44" s="985">
        <f t="shared" ca="1" si="8"/>
        <v>0</v>
      </c>
      <c r="H44" s="931">
        <f t="shared" ca="1" si="8"/>
        <v>0</v>
      </c>
      <c r="I44" s="931">
        <f t="shared" ca="1" si="8"/>
        <v>0</v>
      </c>
      <c r="J44" s="986">
        <f t="shared" ca="1" si="8"/>
        <v>0</v>
      </c>
      <c r="K44" s="931">
        <f t="shared" ca="1" si="8"/>
        <v>92.441200141460286</v>
      </c>
      <c r="L44" s="987">
        <f t="shared" ca="1" si="8"/>
        <v>698.3342475748093</v>
      </c>
      <c r="M44" s="931">
        <f t="shared" ca="1" si="8"/>
        <v>0</v>
      </c>
      <c r="N44" s="931">
        <f t="shared" ca="1" si="8"/>
        <v>0</v>
      </c>
      <c r="O44" s="931">
        <f t="shared" ca="1" si="8"/>
        <v>0</v>
      </c>
      <c r="P44" s="984">
        <f t="shared" ca="1" si="8"/>
        <v>0</v>
      </c>
      <c r="Q44" s="988">
        <f t="shared" ca="1" si="8"/>
        <v>0</v>
      </c>
      <c r="R44" s="987">
        <f t="shared" ca="1" si="8"/>
        <v>698.4010840639653</v>
      </c>
      <c r="S44" s="989">
        <f t="shared" ca="1" si="8"/>
        <v>0</v>
      </c>
      <c r="T44" s="929">
        <f t="shared" ca="1" si="8"/>
        <v>69.840108406396538</v>
      </c>
      <c r="U44" s="930">
        <f t="shared" ca="1" si="8"/>
        <v>69.840108406396538</v>
      </c>
      <c r="V44" s="195"/>
      <c r="W44" s="142"/>
    </row>
  </sheetData>
  <mergeCells count="16">
    <mergeCell ref="B8:B10"/>
    <mergeCell ref="A6:U6"/>
    <mergeCell ref="K10:K11"/>
    <mergeCell ref="C10:F10"/>
    <mergeCell ref="G10:J10"/>
    <mergeCell ref="C9:L9"/>
    <mergeCell ref="P9:Q9"/>
    <mergeCell ref="C8:R8"/>
    <mergeCell ref="S8:U8"/>
    <mergeCell ref="U10:U11"/>
    <mergeCell ref="R10:R11"/>
    <mergeCell ref="T10:T11"/>
    <mergeCell ref="S10:S11"/>
    <mergeCell ref="Q10:Q11"/>
    <mergeCell ref="P10:P11"/>
    <mergeCell ref="L10:L11"/>
  </mergeCells>
  <dataValidations count="1">
    <dataValidation type="list" allowBlank="1" showInputMessage="1" showErrorMessage="1" sqref="A15 A26 A37 A19 A30 A41">
      <formula1>ElecProg</formula1>
    </dataValidation>
  </dataValidations>
  <printOptions horizontalCentered="1"/>
  <pageMargins left="0.7" right="0.7" top="0.75" bottom="0.75" header="0.3" footer="0.3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71"/>
  <sheetViews>
    <sheetView showGridLines="0" topLeftCell="A72" zoomScale="90" zoomScaleNormal="90" zoomScaleSheetLayoutView="100" workbookViewId="0">
      <selection activeCell="L104" sqref="L104"/>
    </sheetView>
  </sheetViews>
  <sheetFormatPr defaultColWidth="10" defaultRowHeight="12.75"/>
  <cols>
    <col min="1" max="1" width="8" style="882" customWidth="1"/>
    <col min="2" max="2" width="26.28515625" style="882" customWidth="1"/>
    <col min="3" max="3" width="18" style="882" customWidth="1"/>
    <col min="4" max="4" width="15.7109375" style="882" bestFit="1" customWidth="1"/>
    <col min="5" max="5" width="17.85546875" style="882" customWidth="1"/>
    <col min="6" max="6" width="8.7109375" style="882" customWidth="1"/>
    <col min="7" max="8" width="12.28515625" style="882" customWidth="1"/>
    <col min="9" max="9" width="12.140625" style="882" bestFit="1" customWidth="1"/>
    <col min="10" max="11" width="12.140625" style="882" customWidth="1"/>
    <col min="12" max="12" width="34.7109375" style="882" bestFit="1" customWidth="1"/>
    <col min="13" max="13" width="10" style="882" customWidth="1"/>
    <col min="14" max="14" width="10" style="882"/>
    <col min="15" max="15" width="36.42578125" style="882" bestFit="1" customWidth="1"/>
    <col min="16" max="16384" width="10" style="882"/>
  </cols>
  <sheetData>
    <row r="1" spans="1:14" hidden="1">
      <c r="L1" s="1262" t="str">
        <f>PA</f>
        <v>Unitil Energy Systems Inc</v>
      </c>
    </row>
    <row r="2" spans="1:14" hidden="1">
      <c r="L2" s="1260" t="s">
        <v>554</v>
      </c>
    </row>
    <row r="3" spans="1:14" hidden="1">
      <c r="L3" s="1260" t="s">
        <v>753</v>
      </c>
    </row>
    <row r="4" spans="1:14" hidden="1">
      <c r="A4" s="850"/>
      <c r="B4" s="850"/>
      <c r="L4" s="232" t="s">
        <v>763</v>
      </c>
    </row>
    <row r="5" spans="1:14" hidden="1">
      <c r="A5" s="850"/>
      <c r="B5" s="850"/>
      <c r="C5" s="232"/>
    </row>
    <row r="6" spans="1:14" ht="13.5" hidden="1" thickBot="1">
      <c r="C6" s="914"/>
    </row>
    <row r="7" spans="1:14" ht="13.5" hidden="1" thickBot="1">
      <c r="B7" s="1282">
        <f>Year1</f>
        <v>2021</v>
      </c>
      <c r="C7" s="1283"/>
      <c r="D7" s="1283"/>
      <c r="E7" s="1283"/>
      <c r="F7" s="1283"/>
      <c r="G7" s="1283"/>
      <c r="H7" s="1284"/>
      <c r="I7" s="1283"/>
      <c r="J7" s="1283"/>
      <c r="K7" s="1283"/>
      <c r="L7" s="1285"/>
    </row>
    <row r="8" spans="1:14" hidden="1">
      <c r="B8" s="1678" t="s">
        <v>929</v>
      </c>
      <c r="C8" s="1679"/>
      <c r="D8" s="1679"/>
      <c r="E8" s="1679"/>
      <c r="F8" s="1679"/>
      <c r="G8" s="1679"/>
      <c r="H8" s="1679"/>
      <c r="I8" s="1679"/>
      <c r="J8" s="1679"/>
      <c r="K8" s="1679"/>
      <c r="L8" s="1680"/>
    </row>
    <row r="9" spans="1:14" ht="25.5" hidden="1">
      <c r="B9" s="883" t="s">
        <v>731</v>
      </c>
      <c r="C9" s="884" t="s">
        <v>217</v>
      </c>
      <c r="D9" s="885" t="s">
        <v>732</v>
      </c>
      <c r="E9" s="886" t="s">
        <v>316</v>
      </c>
      <c r="F9" s="887" t="s">
        <v>733</v>
      </c>
      <c r="G9" s="888" t="s">
        <v>734</v>
      </c>
      <c r="H9" s="886" t="s">
        <v>735</v>
      </c>
      <c r="I9" s="888" t="s">
        <v>736</v>
      </c>
      <c r="J9" s="939" t="s">
        <v>764</v>
      </c>
      <c r="K9" s="933" t="s">
        <v>737</v>
      </c>
      <c r="L9" s="889" t="s">
        <v>738</v>
      </c>
    </row>
    <row r="10" spans="1:14" hidden="1">
      <c r="A10" s="882">
        <v>1</v>
      </c>
      <c r="B10" s="865" t="s">
        <v>317</v>
      </c>
      <c r="C10" s="1009">
        <f ca="1">'1. Att E1 Cost Eff'!G19*1000</f>
        <v>-2647.0588235294131</v>
      </c>
      <c r="D10" s="866">
        <f ca="1">C10*0.75</f>
        <v>-1985.2941176470599</v>
      </c>
      <c r="E10" s="867"/>
      <c r="F10" s="994" t="str">
        <f>IF(OR(E10=0,E10=""),"-",E10/C10)</f>
        <v>-</v>
      </c>
      <c r="G10" s="1010">
        <f>0.35*0.055</f>
        <v>1.925E-2</v>
      </c>
      <c r="H10" s="993" t="str">
        <f>IF(OR(E10=0,E10=""),"-",IF(F10&lt;0.75,0,(IF(F10&gt;1.25,1.25*G10,G10*F10))))</f>
        <v>-</v>
      </c>
      <c r="I10" s="966">
        <f>G10*$C$57</f>
        <v>4039.0544588993316</v>
      </c>
      <c r="J10" s="940">
        <f>G10*$C$57*1.25</f>
        <v>5048.8180736241648</v>
      </c>
      <c r="K10" s="934">
        <f>IFERROR($E$57*H10, 0)</f>
        <v>0</v>
      </c>
      <c r="L10" s="875" t="s">
        <v>739</v>
      </c>
      <c r="M10" s="890"/>
      <c r="N10" s="890"/>
    </row>
    <row r="11" spans="1:14" hidden="1">
      <c r="A11" s="882">
        <v>2</v>
      </c>
      <c r="B11" s="865" t="s">
        <v>740</v>
      </c>
      <c r="C11" s="1009">
        <f ca="1">'1. Att E1 Cost Eff'!F19*1000</f>
        <v>-2647.0588235294131</v>
      </c>
      <c r="D11" s="866">
        <f ca="1">C11*0.75</f>
        <v>-1985.2941176470599</v>
      </c>
      <c r="E11" s="867"/>
      <c r="F11" s="994" t="str">
        <f t="shared" ref="F11:F16" si="0">IF(OR(E11=0,E11=""),"-",E11/C11)</f>
        <v>-</v>
      </c>
      <c r="G11" s="1010">
        <f>0.1*0.055</f>
        <v>5.5000000000000005E-3</v>
      </c>
      <c r="H11" s="993" t="str">
        <f>IF(OR(E11=0,E11=""),"-",IF(F11&lt;0.75,0,(IF(F11&gt;1.25,1.25*G11,G11*F11))))</f>
        <v>-</v>
      </c>
      <c r="I11" s="966">
        <f>G11*$C$57</f>
        <v>1154.0155596855234</v>
      </c>
      <c r="J11" s="871">
        <f>G11*$C$57*1.25</f>
        <v>1442.5194496069043</v>
      </c>
      <c r="K11" s="934">
        <f>IFERROR($E$57*H11, 0)</f>
        <v>0</v>
      </c>
      <c r="L11" s="875" t="s">
        <v>739</v>
      </c>
      <c r="M11" s="890"/>
    </row>
    <row r="12" spans="1:14" hidden="1">
      <c r="A12" s="882">
        <v>3</v>
      </c>
      <c r="B12" s="865" t="s">
        <v>741</v>
      </c>
      <c r="C12" s="1009">
        <f ca="1">'1. Att E1 Cost Eff'!I19</f>
        <v>2025</v>
      </c>
      <c r="D12" s="866">
        <f ca="1">C12*0.65</f>
        <v>1316.25</v>
      </c>
      <c r="E12" s="867"/>
      <c r="F12" s="994" t="str">
        <f t="shared" si="0"/>
        <v>-</v>
      </c>
      <c r="G12" s="1010">
        <f>0.12*0.055</f>
        <v>6.6E-3</v>
      </c>
      <c r="H12" s="993" t="str">
        <f>IF(OR(E12=0,E12=""),"-",IF(F12&lt;0.75,0,(IF(F12&gt;1.25,1.25*G12,G12*F12))))</f>
        <v>-</v>
      </c>
      <c r="I12" s="966">
        <f>G12*$C$57</f>
        <v>1384.818671622628</v>
      </c>
      <c r="J12" s="871">
        <f>G12*$C$57*1.25</f>
        <v>1731.0233395282851</v>
      </c>
      <c r="K12" s="934">
        <f>IFERROR($E$57*H12, 0)</f>
        <v>0</v>
      </c>
      <c r="L12" s="875" t="s">
        <v>739</v>
      </c>
      <c r="M12" s="890"/>
    </row>
    <row r="13" spans="1:14" hidden="1">
      <c r="A13" s="882">
        <v>4</v>
      </c>
      <c r="B13" s="865" t="s">
        <v>742</v>
      </c>
      <c r="C13" s="1009">
        <f ca="1">'1. Att E1 Cost Eff'!H19</f>
        <v>0</v>
      </c>
      <c r="D13" s="866">
        <f ca="1">C13*0.65</f>
        <v>0</v>
      </c>
      <c r="E13" s="867"/>
      <c r="F13" s="994" t="str">
        <f t="shared" si="0"/>
        <v>-</v>
      </c>
      <c r="G13" s="1010">
        <f>0.08*0.055</f>
        <v>4.4000000000000003E-3</v>
      </c>
      <c r="H13" s="993" t="str">
        <f>IF(OR(E13=0,E13=""),"-",IF(F13&lt;0.75,0,(IF(F13&gt;1.25,1.25*G13,G13*F13))))</f>
        <v>-</v>
      </c>
      <c r="I13" s="966">
        <f>G13*$C$57</f>
        <v>923.21244774841875</v>
      </c>
      <c r="J13" s="871">
        <f>G13*$C$57*1.25</f>
        <v>1154.0155596855234</v>
      </c>
      <c r="K13" s="934">
        <f>IFERROR($E$57*H13, 0)</f>
        <v>0</v>
      </c>
      <c r="L13" s="875" t="s">
        <v>739</v>
      </c>
      <c r="M13" s="890"/>
    </row>
    <row r="14" spans="1:14" hidden="1">
      <c r="A14" s="882">
        <v>5</v>
      </c>
      <c r="B14" s="865" t="s">
        <v>139</v>
      </c>
      <c r="C14" s="966">
        <f ca="1">'2. Att E1 Ben'!R22*1000</f>
        <v>470019.41533291514</v>
      </c>
      <c r="D14" s="868"/>
      <c r="E14" s="867"/>
      <c r="F14" s="994" t="str">
        <f t="shared" si="0"/>
        <v>-</v>
      </c>
      <c r="G14" s="1011"/>
      <c r="H14" s="869"/>
      <c r="I14" s="870"/>
      <c r="J14" s="868"/>
      <c r="K14" s="935"/>
      <c r="L14" s="875" t="s">
        <v>769</v>
      </c>
      <c r="M14" s="890"/>
    </row>
    <row r="15" spans="1:14" ht="15" hidden="1">
      <c r="A15" s="882">
        <v>6</v>
      </c>
      <c r="B15" s="865" t="s">
        <v>931</v>
      </c>
      <c r="C15" s="966">
        <f>'1. Att E1 Cost Eff'!D19*1000</f>
        <v>172500</v>
      </c>
      <c r="D15" s="868"/>
      <c r="E15" s="867"/>
      <c r="F15" s="994" t="str">
        <f t="shared" si="0"/>
        <v>-</v>
      </c>
      <c r="G15" s="1011"/>
      <c r="H15" s="869"/>
      <c r="I15" s="870"/>
      <c r="J15" s="868"/>
      <c r="K15" s="935"/>
      <c r="L15" s="875" t="s">
        <v>739</v>
      </c>
      <c r="M15" s="890"/>
    </row>
    <row r="16" spans="1:14" hidden="1">
      <c r="A16" s="882">
        <v>7</v>
      </c>
      <c r="B16" s="865" t="s">
        <v>744</v>
      </c>
      <c r="C16" s="966">
        <f ca="1">C14-C15</f>
        <v>297519.41533291514</v>
      </c>
      <c r="D16" s="871">
        <f ca="1">C16*0.75</f>
        <v>223139.56149968636</v>
      </c>
      <c r="E16" s="238">
        <f>E14-E15</f>
        <v>0</v>
      </c>
      <c r="F16" s="995" t="str">
        <f t="shared" si="0"/>
        <v>-</v>
      </c>
      <c r="G16" s="872">
        <f>0.35*0.055</f>
        <v>1.925E-2</v>
      </c>
      <c r="H16" s="996" t="str">
        <f>IF(OR(E16=0,E16=""),"-",IF(F16&lt;0.75,0,(IF(F16&gt;1.25,1.25*G16,G16*F16))))</f>
        <v>-</v>
      </c>
      <c r="I16" s="966">
        <f>G16*$C$57</f>
        <v>4039.0544588993316</v>
      </c>
      <c r="J16" s="871">
        <f>G16*$C$57*1.25</f>
        <v>5048.8180736241648</v>
      </c>
      <c r="K16" s="936">
        <f>IFERROR($E$57*H16, 0)</f>
        <v>0</v>
      </c>
      <c r="L16" s="876" t="s">
        <v>745</v>
      </c>
      <c r="M16" s="890"/>
    </row>
    <row r="17" spans="1:15" ht="13.5" hidden="1" thickBot="1">
      <c r="A17" s="882">
        <v>8</v>
      </c>
      <c r="B17" s="891" t="s">
        <v>746</v>
      </c>
      <c r="C17" s="1012"/>
      <c r="D17" s="1013"/>
      <c r="E17" s="1014"/>
      <c r="F17" s="1014"/>
      <c r="G17" s="877">
        <f>SUM(G10:G16)</f>
        <v>5.5000000000000007E-2</v>
      </c>
      <c r="H17" s="997" t="str">
        <f>IF(SUM(H10:H16)=0,"-",SUM(H10:H16))</f>
        <v>-</v>
      </c>
      <c r="I17" s="878">
        <f>SUM(I10:I16)</f>
        <v>11540.155596855233</v>
      </c>
      <c r="J17" s="941">
        <f>SUM(J10:J16)</f>
        <v>14425.194496069043</v>
      </c>
      <c r="K17" s="937">
        <f>SUM(K10:K16)</f>
        <v>0</v>
      </c>
      <c r="L17" s="892"/>
      <c r="M17" s="890"/>
      <c r="O17" s="890"/>
    </row>
    <row r="18" spans="1:15" ht="13.5" hidden="1" thickBot="1"/>
    <row r="19" spans="1:15" hidden="1">
      <c r="B19" s="893"/>
      <c r="C19" s="1681" t="s">
        <v>747</v>
      </c>
      <c r="D19" s="1682"/>
      <c r="E19" s="894"/>
      <c r="F19" s="895"/>
      <c r="G19" s="896"/>
      <c r="I19" s="938"/>
      <c r="J19" s="938"/>
    </row>
    <row r="20" spans="1:15" hidden="1">
      <c r="B20" s="897"/>
      <c r="C20" s="898" t="s">
        <v>217</v>
      </c>
      <c r="D20" s="899" t="s">
        <v>316</v>
      </c>
      <c r="E20" s="1683" t="s">
        <v>738</v>
      </c>
      <c r="F20" s="1684"/>
      <c r="G20" s="1685"/>
    </row>
    <row r="21" spans="1:15" hidden="1">
      <c r="A21" s="882">
        <v>9</v>
      </c>
      <c r="B21" s="900" t="s">
        <v>748</v>
      </c>
      <c r="C21" s="879">
        <f ca="1">'1. Att E1 Cost Eff'!C19*1000</f>
        <v>470019.41533291514</v>
      </c>
      <c r="D21" s="901"/>
      <c r="E21" s="902" t="s">
        <v>739</v>
      </c>
      <c r="F21" s="903"/>
      <c r="G21" s="904"/>
    </row>
    <row r="22" spans="1:15" hidden="1">
      <c r="A22" s="882">
        <v>10</v>
      </c>
      <c r="B22" s="905" t="s">
        <v>125</v>
      </c>
      <c r="C22" s="873">
        <f>I17</f>
        <v>11540.155596855233</v>
      </c>
      <c r="D22" s="874">
        <f>K17</f>
        <v>0</v>
      </c>
      <c r="E22" s="906" t="s">
        <v>749</v>
      </c>
      <c r="F22" s="907"/>
      <c r="G22" s="908"/>
    </row>
    <row r="23" spans="1:15" hidden="1">
      <c r="A23" s="882">
        <v>11</v>
      </c>
      <c r="B23" s="905" t="s">
        <v>126</v>
      </c>
      <c r="C23" s="880">
        <f ca="1">'1. Att E1 Cost Eff'!E19*1000</f>
        <v>0</v>
      </c>
      <c r="D23" s="909"/>
      <c r="E23" s="875" t="s">
        <v>739</v>
      </c>
      <c r="F23" s="907"/>
      <c r="G23" s="908"/>
    </row>
    <row r="24" spans="1:15" hidden="1">
      <c r="A24" s="882">
        <v>12</v>
      </c>
      <c r="B24" s="910" t="s">
        <v>743</v>
      </c>
      <c r="C24" s="879">
        <f>'1. Att E1 Cost Eff'!D19*1000</f>
        <v>172500</v>
      </c>
      <c r="D24" s="901">
        <f>E15</f>
        <v>0</v>
      </c>
      <c r="E24" s="906" t="s">
        <v>750</v>
      </c>
      <c r="F24" s="907"/>
      <c r="G24" s="908"/>
    </row>
    <row r="25" spans="1:15" ht="13.5" hidden="1" thickBot="1">
      <c r="A25" s="882">
        <v>13</v>
      </c>
      <c r="B25" s="911" t="s">
        <v>751</v>
      </c>
      <c r="C25" s="881">
        <f ca="1">IFERROR(C21/(C22+C23+C24),"-")</f>
        <v>2.5538959897561972</v>
      </c>
      <c r="D25" s="912" t="str">
        <f>IFERROR(D21/(D22+D23+D24),"-")</f>
        <v>-</v>
      </c>
      <c r="E25" s="1015" t="s">
        <v>752</v>
      </c>
      <c r="F25" s="1016"/>
      <c r="G25" s="1017"/>
    </row>
    <row r="26" spans="1:15" hidden="1"/>
    <row r="27" spans="1:15" ht="13.5" hidden="1" thickBot="1"/>
    <row r="28" spans="1:15" ht="13.5" hidden="1" thickBot="1">
      <c r="B28" s="1282">
        <f>Year2</f>
        <v>2022</v>
      </c>
      <c r="C28" s="1283"/>
      <c r="D28" s="1283"/>
      <c r="E28" s="1283"/>
      <c r="F28" s="1283"/>
      <c r="G28" s="1283"/>
      <c r="H28" s="1284"/>
      <c r="I28" s="1283"/>
      <c r="J28" s="1283"/>
      <c r="K28" s="1283"/>
      <c r="L28" s="1285"/>
    </row>
    <row r="29" spans="1:15" hidden="1">
      <c r="B29" s="1678" t="s">
        <v>929</v>
      </c>
      <c r="C29" s="1679"/>
      <c r="D29" s="1679"/>
      <c r="E29" s="1679"/>
      <c r="F29" s="1679"/>
      <c r="G29" s="1679"/>
      <c r="H29" s="1679"/>
      <c r="I29" s="1679"/>
      <c r="J29" s="1679"/>
      <c r="K29" s="1679"/>
      <c r="L29" s="1680"/>
    </row>
    <row r="30" spans="1:15" ht="25.5" hidden="1">
      <c r="B30" s="883" t="s">
        <v>731</v>
      </c>
      <c r="C30" s="884" t="s">
        <v>217</v>
      </c>
      <c r="D30" s="885" t="s">
        <v>732</v>
      </c>
      <c r="E30" s="886" t="s">
        <v>316</v>
      </c>
      <c r="F30" s="887" t="s">
        <v>733</v>
      </c>
      <c r="G30" s="888" t="s">
        <v>734</v>
      </c>
      <c r="H30" s="886" t="s">
        <v>735</v>
      </c>
      <c r="I30" s="888" t="s">
        <v>736</v>
      </c>
      <c r="J30" s="939" t="s">
        <v>764</v>
      </c>
      <c r="K30" s="933" t="s">
        <v>737</v>
      </c>
      <c r="L30" s="889" t="s">
        <v>738</v>
      </c>
    </row>
    <row r="31" spans="1:15" hidden="1">
      <c r="A31" s="882">
        <v>1</v>
      </c>
      <c r="B31" s="865" t="s">
        <v>317</v>
      </c>
      <c r="C31" s="1009">
        <f ca="1">'1. Att E1 Cost Eff'!G38*1000</f>
        <v>-2647.0588235294131</v>
      </c>
      <c r="D31" s="866">
        <f ca="1">C31*0.75</f>
        <v>-1985.2941176470599</v>
      </c>
      <c r="E31" s="867"/>
      <c r="F31" s="994" t="str">
        <f>IF(OR(E31=0,E31=""),"-",E31/C31)</f>
        <v>-</v>
      </c>
      <c r="G31" s="1010">
        <f>0.35*0.055</f>
        <v>1.925E-2</v>
      </c>
      <c r="H31" s="993" t="str">
        <f>IF(OR(E31=0,E31=""),"-",IF(F31&lt;0.75,0,(IF(F31&gt;1.25,1.25*G31,G31*F31))))</f>
        <v>-</v>
      </c>
      <c r="I31" s="966">
        <f>G31*$C$57</f>
        <v>4039.0544588993316</v>
      </c>
      <c r="J31" s="940">
        <f>G31*$C$57*1.25</f>
        <v>5048.8180736241648</v>
      </c>
      <c r="K31" s="934">
        <f>IFERROR($E$57*H31, 0)</f>
        <v>0</v>
      </c>
      <c r="L31" s="875" t="s">
        <v>739</v>
      </c>
      <c r="M31" s="890"/>
      <c r="N31" s="890"/>
    </row>
    <row r="32" spans="1:15" hidden="1">
      <c r="A32" s="882">
        <v>2</v>
      </c>
      <c r="B32" s="865" t="s">
        <v>740</v>
      </c>
      <c r="C32" s="1009">
        <f ca="1">'1. Att E1 Cost Eff'!F38*1000</f>
        <v>-2647.0588235294131</v>
      </c>
      <c r="D32" s="866">
        <f ca="1">C32*0.75</f>
        <v>-1985.2941176470599</v>
      </c>
      <c r="E32" s="867"/>
      <c r="F32" s="994" t="str">
        <f t="shared" ref="F32:F37" si="1">IF(OR(E32=0,E32=""),"-",E32/C32)</f>
        <v>-</v>
      </c>
      <c r="G32" s="1010">
        <f>0.1*0.055</f>
        <v>5.5000000000000005E-3</v>
      </c>
      <c r="H32" s="993" t="str">
        <f>IF(OR(E32=0,E32=""),"-",IF(F32&lt;0.75,0,(IF(F32&gt;1.25,1.25*G32,G32*F32))))</f>
        <v>-</v>
      </c>
      <c r="I32" s="966">
        <f>G32*$C$57</f>
        <v>1154.0155596855234</v>
      </c>
      <c r="J32" s="871">
        <f>G32*$C$57*1.25</f>
        <v>1442.5194496069043</v>
      </c>
      <c r="K32" s="934">
        <f>IFERROR($E$57*H32, 0)</f>
        <v>0</v>
      </c>
      <c r="L32" s="875" t="s">
        <v>739</v>
      </c>
      <c r="M32" s="890"/>
    </row>
    <row r="33" spans="1:15" hidden="1">
      <c r="A33" s="882">
        <v>3</v>
      </c>
      <c r="B33" s="865" t="s">
        <v>741</v>
      </c>
      <c r="C33" s="1009">
        <f ca="1">'1. Att E1 Cost Eff'!I38</f>
        <v>2487.5</v>
      </c>
      <c r="D33" s="866">
        <f ca="1">C33*0.65</f>
        <v>1616.875</v>
      </c>
      <c r="E33" s="867"/>
      <c r="F33" s="994" t="str">
        <f t="shared" si="1"/>
        <v>-</v>
      </c>
      <c r="G33" s="1010">
        <f>0.12*0.055</f>
        <v>6.6E-3</v>
      </c>
      <c r="H33" s="993" t="str">
        <f>IF(OR(E33=0,E33=""),"-",IF(F33&lt;0.75,0,(IF(F33&gt;1.25,1.25*G33,G33*F33))))</f>
        <v>-</v>
      </c>
      <c r="I33" s="966">
        <f>G33*$C$57</f>
        <v>1384.818671622628</v>
      </c>
      <c r="J33" s="871">
        <f>G33*$C$57*1.25</f>
        <v>1731.0233395282851</v>
      </c>
      <c r="K33" s="934">
        <f>IFERROR($E$57*H33, 0)</f>
        <v>0</v>
      </c>
      <c r="L33" s="875" t="s">
        <v>739</v>
      </c>
      <c r="M33" s="890"/>
    </row>
    <row r="34" spans="1:15" hidden="1">
      <c r="A34" s="882">
        <v>4</v>
      </c>
      <c r="B34" s="865" t="s">
        <v>742</v>
      </c>
      <c r="C34" s="1009">
        <f ca="1">'1. Att E1 Cost Eff'!H38</f>
        <v>0</v>
      </c>
      <c r="D34" s="866">
        <f ca="1">C34*0.65</f>
        <v>0</v>
      </c>
      <c r="E34" s="867"/>
      <c r="F34" s="994" t="str">
        <f t="shared" si="1"/>
        <v>-</v>
      </c>
      <c r="G34" s="1010">
        <f>0.08*0.055</f>
        <v>4.4000000000000003E-3</v>
      </c>
      <c r="H34" s="993" t="str">
        <f>IF(OR(E34=0,E34=""),"-",IF(F34&lt;0.75,0,(IF(F34&gt;1.25,1.25*G34,G34*F34))))</f>
        <v>-</v>
      </c>
      <c r="I34" s="966">
        <f>G34*$C$57</f>
        <v>923.21244774841875</v>
      </c>
      <c r="J34" s="871">
        <f>G34*$C$57*1.25</f>
        <v>1154.0155596855234</v>
      </c>
      <c r="K34" s="934">
        <f>IFERROR($E$57*H34, 0)</f>
        <v>0</v>
      </c>
      <c r="L34" s="875" t="s">
        <v>739</v>
      </c>
      <c r="M34" s="890"/>
    </row>
    <row r="35" spans="1:15" hidden="1">
      <c r="A35" s="882">
        <v>5</v>
      </c>
      <c r="B35" s="865" t="s">
        <v>139</v>
      </c>
      <c r="C35" s="966">
        <f ca="1">'2. Att E1 Ben'!R33*1000</f>
        <v>582847.09302569728</v>
      </c>
      <c r="D35" s="868"/>
      <c r="E35" s="867"/>
      <c r="F35" s="994" t="str">
        <f t="shared" si="1"/>
        <v>-</v>
      </c>
      <c r="G35" s="1011"/>
      <c r="H35" s="869"/>
      <c r="I35" s="870"/>
      <c r="J35" s="868"/>
      <c r="K35" s="935"/>
      <c r="L35" s="875" t="s">
        <v>769</v>
      </c>
      <c r="M35" s="890"/>
    </row>
    <row r="36" spans="1:15" ht="15" hidden="1">
      <c r="A36" s="882">
        <v>6</v>
      </c>
      <c r="B36" s="865" t="s">
        <v>931</v>
      </c>
      <c r="C36" s="966">
        <f>'1. Att E1 Cost Eff'!D38*1000</f>
        <v>182662.22760290554</v>
      </c>
      <c r="D36" s="868"/>
      <c r="E36" s="867"/>
      <c r="F36" s="994" t="str">
        <f t="shared" si="1"/>
        <v>-</v>
      </c>
      <c r="G36" s="1011"/>
      <c r="H36" s="869"/>
      <c r="I36" s="870"/>
      <c r="J36" s="868"/>
      <c r="K36" s="935"/>
      <c r="L36" s="875" t="s">
        <v>739</v>
      </c>
      <c r="M36" s="890"/>
    </row>
    <row r="37" spans="1:15" hidden="1">
      <c r="A37" s="882">
        <v>7</v>
      </c>
      <c r="B37" s="865" t="s">
        <v>744</v>
      </c>
      <c r="C37" s="966">
        <f ca="1">C35-C36</f>
        <v>400184.86542279174</v>
      </c>
      <c r="D37" s="871">
        <f ca="1">C37*0.75</f>
        <v>300138.64906709379</v>
      </c>
      <c r="E37" s="238">
        <f>E35-E36</f>
        <v>0</v>
      </c>
      <c r="F37" s="995" t="str">
        <f t="shared" si="1"/>
        <v>-</v>
      </c>
      <c r="G37" s="872">
        <f>0.35*0.055</f>
        <v>1.925E-2</v>
      </c>
      <c r="H37" s="996" t="str">
        <f>IF(OR(E37=0,E37=""),"-",IF(F37&lt;0.75,0,(IF(F37&gt;1.25,1.25*G37,G37*F37))))</f>
        <v>-</v>
      </c>
      <c r="I37" s="966">
        <f>G37*$C$57</f>
        <v>4039.0544588993316</v>
      </c>
      <c r="J37" s="871">
        <f>G37*$C$57*1.25</f>
        <v>5048.8180736241648</v>
      </c>
      <c r="K37" s="936">
        <f>IFERROR($E$57*H37, 0)</f>
        <v>0</v>
      </c>
      <c r="L37" s="876" t="s">
        <v>745</v>
      </c>
      <c r="M37" s="890"/>
    </row>
    <row r="38" spans="1:15" ht="13.5" hidden="1" thickBot="1">
      <c r="A38" s="882">
        <v>8</v>
      </c>
      <c r="B38" s="891" t="s">
        <v>746</v>
      </c>
      <c r="C38" s="1012"/>
      <c r="D38" s="1013"/>
      <c r="E38" s="1014"/>
      <c r="F38" s="1014"/>
      <c r="G38" s="877">
        <f>SUM(G31:G37)</f>
        <v>5.5000000000000007E-2</v>
      </c>
      <c r="H38" s="997" t="str">
        <f>IF(SUM(H31:H37)=0,"-",SUM(H31:H37))</f>
        <v>-</v>
      </c>
      <c r="I38" s="878">
        <f>SUM(I31:I37)</f>
        <v>11540.155596855233</v>
      </c>
      <c r="J38" s="941">
        <f>SUM(J31:J37)</f>
        <v>14425.194496069043</v>
      </c>
      <c r="K38" s="937">
        <f>SUM(K31:K37)</f>
        <v>0</v>
      </c>
      <c r="L38" s="892"/>
      <c r="M38" s="890"/>
      <c r="O38" s="890"/>
    </row>
    <row r="39" spans="1:15" ht="13.5" hidden="1" thickBot="1"/>
    <row r="40" spans="1:15" hidden="1">
      <c r="B40" s="893"/>
      <c r="C40" s="1681" t="s">
        <v>747</v>
      </c>
      <c r="D40" s="1682"/>
      <c r="E40" s="894"/>
      <c r="F40" s="895"/>
      <c r="G40" s="896"/>
      <c r="I40" s="938"/>
      <c r="J40" s="938"/>
    </row>
    <row r="41" spans="1:15" hidden="1">
      <c r="B41" s="897"/>
      <c r="C41" s="898" t="s">
        <v>217</v>
      </c>
      <c r="D41" s="899" t="s">
        <v>316</v>
      </c>
      <c r="E41" s="1683" t="s">
        <v>738</v>
      </c>
      <c r="F41" s="1684"/>
      <c r="G41" s="1685"/>
    </row>
    <row r="42" spans="1:15" hidden="1">
      <c r="A42" s="882">
        <v>9</v>
      </c>
      <c r="B42" s="900" t="s">
        <v>748</v>
      </c>
      <c r="C42" s="879">
        <f ca="1">'1. Att E1 Cost Eff'!C38*1000</f>
        <v>582847.09302569728</v>
      </c>
      <c r="D42" s="901"/>
      <c r="E42" s="902" t="s">
        <v>739</v>
      </c>
      <c r="F42" s="903"/>
      <c r="G42" s="904"/>
    </row>
    <row r="43" spans="1:15" hidden="1">
      <c r="A43" s="882">
        <v>10</v>
      </c>
      <c r="B43" s="905" t="s">
        <v>125</v>
      </c>
      <c r="C43" s="873">
        <f>I38</f>
        <v>11540.155596855233</v>
      </c>
      <c r="D43" s="874">
        <f>K38</f>
        <v>0</v>
      </c>
      <c r="E43" s="906" t="s">
        <v>749</v>
      </c>
      <c r="F43" s="907"/>
      <c r="G43" s="908"/>
    </row>
    <row r="44" spans="1:15" hidden="1">
      <c r="A44" s="882">
        <v>11</v>
      </c>
      <c r="B44" s="905" t="s">
        <v>126</v>
      </c>
      <c r="C44" s="880">
        <f ca="1">'1. Att E1 Cost Eff'!E38*1000</f>
        <v>0</v>
      </c>
      <c r="D44" s="909"/>
      <c r="E44" s="875" t="s">
        <v>739</v>
      </c>
      <c r="F44" s="907"/>
      <c r="G44" s="908"/>
    </row>
    <row r="45" spans="1:15" hidden="1">
      <c r="A45" s="882">
        <v>12</v>
      </c>
      <c r="B45" s="910" t="s">
        <v>743</v>
      </c>
      <c r="C45" s="879">
        <f>'1. Att E1 Cost Eff'!D38*1000</f>
        <v>182662.22760290554</v>
      </c>
      <c r="D45" s="901">
        <f>E36</f>
        <v>0</v>
      </c>
      <c r="E45" s="906" t="s">
        <v>750</v>
      </c>
      <c r="F45" s="907"/>
      <c r="G45" s="908"/>
    </row>
    <row r="46" spans="1:15" ht="13.5" hidden="1" thickBot="1">
      <c r="A46" s="882">
        <v>13</v>
      </c>
      <c r="B46" s="911" t="s">
        <v>751</v>
      </c>
      <c r="C46" s="881">
        <f ca="1">IFERROR(C42/(C43+C44+C45),"-")</f>
        <v>3.0012355328624785</v>
      </c>
      <c r="D46" s="912" t="str">
        <f>IFERROR(D42/(D43+D44+D45),"-")</f>
        <v>-</v>
      </c>
      <c r="E46" s="1015" t="s">
        <v>752</v>
      </c>
      <c r="F46" s="1016"/>
      <c r="G46" s="1017"/>
    </row>
    <row r="47" spans="1:15" hidden="1"/>
    <row r="48" spans="1:15" ht="13.5" hidden="1" thickBot="1"/>
    <row r="49" spans="1:15" ht="13.5" hidden="1" thickBot="1">
      <c r="B49" s="1282">
        <f>Year3</f>
        <v>2023</v>
      </c>
      <c r="C49" s="1283"/>
      <c r="D49" s="1283"/>
      <c r="E49" s="1283"/>
      <c r="F49" s="1283"/>
      <c r="G49" s="1283"/>
      <c r="H49" s="1284"/>
      <c r="I49" s="1283"/>
      <c r="J49" s="1283"/>
      <c r="K49" s="1283"/>
      <c r="L49" s="1285"/>
    </row>
    <row r="50" spans="1:15" hidden="1">
      <c r="B50" s="1678" t="s">
        <v>929</v>
      </c>
      <c r="C50" s="1679"/>
      <c r="D50" s="1679"/>
      <c r="E50" s="1679"/>
      <c r="F50" s="1679"/>
      <c r="G50" s="1679"/>
      <c r="H50" s="1679"/>
      <c r="I50" s="1679"/>
      <c r="J50" s="1679"/>
      <c r="K50" s="1679"/>
      <c r="L50" s="1680"/>
    </row>
    <row r="51" spans="1:15" ht="25.5" hidden="1">
      <c r="B51" s="883" t="s">
        <v>731</v>
      </c>
      <c r="C51" s="884" t="s">
        <v>217</v>
      </c>
      <c r="D51" s="885" t="s">
        <v>732</v>
      </c>
      <c r="E51" s="886" t="s">
        <v>316</v>
      </c>
      <c r="F51" s="887" t="s">
        <v>733</v>
      </c>
      <c r="G51" s="888" t="s">
        <v>734</v>
      </c>
      <c r="H51" s="886" t="s">
        <v>735</v>
      </c>
      <c r="I51" s="888" t="s">
        <v>736</v>
      </c>
      <c r="J51" s="939" t="s">
        <v>764</v>
      </c>
      <c r="K51" s="933" t="s">
        <v>737</v>
      </c>
      <c r="L51" s="889" t="s">
        <v>738</v>
      </c>
    </row>
    <row r="52" spans="1:15" hidden="1">
      <c r="A52" s="882">
        <v>1</v>
      </c>
      <c r="B52" s="865" t="s">
        <v>317</v>
      </c>
      <c r="C52" s="1009">
        <f ca="1">'1. Att E1 Cost Eff'!G57*1000</f>
        <v>-2647.0588235294131</v>
      </c>
      <c r="D52" s="866">
        <f ca="1">C52*0.75</f>
        <v>-1985.2941176470599</v>
      </c>
      <c r="E52" s="867"/>
      <c r="F52" s="994" t="str">
        <f>IF(OR(E52=0,E52=""),"-",E52/C52)</f>
        <v>-</v>
      </c>
      <c r="G52" s="1010">
        <f>0.35*0.055</f>
        <v>1.925E-2</v>
      </c>
      <c r="H52" s="993" t="str">
        <f>IF(OR(E52=0,E52=""),"-",IF(F52&lt;0.75,0,(IF(F52&gt;1.25,1.25*G52,G52*F52))))</f>
        <v>-</v>
      </c>
      <c r="I52" s="966">
        <f>G52*$C$57</f>
        <v>4039.0544588993316</v>
      </c>
      <c r="J52" s="940">
        <f>G52*$C$57*1.25</f>
        <v>5048.8180736241648</v>
      </c>
      <c r="K52" s="934">
        <f>IFERROR($E$57*H52, 0)</f>
        <v>0</v>
      </c>
      <c r="L52" s="875" t="s">
        <v>739</v>
      </c>
      <c r="M52" s="890"/>
      <c r="N52" s="890"/>
    </row>
    <row r="53" spans="1:15" hidden="1">
      <c r="A53" s="882">
        <v>2</v>
      </c>
      <c r="B53" s="865" t="s">
        <v>740</v>
      </c>
      <c r="C53" s="1009">
        <f ca="1">'1. Att E1 Cost Eff'!F57*1000</f>
        <v>-2647.0588235294131</v>
      </c>
      <c r="D53" s="866">
        <f ca="1">C53*0.75</f>
        <v>-1985.2941176470599</v>
      </c>
      <c r="E53" s="867"/>
      <c r="F53" s="994" t="str">
        <f t="shared" ref="F53:F58" si="2">IF(OR(E53=0,E53=""),"-",E53/C53)</f>
        <v>-</v>
      </c>
      <c r="G53" s="1010">
        <f>0.1*0.055</f>
        <v>5.5000000000000005E-3</v>
      </c>
      <c r="H53" s="993" t="str">
        <f>IF(OR(E53=0,E53=""),"-",IF(F53&lt;0.75,0,(IF(F53&gt;1.25,1.25*G53,G53*F53))))</f>
        <v>-</v>
      </c>
      <c r="I53" s="966">
        <f>G53*$C$57</f>
        <v>1154.0155596855234</v>
      </c>
      <c r="J53" s="871">
        <f>G53*$C$57*1.25</f>
        <v>1442.5194496069043</v>
      </c>
      <c r="K53" s="934">
        <f>IFERROR($E$57*H53, 0)</f>
        <v>0</v>
      </c>
      <c r="L53" s="875" t="s">
        <v>739</v>
      </c>
      <c r="M53" s="890"/>
    </row>
    <row r="54" spans="1:15" hidden="1">
      <c r="A54" s="882">
        <v>3</v>
      </c>
      <c r="B54" s="865" t="s">
        <v>741</v>
      </c>
      <c r="C54" s="1009">
        <f ca="1">'1. Att E1 Cost Eff'!I57</f>
        <v>2950</v>
      </c>
      <c r="D54" s="866">
        <f ca="1">C54*0.65</f>
        <v>1917.5</v>
      </c>
      <c r="E54" s="867"/>
      <c r="F54" s="994" t="str">
        <f t="shared" si="2"/>
        <v>-</v>
      </c>
      <c r="G54" s="1010">
        <f>0.12*0.055</f>
        <v>6.6E-3</v>
      </c>
      <c r="H54" s="993" t="str">
        <f>IF(OR(E54=0,E54=""),"-",IF(F54&lt;0.75,0,(IF(F54&gt;1.25,1.25*G54,G54*F54))))</f>
        <v>-</v>
      </c>
      <c r="I54" s="966">
        <f>G54*$C$57</f>
        <v>1384.818671622628</v>
      </c>
      <c r="J54" s="871">
        <f>G54*$C$57*1.25</f>
        <v>1731.0233395282851</v>
      </c>
      <c r="K54" s="934">
        <f>IFERROR($E$57*H54, 0)</f>
        <v>0</v>
      </c>
      <c r="L54" s="875" t="s">
        <v>739</v>
      </c>
      <c r="M54" s="890"/>
    </row>
    <row r="55" spans="1:15" hidden="1">
      <c r="A55" s="882">
        <v>4</v>
      </c>
      <c r="B55" s="865" t="s">
        <v>742</v>
      </c>
      <c r="C55" s="1009">
        <f ca="1">'1. Att E1 Cost Eff'!H57</f>
        <v>0</v>
      </c>
      <c r="D55" s="866">
        <f ca="1">C55*0.65</f>
        <v>0</v>
      </c>
      <c r="E55" s="867"/>
      <c r="F55" s="994" t="str">
        <f t="shared" si="2"/>
        <v>-</v>
      </c>
      <c r="G55" s="1010">
        <f>0.08*0.055</f>
        <v>4.4000000000000003E-3</v>
      </c>
      <c r="H55" s="993" t="str">
        <f>IF(OR(E55=0,E55=""),"-",IF(F55&lt;0.75,0,(IF(F55&gt;1.25,1.25*G55,G55*F55))))</f>
        <v>-</v>
      </c>
      <c r="I55" s="966">
        <f>G55*$C$57</f>
        <v>923.21244774841875</v>
      </c>
      <c r="J55" s="871">
        <f>G55*$C$57*1.25</f>
        <v>1154.0155596855234</v>
      </c>
      <c r="K55" s="934">
        <f>IFERROR($E$57*H55, 0)</f>
        <v>0</v>
      </c>
      <c r="L55" s="875" t="s">
        <v>739</v>
      </c>
      <c r="M55" s="890"/>
    </row>
    <row r="56" spans="1:15" hidden="1">
      <c r="A56" s="882">
        <v>5</v>
      </c>
      <c r="B56" s="865" t="s">
        <v>139</v>
      </c>
      <c r="C56" s="966">
        <f ca="1">'2. Att E1 Ben'!R44*1000</f>
        <v>698401.08406396525</v>
      </c>
      <c r="D56" s="868"/>
      <c r="E56" s="867"/>
      <c r="F56" s="994" t="str">
        <f t="shared" si="2"/>
        <v>-</v>
      </c>
      <c r="G56" s="1011"/>
      <c r="H56" s="869"/>
      <c r="I56" s="870"/>
      <c r="J56" s="868"/>
      <c r="K56" s="935"/>
      <c r="L56" s="875" t="s">
        <v>769</v>
      </c>
      <c r="M56" s="890"/>
    </row>
    <row r="57" spans="1:15" ht="15" hidden="1">
      <c r="A57" s="882">
        <v>6</v>
      </c>
      <c r="B57" s="865" t="s">
        <v>931</v>
      </c>
      <c r="C57" s="966">
        <f>'1. Att E1 Cost Eff'!D57*1000</f>
        <v>209821.01085191334</v>
      </c>
      <c r="D57" s="868"/>
      <c r="E57" s="867"/>
      <c r="F57" s="994" t="str">
        <f t="shared" si="2"/>
        <v>-</v>
      </c>
      <c r="G57" s="1011"/>
      <c r="H57" s="869"/>
      <c r="I57" s="870"/>
      <c r="J57" s="868"/>
      <c r="K57" s="935"/>
      <c r="L57" s="875" t="s">
        <v>739</v>
      </c>
      <c r="M57" s="890"/>
    </row>
    <row r="58" spans="1:15" hidden="1">
      <c r="A58" s="882">
        <v>7</v>
      </c>
      <c r="B58" s="865" t="s">
        <v>744</v>
      </c>
      <c r="C58" s="966">
        <f ca="1">C56-C57</f>
        <v>488580.07321205188</v>
      </c>
      <c r="D58" s="871">
        <f ca="1">C58*0.75</f>
        <v>366435.05490903894</v>
      </c>
      <c r="E58" s="238">
        <f>E56-E57</f>
        <v>0</v>
      </c>
      <c r="F58" s="995" t="str">
        <f t="shared" si="2"/>
        <v>-</v>
      </c>
      <c r="G58" s="872">
        <f>0.35*0.055</f>
        <v>1.925E-2</v>
      </c>
      <c r="H58" s="996" t="str">
        <f>IF(OR(E58=0,E58=""),"-",IF(F58&lt;0.75,0,(IF(F58&gt;1.25,1.25*G58,G58*F58))))</f>
        <v>-</v>
      </c>
      <c r="I58" s="966">
        <f>G58*$C$57</f>
        <v>4039.0544588993316</v>
      </c>
      <c r="J58" s="871">
        <f>G58*$C$57*1.25</f>
        <v>5048.8180736241648</v>
      </c>
      <c r="K58" s="936">
        <f>IFERROR($E$57*H58, 0)</f>
        <v>0</v>
      </c>
      <c r="L58" s="876" t="s">
        <v>745</v>
      </c>
      <c r="M58" s="890"/>
    </row>
    <row r="59" spans="1:15" ht="13.5" hidden="1" thickBot="1">
      <c r="A59" s="882">
        <v>8</v>
      </c>
      <c r="B59" s="891" t="s">
        <v>746</v>
      </c>
      <c r="C59" s="1012"/>
      <c r="D59" s="1013"/>
      <c r="E59" s="1014"/>
      <c r="F59" s="1014"/>
      <c r="G59" s="877">
        <f>SUM(G52:G58)</f>
        <v>5.5000000000000007E-2</v>
      </c>
      <c r="H59" s="997" t="str">
        <f>IF(SUM(H52:H58)=0,"-",SUM(H52:H58))</f>
        <v>-</v>
      </c>
      <c r="I59" s="878">
        <f>SUM(I52:I58)</f>
        <v>11540.155596855233</v>
      </c>
      <c r="J59" s="941">
        <f>SUM(J52:J58)</f>
        <v>14425.194496069043</v>
      </c>
      <c r="K59" s="937">
        <f>SUM(K52:K58)</f>
        <v>0</v>
      </c>
      <c r="L59" s="892"/>
      <c r="M59" s="890"/>
      <c r="O59" s="890"/>
    </row>
    <row r="60" spans="1:15" ht="13.5" hidden="1" thickBot="1"/>
    <row r="61" spans="1:15" hidden="1">
      <c r="B61" s="893"/>
      <c r="C61" s="1681" t="s">
        <v>747</v>
      </c>
      <c r="D61" s="1682"/>
      <c r="E61" s="894"/>
      <c r="F61" s="895"/>
      <c r="G61" s="896"/>
      <c r="I61" s="938"/>
      <c r="J61" s="938"/>
    </row>
    <row r="62" spans="1:15" hidden="1">
      <c r="B62" s="897"/>
      <c r="C62" s="898" t="s">
        <v>217</v>
      </c>
      <c r="D62" s="899" t="s">
        <v>316</v>
      </c>
      <c r="E62" s="1683" t="s">
        <v>738</v>
      </c>
      <c r="F62" s="1684"/>
      <c r="G62" s="1685"/>
    </row>
    <row r="63" spans="1:15" hidden="1">
      <c r="A63" s="882">
        <v>9</v>
      </c>
      <c r="B63" s="900" t="s">
        <v>748</v>
      </c>
      <c r="C63" s="879">
        <f ca="1">'1. Att E1 Cost Eff'!C57*1000</f>
        <v>698401.08406396525</v>
      </c>
      <c r="D63" s="901"/>
      <c r="E63" s="902" t="s">
        <v>739</v>
      </c>
      <c r="F63" s="903"/>
      <c r="G63" s="904"/>
    </row>
    <row r="64" spans="1:15" hidden="1">
      <c r="A64" s="882">
        <v>10</v>
      </c>
      <c r="B64" s="905" t="s">
        <v>125</v>
      </c>
      <c r="C64" s="873">
        <f>I59</f>
        <v>11540.155596855233</v>
      </c>
      <c r="D64" s="874">
        <f>K59</f>
        <v>0</v>
      </c>
      <c r="E64" s="906" t="s">
        <v>749</v>
      </c>
      <c r="F64" s="907"/>
      <c r="G64" s="908"/>
    </row>
    <row r="65" spans="1:7" hidden="1">
      <c r="A65" s="882">
        <v>11</v>
      </c>
      <c r="B65" s="905" t="s">
        <v>126</v>
      </c>
      <c r="C65" s="880">
        <f ca="1">'1. Att E1 Cost Eff'!E57*1000</f>
        <v>0</v>
      </c>
      <c r="D65" s="909"/>
      <c r="E65" s="875" t="s">
        <v>739</v>
      </c>
      <c r="F65" s="907"/>
      <c r="G65" s="908"/>
    </row>
    <row r="66" spans="1:7" hidden="1">
      <c r="A66" s="882">
        <v>12</v>
      </c>
      <c r="B66" s="910" t="s">
        <v>743</v>
      </c>
      <c r="C66" s="879">
        <f>'1. Att E1 Cost Eff'!D57*1000</f>
        <v>209821.01085191334</v>
      </c>
      <c r="D66" s="901">
        <f>E57</f>
        <v>0</v>
      </c>
      <c r="E66" s="906" t="s">
        <v>750</v>
      </c>
      <c r="F66" s="907"/>
      <c r="G66" s="908"/>
    </row>
    <row r="67" spans="1:7" ht="13.5" hidden="1" thickBot="1">
      <c r="A67" s="882">
        <v>13</v>
      </c>
      <c r="B67" s="911" t="s">
        <v>751</v>
      </c>
      <c r="C67" s="881">
        <f ca="1">IFERROR(C63/(C64+C65+C66),"-")</f>
        <v>3.1550298332277804</v>
      </c>
      <c r="D67" s="912" t="str">
        <f>IFERROR(D63/(D64+D65+D66),"-")</f>
        <v>-</v>
      </c>
      <c r="E67" s="1015" t="s">
        <v>752</v>
      </c>
      <c r="F67" s="1016"/>
      <c r="G67" s="1017"/>
    </row>
    <row r="68" spans="1:7" hidden="1"/>
    <row r="69" spans="1:7" hidden="1">
      <c r="B69" s="913" t="s">
        <v>930</v>
      </c>
    </row>
    <row r="70" spans="1:7" hidden="1"/>
    <row r="71" spans="1:7" ht="17.25" hidden="1">
      <c r="A71" s="992">
        <v>1</v>
      </c>
      <c r="B71" s="882" t="s">
        <v>768</v>
      </c>
    </row>
  </sheetData>
  <mergeCells count="9">
    <mergeCell ref="B8:L8"/>
    <mergeCell ref="C19:D19"/>
    <mergeCell ref="E20:G20"/>
    <mergeCell ref="E62:G62"/>
    <mergeCell ref="B50:L50"/>
    <mergeCell ref="C61:D61"/>
    <mergeCell ref="B29:L29"/>
    <mergeCell ref="C40:D40"/>
    <mergeCell ref="E41:G41"/>
  </mergeCells>
  <printOptions horizontalCentered="1"/>
  <pageMargins left="0.25" right="0.25" top="0.75" bottom="0.75" header="0.3" footer="0.3"/>
  <pageSetup scale="52" orientation="landscape" r:id="rId1"/>
  <ignoredErrors>
    <ignoredError sqref="H5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63"/>
  <sheetViews>
    <sheetView showGridLines="0" zoomScale="80" zoomScaleNormal="80" workbookViewId="0">
      <pane xSplit="4" ySplit="4" topLeftCell="E5" activePane="bottomRight" state="frozen"/>
      <selection activeCell="J5" sqref="J5"/>
      <selection pane="topRight" activeCell="J5" sqref="J5"/>
      <selection pane="bottomLeft" activeCell="J5" sqref="J5"/>
      <selection pane="bottomRight" activeCell="B15" sqref="B15"/>
    </sheetView>
  </sheetViews>
  <sheetFormatPr defaultColWidth="10" defaultRowHeight="15" outlineLevelCol="1"/>
  <cols>
    <col min="1" max="1" width="11.140625" style="165" customWidth="1"/>
    <col min="2" max="2" width="26.140625" style="110" bestFit="1" customWidth="1" outlineLevel="1"/>
    <col min="3" max="3" width="39.5703125" style="110" bestFit="1" customWidth="1" outlineLevel="1"/>
    <col min="4" max="4" width="40.85546875" style="110" bestFit="1" customWidth="1"/>
    <col min="5" max="10" width="14.85546875" style="87" customWidth="1"/>
    <col min="11" max="11" width="14.28515625" style="87" hidden="1" customWidth="1"/>
    <col min="12" max="12" width="14.85546875" style="311" customWidth="1"/>
    <col min="13" max="14" width="17" style="87" bestFit="1" customWidth="1"/>
    <col min="15" max="15" width="16" style="87" customWidth="1"/>
    <col min="16" max="16" width="14.42578125" style="87" bestFit="1" customWidth="1"/>
    <col min="17" max="17" width="15" style="87" customWidth="1"/>
    <col min="18" max="19" width="10" style="87"/>
    <col min="20" max="20" width="14.42578125" style="87" bestFit="1" customWidth="1"/>
    <col min="21" max="23" width="13.7109375" style="87" bestFit="1" customWidth="1"/>
    <col min="24" max="16384" width="10" style="87"/>
  </cols>
  <sheetData>
    <row r="1" spans="1:27">
      <c r="J1" s="248"/>
      <c r="L1" s="916"/>
    </row>
    <row r="2" spans="1:27">
      <c r="E2" s="1299"/>
      <c r="G2" s="854"/>
      <c r="I2" s="918"/>
      <c r="L2" s="917"/>
      <c r="O2" s="860"/>
      <c r="P2" s="860"/>
      <c r="Q2" s="860"/>
    </row>
    <row r="3" spans="1:27">
      <c r="E3" s="1018"/>
      <c r="F3" s="1018"/>
      <c r="G3" s="1019"/>
      <c r="H3" s="1019"/>
      <c r="I3" s="1019"/>
      <c r="J3" s="1019"/>
      <c r="K3" s="113"/>
      <c r="L3" s="1020"/>
      <c r="O3" s="861"/>
      <c r="P3" s="861"/>
      <c r="Q3" s="861"/>
    </row>
    <row r="4" spans="1:27" s="315" customFormat="1" ht="30">
      <c r="A4" s="312" t="s">
        <v>76</v>
      </c>
      <c r="B4" s="313" t="s">
        <v>436</v>
      </c>
      <c r="C4" s="313" t="s">
        <v>435</v>
      </c>
      <c r="D4" s="314" t="s">
        <v>434</v>
      </c>
      <c r="E4" s="991" t="s">
        <v>285</v>
      </c>
      <c r="F4" s="991" t="s">
        <v>286</v>
      </c>
      <c r="G4" s="991" t="s">
        <v>290</v>
      </c>
      <c r="H4" s="991" t="s">
        <v>287</v>
      </c>
      <c r="I4" s="991" t="s">
        <v>288</v>
      </c>
      <c r="J4" s="991" t="s">
        <v>289</v>
      </c>
      <c r="K4" s="991" t="s">
        <v>125</v>
      </c>
      <c r="L4" s="1021" t="s">
        <v>284</v>
      </c>
      <c r="N4" s="87"/>
      <c r="O4" s="860"/>
      <c r="P4" s="860"/>
      <c r="Q4" s="860"/>
    </row>
    <row r="5" spans="1:27">
      <c r="A5" s="1261">
        <f>Year1</f>
        <v>2021</v>
      </c>
      <c r="B5" s="146" t="str">
        <f>Lookups!$E$68</f>
        <v>A - Residential</v>
      </c>
      <c r="C5" s="146" t="s">
        <v>962</v>
      </c>
      <c r="D5" s="146" t="s">
        <v>964</v>
      </c>
      <c r="E5" s="1255">
        <v>2000</v>
      </c>
      <c r="F5" s="1255"/>
      <c r="G5" s="1255">
        <f>SUMPRODUCT(ADRYr1!G5:G11,ADRYr1!J5:J11)</f>
        <v>7500</v>
      </c>
      <c r="H5" s="1255">
        <v>23000</v>
      </c>
      <c r="I5" s="1255">
        <v>1000</v>
      </c>
      <c r="J5" s="1255">
        <v>1000</v>
      </c>
      <c r="K5" s="1255"/>
      <c r="L5" s="112">
        <f t="shared" ref="L5:L13" si="0">SUM(E5:J5)</f>
        <v>34500</v>
      </c>
      <c r="M5" s="864"/>
      <c r="N5" s="111"/>
      <c r="O5" s="111"/>
      <c r="P5" s="860"/>
      <c r="T5" s="862"/>
      <c r="U5" s="862"/>
      <c r="W5" s="857"/>
      <c r="X5" s="857"/>
      <c r="Y5" s="857"/>
      <c r="Z5" s="857"/>
      <c r="AA5" s="857"/>
    </row>
    <row r="6" spans="1:27" hidden="1">
      <c r="A6" s="990">
        <f>Year1</f>
        <v>2021</v>
      </c>
      <c r="B6" s="146" t="str">
        <f>Lookups!$E$69</f>
        <v>B - Low-Income</v>
      </c>
      <c r="C6" s="146" t="s">
        <v>271</v>
      </c>
      <c r="D6" s="146"/>
      <c r="E6" s="1255"/>
      <c r="F6" s="1255"/>
      <c r="G6" s="1255"/>
      <c r="H6" s="1255"/>
      <c r="I6" s="1255"/>
      <c r="J6" s="1255"/>
      <c r="K6" s="1255"/>
      <c r="L6" s="112">
        <f t="shared" si="0"/>
        <v>0</v>
      </c>
      <c r="M6" s="864"/>
      <c r="N6" s="111"/>
      <c r="O6" s="111"/>
      <c r="P6" s="860"/>
      <c r="T6" s="862"/>
      <c r="U6" s="862"/>
      <c r="W6" s="857"/>
      <c r="X6" s="857"/>
      <c r="Y6" s="857"/>
      <c r="Z6" s="857"/>
      <c r="AA6" s="857"/>
    </row>
    <row r="7" spans="1:27">
      <c r="A7" s="215">
        <f>Year1</f>
        <v>2021</v>
      </c>
      <c r="B7" s="1256" t="str">
        <f>Lookups!$E$70</f>
        <v>C - Commercial &amp; Industrial</v>
      </c>
      <c r="C7" s="113" t="s">
        <v>963</v>
      </c>
      <c r="D7" s="1256" t="s">
        <v>965</v>
      </c>
      <c r="E7" s="1257">
        <v>3500</v>
      </c>
      <c r="F7" s="1257">
        <v>1000</v>
      </c>
      <c r="G7" s="1257">
        <f>SUMPRODUCT(ADRYr1!G29:G41,ADRYr1!J29:J41)</f>
        <v>101000</v>
      </c>
      <c r="H7" s="1257">
        <v>12500</v>
      </c>
      <c r="I7" s="1259">
        <v>5000</v>
      </c>
      <c r="J7" s="1257">
        <v>15000</v>
      </c>
      <c r="K7" s="1257"/>
      <c r="L7" s="216">
        <f t="shared" si="0"/>
        <v>138000</v>
      </c>
      <c r="M7" s="864"/>
      <c r="N7" s="111"/>
      <c r="O7" s="111"/>
      <c r="P7" s="860"/>
      <c r="T7" s="862"/>
      <c r="U7" s="862"/>
      <c r="W7" s="857"/>
      <c r="X7" s="857"/>
      <c r="Y7" s="857"/>
      <c r="Z7" s="857"/>
      <c r="AA7" s="857"/>
    </row>
    <row r="8" spans="1:27">
      <c r="A8" s="1261">
        <f>Year2</f>
        <v>2022</v>
      </c>
      <c r="B8" s="146" t="str">
        <f>Lookups!$E$68</f>
        <v>A - Residential</v>
      </c>
      <c r="C8" s="146" t="s">
        <v>962</v>
      </c>
      <c r="D8" s="146" t="s">
        <v>964</v>
      </c>
      <c r="E8" s="1255">
        <v>2200</v>
      </c>
      <c r="F8" s="1255"/>
      <c r="G8" s="1255">
        <f>SUMPRODUCT(ADRYr2!G5:G11,ADRYr2!J5:J11)</f>
        <v>10623.75</v>
      </c>
      <c r="H8" s="1255">
        <v>27000</v>
      </c>
      <c r="I8" s="1255">
        <v>1200</v>
      </c>
      <c r="J8" s="1255">
        <v>1200</v>
      </c>
      <c r="K8" s="1255"/>
      <c r="L8" s="112">
        <f t="shared" si="0"/>
        <v>42223.75</v>
      </c>
      <c r="M8" s="864"/>
      <c r="N8" s="111"/>
      <c r="O8" s="111"/>
      <c r="P8" s="860"/>
      <c r="T8" s="862"/>
      <c r="U8" s="862"/>
      <c r="W8" s="857"/>
      <c r="X8" s="857"/>
      <c r="Y8" s="857"/>
      <c r="Z8" s="857"/>
      <c r="AA8" s="857"/>
    </row>
    <row r="9" spans="1:27" hidden="1">
      <c r="A9" s="990">
        <f>Year2</f>
        <v>2022</v>
      </c>
      <c r="B9" s="146" t="str">
        <f>Lookups!$E$69</f>
        <v>B - Low-Income</v>
      </c>
      <c r="C9" s="146" t="s">
        <v>271</v>
      </c>
      <c r="D9" s="146"/>
      <c r="E9" s="1255"/>
      <c r="F9" s="1255"/>
      <c r="G9" s="1255"/>
      <c r="H9" s="1255"/>
      <c r="I9" s="1255"/>
      <c r="J9" s="1255"/>
      <c r="K9" s="1255"/>
      <c r="L9" s="112">
        <f t="shared" si="0"/>
        <v>0</v>
      </c>
      <c r="M9" s="864"/>
      <c r="N9" s="111"/>
      <c r="O9" s="111"/>
      <c r="P9" s="860"/>
      <c r="T9" s="862"/>
      <c r="U9" s="862"/>
      <c r="W9" s="857"/>
      <c r="X9" s="857"/>
      <c r="Y9" s="857"/>
      <c r="Z9" s="857"/>
      <c r="AA9" s="857"/>
    </row>
    <row r="10" spans="1:27">
      <c r="A10" s="215">
        <f>Year2</f>
        <v>2022</v>
      </c>
      <c r="B10" s="1256" t="str">
        <f>Lookups!$E$70</f>
        <v>C - Commercial &amp; Industrial</v>
      </c>
      <c r="C10" s="113" t="s">
        <v>963</v>
      </c>
      <c r="D10" s="1256" t="s">
        <v>965</v>
      </c>
      <c r="E10" s="1257">
        <v>3800</v>
      </c>
      <c r="F10" s="1257">
        <v>1200</v>
      </c>
      <c r="G10" s="1257">
        <f>SUMPRODUCT(ADRYr2!$G$29:$G$41,ADRYr2!$J$29:$J$41)</f>
        <v>108000</v>
      </c>
      <c r="H10" s="1257">
        <v>13125</v>
      </c>
      <c r="I10" s="1259">
        <v>5250</v>
      </c>
      <c r="J10" s="1257">
        <v>15000</v>
      </c>
      <c r="K10" s="1257"/>
      <c r="L10" s="216">
        <f t="shared" si="0"/>
        <v>146375</v>
      </c>
      <c r="M10" s="864"/>
      <c r="N10" s="111"/>
      <c r="O10" s="111"/>
      <c r="P10" s="860"/>
      <c r="T10" s="862"/>
      <c r="U10" s="862"/>
      <c r="W10" s="857"/>
      <c r="X10" s="857"/>
      <c r="Y10" s="857"/>
      <c r="Z10" s="857"/>
      <c r="AA10" s="857"/>
    </row>
    <row r="11" spans="1:27">
      <c r="A11" s="1261">
        <f>Year3</f>
        <v>2023</v>
      </c>
      <c r="B11" s="146" t="str">
        <f>Lookups!$E$68</f>
        <v>A - Residential</v>
      </c>
      <c r="C11" s="146" t="s">
        <v>962</v>
      </c>
      <c r="D11" s="146" t="s">
        <v>964</v>
      </c>
      <c r="E11" s="1255">
        <v>2400</v>
      </c>
      <c r="F11" s="1255"/>
      <c r="G11" s="1255">
        <f>SUMPRODUCT(ADRYr3!G5:G11,ADRYr3!J5:J11)</f>
        <v>13750</v>
      </c>
      <c r="H11" s="1255">
        <v>31500</v>
      </c>
      <c r="I11" s="1255">
        <v>1300</v>
      </c>
      <c r="J11" s="1255">
        <v>1300</v>
      </c>
      <c r="K11" s="1255"/>
      <c r="L11" s="112">
        <f t="shared" si="0"/>
        <v>50250</v>
      </c>
      <c r="M11" s="864"/>
      <c r="N11" s="111"/>
      <c r="O11" s="111"/>
      <c r="P11" s="860"/>
      <c r="T11" s="862"/>
      <c r="U11" s="862"/>
      <c r="W11" s="857"/>
      <c r="X11" s="857"/>
      <c r="Y11" s="857"/>
      <c r="Z11" s="857"/>
      <c r="AA11" s="857"/>
    </row>
    <row r="12" spans="1:27" hidden="1">
      <c r="A12" s="990">
        <f>Year3</f>
        <v>2023</v>
      </c>
      <c r="B12" s="146" t="str">
        <f>Lookups!$E$69</f>
        <v>B - Low-Income</v>
      </c>
      <c r="C12" s="146" t="s">
        <v>271</v>
      </c>
      <c r="D12" s="146"/>
      <c r="E12" s="1255"/>
      <c r="F12" s="1255"/>
      <c r="G12" s="1255"/>
      <c r="H12" s="1255"/>
      <c r="I12" s="1255"/>
      <c r="J12" s="1255"/>
      <c r="K12" s="1255"/>
      <c r="L12" s="112">
        <f t="shared" si="0"/>
        <v>0</v>
      </c>
      <c r="M12" s="864"/>
      <c r="N12" s="111"/>
      <c r="O12" s="111"/>
      <c r="P12" s="860"/>
      <c r="T12" s="862"/>
      <c r="U12" s="862"/>
      <c r="W12" s="857"/>
      <c r="X12" s="857"/>
      <c r="Y12" s="857"/>
      <c r="Z12" s="857"/>
      <c r="AA12" s="857"/>
    </row>
    <row r="13" spans="1:27">
      <c r="A13" s="215">
        <f>Year3</f>
        <v>2023</v>
      </c>
      <c r="B13" s="1256" t="str">
        <f>Lookups!$E$70</f>
        <v>C - Commercial &amp; Industrial</v>
      </c>
      <c r="C13" s="113" t="s">
        <v>963</v>
      </c>
      <c r="D13" s="1256" t="s">
        <v>965</v>
      </c>
      <c r="E13" s="1257">
        <v>4000</v>
      </c>
      <c r="F13" s="1257">
        <v>1400</v>
      </c>
      <c r="G13" s="1257">
        <f>SUMPRODUCT(ADRYr3!$G$29:$G$41,ADRYr3!$J$29:$J$41)</f>
        <v>133750</v>
      </c>
      <c r="H13" s="1257">
        <v>13781</v>
      </c>
      <c r="I13" s="1259">
        <v>5500</v>
      </c>
      <c r="J13" s="1257">
        <v>15000</v>
      </c>
      <c r="K13" s="1257"/>
      <c r="L13" s="216">
        <f t="shared" si="0"/>
        <v>173431</v>
      </c>
      <c r="M13" s="864"/>
      <c r="N13" s="111"/>
      <c r="O13" s="111"/>
      <c r="P13" s="860"/>
      <c r="T13" s="862"/>
      <c r="U13" s="862"/>
      <c r="W13" s="857"/>
      <c r="X13" s="857"/>
      <c r="Y13" s="857"/>
      <c r="Z13" s="857"/>
      <c r="AA13" s="857"/>
    </row>
    <row r="14" spans="1:27">
      <c r="I14" s="87" t="s">
        <v>989</v>
      </c>
    </row>
    <row r="17" spans="1:12">
      <c r="A17" s="87"/>
      <c r="B17" s="87"/>
      <c r="C17" s="87"/>
      <c r="D17" s="87"/>
      <c r="I17" s="857"/>
      <c r="J17" s="857"/>
    </row>
    <row r="18" spans="1:12" ht="14.25">
      <c r="A18" s="87"/>
      <c r="B18" s="87"/>
      <c r="C18" s="87"/>
      <c r="D18" s="87"/>
      <c r="E18" s="857"/>
      <c r="F18" s="857"/>
      <c r="G18" s="857"/>
      <c r="H18" s="857"/>
      <c r="I18" s="857"/>
      <c r="J18" s="857"/>
      <c r="K18" s="857"/>
      <c r="L18" s="857"/>
    </row>
    <row r="19" spans="1:12">
      <c r="A19" s="87"/>
      <c r="B19" s="87"/>
      <c r="C19" s="87"/>
      <c r="D19" s="87"/>
      <c r="E19" s="111"/>
      <c r="F19" s="111"/>
      <c r="G19" s="111"/>
      <c r="H19" s="111"/>
      <c r="I19" s="111"/>
      <c r="J19" s="111"/>
      <c r="K19" s="111"/>
      <c r="L19" s="916"/>
    </row>
    <row r="20" spans="1:12">
      <c r="A20" s="87"/>
      <c r="B20" s="87"/>
      <c r="C20" s="87"/>
      <c r="D20" s="87"/>
      <c r="E20" s="111"/>
      <c r="F20" s="111"/>
      <c r="G20" s="111"/>
      <c r="H20" s="111"/>
      <c r="I20" s="111"/>
      <c r="J20" s="111"/>
      <c r="K20" s="111"/>
      <c r="L20" s="916"/>
    </row>
    <row r="21" spans="1:12">
      <c r="A21" s="87"/>
      <c r="B21" s="87"/>
      <c r="C21" s="87"/>
      <c r="D21" s="87"/>
      <c r="E21" s="111"/>
      <c r="F21" s="111"/>
      <c r="G21" s="111"/>
      <c r="H21" s="111"/>
      <c r="I21" s="111"/>
      <c r="J21" s="111"/>
      <c r="K21" s="111"/>
      <c r="L21" s="916"/>
    </row>
    <row r="22" spans="1:12">
      <c r="A22" s="87"/>
      <c r="B22" s="87"/>
      <c r="C22" s="87"/>
      <c r="D22" s="87"/>
      <c r="E22" s="111"/>
      <c r="F22" s="111"/>
      <c r="G22" s="111"/>
      <c r="H22" s="111"/>
      <c r="I22" s="111"/>
      <c r="J22" s="111"/>
      <c r="K22" s="111"/>
      <c r="L22" s="916"/>
    </row>
    <row r="23" spans="1:12">
      <c r="A23" s="87"/>
      <c r="B23" s="87"/>
      <c r="C23" s="87"/>
      <c r="D23" s="87"/>
      <c r="E23" s="111"/>
      <c r="F23" s="111"/>
      <c r="G23" s="111"/>
      <c r="H23" s="111"/>
      <c r="I23" s="111"/>
      <c r="J23" s="111"/>
      <c r="K23" s="111"/>
      <c r="L23" s="916"/>
    </row>
    <row r="24" spans="1:12">
      <c r="A24" s="87"/>
      <c r="B24" s="87"/>
      <c r="C24" s="87"/>
      <c r="D24" s="87"/>
      <c r="E24" s="111"/>
      <c r="F24" s="111"/>
      <c r="G24" s="111"/>
      <c r="H24" s="111"/>
      <c r="I24" s="111"/>
      <c r="J24" s="111"/>
      <c r="K24" s="111"/>
      <c r="L24" s="916"/>
    </row>
    <row r="25" spans="1:12">
      <c r="A25" s="87"/>
      <c r="B25" s="87"/>
      <c r="C25" s="87"/>
      <c r="D25" s="87"/>
      <c r="E25" s="111"/>
      <c r="F25" s="111"/>
      <c r="G25" s="111"/>
      <c r="H25" s="111"/>
      <c r="I25" s="111"/>
      <c r="J25" s="111"/>
      <c r="K25" s="111"/>
      <c r="L25" s="916"/>
    </row>
    <row r="26" spans="1:12">
      <c r="A26" s="87"/>
      <c r="B26" s="87"/>
      <c r="C26" s="87"/>
      <c r="D26" s="87"/>
      <c r="E26" s="111"/>
      <c r="F26" s="111"/>
      <c r="G26" s="111"/>
      <c r="H26" s="111"/>
      <c r="I26" s="111"/>
      <c r="J26" s="111"/>
      <c r="K26" s="111"/>
      <c r="L26" s="916"/>
    </row>
    <row r="27" spans="1:12">
      <c r="A27" s="87"/>
      <c r="B27" s="87"/>
      <c r="C27" s="87"/>
      <c r="D27" s="87"/>
      <c r="E27" s="111"/>
      <c r="F27" s="111"/>
      <c r="G27" s="111"/>
      <c r="H27" s="111"/>
      <c r="I27" s="111"/>
      <c r="J27" s="111"/>
      <c r="K27" s="111"/>
      <c r="L27" s="916"/>
    </row>
    <row r="28" spans="1:12">
      <c r="A28" s="87"/>
      <c r="B28" s="87"/>
      <c r="C28" s="87"/>
      <c r="D28" s="87"/>
      <c r="E28" s="111"/>
      <c r="F28" s="111"/>
      <c r="G28" s="111"/>
      <c r="H28" s="111"/>
      <c r="I28" s="111"/>
      <c r="J28" s="111"/>
      <c r="K28" s="111"/>
      <c r="L28" s="916"/>
    </row>
    <row r="29" spans="1:12">
      <c r="A29" s="87"/>
      <c r="B29" s="87"/>
      <c r="C29" s="87"/>
      <c r="D29" s="87"/>
      <c r="E29" s="111"/>
      <c r="F29" s="111"/>
      <c r="G29" s="111"/>
      <c r="H29" s="111"/>
      <c r="I29" s="111"/>
      <c r="J29" s="111"/>
      <c r="K29" s="111"/>
      <c r="L29" s="916"/>
    </row>
    <row r="30" spans="1:12">
      <c r="A30" s="87"/>
      <c r="B30" s="87"/>
      <c r="C30" s="87"/>
      <c r="D30" s="87"/>
      <c r="E30" s="111"/>
      <c r="F30" s="111"/>
      <c r="G30" s="111"/>
      <c r="H30" s="111"/>
      <c r="I30" s="111"/>
      <c r="J30" s="111"/>
      <c r="K30" s="111"/>
      <c r="L30" s="916"/>
    </row>
    <row r="31" spans="1:12">
      <c r="A31" s="87"/>
      <c r="B31" s="87"/>
      <c r="C31" s="87"/>
      <c r="D31" s="87"/>
      <c r="E31" s="111"/>
      <c r="F31" s="111"/>
      <c r="G31" s="111"/>
      <c r="H31" s="111"/>
      <c r="I31" s="111"/>
      <c r="J31" s="111"/>
      <c r="K31" s="111"/>
      <c r="L31" s="916"/>
    </row>
    <row r="32" spans="1:12">
      <c r="A32" s="87"/>
      <c r="B32" s="87"/>
      <c r="C32" s="87"/>
      <c r="D32" s="87"/>
      <c r="E32" s="111"/>
      <c r="F32" s="111"/>
      <c r="G32" s="111"/>
      <c r="H32" s="111"/>
      <c r="I32" s="111"/>
      <c r="J32" s="111"/>
      <c r="K32" s="111"/>
      <c r="L32" s="916"/>
    </row>
    <row r="33" spans="1:12">
      <c r="A33" s="87"/>
      <c r="B33" s="87"/>
      <c r="C33" s="87"/>
      <c r="D33" s="87"/>
      <c r="E33" s="111"/>
      <c r="F33" s="111"/>
      <c r="G33" s="111"/>
      <c r="H33" s="111"/>
      <c r="I33" s="111"/>
      <c r="J33" s="111"/>
      <c r="K33" s="111"/>
      <c r="L33" s="916"/>
    </row>
    <row r="34" spans="1:12">
      <c r="A34" s="87"/>
      <c r="B34" s="87"/>
      <c r="C34" s="87"/>
      <c r="D34" s="87"/>
      <c r="E34" s="111"/>
      <c r="F34" s="111"/>
      <c r="G34" s="111"/>
      <c r="H34" s="111"/>
      <c r="I34" s="111"/>
      <c r="J34" s="111"/>
      <c r="K34" s="111"/>
      <c r="L34" s="916"/>
    </row>
    <row r="35" spans="1:12">
      <c r="A35" s="87"/>
      <c r="B35" s="87"/>
      <c r="C35" s="87"/>
      <c r="D35" s="87"/>
      <c r="E35" s="111"/>
      <c r="F35" s="111"/>
      <c r="G35" s="111"/>
      <c r="H35" s="111"/>
      <c r="I35" s="111"/>
      <c r="J35" s="111"/>
      <c r="K35" s="111"/>
      <c r="L35" s="916"/>
    </row>
    <row r="36" spans="1:12">
      <c r="A36" s="87"/>
      <c r="B36" s="87"/>
      <c r="C36" s="87"/>
      <c r="D36" s="87"/>
      <c r="E36" s="111"/>
      <c r="F36" s="111"/>
      <c r="G36" s="111"/>
      <c r="H36" s="111"/>
      <c r="I36" s="111"/>
      <c r="J36" s="111"/>
      <c r="K36" s="111"/>
      <c r="L36" s="916"/>
    </row>
    <row r="37" spans="1:12">
      <c r="A37" s="87"/>
      <c r="B37" s="87"/>
      <c r="C37" s="87"/>
      <c r="D37" s="87"/>
      <c r="E37" s="111"/>
      <c r="F37" s="111"/>
      <c r="G37" s="111"/>
      <c r="H37" s="111"/>
      <c r="I37" s="111"/>
      <c r="J37" s="111"/>
      <c r="K37" s="111"/>
      <c r="L37" s="916"/>
    </row>
    <row r="38" spans="1:12">
      <c r="A38" s="87"/>
      <c r="B38" s="87"/>
      <c r="C38" s="87"/>
      <c r="D38" s="87"/>
      <c r="E38" s="111"/>
      <c r="F38" s="111"/>
      <c r="G38" s="111"/>
      <c r="H38" s="111"/>
      <c r="I38" s="111"/>
      <c r="J38" s="111"/>
      <c r="K38" s="111"/>
      <c r="L38" s="916"/>
    </row>
    <row r="39" spans="1:12">
      <c r="A39" s="87"/>
      <c r="B39" s="87"/>
      <c r="C39" s="87"/>
      <c r="D39" s="87"/>
      <c r="E39" s="111"/>
      <c r="F39" s="111"/>
      <c r="G39" s="111"/>
      <c r="H39" s="111"/>
      <c r="I39" s="111"/>
      <c r="J39" s="111"/>
      <c r="K39" s="111"/>
      <c r="L39" s="916"/>
    </row>
    <row r="40" spans="1:12">
      <c r="A40" s="87"/>
      <c r="B40" s="87"/>
      <c r="C40" s="87"/>
      <c r="D40" s="87"/>
      <c r="E40" s="111"/>
      <c r="F40" s="111"/>
      <c r="G40" s="111"/>
      <c r="H40" s="111"/>
      <c r="I40" s="111"/>
      <c r="J40" s="111"/>
      <c r="K40" s="111"/>
      <c r="L40" s="916"/>
    </row>
    <row r="41" spans="1:12">
      <c r="A41" s="87"/>
      <c r="B41" s="87"/>
      <c r="C41" s="87"/>
      <c r="D41" s="87"/>
      <c r="E41" s="111"/>
      <c r="F41" s="111"/>
      <c r="G41" s="111"/>
      <c r="H41" s="111"/>
      <c r="I41" s="111"/>
      <c r="J41" s="111"/>
      <c r="K41" s="111"/>
      <c r="L41" s="916"/>
    </row>
    <row r="42" spans="1:12">
      <c r="A42" s="87"/>
      <c r="B42" s="87"/>
      <c r="C42" s="87"/>
      <c r="D42" s="87"/>
      <c r="E42" s="111"/>
      <c r="F42" s="111"/>
      <c r="G42" s="111"/>
      <c r="H42" s="111"/>
      <c r="I42" s="111"/>
      <c r="J42" s="111"/>
      <c r="K42" s="111"/>
      <c r="L42" s="916"/>
    </row>
    <row r="43" spans="1:12">
      <c r="A43" s="87"/>
      <c r="B43" s="87"/>
      <c r="C43" s="87"/>
      <c r="D43" s="87"/>
      <c r="E43" s="111"/>
      <c r="F43" s="111"/>
      <c r="G43" s="111"/>
      <c r="H43" s="111"/>
      <c r="I43" s="111"/>
      <c r="J43" s="111"/>
      <c r="K43" s="111"/>
      <c r="L43" s="916"/>
    </row>
    <row r="44" spans="1:12">
      <c r="A44" s="87"/>
      <c r="B44" s="87"/>
      <c r="C44" s="87"/>
      <c r="D44" s="87"/>
      <c r="E44" s="111"/>
      <c r="F44" s="111"/>
      <c r="G44" s="111"/>
      <c r="H44" s="111"/>
      <c r="I44" s="111"/>
      <c r="J44" s="111"/>
      <c r="K44" s="111"/>
      <c r="L44" s="916"/>
    </row>
    <row r="45" spans="1:12">
      <c r="A45" s="87"/>
      <c r="B45" s="87"/>
      <c r="C45" s="87"/>
      <c r="D45" s="87"/>
      <c r="E45" s="111"/>
      <c r="F45" s="111"/>
      <c r="G45" s="111"/>
      <c r="H45" s="111"/>
      <c r="I45" s="111"/>
      <c r="J45" s="111"/>
      <c r="K45" s="111"/>
      <c r="L45" s="916"/>
    </row>
    <row r="46" spans="1:12">
      <c r="A46" s="87"/>
      <c r="B46" s="87"/>
      <c r="C46" s="87"/>
      <c r="D46" s="87"/>
      <c r="E46" s="111"/>
      <c r="F46" s="111"/>
      <c r="G46" s="111"/>
      <c r="H46" s="111"/>
      <c r="I46" s="111"/>
      <c r="J46" s="111"/>
      <c r="K46" s="111"/>
      <c r="L46" s="916"/>
    </row>
    <row r="47" spans="1:12">
      <c r="A47" s="87"/>
      <c r="B47" s="87"/>
      <c r="C47" s="87"/>
      <c r="D47" s="87"/>
      <c r="E47" s="111"/>
      <c r="F47" s="111"/>
      <c r="G47" s="111"/>
      <c r="H47" s="111"/>
      <c r="I47" s="111"/>
      <c r="J47" s="111"/>
      <c r="K47" s="111"/>
      <c r="L47" s="916"/>
    </row>
    <row r="48" spans="1:12">
      <c r="A48" s="87"/>
      <c r="B48" s="87"/>
      <c r="C48" s="87"/>
      <c r="D48" s="87"/>
      <c r="E48" s="111"/>
      <c r="F48" s="111"/>
      <c r="G48" s="111"/>
      <c r="H48" s="111"/>
      <c r="I48" s="111"/>
      <c r="J48" s="111"/>
      <c r="K48" s="111"/>
      <c r="L48" s="916"/>
    </row>
    <row r="49" spans="1:12">
      <c r="A49" s="87"/>
      <c r="B49" s="87"/>
      <c r="C49" s="87"/>
      <c r="D49" s="87"/>
      <c r="E49" s="111"/>
      <c r="F49" s="111"/>
      <c r="G49" s="111"/>
      <c r="H49" s="111"/>
      <c r="I49" s="111"/>
      <c r="J49" s="111"/>
      <c r="K49" s="111"/>
      <c r="L49" s="916"/>
    </row>
    <row r="50" spans="1:12">
      <c r="A50" s="87"/>
      <c r="B50" s="87"/>
      <c r="C50" s="87"/>
      <c r="D50" s="87"/>
      <c r="E50" s="111"/>
      <c r="F50" s="111"/>
      <c r="G50" s="111"/>
      <c r="H50" s="111"/>
      <c r="I50" s="111"/>
      <c r="J50" s="111"/>
      <c r="K50" s="111"/>
      <c r="L50" s="916"/>
    </row>
    <row r="51" spans="1:12">
      <c r="A51" s="87"/>
      <c r="B51" s="87"/>
      <c r="C51" s="87"/>
      <c r="D51" s="87"/>
      <c r="E51" s="111"/>
      <c r="F51" s="111"/>
      <c r="G51" s="111"/>
      <c r="H51" s="111"/>
      <c r="I51" s="111"/>
      <c r="J51" s="111"/>
      <c r="K51" s="111"/>
      <c r="L51" s="916"/>
    </row>
    <row r="52" spans="1:12">
      <c r="A52" s="87"/>
      <c r="B52" s="87"/>
      <c r="C52" s="87"/>
      <c r="D52" s="87"/>
      <c r="E52" s="111"/>
      <c r="F52" s="111"/>
      <c r="G52" s="111"/>
      <c r="H52" s="111"/>
      <c r="I52" s="111"/>
      <c r="J52" s="111"/>
      <c r="K52" s="111"/>
      <c r="L52" s="916"/>
    </row>
    <row r="53" spans="1:12">
      <c r="A53" s="87"/>
      <c r="B53" s="87"/>
      <c r="C53" s="87"/>
      <c r="D53" s="87"/>
      <c r="E53" s="111"/>
      <c r="F53" s="111"/>
      <c r="G53" s="111"/>
      <c r="H53" s="111"/>
      <c r="I53" s="111"/>
      <c r="J53" s="111"/>
      <c r="K53" s="111"/>
      <c r="L53" s="916"/>
    </row>
    <row r="54" spans="1:12">
      <c r="A54" s="87"/>
      <c r="B54" s="87"/>
      <c r="C54" s="87"/>
      <c r="D54" s="87"/>
      <c r="E54" s="111"/>
      <c r="F54" s="111"/>
      <c r="G54" s="111"/>
      <c r="H54" s="111"/>
      <c r="I54" s="111"/>
      <c r="J54" s="111"/>
      <c r="K54" s="111"/>
      <c r="L54" s="916"/>
    </row>
    <row r="55" spans="1:12">
      <c r="A55" s="87"/>
      <c r="B55" s="87"/>
      <c r="C55" s="87"/>
      <c r="D55" s="87"/>
      <c r="E55" s="111"/>
      <c r="F55" s="111"/>
      <c r="G55" s="111"/>
      <c r="H55" s="111"/>
      <c r="I55" s="111"/>
      <c r="J55" s="111"/>
      <c r="K55" s="111"/>
      <c r="L55" s="916"/>
    </row>
    <row r="56" spans="1:12">
      <c r="A56" s="87"/>
      <c r="B56" s="87"/>
      <c r="C56" s="87"/>
      <c r="D56" s="87"/>
      <c r="E56" s="111"/>
      <c r="F56" s="111"/>
      <c r="G56" s="111"/>
      <c r="H56" s="111"/>
      <c r="I56" s="111"/>
      <c r="J56" s="111"/>
      <c r="K56" s="111"/>
      <c r="L56" s="916"/>
    </row>
    <row r="57" spans="1:12">
      <c r="A57" s="87"/>
      <c r="B57" s="87"/>
      <c r="C57" s="87"/>
      <c r="D57" s="87"/>
      <c r="E57" s="111"/>
      <c r="F57" s="111"/>
      <c r="G57" s="111"/>
      <c r="H57" s="111"/>
      <c r="I57" s="111"/>
      <c r="J57" s="111"/>
      <c r="K57" s="111"/>
      <c r="L57" s="916"/>
    </row>
    <row r="58" spans="1:12">
      <c r="A58" s="87"/>
      <c r="B58" s="87"/>
      <c r="C58" s="87"/>
      <c r="D58" s="87"/>
      <c r="E58" s="111"/>
      <c r="F58" s="111"/>
      <c r="G58" s="111"/>
      <c r="H58" s="111"/>
      <c r="I58" s="111"/>
      <c r="J58" s="111"/>
      <c r="K58" s="111"/>
      <c r="L58" s="916"/>
    </row>
    <row r="59" spans="1:12">
      <c r="A59" s="87"/>
      <c r="B59" s="87"/>
      <c r="C59" s="87"/>
      <c r="D59" s="87"/>
      <c r="E59" s="111"/>
      <c r="F59" s="111"/>
      <c r="G59" s="111"/>
      <c r="H59" s="111"/>
      <c r="I59" s="111"/>
      <c r="J59" s="111"/>
      <c r="K59" s="111"/>
      <c r="L59" s="916"/>
    </row>
    <row r="60" spans="1:12">
      <c r="A60" s="87"/>
      <c r="B60" s="87"/>
      <c r="C60" s="87"/>
      <c r="D60" s="87"/>
      <c r="E60" s="111"/>
      <c r="F60" s="111"/>
      <c r="G60" s="111"/>
      <c r="H60" s="111"/>
      <c r="I60" s="111"/>
      <c r="J60" s="111"/>
      <c r="K60" s="111"/>
      <c r="L60" s="916"/>
    </row>
    <row r="61" spans="1:12">
      <c r="A61" s="87"/>
      <c r="B61" s="87"/>
      <c r="C61" s="87"/>
      <c r="D61" s="87"/>
      <c r="E61" s="111"/>
      <c r="F61" s="111"/>
      <c r="G61" s="111"/>
      <c r="H61" s="111"/>
      <c r="I61" s="111"/>
      <c r="J61" s="111"/>
      <c r="K61" s="111"/>
      <c r="L61" s="916"/>
    </row>
    <row r="62" spans="1:12">
      <c r="A62" s="87"/>
      <c r="B62" s="87"/>
      <c r="C62" s="87"/>
      <c r="D62" s="87"/>
      <c r="E62" s="863"/>
      <c r="F62" s="863"/>
      <c r="G62" s="863"/>
      <c r="H62" s="863"/>
      <c r="I62" s="863"/>
      <c r="J62" s="863"/>
      <c r="K62" s="863"/>
      <c r="L62" s="915"/>
    </row>
    <row r="63" spans="1:12">
      <c r="A63" s="87"/>
      <c r="B63" s="87"/>
      <c r="C63" s="87"/>
      <c r="D63" s="87"/>
      <c r="E63" s="863"/>
      <c r="F63" s="863"/>
      <c r="G63" s="863"/>
      <c r="H63" s="863"/>
      <c r="I63" s="863"/>
      <c r="J63" s="863"/>
      <c r="K63" s="863"/>
      <c r="L63" s="915"/>
    </row>
  </sheetData>
  <dataValidations count="2">
    <dataValidation type="list" allowBlank="1" showInputMessage="1" showErrorMessage="1" sqref="C14:C1048576">
      <formula1>"ElecProg"</formula1>
    </dataValidation>
    <dataValidation type="list" allowBlank="1" showInputMessage="1" showErrorMessage="1" sqref="B5:B13">
      <formula1>Sector</formula1>
    </dataValidation>
  </dataValidations>
  <printOptions headings="1" gridLines="1"/>
  <pageMargins left="0.75" right="0.75" top="1" bottom="1" header="0.5" footer="0.5"/>
  <pageSetup paperSize="17" scale="53" orientation="landscape" r:id="rId1"/>
  <headerFooter alignWithMargins="0">
    <oddFooter>&amp;L&amp;Z&amp;F
&amp;A&amp;R&amp;D
&amp;T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Lookups!$E$195:$E$245</xm:f>
          </x14:formula1>
          <xm:sqref>D5:D13</xm:sqref>
        </x14:dataValidation>
        <x14:dataValidation type="list" allowBlank="1" showInputMessage="1" showErrorMessage="1">
          <x14:formula1>
            <xm:f>Lookups!$E$143:$E$172</xm:f>
          </x14:formula1>
          <xm:sqref>C5:C13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 activeCell="G35" sqref="G35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8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17" bestFit="1" customWidth="1" collapsed="1"/>
    <col min="44" max="44" width="5.140625" style="17" bestFit="1" customWidth="1"/>
    <col min="45" max="45" width="10" style="17"/>
    <col min="46" max="46" width="11" style="17" customWidth="1"/>
    <col min="47" max="48" width="10" style="306"/>
    <col min="49" max="16384" width="10" style="2"/>
  </cols>
  <sheetData>
    <row r="1" spans="1:50">
      <c r="A1" s="18"/>
      <c r="B1" s="18"/>
      <c r="D1" s="25" t="s">
        <v>147</v>
      </c>
      <c r="E1" s="297" t="str">
        <f>PA</f>
        <v>Unitil Energy Systems Inc</v>
      </c>
      <c r="G1" s="18"/>
      <c r="H1" s="926"/>
      <c r="I1" s="922"/>
      <c r="J1" s="923"/>
      <c r="K1" s="20"/>
      <c r="L1" s="920"/>
      <c r="M1" s="998"/>
      <c r="N1" s="1422"/>
      <c r="O1" s="1422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>
      <c r="A2" s="96"/>
      <c r="B2" s="96"/>
      <c r="D2" s="40" t="s">
        <v>168</v>
      </c>
      <c r="E2" s="97">
        <f>Year1</f>
        <v>2021</v>
      </c>
      <c r="G2" s="85"/>
      <c r="H2" s="926"/>
      <c r="I2" s="922"/>
      <c r="J2" s="1022"/>
      <c r="K2" s="928"/>
      <c r="L2" s="921"/>
      <c r="M2" s="19"/>
      <c r="N2" s="1423"/>
      <c r="O2" s="1423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24" t="s">
        <v>3</v>
      </c>
      <c r="N3" s="1424"/>
      <c r="O3" s="1424"/>
      <c r="P3" s="1424"/>
      <c r="Q3" s="1424"/>
      <c r="R3" s="1424"/>
      <c r="S3" s="1424"/>
      <c r="T3" s="1424"/>
      <c r="U3" s="1424"/>
      <c r="V3" s="1425" t="s">
        <v>4</v>
      </c>
      <c r="W3" s="1425"/>
      <c r="X3" s="1425"/>
      <c r="Y3" s="1425"/>
      <c r="Z3" s="1425"/>
      <c r="AA3" s="1425"/>
      <c r="AB3" s="1425"/>
      <c r="AC3" s="1425"/>
      <c r="AD3" s="1426" t="s">
        <v>5</v>
      </c>
      <c r="AE3" s="1426"/>
      <c r="AF3" s="1426"/>
      <c r="AG3" s="1426"/>
      <c r="AH3" s="1426"/>
      <c r="AI3" s="1427" t="s">
        <v>6</v>
      </c>
      <c r="AJ3" s="1427"/>
      <c r="AK3" s="1427"/>
      <c r="AL3" s="1427"/>
      <c r="AM3" s="1427"/>
      <c r="AN3" s="1427"/>
      <c r="AO3" s="1427"/>
      <c r="AP3" s="1427"/>
      <c r="AQ3" s="1115"/>
      <c r="AS3" s="15"/>
      <c r="AT3" s="15"/>
      <c r="AU3" s="1421" t="s">
        <v>568</v>
      </c>
      <c r="AV3" s="1421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946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959</v>
      </c>
      <c r="B5" s="164" t="s">
        <v>962</v>
      </c>
      <c r="C5" s="164" t="s">
        <v>964</v>
      </c>
      <c r="D5" s="164" t="s">
        <v>823</v>
      </c>
      <c r="E5" s="164" t="s">
        <v>947</v>
      </c>
      <c r="F5" s="164" t="s">
        <v>230</v>
      </c>
      <c r="G5" s="223">
        <v>250</v>
      </c>
      <c r="H5" s="1124">
        <v>1</v>
      </c>
      <c r="I5" s="224">
        <f>J5</f>
        <v>30</v>
      </c>
      <c r="J5" s="224">
        <v>30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/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9"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1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959</v>
      </c>
      <c r="B6" s="164" t="s">
        <v>962</v>
      </c>
      <c r="C6" s="164" t="s">
        <v>964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/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9"/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959</v>
      </c>
      <c r="B7" s="164" t="s">
        <v>962</v>
      </c>
      <c r="C7" s="164" t="s">
        <v>964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/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9"/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959</v>
      </c>
      <c r="B8" s="164" t="s">
        <v>962</v>
      </c>
      <c r="C8" s="164" t="s">
        <v>964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/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9"/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959</v>
      </c>
      <c r="B9" s="164" t="s">
        <v>962</v>
      </c>
      <c r="C9" s="164" t="s">
        <v>964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/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9"/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959</v>
      </c>
      <c r="B10" s="164" t="s">
        <v>962</v>
      </c>
      <c r="C10" s="164" t="s">
        <v>964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/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9"/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>IF(OR($D10="",$G10="",$G10=0),"",IF(AND(V10=0,AJ10=0,AL10=0,AN10=0),"Check",""))</f>
        <v/>
      </c>
      <c r="AV10" s="306" t="str">
        <f t="shared" si="1"/>
        <v/>
      </c>
      <c r="AX10" s="927"/>
    </row>
    <row r="11" spans="1:50">
      <c r="A11" s="164" t="s">
        <v>959</v>
      </c>
      <c r="B11" s="164" t="s">
        <v>962</v>
      </c>
      <c r="C11" s="164" t="s">
        <v>964</v>
      </c>
      <c r="D11" s="164" t="s">
        <v>829</v>
      </c>
      <c r="E11" s="164" t="s">
        <v>948</v>
      </c>
      <c r="F11" s="164" t="s">
        <v>230</v>
      </c>
      <c r="G11" s="223"/>
      <c r="H11" s="1124"/>
      <c r="I11" s="224"/>
      <c r="J11" s="224"/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f>AD11*3*50</f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9"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959</v>
      </c>
      <c r="B12" s="164" t="s">
        <v>962</v>
      </c>
      <c r="C12" s="164" t="s">
        <v>964</v>
      </c>
      <c r="D12" s="164" t="s">
        <v>830</v>
      </c>
      <c r="E12" s="164" t="s">
        <v>949</v>
      </c>
      <c r="F12" s="164" t="s">
        <v>230</v>
      </c>
      <c r="G12" s="223"/>
      <c r="H12" s="1124"/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f>-V11/0.85</f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9">
        <f>-AD11</f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>IF(OR($D12="",$G12="",$G12=0),"",IF(AND(V12=0,AJ12=0,AL12=0,AN12=0),"Check",""))</f>
        <v/>
      </c>
      <c r="AV12" s="306" t="str">
        <f t="shared" si="1"/>
        <v/>
      </c>
      <c r="AX12" s="927"/>
    </row>
    <row r="13" spans="1:50">
      <c r="A13" s="164" t="s">
        <v>959</v>
      </c>
      <c r="B13" s="164" t="s">
        <v>962</v>
      </c>
      <c r="C13" s="164" t="s">
        <v>964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/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9"/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959</v>
      </c>
      <c r="B14" s="164" t="s">
        <v>962</v>
      </c>
      <c r="C14" s="164" t="s">
        <v>964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/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9"/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959</v>
      </c>
      <c r="B15" s="164" t="s">
        <v>962</v>
      </c>
      <c r="C15" s="164" t="s">
        <v>964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/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9"/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959</v>
      </c>
      <c r="B16" s="164" t="s">
        <v>962</v>
      </c>
      <c r="C16" s="164" t="s">
        <v>964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245"/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249"/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960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9">
        <v>1</v>
      </c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960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9">
        <v>1</v>
      </c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960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9">
        <v>1</v>
      </c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960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9">
        <v>1</v>
      </c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960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9">
        <v>1</v>
      </c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960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9">
        <v>1</v>
      </c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960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9">
        <v>1</v>
      </c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960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9">
        <v>1</v>
      </c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960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9">
        <v>1</v>
      </c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960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9">
        <v>1</v>
      </c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960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9">
        <v>1</v>
      </c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960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9">
        <v>1</v>
      </c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961</v>
      </c>
      <c r="B29" s="1378" t="s">
        <v>963</v>
      </c>
      <c r="C29" s="1378" t="s">
        <v>965</v>
      </c>
      <c r="D29" s="1378" t="s">
        <v>835</v>
      </c>
      <c r="E29" s="1378" t="s">
        <v>950</v>
      </c>
      <c r="F29" s="1378" t="s">
        <v>230</v>
      </c>
      <c r="G29" s="223">
        <v>18</v>
      </c>
      <c r="H29" s="1124">
        <v>1</v>
      </c>
      <c r="I29" s="224">
        <f>J29</f>
        <v>4500</v>
      </c>
      <c r="J29" s="224">
        <f>45*AD29</f>
        <v>4500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383"/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387">
        <v>100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961</v>
      </c>
      <c r="B30" s="164" t="s">
        <v>963</v>
      </c>
      <c r="C30" s="164" t="s">
        <v>965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/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9"/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961</v>
      </c>
      <c r="B31" s="164" t="s">
        <v>963</v>
      </c>
      <c r="C31" s="164" t="s">
        <v>965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/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9"/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961</v>
      </c>
      <c r="B32" s="164" t="s">
        <v>963</v>
      </c>
      <c r="C32" s="164" t="s">
        <v>965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/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9"/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961</v>
      </c>
      <c r="B33" s="164" t="s">
        <v>963</v>
      </c>
      <c r="C33" s="164" t="s">
        <v>965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/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9"/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961</v>
      </c>
      <c r="B34" s="164" t="s">
        <v>963</v>
      </c>
      <c r="C34" s="164" t="s">
        <v>965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/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9"/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961</v>
      </c>
      <c r="B35" s="164" t="s">
        <v>963</v>
      </c>
      <c r="C35" s="164" t="s">
        <v>965</v>
      </c>
      <c r="D35" s="164" t="s">
        <v>829</v>
      </c>
      <c r="E35" s="164" t="s">
        <v>951</v>
      </c>
      <c r="F35" s="164" t="s">
        <v>230</v>
      </c>
      <c r="G35" s="223">
        <v>1</v>
      </c>
      <c r="H35" s="1124">
        <v>1</v>
      </c>
      <c r="I35" s="224">
        <f>J35</f>
        <v>20000</v>
      </c>
      <c r="J35" s="224">
        <f>200*AD35</f>
        <v>20000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f>AD35*3*50</f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9"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961</v>
      </c>
      <c r="B36" s="164" t="s">
        <v>963</v>
      </c>
      <c r="C36" s="164" t="s">
        <v>965</v>
      </c>
      <c r="D36" s="164" t="s">
        <v>830</v>
      </c>
      <c r="E36" s="164" t="s">
        <v>952</v>
      </c>
      <c r="F36" s="164" t="s">
        <v>230</v>
      </c>
      <c r="G36" s="223">
        <v>1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f>-V35/0.85</f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9"/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961</v>
      </c>
      <c r="B37" s="164" t="s">
        <v>963</v>
      </c>
      <c r="C37" s="164" t="s">
        <v>965</v>
      </c>
      <c r="D37" s="164" t="s">
        <v>837</v>
      </c>
      <c r="E37" s="164" t="s">
        <v>953</v>
      </c>
      <c r="F37" s="164" t="s">
        <v>230</v>
      </c>
      <c r="G37" s="223"/>
      <c r="H37" s="1124"/>
      <c r="I37" s="224"/>
      <c r="J37" s="224"/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/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9"/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961</v>
      </c>
      <c r="B38" s="164" t="s">
        <v>963</v>
      </c>
      <c r="C38" s="164" t="s">
        <v>965</v>
      </c>
      <c r="D38" s="164" t="s">
        <v>838</v>
      </c>
      <c r="E38" s="164" t="s">
        <v>954</v>
      </c>
      <c r="F38" s="164" t="s">
        <v>230</v>
      </c>
      <c r="G38" s="223"/>
      <c r="H38" s="1124"/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/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9"/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961</v>
      </c>
      <c r="B39" s="164" t="s">
        <v>963</v>
      </c>
      <c r="C39" s="164" t="s">
        <v>965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/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9"/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961</v>
      </c>
      <c r="B40" s="164" t="s">
        <v>963</v>
      </c>
      <c r="C40" s="164" t="s">
        <v>965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/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9"/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961</v>
      </c>
      <c r="B41" s="164" t="s">
        <v>963</v>
      </c>
      <c r="C41" s="164" t="s">
        <v>965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/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9"/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50">
    <filterColumn colId="0">
      <filters blank="1">
        <filter val="A - Residential"/>
        <filter val="C - Commercial &amp; Industrial"/>
      </filters>
    </filterColumn>
  </autoFilter>
  <mergeCells count="7">
    <mergeCell ref="AU3:AV3"/>
    <mergeCell ref="N1:O1"/>
    <mergeCell ref="N2:O2"/>
    <mergeCell ref="M3:U3"/>
    <mergeCell ref="V3:AC3"/>
    <mergeCell ref="AD3:AH3"/>
    <mergeCell ref="AI3:AP3"/>
  </mergeCells>
  <dataValidations count="6">
    <dataValidation type="list" allowBlank="1" showInputMessage="1" showErrorMessage="1" sqref="C42:C1048576">
      <formula1>#REF!</formula1>
    </dataValidation>
    <dataValidation type="list" allowBlank="1" showInputMessage="1" showErrorMessage="1" sqref="A5:A41">
      <formula1>Sector</formula1>
    </dataValidation>
    <dataValidation type="list" allowBlank="1" showInputMessage="1" showErrorMessage="1" sqref="F5:F1048576">
      <formula1>EndUse</formula1>
    </dataValidation>
    <dataValidation type="list" allowBlank="1" showInputMessage="1" showErrorMessage="1" sqref="AI5:AI1048576 AK5:AK1048576 AM5:AM1048576">
      <formula1>FuelList</formula1>
    </dataValidation>
    <dataValidation type="list" allowBlank="1" showInputMessage="1" showErrorMessage="1" sqref="W51:W1972">
      <formula1>#REF!</formula1>
    </dataValidation>
    <dataValidation type="list" allowBlank="1" showInputMessage="1" showErrorMessage="1" sqref="AR5:AS50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Lookups!$E$143:$E$172</xm:f>
          </x14:formula1>
          <xm:sqref>B5:B41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AvoidedEnergy!$A$4:$A$10</xm:f>
          </x14:formula1>
          <xm:sqref>AQ5:AQ50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 activeCell="J36" sqref="J36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8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17" bestFit="1" customWidth="1" collapsed="1"/>
    <col min="44" max="44" width="5.140625" style="17" bestFit="1" customWidth="1"/>
    <col min="45" max="45" width="10" style="17"/>
    <col min="46" max="46" width="11" style="17" customWidth="1"/>
    <col min="47" max="48" width="10" style="306"/>
    <col min="49" max="16384" width="10" style="2"/>
  </cols>
  <sheetData>
    <row r="1" spans="1:50">
      <c r="A1" s="18"/>
      <c r="B1" s="18"/>
      <c r="D1" s="25" t="s">
        <v>147</v>
      </c>
      <c r="E1" s="297" t="str">
        <f>PA</f>
        <v>Unitil Energy Systems Inc</v>
      </c>
      <c r="G1" s="18"/>
      <c r="H1" s="926"/>
      <c r="I1" s="922"/>
      <c r="J1" s="923"/>
      <c r="K1" s="20"/>
      <c r="L1" s="920"/>
      <c r="M1" s="998"/>
      <c r="N1" s="1422"/>
      <c r="O1" s="1422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>
      <c r="A2" s="96"/>
      <c r="B2" s="96"/>
      <c r="D2" s="40" t="s">
        <v>168</v>
      </c>
      <c r="E2" s="97">
        <f>Year2</f>
        <v>2022</v>
      </c>
      <c r="G2" s="85"/>
      <c r="H2" s="926"/>
      <c r="I2" s="922"/>
      <c r="J2" s="1022"/>
      <c r="K2" s="928"/>
      <c r="L2" s="921"/>
      <c r="M2" s="19"/>
      <c r="N2" s="1423"/>
      <c r="O2" s="1423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24" t="s">
        <v>3</v>
      </c>
      <c r="N3" s="1424"/>
      <c r="O3" s="1424"/>
      <c r="P3" s="1424"/>
      <c r="Q3" s="1424"/>
      <c r="R3" s="1424"/>
      <c r="S3" s="1424"/>
      <c r="T3" s="1424"/>
      <c r="U3" s="1424"/>
      <c r="V3" s="1425" t="s">
        <v>4</v>
      </c>
      <c r="W3" s="1425"/>
      <c r="X3" s="1425"/>
      <c r="Y3" s="1425"/>
      <c r="Z3" s="1425"/>
      <c r="AA3" s="1425"/>
      <c r="AB3" s="1425"/>
      <c r="AC3" s="1425"/>
      <c r="AD3" s="1426" t="s">
        <v>5</v>
      </c>
      <c r="AE3" s="1426"/>
      <c r="AF3" s="1426"/>
      <c r="AG3" s="1426"/>
      <c r="AH3" s="1426"/>
      <c r="AI3" s="1427" t="s">
        <v>6</v>
      </c>
      <c r="AJ3" s="1427"/>
      <c r="AK3" s="1427"/>
      <c r="AL3" s="1427"/>
      <c r="AM3" s="1427"/>
      <c r="AN3" s="1427"/>
      <c r="AO3" s="1427"/>
      <c r="AP3" s="1427"/>
      <c r="AQ3" s="1115"/>
      <c r="AS3" s="15"/>
      <c r="AT3" s="15"/>
      <c r="AU3" s="1421" t="s">
        <v>568</v>
      </c>
      <c r="AV3" s="1421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946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959</v>
      </c>
      <c r="B5" s="164" t="s">
        <v>962</v>
      </c>
      <c r="C5" s="164" t="s">
        <v>964</v>
      </c>
      <c r="D5" s="164" t="s">
        <v>823</v>
      </c>
      <c r="E5" s="164" t="s">
        <v>947</v>
      </c>
      <c r="F5" s="164" t="s">
        <v>230</v>
      </c>
      <c r="G5" s="223">
        <v>375</v>
      </c>
      <c r="H5" s="1124">
        <v>1</v>
      </c>
      <c r="I5" s="224">
        <f>J5</f>
        <v>28.33</v>
      </c>
      <c r="J5" s="224">
        <v>28.33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>
        <f>IF(ADRYr1!V5="", 0, ADRYr1!V5)</f>
        <v>0</v>
      </c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8">
        <f>IF(ADRYr1!AD5="", 0, ADRYr1!AD5)</f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2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959</v>
      </c>
      <c r="B6" s="164" t="s">
        <v>962</v>
      </c>
      <c r="C6" s="164" t="s">
        <v>964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>
        <f>IF(ADRYr1!V6="", 0, ADRYr1!V6)</f>
        <v>0</v>
      </c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8">
        <f>IF(ADRYr1!AD6="", 0, ADRYr1!AD6)</f>
        <v>0</v>
      </c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959</v>
      </c>
      <c r="B7" s="164" t="s">
        <v>962</v>
      </c>
      <c r="C7" s="164" t="s">
        <v>964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>
        <f>IF(ADRYr1!V7="", 0, ADRYr1!V7)</f>
        <v>0</v>
      </c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8">
        <f>IF(ADRYr1!AD7="", 0, ADRYr1!AD7)</f>
        <v>0</v>
      </c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959</v>
      </c>
      <c r="B8" s="164" t="s">
        <v>962</v>
      </c>
      <c r="C8" s="164" t="s">
        <v>964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>
        <f>IF(ADRYr1!V8="", 0, ADRYr1!V8)</f>
        <v>0</v>
      </c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8">
        <f>IF(ADRYr1!AD8="", 0, ADRYr1!AD8)</f>
        <v>0</v>
      </c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959</v>
      </c>
      <c r="B9" s="164" t="s">
        <v>962</v>
      </c>
      <c r="C9" s="164" t="s">
        <v>964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>
        <f>IF(ADRYr1!V9="", 0, ADRYr1!V9)</f>
        <v>0</v>
      </c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8">
        <f>IF(ADRYr1!AD9="", 0, ADRYr1!AD9)</f>
        <v>0</v>
      </c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959</v>
      </c>
      <c r="B10" s="164" t="s">
        <v>962</v>
      </c>
      <c r="C10" s="164" t="s">
        <v>964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>
        <f>IF(ADRYr1!V10="", 0, ADRYr1!V10)</f>
        <v>0</v>
      </c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8">
        <f>IF(ADRYr1!AD10="", 0, ADRYr1!AD10)</f>
        <v>0</v>
      </c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 t="shared" si="0"/>
        <v/>
      </c>
      <c r="AV10" s="306" t="str">
        <f t="shared" si="1"/>
        <v/>
      </c>
      <c r="AX10" s="927"/>
    </row>
    <row r="11" spans="1:50">
      <c r="A11" s="164" t="s">
        <v>959</v>
      </c>
      <c r="B11" s="164" t="s">
        <v>962</v>
      </c>
      <c r="C11" s="164" t="s">
        <v>964</v>
      </c>
      <c r="D11" s="164" t="s">
        <v>829</v>
      </c>
      <c r="E11" s="164" t="s">
        <v>948</v>
      </c>
      <c r="F11" s="164" t="s">
        <v>230</v>
      </c>
      <c r="G11" s="223"/>
      <c r="H11" s="1124"/>
      <c r="I11" s="224"/>
      <c r="J11" s="224"/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f>IF(ADRYr1!V11="", 0, ADRYr1!V11)</f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8">
        <f>IF(ADRYr1!AD11="", 0, ADRYr1!AD11)</f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959</v>
      </c>
      <c r="B12" s="164" t="s">
        <v>962</v>
      </c>
      <c r="C12" s="164" t="s">
        <v>964</v>
      </c>
      <c r="D12" s="164" t="s">
        <v>830</v>
      </c>
      <c r="E12" s="164" t="s">
        <v>949</v>
      </c>
      <c r="F12" s="164" t="s">
        <v>230</v>
      </c>
      <c r="G12" s="223"/>
      <c r="H12" s="1124"/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f>IF(ADRYr1!V12="", 0, ADRYr1!V12)</f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8">
        <f>IF(ADRYr1!AD12="", 0, ADRYr1!AD12)</f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 t="shared" si="0"/>
        <v/>
      </c>
      <c r="AV12" s="306" t="str">
        <f t="shared" si="1"/>
        <v/>
      </c>
      <c r="AX12" s="927"/>
    </row>
    <row r="13" spans="1:50">
      <c r="A13" s="164" t="s">
        <v>959</v>
      </c>
      <c r="B13" s="164" t="s">
        <v>962</v>
      </c>
      <c r="C13" s="164" t="s">
        <v>964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>
        <f>IF(ADRYr1!V13="", 0, ADRYr1!V13)</f>
        <v>0</v>
      </c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8">
        <f>IF(ADRYr1!AD13="", 0, ADRYr1!AD13)</f>
        <v>0</v>
      </c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959</v>
      </c>
      <c r="B14" s="164" t="s">
        <v>962</v>
      </c>
      <c r="C14" s="164" t="s">
        <v>964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>
        <f>IF(ADRYr1!V14="", 0, ADRYr1!V14)</f>
        <v>0</v>
      </c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8">
        <f>IF(ADRYr1!AD14="", 0, ADRYr1!AD14)</f>
        <v>0</v>
      </c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959</v>
      </c>
      <c r="B15" s="164" t="s">
        <v>962</v>
      </c>
      <c r="C15" s="164" t="s">
        <v>964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>
        <f>IF(ADRYr1!V15="", 0, ADRYr1!V15)</f>
        <v>0</v>
      </c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8">
        <f>IF(ADRYr1!AD15="", 0, ADRYr1!AD15)</f>
        <v>0</v>
      </c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959</v>
      </c>
      <c r="B16" s="164" t="s">
        <v>962</v>
      </c>
      <c r="C16" s="164" t="s">
        <v>964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068">
        <f>IF(ADRYr1!V16="", 0, ADRYr1!V16)</f>
        <v>0</v>
      </c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068">
        <f>IF(ADRYr1!AD16="", 0, ADRYr1!AD16)</f>
        <v>0</v>
      </c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960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8"/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960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8"/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960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8"/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960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8"/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960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8"/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960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8"/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960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8"/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960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8"/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960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8"/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960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8"/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960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8"/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960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8"/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961</v>
      </c>
      <c r="B29" s="1378" t="s">
        <v>963</v>
      </c>
      <c r="C29" s="1378" t="s">
        <v>965</v>
      </c>
      <c r="D29" s="1378" t="s">
        <v>835</v>
      </c>
      <c r="E29" s="1378" t="s">
        <v>950</v>
      </c>
      <c r="F29" s="1378" t="s">
        <v>230</v>
      </c>
      <c r="G29" s="223">
        <v>22</v>
      </c>
      <c r="H29" s="1124">
        <v>1</v>
      </c>
      <c r="I29" s="224">
        <f>J29</f>
        <v>4000</v>
      </c>
      <c r="J29" s="224">
        <f>40*AD29</f>
        <v>4000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068">
        <f>IF(ADRYr1!V29="", 0, ADRYr1!V29)</f>
        <v>0</v>
      </c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068">
        <f>IF(ADRYr1!AD29="", 0, ADRYr1!AD29)</f>
        <v>100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961</v>
      </c>
      <c r="B30" s="164" t="s">
        <v>963</v>
      </c>
      <c r="C30" s="164" t="s">
        <v>965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>
        <f>IF(ADRYr1!V30="", 0, ADRYr1!V30)</f>
        <v>0</v>
      </c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8">
        <f>IF(ADRYr1!AD30="", 0, ADRYr1!AD30)</f>
        <v>0</v>
      </c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961</v>
      </c>
      <c r="B31" s="164" t="s">
        <v>963</v>
      </c>
      <c r="C31" s="164" t="s">
        <v>965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>
        <f>IF(ADRYr1!V31="", 0, ADRYr1!V31)</f>
        <v>0</v>
      </c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8">
        <f>IF(ADRYr1!AD31="", 0, ADRYr1!AD31)</f>
        <v>0</v>
      </c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961</v>
      </c>
      <c r="B32" s="164" t="s">
        <v>963</v>
      </c>
      <c r="C32" s="164" t="s">
        <v>965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>
        <f>IF(ADRYr1!V32="", 0, ADRYr1!V32)</f>
        <v>0</v>
      </c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8">
        <f>IF(ADRYr1!AD32="", 0, ADRYr1!AD32)</f>
        <v>0</v>
      </c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961</v>
      </c>
      <c r="B33" s="164" t="s">
        <v>963</v>
      </c>
      <c r="C33" s="164" t="s">
        <v>965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>
        <f>IF(ADRYr1!V33="", 0, ADRYr1!V33)</f>
        <v>0</v>
      </c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8">
        <f>IF(ADRYr1!AD33="", 0, ADRYr1!AD33)</f>
        <v>0</v>
      </c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961</v>
      </c>
      <c r="B34" s="164" t="s">
        <v>963</v>
      </c>
      <c r="C34" s="164" t="s">
        <v>965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>
        <f>IF(ADRYr1!V34="", 0, ADRYr1!V34)</f>
        <v>0</v>
      </c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8">
        <f>IF(ADRYr1!AD34="", 0, ADRYr1!AD34)</f>
        <v>0</v>
      </c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961</v>
      </c>
      <c r="B35" s="164" t="s">
        <v>963</v>
      </c>
      <c r="C35" s="164" t="s">
        <v>965</v>
      </c>
      <c r="D35" s="164" t="s">
        <v>829</v>
      </c>
      <c r="E35" s="164" t="s">
        <v>951</v>
      </c>
      <c r="F35" s="164" t="s">
        <v>230</v>
      </c>
      <c r="G35" s="223">
        <v>1</v>
      </c>
      <c r="H35" s="1124">
        <v>1</v>
      </c>
      <c r="I35" s="224">
        <f>J35</f>
        <v>20000</v>
      </c>
      <c r="J35" s="224">
        <f>200*AD35</f>
        <v>20000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f>IF(ADRYr1!V35="", 0, ADRYr1!V35)</f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8">
        <f>IF(ADRYr1!AD35="", 0, ADRYr1!AD35)</f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961</v>
      </c>
      <c r="B36" s="164" t="s">
        <v>963</v>
      </c>
      <c r="C36" s="164" t="s">
        <v>965</v>
      </c>
      <c r="D36" s="164" t="s">
        <v>830</v>
      </c>
      <c r="E36" s="164" t="s">
        <v>952</v>
      </c>
      <c r="F36" s="164" t="s">
        <v>230</v>
      </c>
      <c r="G36" s="223">
        <v>1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f>IF(ADRYr1!V36="", 0, ADRYr1!V36)</f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8">
        <f>IF(ADRYr1!AD36="", 0, ADRYr1!AD36)</f>
        <v>0</v>
      </c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961</v>
      </c>
      <c r="B37" s="164" t="s">
        <v>963</v>
      </c>
      <c r="C37" s="164" t="s">
        <v>965</v>
      </c>
      <c r="D37" s="164" t="s">
        <v>837</v>
      </c>
      <c r="E37" s="164" t="s">
        <v>953</v>
      </c>
      <c r="F37" s="164" t="s">
        <v>230</v>
      </c>
      <c r="G37" s="223"/>
      <c r="H37" s="1124"/>
      <c r="I37" s="224"/>
      <c r="J37" s="224"/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>
        <f>IF(ADRYr1!V37="", 0, ADRYr1!V37)</f>
        <v>0</v>
      </c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8">
        <f>IF(ADRYr1!AD37="", 0, ADRYr1!AD37)</f>
        <v>0</v>
      </c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961</v>
      </c>
      <c r="B38" s="164" t="s">
        <v>963</v>
      </c>
      <c r="C38" s="164" t="s">
        <v>965</v>
      </c>
      <c r="D38" s="164" t="s">
        <v>838</v>
      </c>
      <c r="E38" s="164" t="s">
        <v>954</v>
      </c>
      <c r="F38" s="164" t="s">
        <v>230</v>
      </c>
      <c r="G38" s="223"/>
      <c r="H38" s="1124"/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>
        <f>IF(ADRYr1!V38="", 0, ADRYr1!V38)</f>
        <v>0</v>
      </c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8">
        <f>IF(ADRYr1!AD38="", 0, ADRYr1!AD38)</f>
        <v>0</v>
      </c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961</v>
      </c>
      <c r="B39" s="164" t="s">
        <v>963</v>
      </c>
      <c r="C39" s="164" t="s">
        <v>965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>
        <f>IF(ADRYr1!V39="", 0, ADRYr1!V39)</f>
        <v>0</v>
      </c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8">
        <f>IF(ADRYr1!AD39="", 0, ADRYr1!AD39)</f>
        <v>0</v>
      </c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961</v>
      </c>
      <c r="B40" s="164" t="s">
        <v>963</v>
      </c>
      <c r="C40" s="164" t="s">
        <v>965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>
        <f>IF(ADRYr1!V40="", 0, ADRYr1!V40)</f>
        <v>0</v>
      </c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8">
        <f>IF(ADRYr1!AD40="", 0, ADRYr1!AD40)</f>
        <v>0</v>
      </c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961</v>
      </c>
      <c r="B41" s="164" t="s">
        <v>963</v>
      </c>
      <c r="C41" s="164" t="s">
        <v>965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>
        <f>IF(ADRYr1!V41="", 0, ADRYr1!V41)</f>
        <v>0</v>
      </c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8">
        <f>IF(ADRYr1!AD41="", 0, ADRYr1!AD41)</f>
        <v>0</v>
      </c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39"/>
  <mergeCells count="7">
    <mergeCell ref="AU3:AV3"/>
    <mergeCell ref="N1:O1"/>
    <mergeCell ref="N2:O2"/>
    <mergeCell ref="M3:U3"/>
    <mergeCell ref="V3:AC3"/>
    <mergeCell ref="AD3:AH3"/>
    <mergeCell ref="AI3:AP3"/>
  </mergeCells>
  <dataValidations count="5">
    <dataValidation type="list" allowBlank="1" showInputMessage="1" showErrorMessage="1" sqref="AR5:AS50">
      <formula1>"Yes, No, Mixed"</formula1>
    </dataValidation>
    <dataValidation type="list" allowBlank="1" showInputMessage="1" showErrorMessage="1" sqref="W51:W1972 C42:C1048576">
      <formula1>#REF!</formula1>
    </dataValidation>
    <dataValidation type="list" allowBlank="1" showInputMessage="1" showErrorMessage="1" sqref="AI5:AI1048576 AK5:AK1048576 AM5:AM1048576">
      <formula1>FuelList</formula1>
    </dataValidation>
    <dataValidation type="list" allowBlank="1" showInputMessage="1" showErrorMessage="1" sqref="F5:F1048576">
      <formula1>EndUse</formula1>
    </dataValidation>
    <dataValidation type="list" allowBlank="1" showInputMessage="1" showErrorMessage="1" sqref="A5:A41">
      <formula1>Sector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AvoidedEnergy!$A$4:$A$10</xm:f>
          </x14:formula1>
          <xm:sqref>AQ5:AQ50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Lookups!$E$143:$E$172</xm:f>
          </x14:formula1>
          <xm:sqref>B5:B41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D19" sqref="D19"/>
      <selection pane="topRight" activeCell="D19" sqref="D19"/>
      <selection pane="bottomLeft" activeCell="D19" sqref="D19"/>
      <selection pane="bottomRight" activeCell="G6" sqref="G6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8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17" bestFit="1" customWidth="1" collapsed="1"/>
    <col min="44" max="44" width="5.140625" style="17" bestFit="1" customWidth="1"/>
    <col min="45" max="45" width="9.140625" style="17"/>
    <col min="46" max="46" width="11" style="17" customWidth="1"/>
    <col min="47" max="48" width="10" style="306"/>
    <col min="49" max="16384" width="10" style="2"/>
  </cols>
  <sheetData>
    <row r="1" spans="1:50">
      <c r="A1" s="18"/>
      <c r="B1" s="18"/>
      <c r="D1" s="25" t="s">
        <v>147</v>
      </c>
      <c r="E1" s="297" t="str">
        <f>PA</f>
        <v>Unitil Energy Systems Inc</v>
      </c>
      <c r="G1" s="18"/>
      <c r="H1" s="926"/>
      <c r="I1" s="922"/>
      <c r="J1" s="923"/>
      <c r="K1" s="20"/>
      <c r="L1" s="920"/>
      <c r="M1" s="998"/>
      <c r="N1" s="1422"/>
      <c r="O1" s="1422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>
      <c r="A2" s="96"/>
      <c r="B2" s="96"/>
      <c r="D2" s="40" t="s">
        <v>168</v>
      </c>
      <c r="E2" s="97">
        <f>Year3</f>
        <v>2023</v>
      </c>
      <c r="G2" s="85"/>
      <c r="H2" s="926"/>
      <c r="I2" s="922"/>
      <c r="J2" s="1022"/>
      <c r="K2" s="928"/>
      <c r="L2" s="921"/>
      <c r="M2" s="19"/>
      <c r="N2" s="1423"/>
      <c r="O2" s="1423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24" t="s">
        <v>3</v>
      </c>
      <c r="N3" s="1424"/>
      <c r="O3" s="1424"/>
      <c r="P3" s="1424"/>
      <c r="Q3" s="1424"/>
      <c r="R3" s="1424"/>
      <c r="S3" s="1424"/>
      <c r="T3" s="1424"/>
      <c r="U3" s="1424"/>
      <c r="V3" s="1425" t="s">
        <v>4</v>
      </c>
      <c r="W3" s="1425"/>
      <c r="X3" s="1425"/>
      <c r="Y3" s="1425"/>
      <c r="Z3" s="1425"/>
      <c r="AA3" s="1425"/>
      <c r="AB3" s="1425"/>
      <c r="AC3" s="1425"/>
      <c r="AD3" s="1426" t="s">
        <v>5</v>
      </c>
      <c r="AE3" s="1426"/>
      <c r="AF3" s="1426"/>
      <c r="AG3" s="1426"/>
      <c r="AH3" s="1426"/>
      <c r="AI3" s="1427" t="s">
        <v>6</v>
      </c>
      <c r="AJ3" s="1427"/>
      <c r="AK3" s="1427"/>
      <c r="AL3" s="1427"/>
      <c r="AM3" s="1427"/>
      <c r="AN3" s="1427"/>
      <c r="AO3" s="1427"/>
      <c r="AP3" s="1427"/>
      <c r="AQ3" s="1115"/>
      <c r="AS3" s="15"/>
      <c r="AT3" s="15"/>
      <c r="AU3" s="1421" t="s">
        <v>568</v>
      </c>
      <c r="AV3" s="1421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946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959</v>
      </c>
      <c r="B5" s="164" t="s">
        <v>962</v>
      </c>
      <c r="C5" s="164" t="s">
        <v>964</v>
      </c>
      <c r="D5" s="164" t="s">
        <v>823</v>
      </c>
      <c r="E5" s="164" t="s">
        <v>947</v>
      </c>
      <c r="F5" s="164" t="s">
        <v>230</v>
      </c>
      <c r="G5" s="223">
        <v>500</v>
      </c>
      <c r="H5" s="1124">
        <v>1</v>
      </c>
      <c r="I5" s="224">
        <f>J5</f>
        <v>27.5</v>
      </c>
      <c r="J5" s="224">
        <v>27.5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>
        <f>IF(ADRYr1!V5="", 0, ADRYr1!V5)</f>
        <v>0</v>
      </c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8">
        <f>IF(ADRYr1!AD5="", 0, ADRYr1!AD5)</f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2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959</v>
      </c>
      <c r="B6" s="164" t="s">
        <v>962</v>
      </c>
      <c r="C6" s="164" t="s">
        <v>964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>
        <f>IF(ADRYr1!V6="", 0, ADRYr1!V6)</f>
        <v>0</v>
      </c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8">
        <f>IF(ADRYr1!AD6="", 0, ADRYr1!AD6)</f>
        <v>0</v>
      </c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959</v>
      </c>
      <c r="B7" s="164" t="s">
        <v>962</v>
      </c>
      <c r="C7" s="164" t="s">
        <v>964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>
        <f>IF(ADRYr1!V7="", 0, ADRYr1!V7)</f>
        <v>0</v>
      </c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8">
        <f>IF(ADRYr1!AD7="", 0, ADRYr1!AD7)</f>
        <v>0</v>
      </c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959</v>
      </c>
      <c r="B8" s="164" t="s">
        <v>962</v>
      </c>
      <c r="C8" s="164" t="s">
        <v>964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>
        <f>IF(ADRYr1!V8="", 0, ADRYr1!V8)</f>
        <v>0</v>
      </c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8">
        <f>IF(ADRYr1!AD8="", 0, ADRYr1!AD8)</f>
        <v>0</v>
      </c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959</v>
      </c>
      <c r="B9" s="164" t="s">
        <v>962</v>
      </c>
      <c r="C9" s="164" t="s">
        <v>964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>
        <f>IF(ADRYr1!V9="", 0, ADRYr1!V9)</f>
        <v>0</v>
      </c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8">
        <f>IF(ADRYr1!AD9="", 0, ADRYr1!AD9)</f>
        <v>0</v>
      </c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959</v>
      </c>
      <c r="B10" s="164" t="s">
        <v>962</v>
      </c>
      <c r="C10" s="164" t="s">
        <v>964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>
        <f>IF(ADRYr1!V10="", 0, ADRYr1!V10)</f>
        <v>0</v>
      </c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8">
        <f>IF(ADRYr1!AD10="", 0, ADRYr1!AD10)</f>
        <v>0</v>
      </c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 t="shared" si="0"/>
        <v/>
      </c>
      <c r="AV10" s="306" t="str">
        <f t="shared" si="1"/>
        <v/>
      </c>
      <c r="AX10" s="927"/>
    </row>
    <row r="11" spans="1:50">
      <c r="A11" s="164" t="s">
        <v>959</v>
      </c>
      <c r="B11" s="164" t="s">
        <v>962</v>
      </c>
      <c r="C11" s="164" t="s">
        <v>964</v>
      </c>
      <c r="D11" s="164" t="s">
        <v>829</v>
      </c>
      <c r="E11" s="164" t="s">
        <v>948</v>
      </c>
      <c r="F11" s="164" t="s">
        <v>230</v>
      </c>
      <c r="G11" s="223"/>
      <c r="H11" s="1124"/>
      <c r="I11" s="224"/>
      <c r="J11" s="224"/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f>IF(ADRYr1!V11="", 0, ADRYr1!V11)</f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8">
        <f>IF(ADRYr1!AD11="", 0, ADRYr1!AD11)</f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959</v>
      </c>
      <c r="B12" s="164" t="s">
        <v>962</v>
      </c>
      <c r="C12" s="164" t="s">
        <v>964</v>
      </c>
      <c r="D12" s="164" t="s">
        <v>830</v>
      </c>
      <c r="E12" s="164" t="s">
        <v>949</v>
      </c>
      <c r="F12" s="164" t="s">
        <v>230</v>
      </c>
      <c r="G12" s="223"/>
      <c r="H12" s="1124"/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f>IF(ADRYr1!V12="", 0, ADRYr1!V12)</f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8">
        <f>IF(ADRYr1!AD12="", 0, ADRYr1!AD12)</f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 t="shared" si="0"/>
        <v/>
      </c>
      <c r="AV12" s="306" t="str">
        <f t="shared" si="1"/>
        <v/>
      </c>
      <c r="AX12" s="927"/>
    </row>
    <row r="13" spans="1:50">
      <c r="A13" s="164" t="s">
        <v>959</v>
      </c>
      <c r="B13" s="164" t="s">
        <v>962</v>
      </c>
      <c r="C13" s="164" t="s">
        <v>964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>
        <f>IF(ADRYr1!V13="", 0, ADRYr1!V13)</f>
        <v>0</v>
      </c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8">
        <f>IF(ADRYr1!AD13="", 0, ADRYr1!AD13)</f>
        <v>0</v>
      </c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959</v>
      </c>
      <c r="B14" s="164" t="s">
        <v>962</v>
      </c>
      <c r="C14" s="164" t="s">
        <v>964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>
        <f>IF(ADRYr1!V14="", 0, ADRYr1!V14)</f>
        <v>0</v>
      </c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8">
        <f>IF(ADRYr1!AD14="", 0, ADRYr1!AD14)</f>
        <v>0</v>
      </c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959</v>
      </c>
      <c r="B15" s="164" t="s">
        <v>962</v>
      </c>
      <c r="C15" s="164" t="s">
        <v>964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>
        <f>IF(ADRYr1!V15="", 0, ADRYr1!V15)</f>
        <v>0</v>
      </c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8">
        <f>IF(ADRYr1!AD15="", 0, ADRYr1!AD15)</f>
        <v>0</v>
      </c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959</v>
      </c>
      <c r="B16" s="164" t="s">
        <v>962</v>
      </c>
      <c r="C16" s="164" t="s">
        <v>964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068">
        <f>IF(ADRYr1!V16="", 0, ADRYr1!V16)</f>
        <v>0</v>
      </c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068">
        <f>IF(ADRYr1!AD16="", 0, ADRYr1!AD16)</f>
        <v>0</v>
      </c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960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8"/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960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8"/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960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8"/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960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8"/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960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8"/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960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8"/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960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8"/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960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8"/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960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8"/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960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8"/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960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8"/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960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8"/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961</v>
      </c>
      <c r="B29" s="1378" t="s">
        <v>963</v>
      </c>
      <c r="C29" s="1378" t="s">
        <v>965</v>
      </c>
      <c r="D29" s="1378" t="s">
        <v>835</v>
      </c>
      <c r="E29" s="1378" t="s">
        <v>950</v>
      </c>
      <c r="F29" s="1378" t="s">
        <v>230</v>
      </c>
      <c r="G29" s="223">
        <v>26</v>
      </c>
      <c r="H29" s="1124">
        <v>1</v>
      </c>
      <c r="I29" s="224">
        <f>J29</f>
        <v>4375</v>
      </c>
      <c r="J29" s="224">
        <f>35*125</f>
        <v>4375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068">
        <f>IF(ADRYr1!V29="", 0, ADRYr1!V29)</f>
        <v>0</v>
      </c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068">
        <f>IF(ADRYr1!AD29="", 0, ADRYr1!AD29)</f>
        <v>100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961</v>
      </c>
      <c r="B30" s="164" t="s">
        <v>963</v>
      </c>
      <c r="C30" s="164" t="s">
        <v>965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>
        <f>IF(ADRYr1!V30="", 0, ADRYr1!V30)</f>
        <v>0</v>
      </c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8">
        <f>IF(ADRYr1!AD30="", 0, ADRYr1!AD30)</f>
        <v>0</v>
      </c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961</v>
      </c>
      <c r="B31" s="164" t="s">
        <v>963</v>
      </c>
      <c r="C31" s="164" t="s">
        <v>965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>
        <f>IF(ADRYr1!V31="", 0, ADRYr1!V31)</f>
        <v>0</v>
      </c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8">
        <f>IF(ADRYr1!AD31="", 0, ADRYr1!AD31)</f>
        <v>0</v>
      </c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961</v>
      </c>
      <c r="B32" s="164" t="s">
        <v>963</v>
      </c>
      <c r="C32" s="164" t="s">
        <v>965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>
        <f>IF(ADRYr1!V32="", 0, ADRYr1!V32)</f>
        <v>0</v>
      </c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8">
        <f>IF(ADRYr1!AD32="", 0, ADRYr1!AD32)</f>
        <v>0</v>
      </c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961</v>
      </c>
      <c r="B33" s="164" t="s">
        <v>963</v>
      </c>
      <c r="C33" s="164" t="s">
        <v>965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>
        <f>IF(ADRYr1!V33="", 0, ADRYr1!V33)</f>
        <v>0</v>
      </c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8">
        <f>IF(ADRYr1!AD33="", 0, ADRYr1!AD33)</f>
        <v>0</v>
      </c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961</v>
      </c>
      <c r="B34" s="164" t="s">
        <v>963</v>
      </c>
      <c r="C34" s="164" t="s">
        <v>965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>
        <f>IF(ADRYr1!V34="", 0, ADRYr1!V34)</f>
        <v>0</v>
      </c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8">
        <f>IF(ADRYr1!AD34="", 0, ADRYr1!AD34)</f>
        <v>0</v>
      </c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961</v>
      </c>
      <c r="B35" s="164" t="s">
        <v>963</v>
      </c>
      <c r="C35" s="164" t="s">
        <v>965</v>
      </c>
      <c r="D35" s="164" t="s">
        <v>829</v>
      </c>
      <c r="E35" s="164" t="s">
        <v>951</v>
      </c>
      <c r="F35" s="164" t="s">
        <v>230</v>
      </c>
      <c r="G35" s="223">
        <v>1</v>
      </c>
      <c r="H35" s="1124">
        <v>1</v>
      </c>
      <c r="I35" s="224">
        <f>J35</f>
        <v>20000</v>
      </c>
      <c r="J35" s="224">
        <f>200*AD35</f>
        <v>20000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f>IF(ADRYr1!V35="", 0, ADRYr1!V35)</f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8">
        <f>IF(ADRYr1!AD35="", 0, ADRYr1!AD35)</f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961</v>
      </c>
      <c r="B36" s="164" t="s">
        <v>963</v>
      </c>
      <c r="C36" s="164" t="s">
        <v>965</v>
      </c>
      <c r="D36" s="164" t="s">
        <v>830</v>
      </c>
      <c r="E36" s="164" t="s">
        <v>952</v>
      </c>
      <c r="F36" s="164" t="s">
        <v>230</v>
      </c>
      <c r="G36" s="223">
        <v>1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f>IF(ADRYr1!V36="", 0, ADRYr1!V36)</f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8">
        <f>IF(ADRYr1!AD36="", 0, ADRYr1!AD36)</f>
        <v>0</v>
      </c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961</v>
      </c>
      <c r="B37" s="164" t="s">
        <v>963</v>
      </c>
      <c r="C37" s="164" t="s">
        <v>965</v>
      </c>
      <c r="D37" s="164" t="s">
        <v>837</v>
      </c>
      <c r="E37" s="164" t="s">
        <v>953</v>
      </c>
      <c r="F37" s="164" t="s">
        <v>230</v>
      </c>
      <c r="G37" s="223"/>
      <c r="H37" s="1124"/>
      <c r="I37" s="224"/>
      <c r="J37" s="224"/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>
        <f>IF(ADRYr1!V37="", 0, ADRYr1!V37)</f>
        <v>0</v>
      </c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8">
        <f>IF(ADRYr1!AD37="", 0, ADRYr1!AD37)</f>
        <v>0</v>
      </c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961</v>
      </c>
      <c r="B38" s="164" t="s">
        <v>963</v>
      </c>
      <c r="C38" s="164" t="s">
        <v>965</v>
      </c>
      <c r="D38" s="164" t="s">
        <v>838</v>
      </c>
      <c r="E38" s="164" t="s">
        <v>954</v>
      </c>
      <c r="F38" s="164" t="s">
        <v>230</v>
      </c>
      <c r="G38" s="223"/>
      <c r="H38" s="1124"/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>
        <f>IF(ADRYr1!V38="", 0, ADRYr1!V38)</f>
        <v>0</v>
      </c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8">
        <f>IF(ADRYr1!AD38="", 0, ADRYr1!AD38)</f>
        <v>0</v>
      </c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961</v>
      </c>
      <c r="B39" s="164" t="s">
        <v>963</v>
      </c>
      <c r="C39" s="164" t="s">
        <v>965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>
        <f>IF(ADRYr1!V39="", 0, ADRYr1!V39)</f>
        <v>0</v>
      </c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8">
        <f>IF(ADRYr1!AD39="", 0, ADRYr1!AD39)</f>
        <v>0</v>
      </c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961</v>
      </c>
      <c r="B40" s="164" t="s">
        <v>963</v>
      </c>
      <c r="C40" s="164" t="s">
        <v>965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>
        <f>IF(ADRYr1!V40="", 0, ADRYr1!V40)</f>
        <v>0</v>
      </c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8">
        <f>IF(ADRYr1!AD40="", 0, ADRYr1!AD40)</f>
        <v>0</v>
      </c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961</v>
      </c>
      <c r="B41" s="164" t="s">
        <v>963</v>
      </c>
      <c r="C41" s="164" t="s">
        <v>965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>
        <f>IF(ADRYr1!V41="", 0, ADRYr1!V41)</f>
        <v>0</v>
      </c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8">
        <f>IF(ADRYr1!AD41="", 0, ADRYr1!AD41)</f>
        <v>0</v>
      </c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39"/>
  <mergeCells count="7">
    <mergeCell ref="N1:O1"/>
    <mergeCell ref="N2:O2"/>
    <mergeCell ref="AU3:AV3"/>
    <mergeCell ref="AD3:AH3"/>
    <mergeCell ref="AI3:AP3"/>
    <mergeCell ref="M3:U3"/>
    <mergeCell ref="V3:AC3"/>
  </mergeCells>
  <phoneticPr fontId="29" type="noConversion"/>
  <dataValidations count="6">
    <dataValidation type="list" allowBlank="1" showInputMessage="1" showErrorMessage="1" sqref="C42:C1048576">
      <formula1>#REF!</formula1>
    </dataValidation>
    <dataValidation type="list" allowBlank="1" showInputMessage="1" showErrorMessage="1" sqref="A5:A41">
      <formula1>Sector</formula1>
    </dataValidation>
    <dataValidation type="list" allowBlank="1" showInputMessage="1" showErrorMessage="1" sqref="F5:F1048576">
      <formula1>EndUse</formula1>
    </dataValidation>
    <dataValidation type="list" allowBlank="1" showInputMessage="1" showErrorMessage="1" sqref="AI5:AI1048576 AK5:AK1048576 AM5:AM1048576">
      <formula1>FuelList</formula1>
    </dataValidation>
    <dataValidation type="list" allowBlank="1" showInputMessage="1" showErrorMessage="1" sqref="W51:W1972">
      <formula1>#REF!</formula1>
    </dataValidation>
    <dataValidation type="list" allowBlank="1" showInputMessage="1" showErrorMessage="1" sqref="AR5:AS50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Lookups!$E$143:$E$172</xm:f>
          </x14:formula1>
          <xm:sqref>B5:B41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AvoidedEnergy!$A$4:$A$10</xm:f>
          </x14:formula1>
          <xm:sqref>AQ5:AQ50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DW50"/>
  <sheetViews>
    <sheetView zoomScale="80" zoomScaleNormal="80" workbookViewId="0">
      <pane xSplit="6" ySplit="4" topLeftCell="G5" activePane="bottomRight" state="frozen"/>
      <selection activeCell="I24" sqref="I24"/>
      <selection pane="topRight" activeCell="I24" sqref="I24"/>
      <selection pane="bottomLeft" activeCell="I24" sqref="I24"/>
      <selection pane="bottomRight" activeCell="G14" sqref="G14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hidden="1" customWidth="1" outlineLevel="1"/>
    <col min="53" max="55" width="17.42578125" style="95" hidden="1" customWidth="1" outlineLevel="1"/>
    <col min="56" max="56" width="17.28515625" style="13" customWidth="1" collapsed="1"/>
    <col min="57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2" customFormat="1" ht="25.5">
      <c r="A1" s="64" t="s">
        <v>76</v>
      </c>
      <c r="B1" s="65">
        <f>Year1</f>
        <v>2021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5" t="s">
        <v>938</v>
      </c>
      <c r="BQ1" s="7"/>
      <c r="BR1" s="1345" t="s">
        <v>938</v>
      </c>
      <c r="BS1" s="1345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  <c r="DR1" s="1346" t="s">
        <v>937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7" t="s">
        <v>78</v>
      </c>
      <c r="B3" s="1448"/>
      <c r="C3" s="1448"/>
      <c r="D3" s="1448"/>
      <c r="E3" s="1448"/>
      <c r="F3" s="1448"/>
      <c r="G3" s="1448"/>
      <c r="H3" s="1448"/>
      <c r="I3" s="1449" t="s">
        <v>84</v>
      </c>
      <c r="J3" s="1449"/>
      <c r="K3" s="1449"/>
      <c r="L3" s="1450" t="s">
        <v>148</v>
      </c>
      <c r="M3" s="1451"/>
      <c r="N3" s="1451"/>
      <c r="O3" s="1451"/>
      <c r="P3" s="1451"/>
      <c r="Q3" s="1451"/>
      <c r="R3" s="1451"/>
      <c r="S3" s="1451"/>
      <c r="T3" s="1451"/>
      <c r="U3" s="1452"/>
      <c r="V3" s="1453" t="s">
        <v>150</v>
      </c>
      <c r="W3" s="1453"/>
      <c r="X3" s="1453"/>
      <c r="Y3" s="1453"/>
      <c r="Z3" s="1453"/>
      <c r="AA3" s="1454" t="s">
        <v>236</v>
      </c>
      <c r="AB3" s="1455"/>
      <c r="AC3" s="1455"/>
      <c r="AD3" s="1456"/>
      <c r="AE3" s="1444" t="s">
        <v>668</v>
      </c>
      <c r="AF3" s="1445"/>
      <c r="AG3" s="1445"/>
      <c r="AH3" s="1446"/>
      <c r="AI3" s="1444" t="s">
        <v>669</v>
      </c>
      <c r="AJ3" s="1445"/>
      <c r="AK3" s="1445"/>
      <c r="AL3" s="1446"/>
      <c r="AM3" s="1444" t="s">
        <v>670</v>
      </c>
      <c r="AN3" s="1445"/>
      <c r="AO3" s="1445"/>
      <c r="AP3" s="1446"/>
      <c r="AQ3" s="1444" t="s">
        <v>671</v>
      </c>
      <c r="AR3" s="1445"/>
      <c r="AS3" s="1445"/>
      <c r="AT3" s="1446"/>
      <c r="AU3" s="1444" t="s">
        <v>672</v>
      </c>
      <c r="AV3" s="1445"/>
      <c r="AW3" s="1445"/>
      <c r="AX3" s="1446"/>
      <c r="AY3" s="1444" t="s">
        <v>674</v>
      </c>
      <c r="AZ3" s="1446"/>
      <c r="BA3" s="1444" t="s">
        <v>673</v>
      </c>
      <c r="BB3" s="1445"/>
      <c r="BC3" s="1446"/>
      <c r="BD3" s="1461" t="s">
        <v>156</v>
      </c>
      <c r="BE3" s="1462"/>
      <c r="BF3" s="1462"/>
      <c r="BG3" s="1462"/>
      <c r="BH3" s="1463"/>
      <c r="BI3" s="1428" t="s">
        <v>158</v>
      </c>
      <c r="BJ3" s="1429"/>
      <c r="BK3" s="1429"/>
      <c r="BL3" s="1429"/>
      <c r="BM3" s="1429"/>
      <c r="BN3" s="1430"/>
      <c r="BO3" s="158" t="s">
        <v>185</v>
      </c>
      <c r="BP3" s="1431" t="s">
        <v>157</v>
      </c>
      <c r="BQ3" s="1432"/>
      <c r="BR3" s="1432"/>
      <c r="BS3" s="1432"/>
      <c r="BT3" s="1432"/>
      <c r="BU3" s="1432"/>
      <c r="BV3" s="1432"/>
      <c r="BW3" s="1433"/>
      <c r="BX3" s="159" t="s">
        <v>82</v>
      </c>
      <c r="BY3" s="1434" t="s">
        <v>160</v>
      </c>
      <c r="BZ3" s="1435"/>
      <c r="CA3" s="1435"/>
      <c r="CB3" s="1435"/>
      <c r="CC3" s="1435"/>
      <c r="CD3" s="1435"/>
      <c r="CE3" s="1435"/>
      <c r="CF3" s="1436"/>
      <c r="CG3" s="1437" t="s">
        <v>161</v>
      </c>
      <c r="CH3" s="1437"/>
      <c r="CI3" s="1437"/>
      <c r="CJ3" s="1437"/>
      <c r="CK3" s="1437"/>
      <c r="CL3" s="1437"/>
      <c r="CM3" s="1437"/>
      <c r="CN3" s="1437"/>
      <c r="CO3" s="1437"/>
      <c r="CP3" s="159" t="s">
        <v>211</v>
      </c>
      <c r="CQ3" s="1438" t="s">
        <v>384</v>
      </c>
      <c r="CR3" s="1439"/>
      <c r="CS3" s="1439"/>
      <c r="CT3" s="1439"/>
      <c r="CU3" s="1439"/>
      <c r="CV3" s="1439"/>
      <c r="CW3" s="1439"/>
      <c r="CX3" s="1439"/>
      <c r="CY3" s="1439"/>
      <c r="CZ3" s="1440"/>
      <c r="DA3" s="159" t="s">
        <v>82</v>
      </c>
      <c r="DB3" s="1457" t="s">
        <v>683</v>
      </c>
      <c r="DC3" s="1457"/>
      <c r="DD3" s="1457"/>
      <c r="DE3" s="1457"/>
      <c r="DF3" s="1458" t="s">
        <v>689</v>
      </c>
      <c r="DG3" s="1459"/>
      <c r="DH3" s="1459"/>
      <c r="DI3" s="1459"/>
      <c r="DJ3" s="1460"/>
      <c r="DK3" s="1368" t="s">
        <v>120</v>
      </c>
      <c r="DL3" s="1371" t="s">
        <v>120</v>
      </c>
      <c r="DM3" s="1372" t="s">
        <v>120</v>
      </c>
      <c r="DN3" s="1369" t="s">
        <v>120</v>
      </c>
      <c r="DO3" s="1441" t="s">
        <v>920</v>
      </c>
      <c r="DP3" s="1442"/>
      <c r="DQ3" s="1442"/>
      <c r="DR3" s="1442"/>
      <c r="DS3" s="1442"/>
      <c r="DT3" s="1442"/>
      <c r="DU3" s="1442"/>
      <c r="DV3" s="1442"/>
      <c r="DW3" s="1443"/>
    </row>
    <row r="4" spans="1:127" s="213" customFormat="1" ht="63.7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946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955</v>
      </c>
      <c r="DL4" s="1373" t="s">
        <v>956</v>
      </c>
      <c r="DM4" s="1374" t="s">
        <v>957</v>
      </c>
      <c r="DN4" s="1370" t="s">
        <v>958</v>
      </c>
      <c r="DO4" s="1335" t="s">
        <v>841</v>
      </c>
      <c r="DP4" s="1336" t="s">
        <v>842</v>
      </c>
      <c r="DQ4" s="1134" t="s">
        <v>939</v>
      </c>
      <c r="DR4" s="1134" t="s">
        <v>940</v>
      </c>
      <c r="DS4" s="1134" t="s">
        <v>941</v>
      </c>
      <c r="DT4" s="1337" t="s">
        <v>704</v>
      </c>
      <c r="DU4" s="1336" t="s">
        <v>843</v>
      </c>
      <c r="DV4" s="1336" t="s">
        <v>844</v>
      </c>
      <c r="DW4" s="1132" t="s">
        <v>935</v>
      </c>
    </row>
    <row r="5" spans="1:127">
      <c r="A5" s="160" t="str">
        <f>IF(ADRYr1!$B5=0,"",ADRYr1!A5)</f>
        <v>A - Residential</v>
      </c>
      <c r="B5" s="9" t="str">
        <f>IF(ADRYr1!$B5=0,"",ADRYr1!B5)</f>
        <v>A5 - Residential Active Demand Response</v>
      </c>
      <c r="C5" s="9" t="str">
        <f>IF(ADRYr1!$B5=0,"",ADRYr1!C5)</f>
        <v>A5a - Residential Active Demand Response</v>
      </c>
      <c r="D5" s="9" t="str">
        <f>IF(ADRYr1!$B5=0,"",ADRYr1!D5)</f>
        <v>Direct Load Control Targeted Dispatch Upfront/Annual Incentive Summer</v>
      </c>
      <c r="E5" s="9" t="str">
        <f>IF(ADRYr1!$B5=0,"",ADRYr1!E5)</f>
        <v>E21A5a001</v>
      </c>
      <c r="F5" s="11" t="str">
        <f>IF(ADRYr1!$B5=0,"",ADRYr1!F5)</f>
        <v>Behavior</v>
      </c>
      <c r="G5" s="12">
        <f>IF(ADRYr1!$G5&lt;&gt;0,ADRYr1!G5,"")</f>
        <v>250</v>
      </c>
      <c r="H5" s="1125">
        <f>IF($G5="","",ROUND(ADRYr1!H5,0))</f>
        <v>1</v>
      </c>
      <c r="I5" s="47">
        <f>IF($G5="","",ADRYr1!I5*ADRYr1!P5*G5)</f>
        <v>7500</v>
      </c>
      <c r="J5" s="47">
        <f>IF($G5="","",ADRYr1!J5*G5)</f>
        <v>7500</v>
      </c>
      <c r="K5" s="47">
        <f>IF($G5="","",I5-J5)</f>
        <v>0</v>
      </c>
      <c r="L5" s="27">
        <f>IF($G5="","",ADRYr1!V5*G5/1000)</f>
        <v>0</v>
      </c>
      <c r="M5" s="27">
        <f>IF($G5="","",L5*ADRYr1!$Q5*ADRYr1!$R5)</f>
        <v>0</v>
      </c>
      <c r="N5" s="27">
        <f>IFERROR(L5*H5,"")</f>
        <v>0</v>
      </c>
      <c r="O5" s="27">
        <f>IF($G5="","",M5*$H5)</f>
        <v>0</v>
      </c>
      <c r="P5" s="27">
        <f>IF($G5="","",M5*ADRYr1!P5)</f>
        <v>0</v>
      </c>
      <c r="Q5" s="27">
        <f>IF($G5="","",P5*$H5)</f>
        <v>0</v>
      </c>
      <c r="R5" s="27">
        <f>IF($G5="","",$Q5*ADRYr1!Z5)</f>
        <v>0</v>
      </c>
      <c r="S5" s="27">
        <f>IF($G5="","",$Q5*ADRYr1!AA5)</f>
        <v>0</v>
      </c>
      <c r="T5" s="27">
        <f>IF($G5="","",$Q5*ADRYr1!AB5)</f>
        <v>0</v>
      </c>
      <c r="U5" s="27">
        <f>IF($G5="","",$Q5*ADRYr1!AC5)</f>
        <v>0</v>
      </c>
      <c r="V5" s="27">
        <f>IF($G5="","",G5*ADRYr1!$AD5*ADRYr1!$P5*ADRYr1!$Q5)</f>
        <v>125</v>
      </c>
      <c r="W5" s="27">
        <f>IF($G5="","",$G5*ADRYr1!$AD5*ADRYr1!$AF5*ADRYr1!Q5*ADRYr1!$S5)</f>
        <v>0</v>
      </c>
      <c r="X5" s="27">
        <f>IF($G5="","",$G5*ADRYr1!$AD5*ADRYr1!$AF5*ADRYr1!P5*ADRYr1!Q5*ADRYr1!$S5)</f>
        <v>0</v>
      </c>
      <c r="Y5" s="27">
        <f>IF($G5="","",$G5*ADRYr1!$AD5*ADRYr1!$AE5*ADRYr1!Q5*ADRYr1!$T5)</f>
        <v>125</v>
      </c>
      <c r="Z5" s="27">
        <f>IF($G5="","",$G5*ADRYr1!$AD5*ADRYr1!$AE5*ADRYr1!P5*ADRYr1!Q5*ADRYr1!$T5)</f>
        <v>125</v>
      </c>
      <c r="AA5" s="45">
        <f>IF($G5="","",$G5*ADRYr1!$Q5*ADRYr1!$U5*(IF(IFERROR(SEARCH("NG", ADRYr1!$AI5),0),ADRYr1!$AJ5,0)+IF(IFERROR(SEARCH("NG", ADRYr1!$AK5),0),ADRYr1!$AL5,0)+IF(IFERROR(SEARCH("NG", ADRYr1!$AM5),0),ADRYr1!$AN5,0)))</f>
        <v>0</v>
      </c>
      <c r="AB5" s="45">
        <f>IF($G5="","",AA5*$H5)</f>
        <v>0</v>
      </c>
      <c r="AC5" s="45">
        <f>IF($G5="",0,AA5*ADRYr1!$P5)</f>
        <v>0</v>
      </c>
      <c r="AD5" s="45">
        <f>IF($G5="","",AC5*$H5)</f>
        <v>0</v>
      </c>
      <c r="AE5" s="45">
        <f>IF($G5="","",$G5*ADRYr1!$Q5*ADRYr1!$U5*(IF(IFERROR(SEARCH("Oil", ADRYr1!$AI5), 0),ADRYr1!$AJ5,0)+IF(IFERROR(SEARCH("Oil", ADRYr1!$AK5), 0),ADRYr1!$AL5,0)+IF(IFERROR(SEARCH("Oil", ADRYr1!$AM5), 0),ADRYr1!$AN5,0)))</f>
        <v>0</v>
      </c>
      <c r="AF5" s="45">
        <f>IF($G5="","",AE5*$H5)</f>
        <v>0</v>
      </c>
      <c r="AG5" s="45">
        <f>IF($G5="",0,AE5*ADRYr1!$P5)</f>
        <v>0</v>
      </c>
      <c r="AH5" s="45">
        <f>IF($G5="","",AG5*$H5)</f>
        <v>0</v>
      </c>
      <c r="AI5" s="45">
        <f>IF($G5="","",$G5*ADRYr1!$Q5*ADRYr1!$U5*(IF(ADRYr1!$AI5=Lookups!$E$114,ADRYr1!$AJ5,IF(ADRYr1!$AK5=Lookups!$E$114,ADRYr1!$AL5,IF(ADRYr1!$AM5=Lookups!$E$114,ADRYr1!$AN5,0)))))</f>
        <v>0</v>
      </c>
      <c r="AJ5" s="45">
        <f>IF($G5="","",AI5*$H5)</f>
        <v>0</v>
      </c>
      <c r="AK5" s="45">
        <f>IF($G5="",0,AI5*ADRYr1!$P5)</f>
        <v>0</v>
      </c>
      <c r="AL5" s="45">
        <f>IF($G5="","",AK5*$H5)</f>
        <v>0</v>
      </c>
      <c r="AM5" s="45">
        <f>IF($G5="","",$G5*ADRYr1!$Q5*ADRYr1!$U5*(IF(ADRYr1!$AI5=Lookups!$E$113,ADRYr1!$AJ5,IF(ADRYr1!$AK5=Lookups!$E$113,ADRYr1!$AL5,IF(ADRYr1!$AM5=Lookups!$E$113,ADRYr1!$AN5,0)))))</f>
        <v>0</v>
      </c>
      <c r="AN5" s="45">
        <f>IF($G5="","",AM5*$H5)</f>
        <v>0</v>
      </c>
      <c r="AO5" s="45">
        <f>IF($G5="",0,AM5*ADRYr1!$P5)</f>
        <v>0</v>
      </c>
      <c r="AP5" s="45">
        <f>IF($G5="","",AO5*$H5)</f>
        <v>0</v>
      </c>
      <c r="AQ5" s="45">
        <f>IF($G5="","",$G5*ADRYr1!$Q5*ADRYr1!$U5*(IF(ADRYr1!$AI5=Lookups!$E$115,ADRYr1!$AJ5,IF(ADRYr1!$AK5=Lookups!$E$115,ADRYr1!$AL5,IF(ADRYr1!$AM5=Lookups!$E$115,ADRYr1!$AN5,0)))))</f>
        <v>0</v>
      </c>
      <c r="AR5" s="45">
        <f>IF($G5="","",AQ5*$H5)</f>
        <v>0</v>
      </c>
      <c r="AS5" s="45">
        <f>IF($G5="","",AQ5*ADRYr1!$P5)</f>
        <v>0</v>
      </c>
      <c r="AT5" s="45">
        <f>IF($G5="","",AS5*$H5)</f>
        <v>0</v>
      </c>
      <c r="AU5" s="45">
        <f>IF($G5="","",$G5*ADRYr1!$Q5*ADRYr1!$U5*(IF(ADRYr1!$AI5=Lookups!$E$116,ADRYr1!$AJ5,IF(ADRYr1!$AK5=Lookups!$E$116,ADRYr1!$AL5,IF(ADRYr1!$AM5=Lookups!$E$116,ADRYr1!$AN5,0)))))</f>
        <v>0</v>
      </c>
      <c r="AV5" s="45">
        <f>IF($G5="","",AU5*$H5)</f>
        <v>0</v>
      </c>
      <c r="AW5" s="45">
        <f>IF($G5="","",AU5*ADRYr1!$P5)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IF($G5="","",$G5*ADRYr1!$P5*ADRYr1!$Q5*ADRYr1!$U5*ADRYr1!AO5)</f>
        <v>0</v>
      </c>
      <c r="BB5" s="102">
        <f>IF($G5="","",$G5*ADRYr1!$P5*ADRYr1!$Q5*ADRYr1!$U5*ADRYr1!AP5)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IF($G5="","",(1+AveLoss)*((INDEX(avoidedcosttbl,$H5,BM$2))+(($H5-ROUNDDOWN($H5,0))*((INDEX(avoidedcosttbl,ROUNDUP($H5,0),BM$2))-(INDEX(avoidedcosttbl,ROUNDDOWN($H5,0),BM$2)))))*$P5*1000)</f>
        <v>0</v>
      </c>
      <c r="BN5" s="1128">
        <f t="shared" ref="BN5:BN50" si="5"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6">IF($G5="","",(1+SumPeakEnergyLL)*$Z5*$DV5*IF($DP5="No",
INDEX(avoidedcosttblADMcapYr1,1,$H5)+(($H5-ROUNDDOWN($H5,0))*(INDEX(avoidedcosttblADMcapYr1,ROUNDUP($H5,0),1)-(INDEX(avoidedcosttblADMcapYr1,ROUNDDOWN($H5,0),1)))),
INDEX(avoidedcosttbl,$H5,$DQ5)+(($H5-ROUNDDOWN($H5,0))*(INDEX(avoidedcosttbl,ROUNDUP($H5,0),$DQ5)-(INDEX(avoidedcosttbl,ROUNDDOWN($H5,0),$DQ5))))))</f>
        <v>1329.5415092251819</v>
      </c>
      <c r="BQ5" s="28">
        <f t="shared" ref="BQ5:BQ50" si="7">IF($G5="","",(1+WntPeakEnergyLL)*(INDEX(avoidedcosttbl,$H5,BQ$2)+(($H5-ROUNDDOWN($H5,0))*(INDEX(avoidedcosttbl,ROUNDUP($H5,0),BQ$2)-(INDEX(avoidedcosttbl,ROUNDDOWN($H5,0),BQ$2)))))*$X5)</f>
        <v>0</v>
      </c>
      <c r="BR5" s="1129">
        <f t="shared" ref="BR5:BR50" si="8">IF($G5="","",(1+SumPeakEnergyLL)*$Z5*$DV5*IF($DP5="No",
INDEX(avoidedcosttblADMcapDRIPEYr1,1,$H5)+(($H5-ROUNDDOWN($H5,0))*(INDEX(avoidedcosttblADMcapDRIPEYr1,ROUNDUP($H5,0),1)-(INDEX(avoidedcosttblADMcapDRIPEYr1,ROUNDDOWN($H5,0),1)))),
INDEX(avoidedcosttbl,$H5,$DR5)+(($H5-ROUNDDOWN($H5,0))*(INDEX(avoidedcosttbl,ROUNDUP($H5,0),$DR5)-(INDEX(avoidedcosttbl,ROUNDDOWN($H5,0),$DR5))))))</f>
        <v>2839.4856114802992</v>
      </c>
      <c r="BS5" s="1129">
        <f t="shared" ref="BS5:BS50" si="9">IF($G5="","",(1+SumPeakEnergyLL)*$Z5*(INDEX(avoidedcosttbl,$H5,$DS5)+(($H5-ROUNDDOWN($H5,0))*(INDEX(avoidedcosttbl,ROUNDUP($H5,0),$DS5)-(INDEX(avoidedcosttbl,ROUNDDOWN($H5,0),$DS5))))))</f>
        <v>0</v>
      </c>
      <c r="BT5" s="28">
        <f t="shared" ref="BT5:BV24" si="10">IF($G5="","",(INDEX(avoidedcosttbl,$H5,BT$2)+(($H5-ROUNDDOWN($H5,0))*(INDEX(avoidedcosttbl,ROUNDUP($H5,0),BT$2)-(INDEX(avoidedcosttbl,ROUNDDOWN($H5,0),BT$2)))))*$Z5)</f>
        <v>12312.87207858593</v>
      </c>
      <c r="BU5" s="28">
        <f t="shared" si="10"/>
        <v>0</v>
      </c>
      <c r="BV5" s="28">
        <f t="shared" si="10"/>
        <v>10666.502206905017</v>
      </c>
      <c r="BW5" s="29">
        <f>IF($G5="","",SUM(BP5:BV5))</f>
        <v>27148.401406196426</v>
      </c>
      <c r="BX5" s="29">
        <f>IF($G5="","",BO5+BW5)</f>
        <v>27148.401406196426</v>
      </c>
      <c r="BY5" s="28">
        <f>IF($G5="","",$G5*(IF(ADRYr1!$AI5=BY$4,ADRYr1!$AJ5,IF(ADRYr1!$AK5=BY$4,ADRYr1!$AL5,IF(ADRYr1!$AM5=BY$4,ADRYr1!$AN5,0))))*(INDEX(avoidedcosttbl,$H5,BY$2)+(($H5-ROUNDDOWN($H5,0))*(INDEX(avoidedcosttbl,ROUNDUP($H5,0),BY$2)-(INDEX(avoidedcosttbl,ROUNDDOWN($H5,0),BY$2)))))*ADRYr1!P5*ADRYr1!Q5*ADRYr1!U5)</f>
        <v>0</v>
      </c>
      <c r="BZ5" s="28">
        <f>IF($G5="","",$G5*(IF(ADRYr1!$AI5=BZ$4,ADRYr1!$AJ5,IF(ADRYr1!$AK5=BZ$4,ADRYr1!$AL5,IF(ADRYr1!$AM5=BZ$4,ADRYr1!$AN5,0))))*(INDEX(avoidedcosttbl,$H5,BZ$2)+(($H5-ROUNDDOWN($H5,0))*(INDEX(avoidedcosttbl,ROUNDUP($H5,0),BZ$2)-(INDEX(avoidedcosttbl,ROUNDDOWN($H5,0),BZ$2)))))*ADRYr1!P5*ADRYr1!Q5*ADRYr1!U5)</f>
        <v>0</v>
      </c>
      <c r="CA5" s="28">
        <f>IF($G5="","",$G5*(IF(ADRYr1!$AI5=CA$4,ADRYr1!$AJ5,IF(ADRYr1!$AK5=CA$4,ADRYr1!$AL5,IF(ADRYr1!$AM5=CA$4,ADRYr1!$AN5,0))))*(INDEX(avoidedcosttbl,$H5,CA$2)+(($H5-ROUNDDOWN($H5,0))*(INDEX(avoidedcosttbl,ROUNDUP($H5,0),CA$2)-(INDEX(avoidedcosttbl,ROUNDDOWN($H5,0),CA$2)))))*ADRYr1!P5*ADRYr1!Q5*ADRYr1!U5)</f>
        <v>0</v>
      </c>
      <c r="CB5" s="28">
        <f>IF($G5="","",$G5*(IF(ADRYr1!$AI5=CB$4,ADRYr1!$AJ5,IF(ADRYr1!$AK5=CB$4,ADRYr1!$AL5,IF(ADRYr1!$AM5=CB$4,ADRYr1!$AN5,0))))*(INDEX(avoidedcosttbl,$H5,CB$2)+(($H5-ROUNDDOWN($H5,0))*(INDEX(avoidedcosttbl,ROUNDUP($H5,0),CB$2)-(INDEX(avoidedcosttbl,ROUNDDOWN($H5,0),CB$2)))))*ADRYr1!P5*ADRYr1!Q5*ADRYr1!U5)</f>
        <v>0</v>
      </c>
      <c r="CC5" s="28">
        <f>IF($G5="","",$G5*(IF(ADRYr1!$AI5=CC$4,ADRYr1!$AJ5,IF(ADRYr1!$AK5=CC$4,ADRYr1!$AL5,IF(ADRYr1!$AM5=CC$4,ADRYr1!$AN5,0))))*(INDEX(avoidedcosttbl,$H5,CC$2)+(($H5-ROUNDDOWN($H5,0))*(INDEX(avoidedcosttbl,ROUNDUP($H5,0),CC$2)-(INDEX(avoidedcosttbl,ROUNDDOWN($H5,0),CC$2)))))*ADRYr1!P5*ADRYr1!Q5*ADRYr1!U5)</f>
        <v>0</v>
      </c>
      <c r="CD5" s="28">
        <f>IF($G5="","",$G5*(IF(ADRYr1!$AI5=CD$4,ADRYr1!$AJ5,IF(ADRYr1!$AK5=CD$4,ADRYr1!$AL5,IF(ADRYr1!$AM5=CD$4,ADRYr1!$AN5,0))))*(INDEX(avoidedcosttbl,$H5,CD$2)+(($H5-ROUNDDOWN($H5,0))*(INDEX(avoidedcosttbl,ROUNDUP($H5,0),CD$2)-(INDEX(avoidedcosttbl,ROUNDDOWN($H5,0),CD$2)))))*ADRYr1!P5*ADRYr1!Q5*ADRYr1!U5)</f>
        <v>0</v>
      </c>
      <c r="CE5" s="28">
        <f>IF($G5="","",$G5*(IF(ADRYr1!$AI5=CE$4,ADRYr1!$AJ5,IF(ADRYr1!$AK5=CE$4,ADRYr1!$AL5,IF(ADRYr1!$AM5=CE$4,ADRYr1!$AN5,0))))*(INDEX(avoidedcosttbl,$H5,CE$2)+(($H5-ROUNDDOWN($H5,0))*(INDEX(avoidedcosttbl,ROUNDUP($H5,0),CE$2)-(INDEX(avoidedcosttbl,ROUNDDOWN($H5,0),CE$2)))))*ADRYr1!P5*ADRYr1!Q5*ADRYr1!U5)</f>
        <v>0</v>
      </c>
      <c r="CF5" s="41">
        <f>IF($G5="","",SUM(BY5:CE5))</f>
        <v>0</v>
      </c>
      <c r="CG5" s="30">
        <f t="shared" ref="CG5:CG50" si="11">IF($G5="","",$AC5*((INDEX(avoidedcosttbl,$H5,CG$2))+(($H5-ROUNDDOWN($H5,0))*((INDEX(avoidedcosttbl,ROUNDUP($H5,0),CG$2))-(INDEX(avoidedcosttbl,ROUNDDOWN($H5,0),CG$2))))))</f>
        <v>0</v>
      </c>
      <c r="CH5" s="30">
        <f>IF($G5="","",$G5*(IF(ADRYr1!$AI5=BY$4,ADRYr1!$AJ5,IF(ADRYr1!$AK5=BY$4,ADRYr1!$AL5,IF(ADRYr1!$AM5=BY$4,ADRYr1!$AN5,0))))*(INDEX(avoidedcosttbl,$H5,CH$2)+(($H5-ROUNDDOWN($H5,0))*(INDEX(avoidedcosttbl,ROUNDUP($H5,0),CH$2)-(INDEX(avoidedcosttbl,ROUNDDOWN($H5,0),CH$2)))))*ADRYr1!P5*ADRYr1!Q5*ADRYr1!U5)</f>
        <v>0</v>
      </c>
      <c r="CI5" s="30">
        <f>IF($G5="","",$G5*(IF(ADRYr1!$AI5=BZ$4,ADRYr1!$AJ5,IF(ADRYr1!$AK5=BZ$4,ADRYr1!$AL5,IF(ADRYr1!$AM5=BZ$4,ADRYr1!$AN5,0))))*(INDEX(avoidedcosttbl,$H5,CI$2)+(($H5-ROUNDDOWN($H5,0))*(INDEX(avoidedcosttbl,ROUNDUP($H5,0),CI$2)-(INDEX(avoidedcosttbl,ROUNDDOWN($H5,0),CI$2)))))*ADRYr1!P5*ADRYr1!Q5*ADRYr1!U5)</f>
        <v>0</v>
      </c>
      <c r="CJ5" s="30">
        <f>IF($G5="","",$G5*(IF(ADRYr1!$AI5=CA$4,ADRYr1!$AJ5,IF(ADRYr1!$AK5=CA$4,ADRYr1!$AL5,IF(ADRYr1!$AM5=CA$4,ADRYr1!$AN5,0))))*(INDEX(avoidedcosttbl,$H5,CJ$2)+(($H5-ROUNDDOWN($H5,0))*(INDEX(avoidedcosttbl,ROUNDUP($H5,0),CJ$2)-(INDEX(avoidedcosttbl,ROUNDDOWN($H5,0),CJ$2)))))*ADRYr1!P5*ADRYr1!Q5*ADRYr1!U5)</f>
        <v>0</v>
      </c>
      <c r="CK5" s="30">
        <f>IF($G5="","",$G5*(IF(ADRYr1!$AI5=CB$4,ADRYr1!$AJ5,IF(ADRYr1!$AK5=CB$4,ADRYr1!$AL5,IF(ADRYr1!$AM5=CB$4,ADRYr1!$AN5,0))))*(INDEX(avoidedcosttbl,$H5,CK$2)+(($H5-ROUNDDOWN($H5,0))*(INDEX(avoidedcosttbl,ROUNDUP($H5,0),CK$2)-(INDEX(avoidedcosttbl,ROUNDDOWN($H5,0),CK$2)))))*ADRYr1!P5*ADRYr1!Q5*ADRYr1!U5)</f>
        <v>0</v>
      </c>
      <c r="CL5" s="30">
        <f>IF($G5="","",$G5*(IF(ADRYr1!$AI5=CC$4,ADRYr1!$AJ5,IF(ADRYr1!$AK5=CC$4,ADRYr1!$AL5,IF(ADRYr1!$AM5=CC$4,ADRYr1!$AN5,0))))*(INDEX(avoidedcosttbl,$H5,CL$2)+(($H5-ROUNDDOWN($H5,0))*(INDEX(avoidedcosttbl,ROUNDUP($H5,0),CL$2)-(INDEX(avoidedcosttbl,ROUNDDOWN($H5,0),CL$2)))))*ADRYr1!P5*ADRYr1!Q5*ADRYr1!U5)</f>
        <v>0</v>
      </c>
      <c r="CM5" s="30">
        <f>IF($G5="","",$G5*(IF(ADRYr1!$AI5=CD$4,ADRYr1!$AJ5,IF(ADRYr1!$AK5=CD$4,ADRYr1!$AL5,IF(ADRYr1!$AM5=CD$4,ADRYr1!$AN5,0))))*(INDEX(avoidedcosttbl,$H5,CM$2)+(($H5-ROUNDDOWN($H5,0))*(INDEX(avoidedcosttbl,ROUNDUP($H5,0),CM$2)-(INDEX(avoidedcosttbl,ROUNDDOWN($H5,0),CM$2)))))*ADRYr1!P5*ADRYr1!Q5*ADRYr1!U5)</f>
        <v>0</v>
      </c>
      <c r="CN5" s="30">
        <f>IF($G5="","",$G5*(IF(ADRYr1!$AI5=CE$4,ADRYr1!$AJ5,IF(ADRYr1!$AK5=CE$4,ADRYr1!$AL5,IF(ADRYr1!$AM5=CE$4,ADRYr1!$AN5,0))))*(INDEX(avoidedcosttbl,$H5,CN$2)+(($H5-ROUNDDOWN($H5,0))*(INDEX(avoidedcosttbl,ROUNDUP($H5,0),CN$2)-(INDEX(avoidedcosttbl,ROUNDDOWN($H5,0),CN$2)))))*ADRYr1!P5*ADRYr1!Q5*ADRYr1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1!$AI5=CQ$4,ADRYr1!$AJ5,IF(ADRYr1!$AK5=CQ$4,ADRYr1!$AL5,IF(ADRYr1!$AM5=CQ$4,ADRYr1!$AN5,0))))*(INDEX(avoidedcosttbl,$H5,CQ$2)+(($H5-ROUNDDOWN($H5,0))*(INDEX(avoidedcosttbl,ROUNDUP($H5,0),CQ$2)-(INDEX(avoidedcosttbl,ROUNDDOWN($H5,0),CQ$2)))))*ADRYr1!$P5*ADRYr1!$Q5*ADRYr1!$U5)</f>
        <v>0</v>
      </c>
      <c r="CR5" s="28">
        <f>IF($G5="","",G5*(IF(ADRYr1!$AI5=CR$4,ADRYr1!$AJ5,IF(ADRYr1!$AK5=CR$4,ADRYr1!$AL5,IF(ADRYr1!$AM5=CR$4,ADRYr1!$AN5,0))))*(INDEX(avoidedcosttbl,$H5,CR$2)+(($H5-ROUNDDOWN($H5,0))*(INDEX(avoidedcosttbl,ROUNDUP($H5,0),CR$2)-(INDEX(avoidedcosttbl,ROUNDDOWN($H5,0),CR$2)))))*ADRYr1!$P5*ADRYr1!$Q5*ADRYr1!$U5)</f>
        <v>0</v>
      </c>
      <c r="CS5" s="28">
        <f>IF($G5="","",G5*(IF(ADRYr1!$AI5=CS$4,ADRYr1!$AJ5,IF(ADRYr1!$AK5=CS$4,ADRYr1!$AL5,IF(ADRYr1!$AM5=CS$4,ADRYr1!$AN5,0))))*(INDEX(avoidedcosttbl,$H5,CS$2)+(($H5-ROUNDDOWN($H5,0))*(INDEX(avoidedcosttbl,ROUNDUP($H5,0),CS$2)-(INDEX(avoidedcosttbl,ROUNDDOWN($H5,0),CS$2)))))*ADRYr1!$P5*ADRYr1!$Q5*ADRYr1!$U5)</f>
        <v>0</v>
      </c>
      <c r="CT5" s="28">
        <f t="shared" ref="CT5:CT50" si="12">IF($G5="","",$AG5*(INDEX(avoidedcosttbl,$H5,CT$2)+(($H5-ROUNDDOWN($H5,0))*(INDEX(avoidedcosttbl,ROUNDUP($H5,0),CT$2)-(INDEX(avoidedcosttbl,ROUNDDOWN($H5,0),CT$2))))))</f>
        <v>0</v>
      </c>
      <c r="CU5" s="28">
        <f>IF($G5="","",G5*(IF(ADRYr1!$AI5=CU$4,ADRYr1!$AJ5,IF(ADRYr1!$AK5=CU$4,ADRYr1!$AL5,IF(ADRYr1!$AM5=CU$4,ADRYr1!$AN5,0))))*(INDEX(avoidedcosttbl,$H5,CU$2)+(($H5-ROUNDDOWN($H5,0))*(INDEX(avoidedcosttbl,ROUNDUP($H5,0),CU$2)-(INDEX(avoidedcosttbl,ROUNDDOWN($H5,0),CU$2)))))*ADRYr1!$P5*ADRYr1!$Q5*ADRYr1!$U5)</f>
        <v>0</v>
      </c>
      <c r="CV5" s="28">
        <f>IF($G5="","",G5*(IF(ADRYr1!$AI5=CV$4,ADRYr1!$AJ5,IF(ADRYr1!$AK5=CV$4,ADRYr1!$AL5,IF(ADRYr1!$AM5=CV$4,ADRYr1!$AN5,0))))*(INDEX(avoidedcosttbl,$H5,CV$2)+(($H5-ROUNDDOWN($H5,0))*(INDEX(avoidedcosttbl,ROUNDUP($H5,0),CV$2)-(INDEX(avoidedcosttbl,ROUNDDOWN($H5,0),CV$2)))))*ADRYr1!$P5*ADRYr1!$Q5*ADRYr1!$U5)</f>
        <v>0</v>
      </c>
      <c r="CW5" s="28">
        <f>IF($G5="","",G5*(IF(ADRYr1!$AI5=CW$4,ADRYr1!$AJ5,IF(ADRYr1!$AK5=CW$4,ADRYr1!$AL5,IF(ADRYr1!$AM5=CW$4,ADRYr1!$AN5,0))))*(INDEX(avoidedcosttbl,$H5,CW$2)+(($H5-ROUNDDOWN($H5,0))*(INDEX(avoidedcosttbl,ROUNDUP($H5,0),CW$2)-(INDEX(avoidedcosttbl,ROUNDDOWN($H5,0),CW$2)))))*ADRYr1!$P5*ADRYr1!$Q5*ADRYr1!$U5)</f>
        <v>0</v>
      </c>
      <c r="CX5" s="28">
        <f>IF($G5="","",G5*(IF(ADRYr1!$AI5=CX$4,ADRYr1!$AJ5,IF(ADRYr1!$AK5=CX$4,ADRYr1!$AL5,IF(ADRYr1!$AM5=CX$4,ADRYr1!$AN5,0))))*(INDEX(avoidedcosttbl,$H5,CX$2)+(($H5-ROUNDDOWN($H5,0))*(INDEX(avoidedcosttbl,ROUNDUP($H5,0),CX$2)-(INDEX(avoidedcosttbl,ROUNDDOWN($H5,0),CX$2)))))*ADRYr1!$P5*ADRYr1!$Q5*ADRYr1!$U5)</f>
        <v>0</v>
      </c>
      <c r="CY5" s="28">
        <f t="shared" ref="CY5:CY50" si="13">IF($G5="","",BA5*(INDEX(avoidedcosttbl,$H5,CY$2)+(($H5-ROUNDDOWN($H5,0))*(INDEX(avoidedcosttbl,ROUNDUP($H5,0),CY$2)-(INDEX(avoidedcosttbl,ROUNDDOWN($H5,0),CY$2))))))</f>
        <v>0</v>
      </c>
      <c r="CZ5" s="32">
        <f t="shared" ref="CZ5:CZ50" si="14">IF($G5="","",BB5*(INDEX(avoidedcosttbl,$H5,CZ$2)+(($H5-ROUNDDOWN($H5,0))*(INDEX(avoidedcosttbl,ROUNDUP($H5,0),CZ$2)-(INDEX(avoidedcosttbl,ROUNDDOWN($H5,0),CZ$2))))))</f>
        <v>0</v>
      </c>
      <c r="DA5" s="84">
        <f>IF($G5="","",SUM(CP5:CZ5))</f>
        <v>0</v>
      </c>
      <c r="DB5" s="81">
        <f>IF(NEIadder="Yes",IF($G5="","",INDEX(Lookups!$G$68:$G$70,MATCH($A5,Lookups!$E$68:$E$70,0))*(SUM(CP5:CX5,BX5))),"")</f>
        <v>2714.8401406196426</v>
      </c>
      <c r="DC5" s="263" t="str">
        <f t="shared" ref="DC5:DC50" si="15">IF(FE="Yes",IF($G5="","", FEpercent*(AC5*NGE+AG5*OilE+AK5*PropE+AO5*KerE)*(INDEX(avoidedcosttbl,$H5,DC$2)+(($H5-ROUNDDOWN($H5,0))*(INDEX(avoidedcosttbl,ROUNDUP($H5,0),DC$2)-(INDEX(avoidedcosttbl,ROUNDDOWN($H5,0),DC$2)))))),"")</f>
        <v/>
      </c>
      <c r="DD5" s="166">
        <f t="shared" ref="DD5:DD50" si="16">IF($G5="","",(AC5*NGCO2+AG5*OilCO2+AK5*PropaneCO2+AO5*KeroseneCO2)/2000*(INDEX(avoidedcosttbl,$H5,DD$2)+(($H5-ROUNDDOWN($H5,0))*(INDEX(avoidedcosttbl,ROUNDUP($H5,0),DD$2)-(INDEX(avoidedcosttbl,ROUNDDOWN($H5,0),DD$2))))))</f>
        <v>0</v>
      </c>
      <c r="DE5" s="82">
        <f>SUM(DB5:DD5)</f>
        <v>2714.8401406196426</v>
      </c>
      <c r="DF5" s="760">
        <f>IF($G5="","",(1+WntPeakEnergyLL)*(INDEX(avoidedcosttbl,$H5,DF$2)+(($H5-ROUNDDOWN($H5,0))*(INDEX(avoidedcosttbl,ROUNDUP($H5,0),DF$2)-(INDEX(avoidedcosttbl,ROUNDDOWN($H5,0),DF$2)))))*$P5*1000*ADRYr1!Z5)</f>
        <v>0</v>
      </c>
      <c r="DG5" s="760">
        <f>IF($G5="","",(1+WntOffPeakEnergyLL)*(INDEX(avoidedcosttbl,$H5,DG$2)+(($H5-ROUNDDOWN($H5,0))*(INDEX(avoidedcosttbl,ROUNDUP($H5,0),DG$2)-(INDEX(avoidedcosttbl,ROUNDDOWN($H5,0),DG$2)))))*$P5*1000*ADRYr1!AA5)</f>
        <v>0</v>
      </c>
      <c r="DH5" s="760">
        <f>IF($G5="","",(1+SumPeakEnergyLL)*(INDEX(avoidedcosttbl,$H5,DH$2)+(($H5-ROUNDDOWN($H5,0))*(INDEX(avoidedcosttbl,ROUNDUP($H5,0),DH$2)-(INDEX(avoidedcosttbl,ROUNDDOWN($H5,0),DH$2)))))*$P5*1000*ADRYr1!AB5)</f>
        <v>0</v>
      </c>
      <c r="DI5" s="760">
        <f>IF($G5="","",(1+SumOffPeakEnergyLL)*(INDEX(avoidedcosttbl,$H5,DI$2)+(($H5-ROUNDDOWN($H5,0))*(INDEX(avoidedcosttbl,ROUNDUP($H5,0),DI$2)-(INDEX(avoidedcosttbl,ROUNDDOWN($H5,0),DI$2)))))*$P5*1000*ADRYr1!AC5)</f>
        <v>0</v>
      </c>
      <c r="DJ5" s="29">
        <f>IF($G5="","",SUM(DF5:DI5))</f>
        <v>0</v>
      </c>
      <c r="DK5" s="161">
        <f>IF($G5="","",DE5+DA5+BX5)</f>
        <v>29863.241546816069</v>
      </c>
      <c r="DL5" s="1375">
        <f>IF($G5="","",IF(LEFT(A5,1)="B",DE5+DA5+BX5,DD5+DA5+BX5))</f>
        <v>27148.401406196426</v>
      </c>
      <c r="DM5" s="1375">
        <f>IF($G5="","",BX5)</f>
        <v>27148.401406196426</v>
      </c>
      <c r="DN5" s="43">
        <f>IF($G5="","",DE5+DA5+BX5+DJ5)</f>
        <v>29863.241546816069</v>
      </c>
      <c r="DO5" s="1131" t="str">
        <f>IF($G5="","",ADRYr1!AQ5)</f>
        <v>Top 20 All Hours</v>
      </c>
      <c r="DP5" s="1133" t="str">
        <f>IF($G5="","",ADRYr1!AR5)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 t="shared" ref="DT5:DT50" si="17">IF($G5="","",$B$1&amp;"-"&amp;DO5&amp;"-"&amp;H5)</f>
        <v>2021-Top 20 All Hours-1</v>
      </c>
      <c r="DU5" s="1135" t="str">
        <f>IF($G5="","",ADRYr1!AS5)</f>
        <v>No</v>
      </c>
      <c r="DV5" s="1136">
        <f>IF($G5="","",ADRYr1!AT5)</f>
        <v>0.1</v>
      </c>
      <c r="DW5" s="1344">
        <f>IF($G5="","",INDEX(AvoidedEnergy!$H$4:$H$10,MATCH($DO5,AvoidedEnergy!$A$4:$A$10,0)))</f>
        <v>0.08</v>
      </c>
    </row>
    <row r="6" spans="1:127">
      <c r="A6" s="160" t="str">
        <f>IF(ADRYr1!$B6=0,"",ADRYr1!A6)</f>
        <v>A - Residential</v>
      </c>
      <c r="B6" s="9" t="str">
        <f>IF(ADRYr1!$B6=0,"",ADRYr1!B6)</f>
        <v>A5 - Residential Active Demand Response</v>
      </c>
      <c r="C6" s="9" t="str">
        <f>IF(ADRYr1!$B6=0,"",ADRYr1!C6)</f>
        <v>A5a - Residential Active Demand Response</v>
      </c>
      <c r="D6" s="9" t="str">
        <f>IF(ADRYr1!$B6=0,"",ADRYr1!D6)</f>
        <v>Behavior DR</v>
      </c>
      <c r="E6" s="9">
        <f>IF(ADRYr1!$B6=0,"",ADRYr1!E6)</f>
        <v>0</v>
      </c>
      <c r="F6" s="11" t="str">
        <f>IF(ADRYr1!$B6=0,"",ADRYr1!F6)</f>
        <v>Behavior</v>
      </c>
      <c r="G6" s="12" t="str">
        <f>IF(ADRYr1!$G6&lt;&gt;0,ADRYr1!G6,"")</f>
        <v/>
      </c>
      <c r="H6" s="1125" t="str">
        <f>IF($G6="","",ROUND(ADRYr1!H6,0))</f>
        <v/>
      </c>
      <c r="I6" s="47" t="str">
        <f>IF($G6="","",ADRYr1!I6*ADRYr1!P6*G6)</f>
        <v/>
      </c>
      <c r="J6" s="47" t="str">
        <f>IF($G6="","",ADRYr1!J6*G6)</f>
        <v/>
      </c>
      <c r="K6" s="47" t="str">
        <f t="shared" ref="K6:K50" si="18">IF($G6="","",I6-J6)</f>
        <v/>
      </c>
      <c r="L6" s="27" t="str">
        <f>IF($G6="","",ADRYr1!V6*G6/1000)</f>
        <v/>
      </c>
      <c r="M6" s="27" t="str">
        <f>IF($G6="","",L6*ADRYr1!$Q6*ADRYr1!$R6)</f>
        <v/>
      </c>
      <c r="N6" s="27" t="str">
        <f t="shared" ref="N6:N50" si="19">IFERROR(L6*H6,"")</f>
        <v/>
      </c>
      <c r="O6" s="27" t="str">
        <f t="shared" ref="O6:O50" si="20">IF($G6="","",M6*$H6)</f>
        <v/>
      </c>
      <c r="P6" s="27" t="str">
        <f>IF($G6="","",M6*ADRYr1!P6)</f>
        <v/>
      </c>
      <c r="Q6" s="27" t="str">
        <f t="shared" ref="Q6:Q50" si="21">IF($G6="","",P6*$H6)</f>
        <v/>
      </c>
      <c r="R6" s="27" t="str">
        <f>IF($G6="","",$Q6*ADRYr1!Z6)</f>
        <v/>
      </c>
      <c r="S6" s="27" t="str">
        <f>IF($G6="","",$Q6*ADRYr1!AA6)</f>
        <v/>
      </c>
      <c r="T6" s="27" t="str">
        <f>IF($G6="","",$Q6*ADRYr1!AB6)</f>
        <v/>
      </c>
      <c r="U6" s="27" t="str">
        <f>IF($G6="","",$Q6*ADRYr1!AC6)</f>
        <v/>
      </c>
      <c r="V6" s="27" t="str">
        <f>IF($G6="","",G6*ADRYr1!$AD6*ADRYr1!$P6*ADRYr1!$Q6)</f>
        <v/>
      </c>
      <c r="W6" s="27" t="str">
        <f>IF($G6="","",$G6*ADRYr1!$AD6*ADRYr1!$AF6*ADRYr1!Q6*ADRYr1!$S6)</f>
        <v/>
      </c>
      <c r="X6" s="27" t="str">
        <f>IF($G6="","",$G6*ADRYr1!$AD6*ADRYr1!$AF6*ADRYr1!P6*ADRYr1!Q6*ADRYr1!$S6)</f>
        <v/>
      </c>
      <c r="Y6" s="27" t="str">
        <f>IF($G6="","",$G6*ADRYr1!$AD6*ADRYr1!$AE6*ADRYr1!Q6*ADRYr1!$T6)</f>
        <v/>
      </c>
      <c r="Z6" s="27" t="str">
        <f>IF($G6="","",$G6*ADRYr1!$AD6*ADRYr1!$AE6*ADRYr1!P6*ADRYr1!Q6*ADRYr1!$T6)</f>
        <v/>
      </c>
      <c r="AA6" s="45" t="str">
        <f>IF($G6="","",$G6*ADRYr1!$Q6*ADRYr1!$U6*(IF(IFERROR(SEARCH("NG", ADRYr1!$AI6),0),ADRYr1!$AJ6,0)+IF(IFERROR(SEARCH("NG", ADRYr1!$AK6),0),ADRYr1!$AL6,0)+IF(IFERROR(SEARCH("NG", ADRYr1!$AM6),0),ADRYr1!$AN6,0)))</f>
        <v/>
      </c>
      <c r="AB6" s="45" t="str">
        <f t="shared" ref="AB6:AB50" si="22">IF($G6="","",AA6*$H6)</f>
        <v/>
      </c>
      <c r="AC6" s="45">
        <f>IF($G6="",0,AA6*ADRYr1!$P6)</f>
        <v>0</v>
      </c>
      <c r="AD6" s="45" t="str">
        <f t="shared" ref="AD6:AD50" si="23">IF($G6="","",AC6*$H6)</f>
        <v/>
      </c>
      <c r="AE6" s="45" t="str">
        <f>IF($G6="","",$G6*ADRYr1!$Q6*ADRYr1!$U6*(IF(IFERROR(SEARCH("Oil", ADRYr1!$AI6), 0),ADRYr1!$AJ6,0)+IF(IFERROR(SEARCH("Oil", ADRYr1!$AK6), 0),ADRYr1!$AL6,0)+IF(IFERROR(SEARCH("Oil", ADRYr1!$AM6), 0),ADRYr1!$AN6,0)))</f>
        <v/>
      </c>
      <c r="AF6" s="45" t="str">
        <f t="shared" ref="AF6:AF50" si="24">IF($G6="","",AE6*$H6)</f>
        <v/>
      </c>
      <c r="AG6" s="45">
        <f>IF($G6="",0,AE6*ADRYr1!$P6)</f>
        <v>0</v>
      </c>
      <c r="AH6" s="45" t="str">
        <f t="shared" ref="AH6:AH50" si="25">IF($G6="","",AG6*$H6)</f>
        <v/>
      </c>
      <c r="AI6" s="45" t="str">
        <f>IF($G6="","",$G6*ADRYr1!$Q6*ADRYr1!$U6*(IF(ADRYr1!$AI6=Lookups!$E$114,ADRYr1!$AJ6,IF(ADRYr1!$AK6=Lookups!$E$114,ADRYr1!$AL6,IF(ADRYr1!$AM6=Lookups!$E$114,ADRYr1!$AN6,0)))))</f>
        <v/>
      </c>
      <c r="AJ6" s="45" t="str">
        <f t="shared" ref="AJ6:AJ50" si="26">IF($G6="","",AI6*$H6)</f>
        <v/>
      </c>
      <c r="AK6" s="45">
        <f>IF($G6="",0,AI6*ADRYr1!$P6)</f>
        <v>0</v>
      </c>
      <c r="AL6" s="45" t="str">
        <f t="shared" ref="AL6:AL50" si="27">IF($G6="","",AK6*$H6)</f>
        <v/>
      </c>
      <c r="AM6" s="45" t="str">
        <f>IF($G6="","",$G6*ADRYr1!$Q6*ADRYr1!$U6*(IF(ADRYr1!$AI6=Lookups!$E$113,ADRYr1!$AJ6,IF(ADRYr1!$AK6=Lookups!$E$113,ADRYr1!$AL6,IF(ADRYr1!$AM6=Lookups!$E$113,ADRYr1!$AN6,0)))))</f>
        <v/>
      </c>
      <c r="AN6" s="45" t="str">
        <f t="shared" ref="AN6:AN50" si="28">IF($G6="","",AM6*$H6)</f>
        <v/>
      </c>
      <c r="AO6" s="45">
        <f>IF($G6="",0,AM6*ADRYr1!$P6)</f>
        <v>0</v>
      </c>
      <c r="AP6" s="45" t="str">
        <f t="shared" ref="AP6:AP50" si="29">IF($G6="","",AO6*$H6)</f>
        <v/>
      </c>
      <c r="AQ6" s="45" t="str">
        <f>IF($G6="","",$G6*ADRYr1!$Q6*ADRYr1!$U6*(IF(ADRYr1!$AI6=Lookups!$E$115,ADRYr1!$AJ6,IF(ADRYr1!$AK6=Lookups!$E$115,ADRYr1!$AL6,IF(ADRYr1!$AM6=Lookups!$E$115,ADRYr1!$AN6,0)))))</f>
        <v/>
      </c>
      <c r="AR6" s="45" t="str">
        <f t="shared" ref="AR6:AR50" si="30">IF($G6="","",AQ6*$H6)</f>
        <v/>
      </c>
      <c r="AS6" s="45" t="str">
        <f>IF($G6="","",AQ6*ADRYr1!$P6)</f>
        <v/>
      </c>
      <c r="AT6" s="45" t="str">
        <f t="shared" ref="AT6:AT50" si="31">IF($G6="","",AS6*$H6)</f>
        <v/>
      </c>
      <c r="AU6" s="45" t="str">
        <f>IF($G6="","",$G6*ADRYr1!$Q6*ADRYr1!$U6*(IF(ADRYr1!$AI6=Lookups!$E$116,ADRYr1!$AJ6,IF(ADRYr1!$AK6=Lookups!$E$116,ADRYr1!$AL6,IF(ADRYr1!$AM6=Lookups!$E$116,ADRYr1!$AN6,0)))))</f>
        <v/>
      </c>
      <c r="AV6" s="45" t="str">
        <f t="shared" ref="AV6:AV50" si="32">IF($G6="","",AU6*$H6)</f>
        <v/>
      </c>
      <c r="AW6" s="45" t="str">
        <f>IF($G6="","",AU6*ADRYr1!$P6)</f>
        <v/>
      </c>
      <c r="AX6" s="45" t="str">
        <f t="shared" ref="AX6:AX50" si="33">IF($G6="","",AW6*$H6)</f>
        <v/>
      </c>
      <c r="AY6" s="45">
        <f t="shared" ref="AY6:AZ21" si="34">SUM(AC6,AG6,AK6,AO6,AS6,AW6)</f>
        <v>0</v>
      </c>
      <c r="AZ6" s="45">
        <f t="shared" si="34"/>
        <v>0</v>
      </c>
      <c r="BA6" s="101" t="str">
        <f>IF($G6="","",$G6*ADRYr1!$P6*ADRYr1!$Q6*ADRYr1!$U6*ADRYr1!AO6)</f>
        <v/>
      </c>
      <c r="BB6" s="102" t="str">
        <f>IF($G6="","",$G6*ADRYr1!$P6*ADRYr1!$Q6*ADRYr1!$U6*ADRYr1!AP6)</f>
        <v/>
      </c>
      <c r="BC6" s="100" t="str">
        <f t="shared" ref="BC6:BC50" si="35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si="5"/>
        <v/>
      </c>
      <c r="BO6" s="31" t="str">
        <f t="shared" ref="BO6:BO50" si="36">IF($G6="","",SUM(BH6,BN6))</f>
        <v/>
      </c>
      <c r="BP6" s="1129" t="str">
        <f t="shared" si="6"/>
        <v/>
      </c>
      <c r="BQ6" s="28" t="str">
        <f t="shared" si="7"/>
        <v/>
      </c>
      <c r="BR6" s="1129" t="str">
        <f t="shared" si="8"/>
        <v/>
      </c>
      <c r="BS6" s="1129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7">IF($G6="","",SUM(BP6:BV6))</f>
        <v/>
      </c>
      <c r="BX6" s="29" t="str">
        <f t="shared" ref="BX6:BX50" si="38">IF($G6="","",BO6+BW6)</f>
        <v/>
      </c>
      <c r="BY6" s="28" t="str">
        <f>IF($G6="","",$G6*(IF(ADRYr1!$AI6=BY$4,ADRYr1!$AJ6,IF(ADRYr1!$AK6=BY$4,ADRYr1!$AL6,IF(ADRYr1!$AM6=BY$4,ADRYr1!$AN6,0))))*(INDEX(avoidedcosttbl,$H6,BY$2)+(($H6-ROUNDDOWN($H6,0))*(INDEX(avoidedcosttbl,ROUNDUP($H6,0),BY$2)-(INDEX(avoidedcosttbl,ROUNDDOWN($H6,0),BY$2)))))*ADRYr1!P6*ADRYr1!Q6*ADRYr1!U6)</f>
        <v/>
      </c>
      <c r="BZ6" s="28" t="str">
        <f>IF($G6="","",$G6*(IF(ADRYr1!$AI6=BZ$4,ADRYr1!$AJ6,IF(ADRYr1!$AK6=BZ$4,ADRYr1!$AL6,IF(ADRYr1!$AM6=BZ$4,ADRYr1!$AN6,0))))*(INDEX(avoidedcosttbl,$H6,BZ$2)+(($H6-ROUNDDOWN($H6,0))*(INDEX(avoidedcosttbl,ROUNDUP($H6,0),BZ$2)-(INDEX(avoidedcosttbl,ROUNDDOWN($H6,0),BZ$2)))))*ADRYr1!P6*ADRYr1!Q6*ADRYr1!U6)</f>
        <v/>
      </c>
      <c r="CA6" s="28" t="str">
        <f>IF($G6="","",$G6*(IF(ADRYr1!$AI6=CA$4,ADRYr1!$AJ6,IF(ADRYr1!$AK6=CA$4,ADRYr1!$AL6,IF(ADRYr1!$AM6=CA$4,ADRYr1!$AN6,0))))*(INDEX(avoidedcosttbl,$H6,CA$2)+(($H6-ROUNDDOWN($H6,0))*(INDEX(avoidedcosttbl,ROUNDUP($H6,0),CA$2)-(INDEX(avoidedcosttbl,ROUNDDOWN($H6,0),CA$2)))))*ADRYr1!P6*ADRYr1!Q6*ADRYr1!U6)</f>
        <v/>
      </c>
      <c r="CB6" s="28" t="str">
        <f>IF($G6="","",$G6*(IF(ADRYr1!$AI6=CB$4,ADRYr1!$AJ6,IF(ADRYr1!$AK6=CB$4,ADRYr1!$AL6,IF(ADRYr1!$AM6=CB$4,ADRYr1!$AN6,0))))*(INDEX(avoidedcosttbl,$H6,CB$2)+(($H6-ROUNDDOWN($H6,0))*(INDEX(avoidedcosttbl,ROUNDUP($H6,0),CB$2)-(INDEX(avoidedcosttbl,ROUNDDOWN($H6,0),CB$2)))))*ADRYr1!P6*ADRYr1!Q6*ADRYr1!U6)</f>
        <v/>
      </c>
      <c r="CC6" s="28" t="str">
        <f>IF($G6="","",$G6*(IF(ADRYr1!$AI6=CC$4,ADRYr1!$AJ6,IF(ADRYr1!$AK6=CC$4,ADRYr1!$AL6,IF(ADRYr1!$AM6=CC$4,ADRYr1!$AN6,0))))*(INDEX(avoidedcosttbl,$H6,CC$2)+(($H6-ROUNDDOWN($H6,0))*(INDEX(avoidedcosttbl,ROUNDUP($H6,0),CC$2)-(INDEX(avoidedcosttbl,ROUNDDOWN($H6,0),CC$2)))))*ADRYr1!P6*ADRYr1!Q6*ADRYr1!U6)</f>
        <v/>
      </c>
      <c r="CD6" s="28" t="str">
        <f>IF($G6="","",$G6*(IF(ADRYr1!$AI6=CD$4,ADRYr1!$AJ6,IF(ADRYr1!$AK6=CD$4,ADRYr1!$AL6,IF(ADRYr1!$AM6=CD$4,ADRYr1!$AN6,0))))*(INDEX(avoidedcosttbl,$H6,CD$2)+(($H6-ROUNDDOWN($H6,0))*(INDEX(avoidedcosttbl,ROUNDUP($H6,0),CD$2)-(INDEX(avoidedcosttbl,ROUNDDOWN($H6,0),CD$2)))))*ADRYr1!P6*ADRYr1!Q6*ADRYr1!U6)</f>
        <v/>
      </c>
      <c r="CE6" s="28" t="str">
        <f>IF($G6="","",$G6*(IF(ADRYr1!$AI6=CE$4,ADRYr1!$AJ6,IF(ADRYr1!$AK6=CE$4,ADRYr1!$AL6,IF(ADRYr1!$AM6=CE$4,ADRYr1!$AN6,0))))*(INDEX(avoidedcosttbl,$H6,CE$2)+(($H6-ROUNDDOWN($H6,0))*(INDEX(avoidedcosttbl,ROUNDUP($H6,0),CE$2)-(INDEX(avoidedcosttbl,ROUNDDOWN($H6,0),CE$2)))))*ADRYr1!P6*ADRYr1!Q6*ADRYr1!U6)</f>
        <v/>
      </c>
      <c r="CF6" s="41" t="str">
        <f t="shared" ref="CF6:CF50" si="39">IF($G6="","",SUM(BY6:CE6))</f>
        <v/>
      </c>
      <c r="CG6" s="30" t="str">
        <f t="shared" si="11"/>
        <v/>
      </c>
      <c r="CH6" s="30" t="str">
        <f>IF($G6="","",$G6*(IF(ADRYr1!$AI6=BY$4,ADRYr1!$AJ6,IF(ADRYr1!$AK6=BY$4,ADRYr1!$AL6,IF(ADRYr1!$AM6=BY$4,ADRYr1!$AN6,0))))*(INDEX(avoidedcosttbl,$H6,CH$2)+(($H6-ROUNDDOWN($H6,0))*(INDEX(avoidedcosttbl,ROUNDUP($H6,0),CH$2)-(INDEX(avoidedcosttbl,ROUNDDOWN($H6,0),CH$2)))))*ADRYr1!P6*ADRYr1!Q6*ADRYr1!U6)</f>
        <v/>
      </c>
      <c r="CI6" s="30" t="str">
        <f>IF($G6="","",$G6*(IF(ADRYr1!$AI6=BZ$4,ADRYr1!$AJ6,IF(ADRYr1!$AK6=BZ$4,ADRYr1!$AL6,IF(ADRYr1!$AM6=BZ$4,ADRYr1!$AN6,0))))*(INDEX(avoidedcosttbl,$H6,CI$2)+(($H6-ROUNDDOWN($H6,0))*(INDEX(avoidedcosttbl,ROUNDUP($H6,0),CI$2)-(INDEX(avoidedcosttbl,ROUNDDOWN($H6,0),CI$2)))))*ADRYr1!P6*ADRYr1!Q6*ADRYr1!U6)</f>
        <v/>
      </c>
      <c r="CJ6" s="30" t="str">
        <f>IF($G6="","",$G6*(IF(ADRYr1!$AI6=CA$4,ADRYr1!$AJ6,IF(ADRYr1!$AK6=CA$4,ADRYr1!$AL6,IF(ADRYr1!$AM6=CA$4,ADRYr1!$AN6,0))))*(INDEX(avoidedcosttbl,$H6,CJ$2)+(($H6-ROUNDDOWN($H6,0))*(INDEX(avoidedcosttbl,ROUNDUP($H6,0),CJ$2)-(INDEX(avoidedcosttbl,ROUNDDOWN($H6,0),CJ$2)))))*ADRYr1!P6*ADRYr1!Q6*ADRYr1!U6)</f>
        <v/>
      </c>
      <c r="CK6" s="30" t="str">
        <f>IF($G6="","",$G6*(IF(ADRYr1!$AI6=CB$4,ADRYr1!$AJ6,IF(ADRYr1!$AK6=CB$4,ADRYr1!$AL6,IF(ADRYr1!$AM6=CB$4,ADRYr1!$AN6,0))))*(INDEX(avoidedcosttbl,$H6,CK$2)+(($H6-ROUNDDOWN($H6,0))*(INDEX(avoidedcosttbl,ROUNDUP($H6,0),CK$2)-(INDEX(avoidedcosttbl,ROUNDDOWN($H6,0),CK$2)))))*ADRYr1!P6*ADRYr1!Q6*ADRYr1!U6)</f>
        <v/>
      </c>
      <c r="CL6" s="30" t="str">
        <f>IF($G6="","",$G6*(IF(ADRYr1!$AI6=CC$4,ADRYr1!$AJ6,IF(ADRYr1!$AK6=CC$4,ADRYr1!$AL6,IF(ADRYr1!$AM6=CC$4,ADRYr1!$AN6,0))))*(INDEX(avoidedcosttbl,$H6,CL$2)+(($H6-ROUNDDOWN($H6,0))*(INDEX(avoidedcosttbl,ROUNDUP($H6,0),CL$2)-(INDEX(avoidedcosttbl,ROUNDDOWN($H6,0),CL$2)))))*ADRYr1!P6*ADRYr1!Q6*ADRYr1!U6)</f>
        <v/>
      </c>
      <c r="CM6" s="30" t="str">
        <f>IF($G6="","",$G6*(IF(ADRYr1!$AI6=CD$4,ADRYr1!$AJ6,IF(ADRYr1!$AK6=CD$4,ADRYr1!$AL6,IF(ADRYr1!$AM6=CD$4,ADRYr1!$AN6,0))))*(INDEX(avoidedcosttbl,$H6,CM$2)+(($H6-ROUNDDOWN($H6,0))*(INDEX(avoidedcosttbl,ROUNDUP($H6,0),CM$2)-(INDEX(avoidedcosttbl,ROUNDDOWN($H6,0),CM$2)))))*ADRYr1!P6*ADRYr1!Q6*ADRYr1!U6)</f>
        <v/>
      </c>
      <c r="CN6" s="30" t="str">
        <f>IF($G6="","",$G6*(IF(ADRYr1!$AI6=CE$4,ADRYr1!$AJ6,IF(ADRYr1!$AK6=CE$4,ADRYr1!$AL6,IF(ADRYr1!$AM6=CE$4,ADRYr1!$AN6,0))))*(INDEX(avoidedcosttbl,$H6,CN$2)+(($H6-ROUNDDOWN($H6,0))*(INDEX(avoidedcosttbl,ROUNDUP($H6,0),CN$2)-(INDEX(avoidedcosttbl,ROUNDDOWN($H6,0),CN$2)))))*ADRYr1!P6*ADRYr1!Q6*ADRYr1!U6)</f>
        <v/>
      </c>
      <c r="CO6" s="220" t="str">
        <f t="shared" ref="CO6:CO50" si="40">IF($G6="","",SUM(CG6:CN6))</f>
        <v/>
      </c>
      <c r="CP6" s="220" t="str">
        <f t="shared" ref="CP6:CP50" si="41">IF($G6="","",CF6+CO6)</f>
        <v/>
      </c>
      <c r="CQ6" s="157" t="str">
        <f>IF($G6="","",$G6*(IF(ADRYr1!$AI6=CQ$4,ADRYr1!$AJ6,IF(ADRYr1!$AK6=CQ$4,ADRYr1!$AL6,IF(ADRYr1!$AM6=CQ$4,ADRYr1!$AN6,0))))*(INDEX(avoidedcosttbl,$H6,CQ$2)+(($H6-ROUNDDOWN($H6,0))*(INDEX(avoidedcosttbl,ROUNDUP($H6,0),CQ$2)-(INDEX(avoidedcosttbl,ROUNDDOWN($H6,0),CQ$2)))))*ADRYr1!$P6*ADRYr1!$Q6*ADRYr1!$U6)</f>
        <v/>
      </c>
      <c r="CR6" s="28" t="str">
        <f>IF($G6="","",G6*(IF(ADRYr1!$AI6=CR$4,ADRYr1!$AJ6,IF(ADRYr1!$AK6=CR$4,ADRYr1!$AL6,IF(ADRYr1!$AM6=CR$4,ADRYr1!$AN6,0))))*(INDEX(avoidedcosttbl,$H6,CR$2)+(($H6-ROUNDDOWN($H6,0))*(INDEX(avoidedcosttbl,ROUNDUP($H6,0),CR$2)-(INDEX(avoidedcosttbl,ROUNDDOWN($H6,0),CR$2)))))*ADRYr1!$P6*ADRYr1!$Q6*ADRYr1!$U6)</f>
        <v/>
      </c>
      <c r="CS6" s="28" t="str">
        <f>IF($G6="","",G6*(IF(ADRYr1!$AI6=CS$4,ADRYr1!$AJ6,IF(ADRYr1!$AK6=CS$4,ADRYr1!$AL6,IF(ADRYr1!$AM6=CS$4,ADRYr1!$AN6,0))))*(INDEX(avoidedcosttbl,$H6,CS$2)+(($H6-ROUNDDOWN($H6,0))*(INDEX(avoidedcosttbl,ROUNDUP($H6,0),CS$2)-(INDEX(avoidedcosttbl,ROUNDDOWN($H6,0),CS$2)))))*ADRYr1!$P6*ADRYr1!$Q6*ADRYr1!$U6)</f>
        <v/>
      </c>
      <c r="CT6" s="28" t="str">
        <f t="shared" si="12"/>
        <v/>
      </c>
      <c r="CU6" s="28" t="str">
        <f>IF($G6="","",G6*(IF(ADRYr1!$AI6=CU$4,ADRYr1!$AJ6,IF(ADRYr1!$AK6=CU$4,ADRYr1!$AL6,IF(ADRYr1!$AM6=CU$4,ADRYr1!$AN6,0))))*(INDEX(avoidedcosttbl,$H6,CU$2)+(($H6-ROUNDDOWN($H6,0))*(INDEX(avoidedcosttbl,ROUNDUP($H6,0),CU$2)-(INDEX(avoidedcosttbl,ROUNDDOWN($H6,0),CU$2)))))*ADRYr1!$P6*ADRYr1!$Q6*ADRYr1!$U6)</f>
        <v/>
      </c>
      <c r="CV6" s="28" t="str">
        <f>IF($G6="","",G6*(IF(ADRYr1!$AI6=CV$4,ADRYr1!$AJ6,IF(ADRYr1!$AK6=CV$4,ADRYr1!$AL6,IF(ADRYr1!$AM6=CV$4,ADRYr1!$AN6,0))))*(INDEX(avoidedcosttbl,$H6,CV$2)+(($H6-ROUNDDOWN($H6,0))*(INDEX(avoidedcosttbl,ROUNDUP($H6,0),CV$2)-(INDEX(avoidedcosttbl,ROUNDDOWN($H6,0),CV$2)))))*ADRYr1!$P6*ADRYr1!$Q6*ADRYr1!$U6)</f>
        <v/>
      </c>
      <c r="CW6" s="28" t="str">
        <f>IF($G6="","",G6*(IF(ADRYr1!$AI6=CW$4,ADRYr1!$AJ6,IF(ADRYr1!$AK6=CW$4,ADRYr1!$AL6,IF(ADRYr1!$AM6=CW$4,ADRYr1!$AN6,0))))*(INDEX(avoidedcosttbl,$H6,CW$2)+(($H6-ROUNDDOWN($H6,0))*(INDEX(avoidedcosttbl,ROUNDUP($H6,0),CW$2)-(INDEX(avoidedcosttbl,ROUNDDOWN($H6,0),CW$2)))))*ADRYr1!$P6*ADRYr1!$Q6*ADRYr1!$U6)</f>
        <v/>
      </c>
      <c r="CX6" s="28" t="str">
        <f>IF($G6="","",G6*(IF(ADRYr1!$AI6=CX$4,ADRYr1!$AJ6,IF(ADRYr1!$AK6=CX$4,ADRYr1!$AL6,IF(ADRYr1!$AM6=CX$4,ADRYr1!$AN6,0))))*(INDEX(avoidedcosttbl,$H6,CX$2)+(($H6-ROUNDDOWN($H6,0))*(INDEX(avoidedcosttbl,ROUNDUP($H6,0),CX$2)-(INDEX(avoidedcosttbl,ROUNDDOWN($H6,0),CX$2)))))*ADRYr1!$P6*ADRYr1!$Q6*ADRYr1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2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si="15"/>
        <v/>
      </c>
      <c r="DD6" s="166" t="str">
        <f t="shared" si="16"/>
        <v/>
      </c>
      <c r="DE6" s="82">
        <f t="shared" ref="DE6:DE50" si="43">SUM(DB6:DD6)</f>
        <v>0</v>
      </c>
      <c r="DF6" s="760" t="str">
        <f>IF($G6="","",(1+WntPeakEnergyLL)*(INDEX(avoidedcosttbl,$H6,DF$2)+(($H6-ROUNDDOWN($H6,0))*(INDEX(avoidedcosttbl,ROUNDUP($H6,0),DF$2)-(INDEX(avoidedcosttbl,ROUNDDOWN($H6,0),DF$2)))))*$P6*1000*ADRYr1!Z6)</f>
        <v/>
      </c>
      <c r="DG6" s="760" t="str">
        <f>IF($G6="","",(1+WntOffPeakEnergyLL)*(INDEX(avoidedcosttbl,$H6,DG$2)+(($H6-ROUNDDOWN($H6,0))*(INDEX(avoidedcosttbl,ROUNDUP($H6,0),DG$2)-(INDEX(avoidedcosttbl,ROUNDDOWN($H6,0),DG$2)))))*$P6*1000*ADRYr1!AA6)</f>
        <v/>
      </c>
      <c r="DH6" s="760" t="str">
        <f>IF($G6="","",(1+SumPeakEnergyLL)*(INDEX(avoidedcosttbl,$H6,DH$2)+(($H6-ROUNDDOWN($H6,0))*(INDEX(avoidedcosttbl,ROUNDUP($H6,0),DH$2)-(INDEX(avoidedcosttbl,ROUNDDOWN($H6,0),DH$2)))))*$P6*1000*ADRYr1!AB6)</f>
        <v/>
      </c>
      <c r="DI6" s="760" t="str">
        <f>IF($G6="","",(1+SumOffPeakEnergyLL)*(INDEX(avoidedcosttbl,$H6,DI$2)+(($H6-ROUNDDOWN($H6,0))*(INDEX(avoidedcosttbl,ROUNDUP($H6,0),DI$2)-(INDEX(avoidedcosttbl,ROUNDDOWN($H6,0),DI$2)))))*$P6*1000*ADRYr1!AC6)</f>
        <v/>
      </c>
      <c r="DJ6" s="29" t="str">
        <f t="shared" ref="DJ6:DJ50" si="44">IF($G6="","",SUM(DF6:DI6))</f>
        <v/>
      </c>
      <c r="DK6" s="161" t="str">
        <f t="shared" ref="DK6:DK41" si="45">IF($G6="","",DE6+DA6+BX6)</f>
        <v/>
      </c>
      <c r="DL6" s="1375" t="str">
        <f t="shared" ref="DL6:DL41" si="46">IF($G6="","",IF(LEFT(A6,1)="B",DE6+DA6+BX6,DD6+DA6+BX6))</f>
        <v/>
      </c>
      <c r="DM6" s="1375" t="str">
        <f t="shared" ref="DM6:DM50" si="47">IF($G6="","",BX6)</f>
        <v/>
      </c>
      <c r="DN6" s="43" t="str">
        <f t="shared" ref="DN6:DN41" si="48">IF($G6="","",DE6+DA6+BX6+DJ6)</f>
        <v/>
      </c>
      <c r="DO6" s="1131" t="str">
        <f>IF($G6="","",ADRYr1!AQ6)</f>
        <v/>
      </c>
      <c r="DP6" s="1133" t="str">
        <f>IF($G6="","",ADRYr1!AR6)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si="17"/>
        <v/>
      </c>
      <c r="DU6" s="1135" t="str">
        <f>IF($G6="","",ADRYr1!AS6)</f>
        <v/>
      </c>
      <c r="DV6" s="1136" t="str">
        <f>IF($G6="","",ADRYr1!AT6)</f>
        <v/>
      </c>
      <c r="DW6" s="1344" t="str">
        <f>IF($G6="","",INDEX(AvoidedEnergy!$H$4:$H$10,MATCH($DO6,AvoidedEnergy!$A$4:$A$10,0)))</f>
        <v/>
      </c>
    </row>
    <row r="7" spans="1:127">
      <c r="A7" s="160" t="str">
        <f>IF(ADRYr1!$B7=0,"",ADRYr1!A7)</f>
        <v>A - Residential</v>
      </c>
      <c r="B7" s="9" t="str">
        <f>IF(ADRYr1!$B7=0,"",ADRYr1!B7)</f>
        <v>A5 - Residential Active Demand Response</v>
      </c>
      <c r="C7" s="9" t="str">
        <f>IF(ADRYr1!$B7=0,"",ADRYr1!C7)</f>
        <v>A5a - Residential Active Demand Response</v>
      </c>
      <c r="D7" s="9" t="str">
        <f>IF(ADRYr1!$B7=0,"",ADRYr1!D7)</f>
        <v>Storage Daily Dispatch Upfront Incentive (savings) Summer</v>
      </c>
      <c r="E7" s="9">
        <f>IF(ADRYr1!$B7=0,"",ADRYr1!E7)</f>
        <v>0</v>
      </c>
      <c r="F7" s="11" t="str">
        <f>IF(ADRYr1!$B7=0,"",ADRYr1!F7)</f>
        <v>Behavior</v>
      </c>
      <c r="G7" s="12" t="str">
        <f>IF(ADRYr1!$G7&lt;&gt;0,ADRYr1!G7,"")</f>
        <v/>
      </c>
      <c r="H7" s="1125" t="str">
        <f>IF($G7="","",ROUND(ADRYr1!H7,0))</f>
        <v/>
      </c>
      <c r="I7" s="47" t="str">
        <f>IF($G7="","",ADRYr1!I7*ADRYr1!P7*G7)</f>
        <v/>
      </c>
      <c r="J7" s="47" t="str">
        <f>IF($G7="","",ADRYr1!J7*G7)</f>
        <v/>
      </c>
      <c r="K7" s="47" t="str">
        <f t="shared" si="18"/>
        <v/>
      </c>
      <c r="L7" s="27" t="str">
        <f>IF($G7="","",ADRYr1!V7*G7/1000)</f>
        <v/>
      </c>
      <c r="M7" s="27" t="str">
        <f>IF($G7="","",L7*ADRYr1!$Q7*ADRYr1!$R7)</f>
        <v/>
      </c>
      <c r="N7" s="27" t="str">
        <f t="shared" si="19"/>
        <v/>
      </c>
      <c r="O7" s="27" t="str">
        <f t="shared" si="20"/>
        <v/>
      </c>
      <c r="P7" s="27" t="str">
        <f>IF($G7="","",M7*ADRYr1!P7)</f>
        <v/>
      </c>
      <c r="Q7" s="27" t="str">
        <f t="shared" si="21"/>
        <v/>
      </c>
      <c r="R7" s="27" t="str">
        <f>IF($G7="","",$Q7*ADRYr1!Z7)</f>
        <v/>
      </c>
      <c r="S7" s="27" t="str">
        <f>IF($G7="","",$Q7*ADRYr1!AA7)</f>
        <v/>
      </c>
      <c r="T7" s="27" t="str">
        <f>IF($G7="","",$Q7*ADRYr1!AB7)</f>
        <v/>
      </c>
      <c r="U7" s="27" t="str">
        <f>IF($G7="","",$Q7*ADRYr1!AC7)</f>
        <v/>
      </c>
      <c r="V7" s="27" t="str">
        <f>IF($G7="","",G7*ADRYr1!$AD7*ADRYr1!$P7*ADRYr1!$Q7)</f>
        <v/>
      </c>
      <c r="W7" s="27" t="str">
        <f>IF($G7="","",$G7*ADRYr1!$AD7*ADRYr1!$AF7*ADRYr1!Q7*ADRYr1!$S7)</f>
        <v/>
      </c>
      <c r="X7" s="27" t="str">
        <f>IF($G7="","",$G7*ADRYr1!$AD7*ADRYr1!$AF7*ADRYr1!P7*ADRYr1!Q7*ADRYr1!$S7)</f>
        <v/>
      </c>
      <c r="Y7" s="27" t="str">
        <f>IF($G7="","",$G7*ADRYr1!$AD7*ADRYr1!$AE7*ADRYr1!Q7*ADRYr1!$T7)</f>
        <v/>
      </c>
      <c r="Z7" s="27" t="str">
        <f>IF($G7="","",$G7*ADRYr1!$AD7*ADRYr1!$AE7*ADRYr1!P7*ADRYr1!Q7*ADRYr1!$T7)</f>
        <v/>
      </c>
      <c r="AA7" s="45" t="str">
        <f>IF($G7="","",$G7*ADRYr1!$Q7*ADRYr1!$U7*(IF(IFERROR(SEARCH("NG", ADRYr1!$AI7),0),ADRYr1!$AJ7,0)+IF(IFERROR(SEARCH("NG", ADRYr1!$AK7),0),ADRYr1!$AL7,0)+IF(IFERROR(SEARCH("NG", ADRYr1!$AM7),0),ADRYr1!$AN7,0)))</f>
        <v/>
      </c>
      <c r="AB7" s="45" t="str">
        <f t="shared" si="22"/>
        <v/>
      </c>
      <c r="AC7" s="45">
        <f>IF($G7="",0,AA7*ADRYr1!$P7)</f>
        <v>0</v>
      </c>
      <c r="AD7" s="45" t="str">
        <f t="shared" si="23"/>
        <v/>
      </c>
      <c r="AE7" s="45" t="str">
        <f>IF($G7="","",$G7*ADRYr1!$Q7*ADRYr1!$U7*(IF(IFERROR(SEARCH("Oil", ADRYr1!$AI7), 0),ADRYr1!$AJ7,0)+IF(IFERROR(SEARCH("Oil", ADRYr1!$AK7), 0),ADRYr1!$AL7,0)+IF(IFERROR(SEARCH("Oil", ADRYr1!$AM7), 0),ADRYr1!$AN7,0)))</f>
        <v/>
      </c>
      <c r="AF7" s="45" t="str">
        <f t="shared" si="24"/>
        <v/>
      </c>
      <c r="AG7" s="45">
        <f>IF($G7="",0,AE7*ADRYr1!$P7)</f>
        <v>0</v>
      </c>
      <c r="AH7" s="45" t="str">
        <f t="shared" si="25"/>
        <v/>
      </c>
      <c r="AI7" s="45" t="str">
        <f>IF($G7="","",$G7*ADRYr1!$Q7*ADRYr1!$U7*(IF(ADRYr1!$AI7=Lookups!$E$114,ADRYr1!$AJ7,IF(ADRYr1!$AK7=Lookups!$E$114,ADRYr1!$AL7,IF(ADRYr1!$AM7=Lookups!$E$114,ADRYr1!$AN7,0)))))</f>
        <v/>
      </c>
      <c r="AJ7" s="45" t="str">
        <f t="shared" si="26"/>
        <v/>
      </c>
      <c r="AK7" s="45">
        <f>IF($G7="",0,AI7*ADRYr1!$P7)</f>
        <v>0</v>
      </c>
      <c r="AL7" s="45" t="str">
        <f t="shared" si="27"/>
        <v/>
      </c>
      <c r="AM7" s="45" t="str">
        <f>IF($G7="","",$G7*ADRYr1!$Q7*ADRYr1!$U7*(IF(ADRYr1!$AI7=Lookups!$E$113,ADRYr1!$AJ7,IF(ADRYr1!$AK7=Lookups!$E$113,ADRYr1!$AL7,IF(ADRYr1!$AM7=Lookups!$E$113,ADRYr1!$AN7,0)))))</f>
        <v/>
      </c>
      <c r="AN7" s="45" t="str">
        <f t="shared" si="28"/>
        <v/>
      </c>
      <c r="AO7" s="45">
        <f>IF($G7="",0,AM7*ADRYr1!$P7)</f>
        <v>0</v>
      </c>
      <c r="AP7" s="45" t="str">
        <f t="shared" si="29"/>
        <v/>
      </c>
      <c r="AQ7" s="45" t="str">
        <f>IF($G7="","",$G7*ADRYr1!$Q7*ADRYr1!$U7*(IF(ADRYr1!$AI7=Lookups!$E$115,ADRYr1!$AJ7,IF(ADRYr1!$AK7=Lookups!$E$115,ADRYr1!$AL7,IF(ADRYr1!$AM7=Lookups!$E$115,ADRYr1!$AN7,0)))))</f>
        <v/>
      </c>
      <c r="AR7" s="45" t="str">
        <f t="shared" si="30"/>
        <v/>
      </c>
      <c r="AS7" s="45" t="str">
        <f>IF($G7="","",AQ7*ADRYr1!$P7)</f>
        <v/>
      </c>
      <c r="AT7" s="45" t="str">
        <f t="shared" si="31"/>
        <v/>
      </c>
      <c r="AU7" s="45" t="str">
        <f>IF($G7="","",$G7*ADRYr1!$Q7*ADRYr1!$U7*(IF(ADRYr1!$AI7=Lookups!$E$116,ADRYr1!$AJ7,IF(ADRYr1!$AK7=Lookups!$E$116,ADRYr1!$AL7,IF(ADRYr1!$AM7=Lookups!$E$116,ADRYr1!$AN7,0)))))</f>
        <v/>
      </c>
      <c r="AV7" s="45" t="str">
        <f t="shared" si="32"/>
        <v/>
      </c>
      <c r="AW7" s="45" t="str">
        <f>IF($G7="","",AU7*ADRYr1!$P7)</f>
        <v/>
      </c>
      <c r="AX7" s="45" t="str">
        <f t="shared" si="33"/>
        <v/>
      </c>
      <c r="AY7" s="45">
        <f t="shared" si="34"/>
        <v>0</v>
      </c>
      <c r="AZ7" s="45">
        <f t="shared" si="34"/>
        <v>0</v>
      </c>
      <c r="BA7" s="101" t="str">
        <f>IF($G7="","",$G7*ADRYr1!$P7*ADRYr1!$Q7*ADRYr1!$U7*ADRYr1!AO7)</f>
        <v/>
      </c>
      <c r="BB7" s="102" t="str">
        <f>IF($G7="","",$G7*ADRYr1!$P7*ADRYr1!$Q7*ADRYr1!$U7*ADRYr1!AP7)</f>
        <v/>
      </c>
      <c r="BC7" s="100" t="str">
        <f t="shared" si="35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5"/>
        <v/>
      </c>
      <c r="BO7" s="31" t="str">
        <f t="shared" si="36"/>
        <v/>
      </c>
      <c r="BP7" s="1129" t="str">
        <f t="shared" si="6"/>
        <v/>
      </c>
      <c r="BQ7" s="28" t="str">
        <f t="shared" si="7"/>
        <v/>
      </c>
      <c r="BR7" s="1129" t="str">
        <f t="shared" si="8"/>
        <v/>
      </c>
      <c r="BS7" s="1129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7"/>
        <v/>
      </c>
      <c r="BX7" s="29" t="str">
        <f t="shared" si="38"/>
        <v/>
      </c>
      <c r="BY7" s="28" t="str">
        <f>IF($G7="","",$G7*(IF(ADRYr1!$AI7=BY$4,ADRYr1!$AJ7,IF(ADRYr1!$AK7=BY$4,ADRYr1!$AL7,IF(ADRYr1!$AM7=BY$4,ADRYr1!$AN7,0))))*(INDEX(avoidedcosttbl,$H7,BY$2)+(($H7-ROUNDDOWN($H7,0))*(INDEX(avoidedcosttbl,ROUNDUP($H7,0),BY$2)-(INDEX(avoidedcosttbl,ROUNDDOWN($H7,0),BY$2)))))*ADRYr1!P7*ADRYr1!Q7*ADRYr1!U7)</f>
        <v/>
      </c>
      <c r="BZ7" s="28" t="str">
        <f>IF($G7="","",$G7*(IF(ADRYr1!$AI7=BZ$4,ADRYr1!$AJ7,IF(ADRYr1!$AK7=BZ$4,ADRYr1!$AL7,IF(ADRYr1!$AM7=BZ$4,ADRYr1!$AN7,0))))*(INDEX(avoidedcosttbl,$H7,BZ$2)+(($H7-ROUNDDOWN($H7,0))*(INDEX(avoidedcosttbl,ROUNDUP($H7,0),BZ$2)-(INDEX(avoidedcosttbl,ROUNDDOWN($H7,0),BZ$2)))))*ADRYr1!P7*ADRYr1!Q7*ADRYr1!U7)</f>
        <v/>
      </c>
      <c r="CA7" s="28" t="str">
        <f>IF($G7="","",$G7*(IF(ADRYr1!$AI7=CA$4,ADRYr1!$AJ7,IF(ADRYr1!$AK7=CA$4,ADRYr1!$AL7,IF(ADRYr1!$AM7=CA$4,ADRYr1!$AN7,0))))*(INDEX(avoidedcosttbl,$H7,CA$2)+(($H7-ROUNDDOWN($H7,0))*(INDEX(avoidedcosttbl,ROUNDUP($H7,0),CA$2)-(INDEX(avoidedcosttbl,ROUNDDOWN($H7,0),CA$2)))))*ADRYr1!P7*ADRYr1!Q7*ADRYr1!U7)</f>
        <v/>
      </c>
      <c r="CB7" s="28" t="str">
        <f>IF($G7="","",$G7*(IF(ADRYr1!$AI7=CB$4,ADRYr1!$AJ7,IF(ADRYr1!$AK7=CB$4,ADRYr1!$AL7,IF(ADRYr1!$AM7=CB$4,ADRYr1!$AN7,0))))*(INDEX(avoidedcosttbl,$H7,CB$2)+(($H7-ROUNDDOWN($H7,0))*(INDEX(avoidedcosttbl,ROUNDUP($H7,0),CB$2)-(INDEX(avoidedcosttbl,ROUNDDOWN($H7,0),CB$2)))))*ADRYr1!P7*ADRYr1!Q7*ADRYr1!U7)</f>
        <v/>
      </c>
      <c r="CC7" s="28" t="str">
        <f>IF($G7="","",$G7*(IF(ADRYr1!$AI7=CC$4,ADRYr1!$AJ7,IF(ADRYr1!$AK7=CC$4,ADRYr1!$AL7,IF(ADRYr1!$AM7=CC$4,ADRYr1!$AN7,0))))*(INDEX(avoidedcosttbl,$H7,CC$2)+(($H7-ROUNDDOWN($H7,0))*(INDEX(avoidedcosttbl,ROUNDUP($H7,0),CC$2)-(INDEX(avoidedcosttbl,ROUNDDOWN($H7,0),CC$2)))))*ADRYr1!P7*ADRYr1!Q7*ADRYr1!U7)</f>
        <v/>
      </c>
      <c r="CD7" s="28" t="str">
        <f>IF($G7="","",$G7*(IF(ADRYr1!$AI7=CD$4,ADRYr1!$AJ7,IF(ADRYr1!$AK7=CD$4,ADRYr1!$AL7,IF(ADRYr1!$AM7=CD$4,ADRYr1!$AN7,0))))*(INDEX(avoidedcosttbl,$H7,CD$2)+(($H7-ROUNDDOWN($H7,0))*(INDEX(avoidedcosttbl,ROUNDUP($H7,0),CD$2)-(INDEX(avoidedcosttbl,ROUNDDOWN($H7,0),CD$2)))))*ADRYr1!P7*ADRYr1!Q7*ADRYr1!U7)</f>
        <v/>
      </c>
      <c r="CE7" s="28" t="str">
        <f>IF($G7="","",$G7*(IF(ADRYr1!$AI7=CE$4,ADRYr1!$AJ7,IF(ADRYr1!$AK7=CE$4,ADRYr1!$AL7,IF(ADRYr1!$AM7=CE$4,ADRYr1!$AN7,0))))*(INDEX(avoidedcosttbl,$H7,CE$2)+(($H7-ROUNDDOWN($H7,0))*(INDEX(avoidedcosttbl,ROUNDUP($H7,0),CE$2)-(INDEX(avoidedcosttbl,ROUNDDOWN($H7,0),CE$2)))))*ADRYr1!P7*ADRYr1!Q7*ADRYr1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1!$AI7=BY$4,ADRYr1!$AJ7,IF(ADRYr1!$AK7=BY$4,ADRYr1!$AL7,IF(ADRYr1!$AM7=BY$4,ADRYr1!$AN7,0))))*(INDEX(avoidedcosttbl,$H7,CH$2)+(($H7-ROUNDDOWN($H7,0))*(INDEX(avoidedcosttbl,ROUNDUP($H7,0),CH$2)-(INDEX(avoidedcosttbl,ROUNDDOWN($H7,0),CH$2)))))*ADRYr1!P7*ADRYr1!Q7*ADRYr1!U7)</f>
        <v/>
      </c>
      <c r="CI7" s="30" t="str">
        <f>IF($G7="","",$G7*(IF(ADRYr1!$AI7=BZ$4,ADRYr1!$AJ7,IF(ADRYr1!$AK7=BZ$4,ADRYr1!$AL7,IF(ADRYr1!$AM7=BZ$4,ADRYr1!$AN7,0))))*(INDEX(avoidedcosttbl,$H7,CI$2)+(($H7-ROUNDDOWN($H7,0))*(INDEX(avoidedcosttbl,ROUNDUP($H7,0),CI$2)-(INDEX(avoidedcosttbl,ROUNDDOWN($H7,0),CI$2)))))*ADRYr1!P7*ADRYr1!Q7*ADRYr1!U7)</f>
        <v/>
      </c>
      <c r="CJ7" s="30" t="str">
        <f>IF($G7="","",$G7*(IF(ADRYr1!$AI7=CA$4,ADRYr1!$AJ7,IF(ADRYr1!$AK7=CA$4,ADRYr1!$AL7,IF(ADRYr1!$AM7=CA$4,ADRYr1!$AN7,0))))*(INDEX(avoidedcosttbl,$H7,CJ$2)+(($H7-ROUNDDOWN($H7,0))*(INDEX(avoidedcosttbl,ROUNDUP($H7,0),CJ$2)-(INDEX(avoidedcosttbl,ROUNDDOWN($H7,0),CJ$2)))))*ADRYr1!P7*ADRYr1!Q7*ADRYr1!U7)</f>
        <v/>
      </c>
      <c r="CK7" s="30" t="str">
        <f>IF($G7="","",$G7*(IF(ADRYr1!$AI7=CB$4,ADRYr1!$AJ7,IF(ADRYr1!$AK7=CB$4,ADRYr1!$AL7,IF(ADRYr1!$AM7=CB$4,ADRYr1!$AN7,0))))*(INDEX(avoidedcosttbl,$H7,CK$2)+(($H7-ROUNDDOWN($H7,0))*(INDEX(avoidedcosttbl,ROUNDUP($H7,0),CK$2)-(INDEX(avoidedcosttbl,ROUNDDOWN($H7,0),CK$2)))))*ADRYr1!P7*ADRYr1!Q7*ADRYr1!U7)</f>
        <v/>
      </c>
      <c r="CL7" s="30" t="str">
        <f>IF($G7="","",$G7*(IF(ADRYr1!$AI7=CC$4,ADRYr1!$AJ7,IF(ADRYr1!$AK7=CC$4,ADRYr1!$AL7,IF(ADRYr1!$AM7=CC$4,ADRYr1!$AN7,0))))*(INDEX(avoidedcosttbl,$H7,CL$2)+(($H7-ROUNDDOWN($H7,0))*(INDEX(avoidedcosttbl,ROUNDUP($H7,0),CL$2)-(INDEX(avoidedcosttbl,ROUNDDOWN($H7,0),CL$2)))))*ADRYr1!P7*ADRYr1!Q7*ADRYr1!U7)</f>
        <v/>
      </c>
      <c r="CM7" s="30" t="str">
        <f>IF($G7="","",$G7*(IF(ADRYr1!$AI7=CD$4,ADRYr1!$AJ7,IF(ADRYr1!$AK7=CD$4,ADRYr1!$AL7,IF(ADRYr1!$AM7=CD$4,ADRYr1!$AN7,0))))*(INDEX(avoidedcosttbl,$H7,CM$2)+(($H7-ROUNDDOWN($H7,0))*(INDEX(avoidedcosttbl,ROUNDUP($H7,0),CM$2)-(INDEX(avoidedcosttbl,ROUNDDOWN($H7,0),CM$2)))))*ADRYr1!P7*ADRYr1!Q7*ADRYr1!U7)</f>
        <v/>
      </c>
      <c r="CN7" s="30" t="str">
        <f>IF($G7="","",$G7*(IF(ADRYr1!$AI7=CE$4,ADRYr1!$AJ7,IF(ADRYr1!$AK7=CE$4,ADRYr1!$AL7,IF(ADRYr1!$AM7=CE$4,ADRYr1!$AN7,0))))*(INDEX(avoidedcosttbl,$H7,CN$2)+(($H7-ROUNDDOWN($H7,0))*(INDEX(avoidedcosttbl,ROUNDUP($H7,0),CN$2)-(INDEX(avoidedcosttbl,ROUNDDOWN($H7,0),CN$2)))))*ADRYr1!P7*ADRYr1!Q7*ADRYr1!U7)</f>
        <v/>
      </c>
      <c r="CO7" s="220" t="str">
        <f t="shared" si="40"/>
        <v/>
      </c>
      <c r="CP7" s="220" t="str">
        <f t="shared" si="41"/>
        <v/>
      </c>
      <c r="CQ7" s="157" t="str">
        <f>IF($G7="","",$G7*(IF(ADRYr1!$AI7=CQ$4,ADRYr1!$AJ7,IF(ADRYr1!$AK7=CQ$4,ADRYr1!$AL7,IF(ADRYr1!$AM7=CQ$4,ADRYr1!$AN7,0))))*(INDEX(avoidedcosttbl,$H7,CQ$2)+(($H7-ROUNDDOWN($H7,0))*(INDEX(avoidedcosttbl,ROUNDUP($H7,0),CQ$2)-(INDEX(avoidedcosttbl,ROUNDDOWN($H7,0),CQ$2)))))*ADRYr1!$P7*ADRYr1!$Q7*ADRYr1!$U7)</f>
        <v/>
      </c>
      <c r="CR7" s="28" t="str">
        <f>IF($G7="","",G7*(IF(ADRYr1!$AI7=CR$4,ADRYr1!$AJ7,IF(ADRYr1!$AK7=CR$4,ADRYr1!$AL7,IF(ADRYr1!$AM7=CR$4,ADRYr1!$AN7,0))))*(INDEX(avoidedcosttbl,$H7,CR$2)+(($H7-ROUNDDOWN($H7,0))*(INDEX(avoidedcosttbl,ROUNDUP($H7,0),CR$2)-(INDEX(avoidedcosttbl,ROUNDDOWN($H7,0),CR$2)))))*ADRYr1!$P7*ADRYr1!$Q7*ADRYr1!$U7)</f>
        <v/>
      </c>
      <c r="CS7" s="28" t="str">
        <f>IF($G7="","",G7*(IF(ADRYr1!$AI7=CS$4,ADRYr1!$AJ7,IF(ADRYr1!$AK7=CS$4,ADRYr1!$AL7,IF(ADRYr1!$AM7=CS$4,ADRYr1!$AN7,0))))*(INDEX(avoidedcosttbl,$H7,CS$2)+(($H7-ROUNDDOWN($H7,0))*(INDEX(avoidedcosttbl,ROUNDUP($H7,0),CS$2)-(INDEX(avoidedcosttbl,ROUNDDOWN($H7,0),CS$2)))))*ADRYr1!$P7*ADRYr1!$Q7*ADRYr1!$U7)</f>
        <v/>
      </c>
      <c r="CT7" s="28" t="str">
        <f t="shared" si="12"/>
        <v/>
      </c>
      <c r="CU7" s="28" t="str">
        <f>IF($G7="","",G7*(IF(ADRYr1!$AI7=CU$4,ADRYr1!$AJ7,IF(ADRYr1!$AK7=CU$4,ADRYr1!$AL7,IF(ADRYr1!$AM7=CU$4,ADRYr1!$AN7,0))))*(INDEX(avoidedcosttbl,$H7,CU$2)+(($H7-ROUNDDOWN($H7,0))*(INDEX(avoidedcosttbl,ROUNDUP($H7,0),CU$2)-(INDEX(avoidedcosttbl,ROUNDDOWN($H7,0),CU$2)))))*ADRYr1!$P7*ADRYr1!$Q7*ADRYr1!$U7)</f>
        <v/>
      </c>
      <c r="CV7" s="28" t="str">
        <f>IF($G7="","",G7*(IF(ADRYr1!$AI7=CV$4,ADRYr1!$AJ7,IF(ADRYr1!$AK7=CV$4,ADRYr1!$AL7,IF(ADRYr1!$AM7=CV$4,ADRYr1!$AN7,0))))*(INDEX(avoidedcosttbl,$H7,CV$2)+(($H7-ROUNDDOWN($H7,0))*(INDEX(avoidedcosttbl,ROUNDUP($H7,0),CV$2)-(INDEX(avoidedcosttbl,ROUNDDOWN($H7,0),CV$2)))))*ADRYr1!$P7*ADRYr1!$Q7*ADRYr1!$U7)</f>
        <v/>
      </c>
      <c r="CW7" s="28" t="str">
        <f>IF($G7="","",G7*(IF(ADRYr1!$AI7=CW$4,ADRYr1!$AJ7,IF(ADRYr1!$AK7=CW$4,ADRYr1!$AL7,IF(ADRYr1!$AM7=CW$4,ADRYr1!$AN7,0))))*(INDEX(avoidedcosttbl,$H7,CW$2)+(($H7-ROUNDDOWN($H7,0))*(INDEX(avoidedcosttbl,ROUNDUP($H7,0),CW$2)-(INDEX(avoidedcosttbl,ROUNDDOWN($H7,0),CW$2)))))*ADRYr1!$P7*ADRYr1!$Q7*ADRYr1!$U7)</f>
        <v/>
      </c>
      <c r="CX7" s="28" t="str">
        <f>IF($G7="","",G7*(IF(ADRYr1!$AI7=CX$4,ADRYr1!$AJ7,IF(ADRYr1!$AK7=CX$4,ADRYr1!$AL7,IF(ADRYr1!$AM7=CX$4,ADRYr1!$AN7,0))))*(INDEX(avoidedcosttbl,$H7,CX$2)+(($H7-ROUNDDOWN($H7,0))*(INDEX(avoidedcosttbl,ROUNDUP($H7,0),CX$2)-(INDEX(avoidedcosttbl,ROUNDDOWN($H7,0),CX$2)))))*ADRYr1!$P7*ADRYr1!$Q7*ADRYr1!$U7)</f>
        <v/>
      </c>
      <c r="CY7" s="28" t="str">
        <f t="shared" si="13"/>
        <v/>
      </c>
      <c r="CZ7" s="32" t="str">
        <f t="shared" si="14"/>
        <v/>
      </c>
      <c r="DA7" s="84" t="str">
        <f t="shared" si="42"/>
        <v/>
      </c>
      <c r="DB7" s="81" t="str">
        <f>IF(NEIadder="Yes",IF($G7="","",INDEX(Lookups!$G$68:$G$70,MATCH($A7,Lookups!$E$68:$E$70,0))*(SUM(CP7:CX7,BX7))),"")</f>
        <v/>
      </c>
      <c r="DC7" s="263" t="str">
        <f t="shared" si="15"/>
        <v/>
      </c>
      <c r="DD7" s="166" t="str">
        <f t="shared" si="16"/>
        <v/>
      </c>
      <c r="DE7" s="82">
        <f t="shared" si="43"/>
        <v>0</v>
      </c>
      <c r="DF7" s="760" t="str">
        <f>IF($G7="","",(1+WntPeakEnergyLL)*(INDEX(avoidedcosttbl,$H7,DF$2)+(($H7-ROUNDDOWN($H7,0))*(INDEX(avoidedcosttbl,ROUNDUP($H7,0),DF$2)-(INDEX(avoidedcosttbl,ROUNDDOWN($H7,0),DF$2)))))*$P7*1000*ADRYr1!Z7)</f>
        <v/>
      </c>
      <c r="DG7" s="760" t="str">
        <f>IF($G7="","",(1+WntOffPeakEnergyLL)*(INDEX(avoidedcosttbl,$H7,DG$2)+(($H7-ROUNDDOWN($H7,0))*(INDEX(avoidedcosttbl,ROUNDUP($H7,0),DG$2)-(INDEX(avoidedcosttbl,ROUNDDOWN($H7,0),DG$2)))))*$P7*1000*ADRYr1!AA7)</f>
        <v/>
      </c>
      <c r="DH7" s="760" t="str">
        <f>IF($G7="","",(1+SumPeakEnergyLL)*(INDEX(avoidedcosttbl,$H7,DH$2)+(($H7-ROUNDDOWN($H7,0))*(INDEX(avoidedcosttbl,ROUNDUP($H7,0),DH$2)-(INDEX(avoidedcosttbl,ROUNDDOWN($H7,0),DH$2)))))*$P7*1000*ADRYr1!AB7)</f>
        <v/>
      </c>
      <c r="DI7" s="760" t="str">
        <f>IF($G7="","",(1+SumOffPeakEnergyLL)*(INDEX(avoidedcosttbl,$H7,DI$2)+(($H7-ROUNDDOWN($H7,0))*(INDEX(avoidedcosttbl,ROUNDUP($H7,0),DI$2)-(INDEX(avoidedcosttbl,ROUNDDOWN($H7,0),DI$2)))))*$P7*1000*ADRYr1!AC7)</f>
        <v/>
      </c>
      <c r="DJ7" s="29" t="str">
        <f t="shared" si="44"/>
        <v/>
      </c>
      <c r="DK7" s="161" t="str">
        <f t="shared" si="45"/>
        <v/>
      </c>
      <c r="DL7" s="1375" t="str">
        <f t="shared" si="46"/>
        <v/>
      </c>
      <c r="DM7" s="1375" t="str">
        <f t="shared" si="47"/>
        <v/>
      </c>
      <c r="DN7" s="43" t="str">
        <f t="shared" si="48"/>
        <v/>
      </c>
      <c r="DO7" s="1131" t="str">
        <f>IF($G7="","",ADRYr1!AQ7)</f>
        <v/>
      </c>
      <c r="DP7" s="1133" t="str">
        <f>IF($G7="","",ADRYr1!AR7)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17"/>
        <v/>
      </c>
      <c r="DU7" s="1135" t="str">
        <f>IF($G7="","",ADRYr1!AS7)</f>
        <v/>
      </c>
      <c r="DV7" s="1136" t="str">
        <f>IF($G7="","",ADRYr1!AT7)</f>
        <v/>
      </c>
      <c r="DW7" s="1344" t="str">
        <f>IF($G7="","",INDEX(AvoidedEnergy!$H$4:$H$10,MATCH($DO7,AvoidedEnergy!$A$4:$A$10,0)))</f>
        <v/>
      </c>
    </row>
    <row r="8" spans="1:127">
      <c r="A8" s="160" t="str">
        <f>IF(ADRYr1!$B8=0,"",ADRYr1!A8)</f>
        <v>A - Residential</v>
      </c>
      <c r="B8" s="9" t="str">
        <f>IF(ADRYr1!$B8=0,"",ADRYr1!B8)</f>
        <v>A5 - Residential Active Demand Response</v>
      </c>
      <c r="C8" s="9" t="str">
        <f>IF(ADRYr1!$B8=0,"",ADRYr1!C8)</f>
        <v>A5a - Residential Active Demand Response</v>
      </c>
      <c r="D8" s="9" t="str">
        <f>IF(ADRYr1!$B8=0,"",ADRYr1!D8)</f>
        <v>Storage Daily Dispatch Upfront Incentive (consumption) Summer</v>
      </c>
      <c r="E8" s="9">
        <f>IF(ADRYr1!$B8=0,"",ADRYr1!E8)</f>
        <v>0</v>
      </c>
      <c r="F8" s="11" t="str">
        <f>IF(ADRYr1!$B8=0,"",ADRYr1!F8)</f>
        <v>Behavior</v>
      </c>
      <c r="G8" s="12" t="str">
        <f>IF(ADRYr1!$G8&lt;&gt;0,ADRYr1!G8,"")</f>
        <v/>
      </c>
      <c r="H8" s="1125" t="str">
        <f>IF($G8="","",ROUND(ADRYr1!H8,0))</f>
        <v/>
      </c>
      <c r="I8" s="47" t="str">
        <f>IF($G8="","",ADRYr1!I8*ADRYr1!P8*G8)</f>
        <v/>
      </c>
      <c r="J8" s="47" t="str">
        <f>IF($G8="","",ADRYr1!J8*G8)</f>
        <v/>
      </c>
      <c r="K8" s="47" t="str">
        <f t="shared" si="18"/>
        <v/>
      </c>
      <c r="L8" s="27" t="str">
        <f>IF($G8="","",ADRYr1!V8*G8/1000)</f>
        <v/>
      </c>
      <c r="M8" s="27" t="str">
        <f>IF($G8="","",L8*ADRYr1!$Q8*ADRYr1!$R8)</f>
        <v/>
      </c>
      <c r="N8" s="27" t="str">
        <f t="shared" si="19"/>
        <v/>
      </c>
      <c r="O8" s="27" t="str">
        <f t="shared" si="20"/>
        <v/>
      </c>
      <c r="P8" s="27" t="str">
        <f>IF($G8="","",M8*ADRYr1!P8)</f>
        <v/>
      </c>
      <c r="Q8" s="27" t="str">
        <f t="shared" si="21"/>
        <v/>
      </c>
      <c r="R8" s="27" t="str">
        <f>IF($G8="","",$Q8*ADRYr1!Z8)</f>
        <v/>
      </c>
      <c r="S8" s="27" t="str">
        <f>IF($G8="","",$Q8*ADRYr1!AA8)</f>
        <v/>
      </c>
      <c r="T8" s="27" t="str">
        <f>IF($G8="","",$Q8*ADRYr1!AB8)</f>
        <v/>
      </c>
      <c r="U8" s="27" t="str">
        <f>IF($G8="","",$Q8*ADRYr1!AC8)</f>
        <v/>
      </c>
      <c r="V8" s="27" t="str">
        <f>IF($G8="","",G8*ADRYr1!$AD8*ADRYr1!$P8*ADRYr1!$Q8)</f>
        <v/>
      </c>
      <c r="W8" s="27" t="str">
        <f>IF($G8="","",$G8*ADRYr1!$AD8*ADRYr1!$AF8*ADRYr1!Q8*ADRYr1!$S8)</f>
        <v/>
      </c>
      <c r="X8" s="27" t="str">
        <f>IF($G8="","",$G8*ADRYr1!$AD8*ADRYr1!$AF8*ADRYr1!P8*ADRYr1!Q8*ADRYr1!$S8)</f>
        <v/>
      </c>
      <c r="Y8" s="27" t="str">
        <f>IF($G8="","",$G8*ADRYr1!$AD8*ADRYr1!$AE8*ADRYr1!Q8*ADRYr1!$T8)</f>
        <v/>
      </c>
      <c r="Z8" s="27" t="str">
        <f>IF($G8="","",$G8*ADRYr1!$AD8*ADRYr1!$AE8*ADRYr1!P8*ADRYr1!Q8*ADRYr1!$T8)</f>
        <v/>
      </c>
      <c r="AA8" s="45" t="str">
        <f>IF($G8="","",$G8*ADRYr1!$Q8*ADRYr1!$U8*(IF(IFERROR(SEARCH("NG", ADRYr1!$AI8),0),ADRYr1!$AJ8,0)+IF(IFERROR(SEARCH("NG", ADRYr1!$AK8),0),ADRYr1!$AL8,0)+IF(IFERROR(SEARCH("NG", ADRYr1!$AM8),0),ADRYr1!$AN8,0)))</f>
        <v/>
      </c>
      <c r="AB8" s="45" t="str">
        <f t="shared" si="22"/>
        <v/>
      </c>
      <c r="AC8" s="45">
        <f>IF($G8="",0,AA8*ADRYr1!$P8)</f>
        <v>0</v>
      </c>
      <c r="AD8" s="45" t="str">
        <f t="shared" si="23"/>
        <v/>
      </c>
      <c r="AE8" s="45" t="str">
        <f>IF($G8="","",$G8*ADRYr1!$Q8*ADRYr1!$U8*(IF(IFERROR(SEARCH("Oil", ADRYr1!$AI8), 0),ADRYr1!$AJ8,0)+IF(IFERROR(SEARCH("Oil", ADRYr1!$AK8), 0),ADRYr1!$AL8,0)+IF(IFERROR(SEARCH("Oil", ADRYr1!$AM8), 0),ADRYr1!$AN8,0)))</f>
        <v/>
      </c>
      <c r="AF8" s="45" t="str">
        <f t="shared" si="24"/>
        <v/>
      </c>
      <c r="AG8" s="45">
        <f>IF($G8="",0,AE8*ADRYr1!$P8)</f>
        <v>0</v>
      </c>
      <c r="AH8" s="45" t="str">
        <f t="shared" si="25"/>
        <v/>
      </c>
      <c r="AI8" s="45" t="str">
        <f>IF($G8="","",$G8*ADRYr1!$Q8*ADRYr1!$U8*(IF(ADRYr1!$AI8=Lookups!$E$114,ADRYr1!$AJ8,IF(ADRYr1!$AK8=Lookups!$E$114,ADRYr1!$AL8,IF(ADRYr1!$AM8=Lookups!$E$114,ADRYr1!$AN8,0)))))</f>
        <v/>
      </c>
      <c r="AJ8" s="45" t="str">
        <f t="shared" si="26"/>
        <v/>
      </c>
      <c r="AK8" s="45">
        <f>IF($G8="",0,AI8*ADRYr1!$P8)</f>
        <v>0</v>
      </c>
      <c r="AL8" s="45" t="str">
        <f t="shared" si="27"/>
        <v/>
      </c>
      <c r="AM8" s="45" t="str">
        <f>IF($G8="","",$G8*ADRYr1!$Q8*ADRYr1!$U8*(IF(ADRYr1!$AI8=Lookups!$E$113,ADRYr1!$AJ8,IF(ADRYr1!$AK8=Lookups!$E$113,ADRYr1!$AL8,IF(ADRYr1!$AM8=Lookups!$E$113,ADRYr1!$AN8,0)))))</f>
        <v/>
      </c>
      <c r="AN8" s="45" t="str">
        <f t="shared" si="28"/>
        <v/>
      </c>
      <c r="AO8" s="45">
        <f>IF($G8="",0,AM8*ADRYr1!$P8)</f>
        <v>0</v>
      </c>
      <c r="AP8" s="45" t="str">
        <f t="shared" si="29"/>
        <v/>
      </c>
      <c r="AQ8" s="45" t="str">
        <f>IF($G8="","",$G8*ADRYr1!$Q8*ADRYr1!$U8*(IF(ADRYr1!$AI8=Lookups!$E$115,ADRYr1!$AJ8,IF(ADRYr1!$AK8=Lookups!$E$115,ADRYr1!$AL8,IF(ADRYr1!$AM8=Lookups!$E$115,ADRYr1!$AN8,0)))))</f>
        <v/>
      </c>
      <c r="AR8" s="45" t="str">
        <f t="shared" si="30"/>
        <v/>
      </c>
      <c r="AS8" s="45" t="str">
        <f>IF($G8="","",AQ8*ADRYr1!$P8)</f>
        <v/>
      </c>
      <c r="AT8" s="45" t="str">
        <f t="shared" si="31"/>
        <v/>
      </c>
      <c r="AU8" s="45" t="str">
        <f>IF($G8="","",$G8*ADRYr1!$Q8*ADRYr1!$U8*(IF(ADRYr1!$AI8=Lookups!$E$116,ADRYr1!$AJ8,IF(ADRYr1!$AK8=Lookups!$E$116,ADRYr1!$AL8,IF(ADRYr1!$AM8=Lookups!$E$116,ADRYr1!$AN8,0)))))</f>
        <v/>
      </c>
      <c r="AV8" s="45" t="str">
        <f t="shared" si="32"/>
        <v/>
      </c>
      <c r="AW8" s="45" t="str">
        <f>IF($G8="","",AU8*ADRYr1!$P8)</f>
        <v/>
      </c>
      <c r="AX8" s="45" t="str">
        <f t="shared" si="33"/>
        <v/>
      </c>
      <c r="AY8" s="45">
        <f t="shared" si="34"/>
        <v>0</v>
      </c>
      <c r="AZ8" s="45">
        <f t="shared" si="34"/>
        <v>0</v>
      </c>
      <c r="BA8" s="101" t="str">
        <f>IF($G8="","",$G8*ADRYr1!$P8*ADRYr1!$Q8*ADRYr1!$U8*ADRYr1!AO8)</f>
        <v/>
      </c>
      <c r="BB8" s="102" t="str">
        <f>IF($G8="","",$G8*ADRYr1!$P8*ADRYr1!$Q8*ADRYr1!$U8*ADRYr1!AP8)</f>
        <v/>
      </c>
      <c r="BC8" s="100" t="str">
        <f t="shared" si="35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5"/>
        <v/>
      </c>
      <c r="BO8" s="31" t="str">
        <f t="shared" si="36"/>
        <v/>
      </c>
      <c r="BP8" s="1129" t="str">
        <f t="shared" si="6"/>
        <v/>
      </c>
      <c r="BQ8" s="28" t="str">
        <f t="shared" si="7"/>
        <v/>
      </c>
      <c r="BR8" s="1129" t="str">
        <f t="shared" si="8"/>
        <v/>
      </c>
      <c r="BS8" s="1129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7"/>
        <v/>
      </c>
      <c r="BX8" s="29" t="str">
        <f t="shared" si="38"/>
        <v/>
      </c>
      <c r="BY8" s="28" t="str">
        <f>IF($G8="","",$G8*(IF(ADRYr1!$AI8=BY$4,ADRYr1!$AJ8,IF(ADRYr1!$AK8=BY$4,ADRYr1!$AL8,IF(ADRYr1!$AM8=BY$4,ADRYr1!$AN8,0))))*(INDEX(avoidedcosttbl,$H8,BY$2)+(($H8-ROUNDDOWN($H8,0))*(INDEX(avoidedcosttbl,ROUNDUP($H8,0),BY$2)-(INDEX(avoidedcosttbl,ROUNDDOWN($H8,0),BY$2)))))*ADRYr1!P8*ADRYr1!Q8*ADRYr1!U8)</f>
        <v/>
      </c>
      <c r="BZ8" s="28" t="str">
        <f>IF($G8="","",$G8*(IF(ADRYr1!$AI8=BZ$4,ADRYr1!$AJ8,IF(ADRYr1!$AK8=BZ$4,ADRYr1!$AL8,IF(ADRYr1!$AM8=BZ$4,ADRYr1!$AN8,0))))*(INDEX(avoidedcosttbl,$H8,BZ$2)+(($H8-ROUNDDOWN($H8,0))*(INDEX(avoidedcosttbl,ROUNDUP($H8,0),BZ$2)-(INDEX(avoidedcosttbl,ROUNDDOWN($H8,0),BZ$2)))))*ADRYr1!P8*ADRYr1!Q8*ADRYr1!U8)</f>
        <v/>
      </c>
      <c r="CA8" s="28" t="str">
        <f>IF($G8="","",$G8*(IF(ADRYr1!$AI8=CA$4,ADRYr1!$AJ8,IF(ADRYr1!$AK8=CA$4,ADRYr1!$AL8,IF(ADRYr1!$AM8=CA$4,ADRYr1!$AN8,0))))*(INDEX(avoidedcosttbl,$H8,CA$2)+(($H8-ROUNDDOWN($H8,0))*(INDEX(avoidedcosttbl,ROUNDUP($H8,0),CA$2)-(INDEX(avoidedcosttbl,ROUNDDOWN($H8,0),CA$2)))))*ADRYr1!P8*ADRYr1!Q8*ADRYr1!U8)</f>
        <v/>
      </c>
      <c r="CB8" s="28" t="str">
        <f>IF($G8="","",$G8*(IF(ADRYr1!$AI8=CB$4,ADRYr1!$AJ8,IF(ADRYr1!$AK8=CB$4,ADRYr1!$AL8,IF(ADRYr1!$AM8=CB$4,ADRYr1!$AN8,0))))*(INDEX(avoidedcosttbl,$H8,CB$2)+(($H8-ROUNDDOWN($H8,0))*(INDEX(avoidedcosttbl,ROUNDUP($H8,0),CB$2)-(INDEX(avoidedcosttbl,ROUNDDOWN($H8,0),CB$2)))))*ADRYr1!P8*ADRYr1!Q8*ADRYr1!U8)</f>
        <v/>
      </c>
      <c r="CC8" s="28" t="str">
        <f>IF($G8="","",$G8*(IF(ADRYr1!$AI8=CC$4,ADRYr1!$AJ8,IF(ADRYr1!$AK8=CC$4,ADRYr1!$AL8,IF(ADRYr1!$AM8=CC$4,ADRYr1!$AN8,0))))*(INDEX(avoidedcosttbl,$H8,CC$2)+(($H8-ROUNDDOWN($H8,0))*(INDEX(avoidedcosttbl,ROUNDUP($H8,0),CC$2)-(INDEX(avoidedcosttbl,ROUNDDOWN($H8,0),CC$2)))))*ADRYr1!P8*ADRYr1!Q8*ADRYr1!U8)</f>
        <v/>
      </c>
      <c r="CD8" s="28" t="str">
        <f>IF($G8="","",$G8*(IF(ADRYr1!$AI8=CD$4,ADRYr1!$AJ8,IF(ADRYr1!$AK8=CD$4,ADRYr1!$AL8,IF(ADRYr1!$AM8=CD$4,ADRYr1!$AN8,0))))*(INDEX(avoidedcosttbl,$H8,CD$2)+(($H8-ROUNDDOWN($H8,0))*(INDEX(avoidedcosttbl,ROUNDUP($H8,0),CD$2)-(INDEX(avoidedcosttbl,ROUNDDOWN($H8,0),CD$2)))))*ADRYr1!P8*ADRYr1!Q8*ADRYr1!U8)</f>
        <v/>
      </c>
      <c r="CE8" s="28" t="str">
        <f>IF($G8="","",$G8*(IF(ADRYr1!$AI8=CE$4,ADRYr1!$AJ8,IF(ADRYr1!$AK8=CE$4,ADRYr1!$AL8,IF(ADRYr1!$AM8=CE$4,ADRYr1!$AN8,0))))*(INDEX(avoidedcosttbl,$H8,CE$2)+(($H8-ROUNDDOWN($H8,0))*(INDEX(avoidedcosttbl,ROUNDUP($H8,0),CE$2)-(INDEX(avoidedcosttbl,ROUNDDOWN($H8,0),CE$2)))))*ADRYr1!P8*ADRYr1!Q8*ADRYr1!U8)</f>
        <v/>
      </c>
      <c r="CF8" s="41" t="str">
        <f t="shared" si="39"/>
        <v/>
      </c>
      <c r="CG8" s="30" t="str">
        <f t="shared" si="11"/>
        <v/>
      </c>
      <c r="CH8" s="30" t="str">
        <f>IF($G8="","",$G8*(IF(ADRYr1!$AI8=BY$4,ADRYr1!$AJ8,IF(ADRYr1!$AK8=BY$4,ADRYr1!$AL8,IF(ADRYr1!$AM8=BY$4,ADRYr1!$AN8,0))))*(INDEX(avoidedcosttbl,$H8,CH$2)+(($H8-ROUNDDOWN($H8,0))*(INDEX(avoidedcosttbl,ROUNDUP($H8,0),CH$2)-(INDEX(avoidedcosttbl,ROUNDDOWN($H8,0),CH$2)))))*ADRYr1!P8*ADRYr1!Q8*ADRYr1!U8)</f>
        <v/>
      </c>
      <c r="CI8" s="30" t="str">
        <f>IF($G8="","",$G8*(IF(ADRYr1!$AI8=BZ$4,ADRYr1!$AJ8,IF(ADRYr1!$AK8=BZ$4,ADRYr1!$AL8,IF(ADRYr1!$AM8=BZ$4,ADRYr1!$AN8,0))))*(INDEX(avoidedcosttbl,$H8,CI$2)+(($H8-ROUNDDOWN($H8,0))*(INDEX(avoidedcosttbl,ROUNDUP($H8,0),CI$2)-(INDEX(avoidedcosttbl,ROUNDDOWN($H8,0),CI$2)))))*ADRYr1!P8*ADRYr1!Q8*ADRYr1!U8)</f>
        <v/>
      </c>
      <c r="CJ8" s="30" t="str">
        <f>IF($G8="","",$G8*(IF(ADRYr1!$AI8=CA$4,ADRYr1!$AJ8,IF(ADRYr1!$AK8=CA$4,ADRYr1!$AL8,IF(ADRYr1!$AM8=CA$4,ADRYr1!$AN8,0))))*(INDEX(avoidedcosttbl,$H8,CJ$2)+(($H8-ROUNDDOWN($H8,0))*(INDEX(avoidedcosttbl,ROUNDUP($H8,0),CJ$2)-(INDEX(avoidedcosttbl,ROUNDDOWN($H8,0),CJ$2)))))*ADRYr1!P8*ADRYr1!Q8*ADRYr1!U8)</f>
        <v/>
      </c>
      <c r="CK8" s="30" t="str">
        <f>IF($G8="","",$G8*(IF(ADRYr1!$AI8=CB$4,ADRYr1!$AJ8,IF(ADRYr1!$AK8=CB$4,ADRYr1!$AL8,IF(ADRYr1!$AM8=CB$4,ADRYr1!$AN8,0))))*(INDEX(avoidedcosttbl,$H8,CK$2)+(($H8-ROUNDDOWN($H8,0))*(INDEX(avoidedcosttbl,ROUNDUP($H8,0),CK$2)-(INDEX(avoidedcosttbl,ROUNDDOWN($H8,0),CK$2)))))*ADRYr1!P8*ADRYr1!Q8*ADRYr1!U8)</f>
        <v/>
      </c>
      <c r="CL8" s="30" t="str">
        <f>IF($G8="","",$G8*(IF(ADRYr1!$AI8=CC$4,ADRYr1!$AJ8,IF(ADRYr1!$AK8=CC$4,ADRYr1!$AL8,IF(ADRYr1!$AM8=CC$4,ADRYr1!$AN8,0))))*(INDEX(avoidedcosttbl,$H8,CL$2)+(($H8-ROUNDDOWN($H8,0))*(INDEX(avoidedcosttbl,ROUNDUP($H8,0),CL$2)-(INDEX(avoidedcosttbl,ROUNDDOWN($H8,0),CL$2)))))*ADRYr1!P8*ADRYr1!Q8*ADRYr1!U8)</f>
        <v/>
      </c>
      <c r="CM8" s="30" t="str">
        <f>IF($G8="","",$G8*(IF(ADRYr1!$AI8=CD$4,ADRYr1!$AJ8,IF(ADRYr1!$AK8=CD$4,ADRYr1!$AL8,IF(ADRYr1!$AM8=CD$4,ADRYr1!$AN8,0))))*(INDEX(avoidedcosttbl,$H8,CM$2)+(($H8-ROUNDDOWN($H8,0))*(INDEX(avoidedcosttbl,ROUNDUP($H8,0),CM$2)-(INDEX(avoidedcosttbl,ROUNDDOWN($H8,0),CM$2)))))*ADRYr1!P8*ADRYr1!Q8*ADRYr1!U8)</f>
        <v/>
      </c>
      <c r="CN8" s="30" t="str">
        <f>IF($G8="","",$G8*(IF(ADRYr1!$AI8=CE$4,ADRYr1!$AJ8,IF(ADRYr1!$AK8=CE$4,ADRYr1!$AL8,IF(ADRYr1!$AM8=CE$4,ADRYr1!$AN8,0))))*(INDEX(avoidedcosttbl,$H8,CN$2)+(($H8-ROUNDDOWN($H8,0))*(INDEX(avoidedcosttbl,ROUNDUP($H8,0),CN$2)-(INDEX(avoidedcosttbl,ROUNDDOWN($H8,0),CN$2)))))*ADRYr1!P8*ADRYr1!Q8*ADRYr1!U8)</f>
        <v/>
      </c>
      <c r="CO8" s="220" t="str">
        <f t="shared" si="40"/>
        <v/>
      </c>
      <c r="CP8" s="220" t="str">
        <f t="shared" si="41"/>
        <v/>
      </c>
      <c r="CQ8" s="157" t="str">
        <f>IF($G8="","",$G8*(IF(ADRYr1!$AI8=CQ$4,ADRYr1!$AJ8,IF(ADRYr1!$AK8=CQ$4,ADRYr1!$AL8,IF(ADRYr1!$AM8=CQ$4,ADRYr1!$AN8,0))))*(INDEX(avoidedcosttbl,$H8,CQ$2)+(($H8-ROUNDDOWN($H8,0))*(INDEX(avoidedcosttbl,ROUNDUP($H8,0),CQ$2)-(INDEX(avoidedcosttbl,ROUNDDOWN($H8,0),CQ$2)))))*ADRYr1!$P8*ADRYr1!$Q8*ADRYr1!$U8)</f>
        <v/>
      </c>
      <c r="CR8" s="28" t="str">
        <f>IF($G8="","",G8*(IF(ADRYr1!$AI8=CR$4,ADRYr1!$AJ8,IF(ADRYr1!$AK8=CR$4,ADRYr1!$AL8,IF(ADRYr1!$AM8=CR$4,ADRYr1!$AN8,0))))*(INDEX(avoidedcosttbl,$H8,CR$2)+(($H8-ROUNDDOWN($H8,0))*(INDEX(avoidedcosttbl,ROUNDUP($H8,0),CR$2)-(INDEX(avoidedcosttbl,ROUNDDOWN($H8,0),CR$2)))))*ADRYr1!$P8*ADRYr1!$Q8*ADRYr1!$U8)</f>
        <v/>
      </c>
      <c r="CS8" s="28" t="str">
        <f>IF($G8="","",G8*(IF(ADRYr1!$AI8=CS$4,ADRYr1!$AJ8,IF(ADRYr1!$AK8=CS$4,ADRYr1!$AL8,IF(ADRYr1!$AM8=CS$4,ADRYr1!$AN8,0))))*(INDEX(avoidedcosttbl,$H8,CS$2)+(($H8-ROUNDDOWN($H8,0))*(INDEX(avoidedcosttbl,ROUNDUP($H8,0),CS$2)-(INDEX(avoidedcosttbl,ROUNDDOWN($H8,0),CS$2)))))*ADRYr1!$P8*ADRYr1!$Q8*ADRYr1!$U8)</f>
        <v/>
      </c>
      <c r="CT8" s="28" t="str">
        <f t="shared" si="12"/>
        <v/>
      </c>
      <c r="CU8" s="28" t="str">
        <f>IF($G8="","",G8*(IF(ADRYr1!$AI8=CU$4,ADRYr1!$AJ8,IF(ADRYr1!$AK8=CU$4,ADRYr1!$AL8,IF(ADRYr1!$AM8=CU$4,ADRYr1!$AN8,0))))*(INDEX(avoidedcosttbl,$H8,CU$2)+(($H8-ROUNDDOWN($H8,0))*(INDEX(avoidedcosttbl,ROUNDUP($H8,0),CU$2)-(INDEX(avoidedcosttbl,ROUNDDOWN($H8,0),CU$2)))))*ADRYr1!$P8*ADRYr1!$Q8*ADRYr1!$U8)</f>
        <v/>
      </c>
      <c r="CV8" s="28" t="str">
        <f>IF($G8="","",G8*(IF(ADRYr1!$AI8=CV$4,ADRYr1!$AJ8,IF(ADRYr1!$AK8=CV$4,ADRYr1!$AL8,IF(ADRYr1!$AM8=CV$4,ADRYr1!$AN8,0))))*(INDEX(avoidedcosttbl,$H8,CV$2)+(($H8-ROUNDDOWN($H8,0))*(INDEX(avoidedcosttbl,ROUNDUP($H8,0),CV$2)-(INDEX(avoidedcosttbl,ROUNDDOWN($H8,0),CV$2)))))*ADRYr1!$P8*ADRYr1!$Q8*ADRYr1!$U8)</f>
        <v/>
      </c>
      <c r="CW8" s="28" t="str">
        <f>IF($G8="","",G8*(IF(ADRYr1!$AI8=CW$4,ADRYr1!$AJ8,IF(ADRYr1!$AK8=CW$4,ADRYr1!$AL8,IF(ADRYr1!$AM8=CW$4,ADRYr1!$AN8,0))))*(INDEX(avoidedcosttbl,$H8,CW$2)+(($H8-ROUNDDOWN($H8,0))*(INDEX(avoidedcosttbl,ROUNDUP($H8,0),CW$2)-(INDEX(avoidedcosttbl,ROUNDDOWN($H8,0),CW$2)))))*ADRYr1!$P8*ADRYr1!$Q8*ADRYr1!$U8)</f>
        <v/>
      </c>
      <c r="CX8" s="28" t="str">
        <f>IF($G8="","",G8*(IF(ADRYr1!$AI8=CX$4,ADRYr1!$AJ8,IF(ADRYr1!$AK8=CX$4,ADRYr1!$AL8,IF(ADRYr1!$AM8=CX$4,ADRYr1!$AN8,0))))*(INDEX(avoidedcosttbl,$H8,CX$2)+(($H8-ROUNDDOWN($H8,0))*(INDEX(avoidedcosttbl,ROUNDUP($H8,0),CX$2)-(INDEX(avoidedcosttbl,ROUNDDOWN($H8,0),CX$2)))))*ADRYr1!$P8*ADRYr1!$Q8*ADRYr1!$U8)</f>
        <v/>
      </c>
      <c r="CY8" s="28" t="str">
        <f t="shared" si="13"/>
        <v/>
      </c>
      <c r="CZ8" s="32" t="str">
        <f t="shared" si="14"/>
        <v/>
      </c>
      <c r="DA8" s="84" t="str">
        <f t="shared" si="42"/>
        <v/>
      </c>
      <c r="DB8" s="81" t="str">
        <f>IF(NEIadder="Yes",IF($G8="","",INDEX(Lookups!$G$68:$G$70,MATCH($A8,Lookups!$E$68:$E$70,0))*(SUM(CP8:CX8,BX8))),"")</f>
        <v/>
      </c>
      <c r="DC8" s="263" t="str">
        <f t="shared" si="15"/>
        <v/>
      </c>
      <c r="DD8" s="166" t="str">
        <f t="shared" si="16"/>
        <v/>
      </c>
      <c r="DE8" s="82">
        <f t="shared" si="43"/>
        <v>0</v>
      </c>
      <c r="DF8" s="760" t="str">
        <f>IF($G8="","",(1+WntPeakEnergyLL)*(INDEX(avoidedcosttbl,$H8,DF$2)+(($H8-ROUNDDOWN($H8,0))*(INDEX(avoidedcosttbl,ROUNDUP($H8,0),DF$2)-(INDEX(avoidedcosttbl,ROUNDDOWN($H8,0),DF$2)))))*$P8*1000*ADRYr1!Z8)</f>
        <v/>
      </c>
      <c r="DG8" s="760" t="str">
        <f>IF($G8="","",(1+WntOffPeakEnergyLL)*(INDEX(avoidedcosttbl,$H8,DG$2)+(($H8-ROUNDDOWN($H8,0))*(INDEX(avoidedcosttbl,ROUNDUP($H8,0),DG$2)-(INDEX(avoidedcosttbl,ROUNDDOWN($H8,0),DG$2)))))*$P8*1000*ADRYr1!AA8)</f>
        <v/>
      </c>
      <c r="DH8" s="760" t="str">
        <f>IF($G8="","",(1+SumPeakEnergyLL)*(INDEX(avoidedcosttbl,$H8,DH$2)+(($H8-ROUNDDOWN($H8,0))*(INDEX(avoidedcosttbl,ROUNDUP($H8,0),DH$2)-(INDEX(avoidedcosttbl,ROUNDDOWN($H8,0),DH$2)))))*$P8*1000*ADRYr1!AB8)</f>
        <v/>
      </c>
      <c r="DI8" s="760" t="str">
        <f>IF($G8="","",(1+SumOffPeakEnergyLL)*(INDEX(avoidedcosttbl,$H8,DI$2)+(($H8-ROUNDDOWN($H8,0))*(INDEX(avoidedcosttbl,ROUNDUP($H8,0),DI$2)-(INDEX(avoidedcosttbl,ROUNDDOWN($H8,0),DI$2)))))*$P8*1000*ADRYr1!AC8)</f>
        <v/>
      </c>
      <c r="DJ8" s="29" t="str">
        <f t="shared" si="44"/>
        <v/>
      </c>
      <c r="DK8" s="161" t="str">
        <f t="shared" si="45"/>
        <v/>
      </c>
      <c r="DL8" s="1375" t="str">
        <f t="shared" si="46"/>
        <v/>
      </c>
      <c r="DM8" s="1375" t="str">
        <f t="shared" si="47"/>
        <v/>
      </c>
      <c r="DN8" s="43" t="str">
        <f t="shared" si="48"/>
        <v/>
      </c>
      <c r="DO8" s="1131" t="str">
        <f>IF($G8="","",ADRYr1!AQ8)</f>
        <v/>
      </c>
      <c r="DP8" s="1133" t="str">
        <f>IF($G8="","",ADRYr1!AR8)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17"/>
        <v/>
      </c>
      <c r="DU8" s="1135" t="str">
        <f>IF($G8="","",ADRYr1!AS8)</f>
        <v/>
      </c>
      <c r="DV8" s="1136" t="str">
        <f>IF($G8="","",ADRYr1!AT8)</f>
        <v/>
      </c>
      <c r="DW8" s="1344" t="str">
        <f>IF($G8="","",INDEX(AvoidedEnergy!$H$4:$H$10,MATCH($DO8,AvoidedEnergy!$A$4:$A$10,0)))</f>
        <v/>
      </c>
    </row>
    <row r="9" spans="1:127">
      <c r="A9" s="160" t="str">
        <f>IF(ADRYr1!$B9=0,"",ADRYr1!A9)</f>
        <v>A - Residential</v>
      </c>
      <c r="B9" s="9" t="str">
        <f>IF(ADRYr1!$B9=0,"",ADRYr1!B9)</f>
        <v>A5 - Residential Active Demand Response</v>
      </c>
      <c r="C9" s="9" t="str">
        <f>IF(ADRYr1!$B9=0,"",ADRYr1!C9)</f>
        <v>A5a - Residential Active Demand Response</v>
      </c>
      <c r="D9" s="9" t="str">
        <f>IF(ADRYr1!$B9=0,"",ADRYr1!D9)</f>
        <v>Storage Daily Dispatch Upfront Incentive (savings) Winter</v>
      </c>
      <c r="E9" s="9">
        <f>IF(ADRYr1!$B9=0,"",ADRYr1!E9)</f>
        <v>0</v>
      </c>
      <c r="F9" s="11" t="str">
        <f>IF(ADRYr1!$B9=0,"",ADRYr1!F9)</f>
        <v>Behavior</v>
      </c>
      <c r="G9" s="12" t="str">
        <f>IF(ADRYr1!$G9&lt;&gt;0,ADRYr1!G9,"")</f>
        <v/>
      </c>
      <c r="H9" s="1125" t="str">
        <f>IF($G9="","",ROUND(ADRYr1!H9,0))</f>
        <v/>
      </c>
      <c r="I9" s="47" t="str">
        <f>IF($G9="","",ADRYr1!I9*ADRYr1!P9*G9)</f>
        <v/>
      </c>
      <c r="J9" s="47" t="str">
        <f>IF($G9="","",ADRYr1!J9*G9)</f>
        <v/>
      </c>
      <c r="K9" s="47" t="str">
        <f t="shared" si="18"/>
        <v/>
      </c>
      <c r="L9" s="27" t="str">
        <f>IF($G9="","",ADRYr1!V9*G9/1000)</f>
        <v/>
      </c>
      <c r="M9" s="27" t="str">
        <f>IF($G9="","",L9*ADRYr1!$Q9*ADRYr1!$R9)</f>
        <v/>
      </c>
      <c r="N9" s="27" t="str">
        <f t="shared" si="19"/>
        <v/>
      </c>
      <c r="O9" s="27" t="str">
        <f t="shared" si="20"/>
        <v/>
      </c>
      <c r="P9" s="27" t="str">
        <f>IF($G9="","",M9*ADRYr1!P9)</f>
        <v/>
      </c>
      <c r="Q9" s="27" t="str">
        <f t="shared" si="21"/>
        <v/>
      </c>
      <c r="R9" s="27" t="str">
        <f>IF($G9="","",$Q9*ADRYr1!Z9)</f>
        <v/>
      </c>
      <c r="S9" s="27" t="str">
        <f>IF($G9="","",$Q9*ADRYr1!AA9)</f>
        <v/>
      </c>
      <c r="T9" s="27" t="str">
        <f>IF($G9="","",$Q9*ADRYr1!AB9)</f>
        <v/>
      </c>
      <c r="U9" s="27" t="str">
        <f>IF($G9="","",$Q9*ADRYr1!AC9)</f>
        <v/>
      </c>
      <c r="V9" s="27" t="str">
        <f>IF($G9="","",G9*ADRYr1!$AD9*ADRYr1!$P9*ADRYr1!$Q9)</f>
        <v/>
      </c>
      <c r="W9" s="27" t="str">
        <f>IF($G9="","",$G9*ADRYr1!$AD9*ADRYr1!$AF9*ADRYr1!Q9*ADRYr1!$S9)</f>
        <v/>
      </c>
      <c r="X9" s="27" t="str">
        <f>IF($G9="","",$G9*ADRYr1!$AD9*ADRYr1!$AF9*ADRYr1!P9*ADRYr1!Q9*ADRYr1!$S9)</f>
        <v/>
      </c>
      <c r="Y9" s="27" t="str">
        <f>IF($G9="","",$G9*ADRYr1!$AD9*ADRYr1!$AE9*ADRYr1!Q9*ADRYr1!$T9)</f>
        <v/>
      </c>
      <c r="Z9" s="27" t="str">
        <f>IF($G9="","",$G9*ADRYr1!$AD9*ADRYr1!$AE9*ADRYr1!P9*ADRYr1!Q9*ADRYr1!$T9)</f>
        <v/>
      </c>
      <c r="AA9" s="45" t="str">
        <f>IF($G9="","",$G9*ADRYr1!$Q9*ADRYr1!$U9*(IF(IFERROR(SEARCH("NG", ADRYr1!$AI9),0),ADRYr1!$AJ9,0)+IF(IFERROR(SEARCH("NG", ADRYr1!$AK9),0),ADRYr1!$AL9,0)+IF(IFERROR(SEARCH("NG", ADRYr1!$AM9),0),ADRYr1!$AN9,0)))</f>
        <v/>
      </c>
      <c r="AB9" s="45" t="str">
        <f t="shared" si="22"/>
        <v/>
      </c>
      <c r="AC9" s="45">
        <f>IF($G9="",0,AA9*ADRYr1!$P9)</f>
        <v>0</v>
      </c>
      <c r="AD9" s="45" t="str">
        <f t="shared" si="23"/>
        <v/>
      </c>
      <c r="AE9" s="45" t="str">
        <f>IF($G9="","",$G9*ADRYr1!$Q9*ADRYr1!$U9*(IF(IFERROR(SEARCH("Oil", ADRYr1!$AI9), 0),ADRYr1!$AJ9,0)+IF(IFERROR(SEARCH("Oil", ADRYr1!$AK9), 0),ADRYr1!$AL9,0)+IF(IFERROR(SEARCH("Oil", ADRYr1!$AM9), 0),ADRYr1!$AN9,0)))</f>
        <v/>
      </c>
      <c r="AF9" s="45" t="str">
        <f t="shared" si="24"/>
        <v/>
      </c>
      <c r="AG9" s="45">
        <f>IF($G9="",0,AE9*ADRYr1!$P9)</f>
        <v>0</v>
      </c>
      <c r="AH9" s="45" t="str">
        <f t="shared" si="25"/>
        <v/>
      </c>
      <c r="AI9" s="45" t="str">
        <f>IF($G9="","",$G9*ADRYr1!$Q9*ADRYr1!$U9*(IF(ADRYr1!$AI9=Lookups!$E$114,ADRYr1!$AJ9,IF(ADRYr1!$AK9=Lookups!$E$114,ADRYr1!$AL9,IF(ADRYr1!$AM9=Lookups!$E$114,ADRYr1!$AN9,0)))))</f>
        <v/>
      </c>
      <c r="AJ9" s="45" t="str">
        <f t="shared" si="26"/>
        <v/>
      </c>
      <c r="AK9" s="45">
        <f>IF($G9="",0,AI9*ADRYr1!$P9)</f>
        <v>0</v>
      </c>
      <c r="AL9" s="45" t="str">
        <f t="shared" si="27"/>
        <v/>
      </c>
      <c r="AM9" s="45" t="str">
        <f>IF($G9="","",$G9*ADRYr1!$Q9*ADRYr1!$U9*(IF(ADRYr1!$AI9=Lookups!$E$113,ADRYr1!$AJ9,IF(ADRYr1!$AK9=Lookups!$E$113,ADRYr1!$AL9,IF(ADRYr1!$AM9=Lookups!$E$113,ADRYr1!$AN9,0)))))</f>
        <v/>
      </c>
      <c r="AN9" s="45" t="str">
        <f t="shared" si="28"/>
        <v/>
      </c>
      <c r="AO9" s="45">
        <f>IF($G9="",0,AM9*ADRYr1!$P9)</f>
        <v>0</v>
      </c>
      <c r="AP9" s="45" t="str">
        <f t="shared" si="29"/>
        <v/>
      </c>
      <c r="AQ9" s="45" t="str">
        <f>IF($G9="","",$G9*ADRYr1!$Q9*ADRYr1!$U9*(IF(ADRYr1!$AI9=Lookups!$E$115,ADRYr1!$AJ9,IF(ADRYr1!$AK9=Lookups!$E$115,ADRYr1!$AL9,IF(ADRYr1!$AM9=Lookups!$E$115,ADRYr1!$AN9,0)))))</f>
        <v/>
      </c>
      <c r="AR9" s="45" t="str">
        <f t="shared" si="30"/>
        <v/>
      </c>
      <c r="AS9" s="45" t="str">
        <f>IF($G9="","",AQ9*ADRYr1!$P9)</f>
        <v/>
      </c>
      <c r="AT9" s="45" t="str">
        <f t="shared" si="31"/>
        <v/>
      </c>
      <c r="AU9" s="45" t="str">
        <f>IF($G9="","",$G9*ADRYr1!$Q9*ADRYr1!$U9*(IF(ADRYr1!$AI9=Lookups!$E$116,ADRYr1!$AJ9,IF(ADRYr1!$AK9=Lookups!$E$116,ADRYr1!$AL9,IF(ADRYr1!$AM9=Lookups!$E$116,ADRYr1!$AN9,0)))))</f>
        <v/>
      </c>
      <c r="AV9" s="45" t="str">
        <f t="shared" si="32"/>
        <v/>
      </c>
      <c r="AW9" s="45" t="str">
        <f>IF($G9="","",AU9*ADRYr1!$P9)</f>
        <v/>
      </c>
      <c r="AX9" s="45" t="str">
        <f t="shared" si="33"/>
        <v/>
      </c>
      <c r="AY9" s="45">
        <f t="shared" si="34"/>
        <v>0</v>
      </c>
      <c r="AZ9" s="45">
        <f t="shared" si="34"/>
        <v>0</v>
      </c>
      <c r="BA9" s="101" t="str">
        <f>IF($G9="","",$G9*ADRYr1!$P9*ADRYr1!$Q9*ADRYr1!$U9*ADRYr1!AO9)</f>
        <v/>
      </c>
      <c r="BB9" s="102" t="str">
        <f>IF($G9="","",$G9*ADRYr1!$P9*ADRYr1!$Q9*ADRYr1!$U9*ADRYr1!AP9)</f>
        <v/>
      </c>
      <c r="BC9" s="100" t="str">
        <f t="shared" si="35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5"/>
        <v/>
      </c>
      <c r="BO9" s="31" t="str">
        <f t="shared" si="36"/>
        <v/>
      </c>
      <c r="BP9" s="1129" t="str">
        <f t="shared" si="6"/>
        <v/>
      </c>
      <c r="BQ9" s="28" t="str">
        <f t="shared" si="7"/>
        <v/>
      </c>
      <c r="BR9" s="1129" t="str">
        <f t="shared" si="8"/>
        <v/>
      </c>
      <c r="BS9" s="1129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7"/>
        <v/>
      </c>
      <c r="BX9" s="29" t="str">
        <f t="shared" si="38"/>
        <v/>
      </c>
      <c r="BY9" s="28" t="str">
        <f>IF($G9="","",$G9*(IF(ADRYr1!$AI9=BY$4,ADRYr1!$AJ9,IF(ADRYr1!$AK9=BY$4,ADRYr1!$AL9,IF(ADRYr1!$AM9=BY$4,ADRYr1!$AN9,0))))*(INDEX(avoidedcosttbl,$H9,BY$2)+(($H9-ROUNDDOWN($H9,0))*(INDEX(avoidedcosttbl,ROUNDUP($H9,0),BY$2)-(INDEX(avoidedcosttbl,ROUNDDOWN($H9,0),BY$2)))))*ADRYr1!P9*ADRYr1!Q9*ADRYr1!U9)</f>
        <v/>
      </c>
      <c r="BZ9" s="28" t="str">
        <f>IF($G9="","",$G9*(IF(ADRYr1!$AI9=BZ$4,ADRYr1!$AJ9,IF(ADRYr1!$AK9=BZ$4,ADRYr1!$AL9,IF(ADRYr1!$AM9=BZ$4,ADRYr1!$AN9,0))))*(INDEX(avoidedcosttbl,$H9,BZ$2)+(($H9-ROUNDDOWN($H9,0))*(INDEX(avoidedcosttbl,ROUNDUP($H9,0),BZ$2)-(INDEX(avoidedcosttbl,ROUNDDOWN($H9,0),BZ$2)))))*ADRYr1!P9*ADRYr1!Q9*ADRYr1!U9)</f>
        <v/>
      </c>
      <c r="CA9" s="28" t="str">
        <f>IF($G9="","",$G9*(IF(ADRYr1!$AI9=CA$4,ADRYr1!$AJ9,IF(ADRYr1!$AK9=CA$4,ADRYr1!$AL9,IF(ADRYr1!$AM9=CA$4,ADRYr1!$AN9,0))))*(INDEX(avoidedcosttbl,$H9,CA$2)+(($H9-ROUNDDOWN($H9,0))*(INDEX(avoidedcosttbl,ROUNDUP($H9,0),CA$2)-(INDEX(avoidedcosttbl,ROUNDDOWN($H9,0),CA$2)))))*ADRYr1!P9*ADRYr1!Q9*ADRYr1!U9)</f>
        <v/>
      </c>
      <c r="CB9" s="28" t="str">
        <f>IF($G9="","",$G9*(IF(ADRYr1!$AI9=CB$4,ADRYr1!$AJ9,IF(ADRYr1!$AK9=CB$4,ADRYr1!$AL9,IF(ADRYr1!$AM9=CB$4,ADRYr1!$AN9,0))))*(INDEX(avoidedcosttbl,$H9,CB$2)+(($H9-ROUNDDOWN($H9,0))*(INDEX(avoidedcosttbl,ROUNDUP($H9,0),CB$2)-(INDEX(avoidedcosttbl,ROUNDDOWN($H9,0),CB$2)))))*ADRYr1!P9*ADRYr1!Q9*ADRYr1!U9)</f>
        <v/>
      </c>
      <c r="CC9" s="28" t="str">
        <f>IF($G9="","",$G9*(IF(ADRYr1!$AI9=CC$4,ADRYr1!$AJ9,IF(ADRYr1!$AK9=CC$4,ADRYr1!$AL9,IF(ADRYr1!$AM9=CC$4,ADRYr1!$AN9,0))))*(INDEX(avoidedcosttbl,$H9,CC$2)+(($H9-ROUNDDOWN($H9,0))*(INDEX(avoidedcosttbl,ROUNDUP($H9,0),CC$2)-(INDEX(avoidedcosttbl,ROUNDDOWN($H9,0),CC$2)))))*ADRYr1!P9*ADRYr1!Q9*ADRYr1!U9)</f>
        <v/>
      </c>
      <c r="CD9" s="28" t="str">
        <f>IF($G9="","",$G9*(IF(ADRYr1!$AI9=CD$4,ADRYr1!$AJ9,IF(ADRYr1!$AK9=CD$4,ADRYr1!$AL9,IF(ADRYr1!$AM9=CD$4,ADRYr1!$AN9,0))))*(INDEX(avoidedcosttbl,$H9,CD$2)+(($H9-ROUNDDOWN($H9,0))*(INDEX(avoidedcosttbl,ROUNDUP($H9,0),CD$2)-(INDEX(avoidedcosttbl,ROUNDDOWN($H9,0),CD$2)))))*ADRYr1!P9*ADRYr1!Q9*ADRYr1!U9)</f>
        <v/>
      </c>
      <c r="CE9" s="28" t="str">
        <f>IF($G9="","",$G9*(IF(ADRYr1!$AI9=CE$4,ADRYr1!$AJ9,IF(ADRYr1!$AK9=CE$4,ADRYr1!$AL9,IF(ADRYr1!$AM9=CE$4,ADRYr1!$AN9,0))))*(INDEX(avoidedcosttbl,$H9,CE$2)+(($H9-ROUNDDOWN($H9,0))*(INDEX(avoidedcosttbl,ROUNDUP($H9,0),CE$2)-(INDEX(avoidedcosttbl,ROUNDDOWN($H9,0),CE$2)))))*ADRYr1!P9*ADRYr1!Q9*ADRYr1!U9)</f>
        <v/>
      </c>
      <c r="CF9" s="41" t="str">
        <f t="shared" si="39"/>
        <v/>
      </c>
      <c r="CG9" s="30" t="str">
        <f t="shared" si="11"/>
        <v/>
      </c>
      <c r="CH9" s="30" t="str">
        <f>IF($G9="","",$G9*(IF(ADRYr1!$AI9=BY$4,ADRYr1!$AJ9,IF(ADRYr1!$AK9=BY$4,ADRYr1!$AL9,IF(ADRYr1!$AM9=BY$4,ADRYr1!$AN9,0))))*(INDEX(avoidedcosttbl,$H9,CH$2)+(($H9-ROUNDDOWN($H9,0))*(INDEX(avoidedcosttbl,ROUNDUP($H9,0),CH$2)-(INDEX(avoidedcosttbl,ROUNDDOWN($H9,0),CH$2)))))*ADRYr1!P9*ADRYr1!Q9*ADRYr1!U9)</f>
        <v/>
      </c>
      <c r="CI9" s="30" t="str">
        <f>IF($G9="","",$G9*(IF(ADRYr1!$AI9=BZ$4,ADRYr1!$AJ9,IF(ADRYr1!$AK9=BZ$4,ADRYr1!$AL9,IF(ADRYr1!$AM9=BZ$4,ADRYr1!$AN9,0))))*(INDEX(avoidedcosttbl,$H9,CI$2)+(($H9-ROUNDDOWN($H9,0))*(INDEX(avoidedcosttbl,ROUNDUP($H9,0),CI$2)-(INDEX(avoidedcosttbl,ROUNDDOWN($H9,0),CI$2)))))*ADRYr1!P9*ADRYr1!Q9*ADRYr1!U9)</f>
        <v/>
      </c>
      <c r="CJ9" s="30" t="str">
        <f>IF($G9="","",$G9*(IF(ADRYr1!$AI9=CA$4,ADRYr1!$AJ9,IF(ADRYr1!$AK9=CA$4,ADRYr1!$AL9,IF(ADRYr1!$AM9=CA$4,ADRYr1!$AN9,0))))*(INDEX(avoidedcosttbl,$H9,CJ$2)+(($H9-ROUNDDOWN($H9,0))*(INDEX(avoidedcosttbl,ROUNDUP($H9,0),CJ$2)-(INDEX(avoidedcosttbl,ROUNDDOWN($H9,0),CJ$2)))))*ADRYr1!P9*ADRYr1!Q9*ADRYr1!U9)</f>
        <v/>
      </c>
      <c r="CK9" s="30" t="str">
        <f>IF($G9="","",$G9*(IF(ADRYr1!$AI9=CB$4,ADRYr1!$AJ9,IF(ADRYr1!$AK9=CB$4,ADRYr1!$AL9,IF(ADRYr1!$AM9=CB$4,ADRYr1!$AN9,0))))*(INDEX(avoidedcosttbl,$H9,CK$2)+(($H9-ROUNDDOWN($H9,0))*(INDEX(avoidedcosttbl,ROUNDUP($H9,0),CK$2)-(INDEX(avoidedcosttbl,ROUNDDOWN($H9,0),CK$2)))))*ADRYr1!P9*ADRYr1!Q9*ADRYr1!U9)</f>
        <v/>
      </c>
      <c r="CL9" s="30" t="str">
        <f>IF($G9="","",$G9*(IF(ADRYr1!$AI9=CC$4,ADRYr1!$AJ9,IF(ADRYr1!$AK9=CC$4,ADRYr1!$AL9,IF(ADRYr1!$AM9=CC$4,ADRYr1!$AN9,0))))*(INDEX(avoidedcosttbl,$H9,CL$2)+(($H9-ROUNDDOWN($H9,0))*(INDEX(avoidedcosttbl,ROUNDUP($H9,0),CL$2)-(INDEX(avoidedcosttbl,ROUNDDOWN($H9,0),CL$2)))))*ADRYr1!P9*ADRYr1!Q9*ADRYr1!U9)</f>
        <v/>
      </c>
      <c r="CM9" s="30" t="str">
        <f>IF($G9="","",$G9*(IF(ADRYr1!$AI9=CD$4,ADRYr1!$AJ9,IF(ADRYr1!$AK9=CD$4,ADRYr1!$AL9,IF(ADRYr1!$AM9=CD$4,ADRYr1!$AN9,0))))*(INDEX(avoidedcosttbl,$H9,CM$2)+(($H9-ROUNDDOWN($H9,0))*(INDEX(avoidedcosttbl,ROUNDUP($H9,0),CM$2)-(INDEX(avoidedcosttbl,ROUNDDOWN($H9,0),CM$2)))))*ADRYr1!P9*ADRYr1!Q9*ADRYr1!U9)</f>
        <v/>
      </c>
      <c r="CN9" s="30" t="str">
        <f>IF($G9="","",$G9*(IF(ADRYr1!$AI9=CE$4,ADRYr1!$AJ9,IF(ADRYr1!$AK9=CE$4,ADRYr1!$AL9,IF(ADRYr1!$AM9=CE$4,ADRYr1!$AN9,0))))*(INDEX(avoidedcosttbl,$H9,CN$2)+(($H9-ROUNDDOWN($H9,0))*(INDEX(avoidedcosttbl,ROUNDUP($H9,0),CN$2)-(INDEX(avoidedcosttbl,ROUNDDOWN($H9,0),CN$2)))))*ADRYr1!P9*ADRYr1!Q9*ADRYr1!U9)</f>
        <v/>
      </c>
      <c r="CO9" s="220" t="str">
        <f t="shared" si="40"/>
        <v/>
      </c>
      <c r="CP9" s="220" t="str">
        <f t="shared" si="41"/>
        <v/>
      </c>
      <c r="CQ9" s="157" t="str">
        <f>IF($G9="","",$G9*(IF(ADRYr1!$AI9=CQ$4,ADRYr1!$AJ9,IF(ADRYr1!$AK9=CQ$4,ADRYr1!$AL9,IF(ADRYr1!$AM9=CQ$4,ADRYr1!$AN9,0))))*(INDEX(avoidedcosttbl,$H9,CQ$2)+(($H9-ROUNDDOWN($H9,0))*(INDEX(avoidedcosttbl,ROUNDUP($H9,0),CQ$2)-(INDEX(avoidedcosttbl,ROUNDDOWN($H9,0),CQ$2)))))*ADRYr1!$P9*ADRYr1!$Q9*ADRYr1!$U9)</f>
        <v/>
      </c>
      <c r="CR9" s="28" t="str">
        <f>IF($G9="","",G9*(IF(ADRYr1!$AI9=CR$4,ADRYr1!$AJ9,IF(ADRYr1!$AK9=CR$4,ADRYr1!$AL9,IF(ADRYr1!$AM9=CR$4,ADRYr1!$AN9,0))))*(INDEX(avoidedcosttbl,$H9,CR$2)+(($H9-ROUNDDOWN($H9,0))*(INDEX(avoidedcosttbl,ROUNDUP($H9,0),CR$2)-(INDEX(avoidedcosttbl,ROUNDDOWN($H9,0),CR$2)))))*ADRYr1!$P9*ADRYr1!$Q9*ADRYr1!$U9)</f>
        <v/>
      </c>
      <c r="CS9" s="28" t="str">
        <f>IF($G9="","",G9*(IF(ADRYr1!$AI9=CS$4,ADRYr1!$AJ9,IF(ADRYr1!$AK9=CS$4,ADRYr1!$AL9,IF(ADRYr1!$AM9=CS$4,ADRYr1!$AN9,0))))*(INDEX(avoidedcosttbl,$H9,CS$2)+(($H9-ROUNDDOWN($H9,0))*(INDEX(avoidedcosttbl,ROUNDUP($H9,0),CS$2)-(INDEX(avoidedcosttbl,ROUNDDOWN($H9,0),CS$2)))))*ADRYr1!$P9*ADRYr1!$Q9*ADRYr1!$U9)</f>
        <v/>
      </c>
      <c r="CT9" s="28" t="str">
        <f t="shared" si="12"/>
        <v/>
      </c>
      <c r="CU9" s="28" t="str">
        <f>IF($G9="","",G9*(IF(ADRYr1!$AI9=CU$4,ADRYr1!$AJ9,IF(ADRYr1!$AK9=CU$4,ADRYr1!$AL9,IF(ADRYr1!$AM9=CU$4,ADRYr1!$AN9,0))))*(INDEX(avoidedcosttbl,$H9,CU$2)+(($H9-ROUNDDOWN($H9,0))*(INDEX(avoidedcosttbl,ROUNDUP($H9,0),CU$2)-(INDEX(avoidedcosttbl,ROUNDDOWN($H9,0),CU$2)))))*ADRYr1!$P9*ADRYr1!$Q9*ADRYr1!$U9)</f>
        <v/>
      </c>
      <c r="CV9" s="28" t="str">
        <f>IF($G9="","",G9*(IF(ADRYr1!$AI9=CV$4,ADRYr1!$AJ9,IF(ADRYr1!$AK9=CV$4,ADRYr1!$AL9,IF(ADRYr1!$AM9=CV$4,ADRYr1!$AN9,0))))*(INDEX(avoidedcosttbl,$H9,CV$2)+(($H9-ROUNDDOWN($H9,0))*(INDEX(avoidedcosttbl,ROUNDUP($H9,0),CV$2)-(INDEX(avoidedcosttbl,ROUNDDOWN($H9,0),CV$2)))))*ADRYr1!$P9*ADRYr1!$Q9*ADRYr1!$U9)</f>
        <v/>
      </c>
      <c r="CW9" s="28" t="str">
        <f>IF($G9="","",G9*(IF(ADRYr1!$AI9=CW$4,ADRYr1!$AJ9,IF(ADRYr1!$AK9=CW$4,ADRYr1!$AL9,IF(ADRYr1!$AM9=CW$4,ADRYr1!$AN9,0))))*(INDEX(avoidedcosttbl,$H9,CW$2)+(($H9-ROUNDDOWN($H9,0))*(INDEX(avoidedcosttbl,ROUNDUP($H9,0),CW$2)-(INDEX(avoidedcosttbl,ROUNDDOWN($H9,0),CW$2)))))*ADRYr1!$P9*ADRYr1!$Q9*ADRYr1!$U9)</f>
        <v/>
      </c>
      <c r="CX9" s="28" t="str">
        <f>IF($G9="","",G9*(IF(ADRYr1!$AI9=CX$4,ADRYr1!$AJ9,IF(ADRYr1!$AK9=CX$4,ADRYr1!$AL9,IF(ADRYr1!$AM9=CX$4,ADRYr1!$AN9,0))))*(INDEX(avoidedcosttbl,$H9,CX$2)+(($H9-ROUNDDOWN($H9,0))*(INDEX(avoidedcosttbl,ROUNDUP($H9,0),CX$2)-(INDEX(avoidedcosttbl,ROUNDDOWN($H9,0),CX$2)))))*ADRYr1!$P9*ADRYr1!$Q9*ADRYr1!$U9)</f>
        <v/>
      </c>
      <c r="CY9" s="28" t="str">
        <f t="shared" si="13"/>
        <v/>
      </c>
      <c r="CZ9" s="32" t="str">
        <f t="shared" si="14"/>
        <v/>
      </c>
      <c r="DA9" s="84" t="str">
        <f t="shared" si="42"/>
        <v/>
      </c>
      <c r="DB9" s="81" t="str">
        <f>IF(NEIadder="Yes",IF($G9="","",INDEX(Lookups!$G$68:$G$70,MATCH($A9,Lookups!$E$68:$E$70,0))*(SUM(CP9:CX9,BX9))),"")</f>
        <v/>
      </c>
      <c r="DC9" s="263" t="str">
        <f t="shared" si="15"/>
        <v/>
      </c>
      <c r="DD9" s="166" t="str">
        <f t="shared" si="16"/>
        <v/>
      </c>
      <c r="DE9" s="82">
        <f t="shared" si="43"/>
        <v>0</v>
      </c>
      <c r="DF9" s="760" t="str">
        <f>IF($G9="","",(1+WntPeakEnergyLL)*(INDEX(avoidedcosttbl,$H9,DF$2)+(($H9-ROUNDDOWN($H9,0))*(INDEX(avoidedcosttbl,ROUNDUP($H9,0),DF$2)-(INDEX(avoidedcosttbl,ROUNDDOWN($H9,0),DF$2)))))*$P9*1000*ADRYr1!Z9)</f>
        <v/>
      </c>
      <c r="DG9" s="760" t="str">
        <f>IF($G9="","",(1+WntOffPeakEnergyLL)*(INDEX(avoidedcosttbl,$H9,DG$2)+(($H9-ROUNDDOWN($H9,0))*(INDEX(avoidedcosttbl,ROUNDUP($H9,0),DG$2)-(INDEX(avoidedcosttbl,ROUNDDOWN($H9,0),DG$2)))))*$P9*1000*ADRYr1!AA9)</f>
        <v/>
      </c>
      <c r="DH9" s="760" t="str">
        <f>IF($G9="","",(1+SumPeakEnergyLL)*(INDEX(avoidedcosttbl,$H9,DH$2)+(($H9-ROUNDDOWN($H9,0))*(INDEX(avoidedcosttbl,ROUNDUP($H9,0),DH$2)-(INDEX(avoidedcosttbl,ROUNDDOWN($H9,0),DH$2)))))*$P9*1000*ADRYr1!AB9)</f>
        <v/>
      </c>
      <c r="DI9" s="760" t="str">
        <f>IF($G9="","",(1+SumOffPeakEnergyLL)*(INDEX(avoidedcosttbl,$H9,DI$2)+(($H9-ROUNDDOWN($H9,0))*(INDEX(avoidedcosttbl,ROUNDUP($H9,0),DI$2)-(INDEX(avoidedcosttbl,ROUNDDOWN($H9,0),DI$2)))))*$P9*1000*ADRYr1!AC9)</f>
        <v/>
      </c>
      <c r="DJ9" s="29" t="str">
        <f t="shared" si="44"/>
        <v/>
      </c>
      <c r="DK9" s="161" t="str">
        <f t="shared" si="45"/>
        <v/>
      </c>
      <c r="DL9" s="1375" t="str">
        <f t="shared" si="46"/>
        <v/>
      </c>
      <c r="DM9" s="1375" t="str">
        <f t="shared" si="47"/>
        <v/>
      </c>
      <c r="DN9" s="43" t="str">
        <f t="shared" si="48"/>
        <v/>
      </c>
      <c r="DO9" s="1131" t="str">
        <f>IF($G9="","",ADRYr1!AQ9)</f>
        <v/>
      </c>
      <c r="DP9" s="1133" t="str">
        <f>IF($G9="","",ADRYr1!AR9)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17"/>
        <v/>
      </c>
      <c r="DU9" s="1135" t="str">
        <f>IF($G9="","",ADRYr1!AS9)</f>
        <v/>
      </c>
      <c r="DV9" s="1136" t="str">
        <f>IF($G9="","",ADRYr1!AT9)</f>
        <v/>
      </c>
      <c r="DW9" s="1344" t="str">
        <f>IF($G9="","",INDEX(AvoidedEnergy!$H$4:$H$10,MATCH($DO9,AvoidedEnergy!$A$4:$A$10,0)))</f>
        <v/>
      </c>
    </row>
    <row r="10" spans="1:127">
      <c r="A10" s="160" t="str">
        <f>IF(ADRYr1!$B10=0,"",ADRYr1!A10)</f>
        <v>A - Residential</v>
      </c>
      <c r="B10" s="9" t="str">
        <f>IF(ADRYr1!$B10=0,"",ADRYr1!B10)</f>
        <v>A5 - Residential Active Demand Response</v>
      </c>
      <c r="C10" s="9" t="str">
        <f>IF(ADRYr1!$B10=0,"",ADRYr1!C10)</f>
        <v>A5a - Residential Active Demand Response</v>
      </c>
      <c r="D10" s="9" t="str">
        <f>IF(ADRYr1!$B10=0,"",ADRYr1!D10)</f>
        <v>Storage Daily Dispatch Upfront Incentive (consumption) Winter</v>
      </c>
      <c r="E10" s="9">
        <f>IF(ADRYr1!$B10=0,"",ADRYr1!E10)</f>
        <v>0</v>
      </c>
      <c r="F10" s="11" t="str">
        <f>IF(ADRYr1!$B10=0,"",ADRYr1!F10)</f>
        <v>Behavior</v>
      </c>
      <c r="G10" s="12" t="str">
        <f>IF(ADRYr1!$G10&lt;&gt;0,ADRYr1!G10,"")</f>
        <v/>
      </c>
      <c r="H10" s="1125" t="str">
        <f>IF($G10="","",ROUND(ADRYr1!H10,0))</f>
        <v/>
      </c>
      <c r="I10" s="47" t="str">
        <f>IF($G10="","",ADRYr1!I10*ADRYr1!P10*G10)</f>
        <v/>
      </c>
      <c r="J10" s="47" t="str">
        <f>IF($G10="","",ADRYr1!J10*G10)</f>
        <v/>
      </c>
      <c r="K10" s="47" t="str">
        <f t="shared" si="18"/>
        <v/>
      </c>
      <c r="L10" s="27" t="str">
        <f>IF($G10="","",ADRYr1!V10*G10/1000)</f>
        <v/>
      </c>
      <c r="M10" s="27" t="str">
        <f>IF($G10="","",L10*ADRYr1!$Q10*ADRYr1!$R10)</f>
        <v/>
      </c>
      <c r="N10" s="27" t="str">
        <f t="shared" si="19"/>
        <v/>
      </c>
      <c r="O10" s="27" t="str">
        <f t="shared" si="20"/>
        <v/>
      </c>
      <c r="P10" s="27" t="str">
        <f>IF($G10="","",M10*ADRYr1!P10)</f>
        <v/>
      </c>
      <c r="Q10" s="27" t="str">
        <f t="shared" si="21"/>
        <v/>
      </c>
      <c r="R10" s="27" t="str">
        <f>IF($G10="","",$Q10*ADRYr1!Z10)</f>
        <v/>
      </c>
      <c r="S10" s="27" t="str">
        <f>IF($G10="","",$Q10*ADRYr1!AA10)</f>
        <v/>
      </c>
      <c r="T10" s="27" t="str">
        <f>IF($G10="","",$Q10*ADRYr1!AB10)</f>
        <v/>
      </c>
      <c r="U10" s="27" t="str">
        <f>IF($G10="","",$Q10*ADRYr1!AC10)</f>
        <v/>
      </c>
      <c r="V10" s="27" t="str">
        <f>IF($G10="","",G10*ADRYr1!$AD10*ADRYr1!$P10*ADRYr1!$Q10)</f>
        <v/>
      </c>
      <c r="W10" s="27" t="str">
        <f>IF($G10="","",$G10*ADRYr1!$AD10*ADRYr1!$AF10*ADRYr1!Q10*ADRYr1!$S10)</f>
        <v/>
      </c>
      <c r="X10" s="27" t="str">
        <f>IF($G10="","",$G10*ADRYr1!$AD10*ADRYr1!$AF10*ADRYr1!P10*ADRYr1!Q10*ADRYr1!$S10)</f>
        <v/>
      </c>
      <c r="Y10" s="27" t="str">
        <f>IF($G10="","",$G10*ADRYr1!$AD10*ADRYr1!$AE10*ADRYr1!Q10*ADRYr1!$T10)</f>
        <v/>
      </c>
      <c r="Z10" s="27" t="str">
        <f>IF($G10="","",$G10*ADRYr1!$AD10*ADRYr1!$AE10*ADRYr1!P10*ADRYr1!Q10*ADRYr1!$T10)</f>
        <v/>
      </c>
      <c r="AA10" s="45" t="str">
        <f>IF($G10="","",$G10*ADRYr1!$Q10*ADRYr1!$U10*(IF(IFERROR(SEARCH("NG", ADRYr1!$AI10),0),ADRYr1!$AJ10,0)+IF(IFERROR(SEARCH("NG", ADRYr1!$AK10),0),ADRYr1!$AL10,0)+IF(IFERROR(SEARCH("NG", ADRYr1!$AM10),0),ADRYr1!$AN10,0)))</f>
        <v/>
      </c>
      <c r="AB10" s="45" t="str">
        <f t="shared" si="22"/>
        <v/>
      </c>
      <c r="AC10" s="45">
        <f>IF($G10="",0,AA10*ADRYr1!$P10)</f>
        <v>0</v>
      </c>
      <c r="AD10" s="45" t="str">
        <f t="shared" si="23"/>
        <v/>
      </c>
      <c r="AE10" s="45" t="str">
        <f>IF($G10="","",$G10*ADRYr1!$Q10*ADRYr1!$U10*(IF(IFERROR(SEARCH("Oil", ADRYr1!$AI10), 0),ADRYr1!$AJ10,0)+IF(IFERROR(SEARCH("Oil", ADRYr1!$AK10), 0),ADRYr1!$AL10,0)+IF(IFERROR(SEARCH("Oil", ADRYr1!$AM10), 0),ADRYr1!$AN10,0)))</f>
        <v/>
      </c>
      <c r="AF10" s="45" t="str">
        <f t="shared" si="24"/>
        <v/>
      </c>
      <c r="AG10" s="45">
        <f>IF($G10="",0,AE10*ADRYr1!$P10)</f>
        <v>0</v>
      </c>
      <c r="AH10" s="45" t="str">
        <f t="shared" si="25"/>
        <v/>
      </c>
      <c r="AI10" s="45" t="str">
        <f>IF($G10="","",$G10*ADRYr1!$Q10*ADRYr1!$U10*(IF(ADRYr1!$AI10=Lookups!$E$114,ADRYr1!$AJ10,IF(ADRYr1!$AK10=Lookups!$E$114,ADRYr1!$AL10,IF(ADRYr1!$AM10=Lookups!$E$114,ADRYr1!$AN10,0)))))</f>
        <v/>
      </c>
      <c r="AJ10" s="45" t="str">
        <f t="shared" si="26"/>
        <v/>
      </c>
      <c r="AK10" s="45">
        <f>IF($G10="",0,AI10*ADRYr1!$P10)</f>
        <v>0</v>
      </c>
      <c r="AL10" s="45" t="str">
        <f t="shared" si="27"/>
        <v/>
      </c>
      <c r="AM10" s="45" t="str">
        <f>IF($G10="","",$G10*ADRYr1!$Q10*ADRYr1!$U10*(IF(ADRYr1!$AI10=Lookups!$E$113,ADRYr1!$AJ10,IF(ADRYr1!$AK10=Lookups!$E$113,ADRYr1!$AL10,IF(ADRYr1!$AM10=Lookups!$E$113,ADRYr1!$AN10,0)))))</f>
        <v/>
      </c>
      <c r="AN10" s="45" t="str">
        <f t="shared" si="28"/>
        <v/>
      </c>
      <c r="AO10" s="45">
        <f>IF($G10="",0,AM10*ADRYr1!$P10)</f>
        <v>0</v>
      </c>
      <c r="AP10" s="45" t="str">
        <f t="shared" si="29"/>
        <v/>
      </c>
      <c r="AQ10" s="45" t="str">
        <f>IF($G10="","",$G10*ADRYr1!$Q10*ADRYr1!$U10*(IF(ADRYr1!$AI10=Lookups!$E$115,ADRYr1!$AJ10,IF(ADRYr1!$AK10=Lookups!$E$115,ADRYr1!$AL10,IF(ADRYr1!$AM10=Lookups!$E$115,ADRYr1!$AN10,0)))))</f>
        <v/>
      </c>
      <c r="AR10" s="45" t="str">
        <f t="shared" si="30"/>
        <v/>
      </c>
      <c r="AS10" s="45" t="str">
        <f>IF($G10="","",AQ10*ADRYr1!$P10)</f>
        <v/>
      </c>
      <c r="AT10" s="45" t="str">
        <f t="shared" si="31"/>
        <v/>
      </c>
      <c r="AU10" s="45" t="str">
        <f>IF($G10="","",$G10*ADRYr1!$Q10*ADRYr1!$U10*(IF(ADRYr1!$AI10=Lookups!$E$116,ADRYr1!$AJ10,IF(ADRYr1!$AK10=Lookups!$E$116,ADRYr1!$AL10,IF(ADRYr1!$AM10=Lookups!$E$116,ADRYr1!$AN10,0)))))</f>
        <v/>
      </c>
      <c r="AV10" s="45" t="str">
        <f t="shared" si="32"/>
        <v/>
      </c>
      <c r="AW10" s="45" t="str">
        <f>IF($G10="","",AU10*ADRYr1!$P10)</f>
        <v/>
      </c>
      <c r="AX10" s="45" t="str">
        <f t="shared" si="33"/>
        <v/>
      </c>
      <c r="AY10" s="45">
        <f t="shared" si="34"/>
        <v>0</v>
      </c>
      <c r="AZ10" s="45">
        <f t="shared" si="34"/>
        <v>0</v>
      </c>
      <c r="BA10" s="101" t="str">
        <f>IF($G10="","",$G10*ADRYr1!$P10*ADRYr1!$Q10*ADRYr1!$U10*ADRYr1!AO10)</f>
        <v/>
      </c>
      <c r="BB10" s="102" t="str">
        <f>IF($G10="","",$G10*ADRYr1!$P10*ADRYr1!$Q10*ADRYr1!$U10*ADRYr1!AP10)</f>
        <v/>
      </c>
      <c r="BC10" s="100" t="str">
        <f t="shared" si="35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5"/>
        <v/>
      </c>
      <c r="BO10" s="31" t="str">
        <f t="shared" si="36"/>
        <v/>
      </c>
      <c r="BP10" s="1129" t="str">
        <f t="shared" si="6"/>
        <v/>
      </c>
      <c r="BQ10" s="28" t="str">
        <f t="shared" si="7"/>
        <v/>
      </c>
      <c r="BR10" s="1129" t="str">
        <f t="shared" si="8"/>
        <v/>
      </c>
      <c r="BS10" s="1129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7"/>
        <v/>
      </c>
      <c r="BX10" s="29" t="str">
        <f t="shared" si="38"/>
        <v/>
      </c>
      <c r="BY10" s="28" t="str">
        <f>IF($G10="","",$G10*(IF(ADRYr1!$AI10=BY$4,ADRYr1!$AJ10,IF(ADRYr1!$AK10=BY$4,ADRYr1!$AL10,IF(ADRYr1!$AM10=BY$4,ADRYr1!$AN10,0))))*(INDEX(avoidedcosttbl,$H10,BY$2)+(($H10-ROUNDDOWN($H10,0))*(INDEX(avoidedcosttbl,ROUNDUP($H10,0),BY$2)-(INDEX(avoidedcosttbl,ROUNDDOWN($H10,0),BY$2)))))*ADRYr1!P10*ADRYr1!Q10*ADRYr1!U10)</f>
        <v/>
      </c>
      <c r="BZ10" s="28" t="str">
        <f>IF($G10="","",$G10*(IF(ADRYr1!$AI10=BZ$4,ADRYr1!$AJ10,IF(ADRYr1!$AK10=BZ$4,ADRYr1!$AL10,IF(ADRYr1!$AM10=BZ$4,ADRYr1!$AN10,0))))*(INDEX(avoidedcosttbl,$H10,BZ$2)+(($H10-ROUNDDOWN($H10,0))*(INDEX(avoidedcosttbl,ROUNDUP($H10,0),BZ$2)-(INDEX(avoidedcosttbl,ROUNDDOWN($H10,0),BZ$2)))))*ADRYr1!P10*ADRYr1!Q10*ADRYr1!U10)</f>
        <v/>
      </c>
      <c r="CA10" s="28" t="str">
        <f>IF($G10="","",$G10*(IF(ADRYr1!$AI10=CA$4,ADRYr1!$AJ10,IF(ADRYr1!$AK10=CA$4,ADRYr1!$AL10,IF(ADRYr1!$AM10=CA$4,ADRYr1!$AN10,0))))*(INDEX(avoidedcosttbl,$H10,CA$2)+(($H10-ROUNDDOWN($H10,0))*(INDEX(avoidedcosttbl,ROUNDUP($H10,0),CA$2)-(INDEX(avoidedcosttbl,ROUNDDOWN($H10,0),CA$2)))))*ADRYr1!P10*ADRYr1!Q10*ADRYr1!U10)</f>
        <v/>
      </c>
      <c r="CB10" s="28" t="str">
        <f>IF($G10="","",$G10*(IF(ADRYr1!$AI10=CB$4,ADRYr1!$AJ10,IF(ADRYr1!$AK10=CB$4,ADRYr1!$AL10,IF(ADRYr1!$AM10=CB$4,ADRYr1!$AN10,0))))*(INDEX(avoidedcosttbl,$H10,CB$2)+(($H10-ROUNDDOWN($H10,0))*(INDEX(avoidedcosttbl,ROUNDUP($H10,0),CB$2)-(INDEX(avoidedcosttbl,ROUNDDOWN($H10,0),CB$2)))))*ADRYr1!P10*ADRYr1!Q10*ADRYr1!U10)</f>
        <v/>
      </c>
      <c r="CC10" s="28" t="str">
        <f>IF($G10="","",$G10*(IF(ADRYr1!$AI10=CC$4,ADRYr1!$AJ10,IF(ADRYr1!$AK10=CC$4,ADRYr1!$AL10,IF(ADRYr1!$AM10=CC$4,ADRYr1!$AN10,0))))*(INDEX(avoidedcosttbl,$H10,CC$2)+(($H10-ROUNDDOWN($H10,0))*(INDEX(avoidedcosttbl,ROUNDUP($H10,0),CC$2)-(INDEX(avoidedcosttbl,ROUNDDOWN($H10,0),CC$2)))))*ADRYr1!P10*ADRYr1!Q10*ADRYr1!U10)</f>
        <v/>
      </c>
      <c r="CD10" s="28" t="str">
        <f>IF($G10="","",$G10*(IF(ADRYr1!$AI10=CD$4,ADRYr1!$AJ10,IF(ADRYr1!$AK10=CD$4,ADRYr1!$AL10,IF(ADRYr1!$AM10=CD$4,ADRYr1!$AN10,0))))*(INDEX(avoidedcosttbl,$H10,CD$2)+(($H10-ROUNDDOWN($H10,0))*(INDEX(avoidedcosttbl,ROUNDUP($H10,0),CD$2)-(INDEX(avoidedcosttbl,ROUNDDOWN($H10,0),CD$2)))))*ADRYr1!P10*ADRYr1!Q10*ADRYr1!U10)</f>
        <v/>
      </c>
      <c r="CE10" s="28" t="str">
        <f>IF($G10="","",$G10*(IF(ADRYr1!$AI10=CE$4,ADRYr1!$AJ10,IF(ADRYr1!$AK10=CE$4,ADRYr1!$AL10,IF(ADRYr1!$AM10=CE$4,ADRYr1!$AN10,0))))*(INDEX(avoidedcosttbl,$H10,CE$2)+(($H10-ROUNDDOWN($H10,0))*(INDEX(avoidedcosttbl,ROUNDUP($H10,0),CE$2)-(INDEX(avoidedcosttbl,ROUNDDOWN($H10,0),CE$2)))))*ADRYr1!P10*ADRYr1!Q10*ADRYr1!U10)</f>
        <v/>
      </c>
      <c r="CF10" s="41" t="str">
        <f t="shared" si="39"/>
        <v/>
      </c>
      <c r="CG10" s="30" t="str">
        <f t="shared" si="11"/>
        <v/>
      </c>
      <c r="CH10" s="30" t="str">
        <f>IF($G10="","",$G10*(IF(ADRYr1!$AI10=BY$4,ADRYr1!$AJ10,IF(ADRYr1!$AK10=BY$4,ADRYr1!$AL10,IF(ADRYr1!$AM10=BY$4,ADRYr1!$AN10,0))))*(INDEX(avoidedcosttbl,$H10,CH$2)+(($H10-ROUNDDOWN($H10,0))*(INDEX(avoidedcosttbl,ROUNDUP($H10,0),CH$2)-(INDEX(avoidedcosttbl,ROUNDDOWN($H10,0),CH$2)))))*ADRYr1!P10*ADRYr1!Q10*ADRYr1!U10)</f>
        <v/>
      </c>
      <c r="CI10" s="30" t="str">
        <f>IF($G10="","",$G10*(IF(ADRYr1!$AI10=BZ$4,ADRYr1!$AJ10,IF(ADRYr1!$AK10=BZ$4,ADRYr1!$AL10,IF(ADRYr1!$AM10=BZ$4,ADRYr1!$AN10,0))))*(INDEX(avoidedcosttbl,$H10,CI$2)+(($H10-ROUNDDOWN($H10,0))*(INDEX(avoidedcosttbl,ROUNDUP($H10,0),CI$2)-(INDEX(avoidedcosttbl,ROUNDDOWN($H10,0),CI$2)))))*ADRYr1!P10*ADRYr1!Q10*ADRYr1!U10)</f>
        <v/>
      </c>
      <c r="CJ10" s="30" t="str">
        <f>IF($G10="","",$G10*(IF(ADRYr1!$AI10=CA$4,ADRYr1!$AJ10,IF(ADRYr1!$AK10=CA$4,ADRYr1!$AL10,IF(ADRYr1!$AM10=CA$4,ADRYr1!$AN10,0))))*(INDEX(avoidedcosttbl,$H10,CJ$2)+(($H10-ROUNDDOWN($H10,0))*(INDEX(avoidedcosttbl,ROUNDUP($H10,0),CJ$2)-(INDEX(avoidedcosttbl,ROUNDDOWN($H10,0),CJ$2)))))*ADRYr1!P10*ADRYr1!Q10*ADRYr1!U10)</f>
        <v/>
      </c>
      <c r="CK10" s="30" t="str">
        <f>IF($G10="","",$G10*(IF(ADRYr1!$AI10=CB$4,ADRYr1!$AJ10,IF(ADRYr1!$AK10=CB$4,ADRYr1!$AL10,IF(ADRYr1!$AM10=CB$4,ADRYr1!$AN10,0))))*(INDEX(avoidedcosttbl,$H10,CK$2)+(($H10-ROUNDDOWN($H10,0))*(INDEX(avoidedcosttbl,ROUNDUP($H10,0),CK$2)-(INDEX(avoidedcosttbl,ROUNDDOWN($H10,0),CK$2)))))*ADRYr1!P10*ADRYr1!Q10*ADRYr1!U10)</f>
        <v/>
      </c>
      <c r="CL10" s="30" t="str">
        <f>IF($G10="","",$G10*(IF(ADRYr1!$AI10=CC$4,ADRYr1!$AJ10,IF(ADRYr1!$AK10=CC$4,ADRYr1!$AL10,IF(ADRYr1!$AM10=CC$4,ADRYr1!$AN10,0))))*(INDEX(avoidedcosttbl,$H10,CL$2)+(($H10-ROUNDDOWN($H10,0))*(INDEX(avoidedcosttbl,ROUNDUP($H10,0),CL$2)-(INDEX(avoidedcosttbl,ROUNDDOWN($H10,0),CL$2)))))*ADRYr1!P10*ADRYr1!Q10*ADRYr1!U10)</f>
        <v/>
      </c>
      <c r="CM10" s="30" t="str">
        <f>IF($G10="","",$G10*(IF(ADRYr1!$AI10=CD$4,ADRYr1!$AJ10,IF(ADRYr1!$AK10=CD$4,ADRYr1!$AL10,IF(ADRYr1!$AM10=CD$4,ADRYr1!$AN10,0))))*(INDEX(avoidedcosttbl,$H10,CM$2)+(($H10-ROUNDDOWN($H10,0))*(INDEX(avoidedcosttbl,ROUNDUP($H10,0),CM$2)-(INDEX(avoidedcosttbl,ROUNDDOWN($H10,0),CM$2)))))*ADRYr1!P10*ADRYr1!Q10*ADRYr1!U10)</f>
        <v/>
      </c>
      <c r="CN10" s="30" t="str">
        <f>IF($G10="","",$G10*(IF(ADRYr1!$AI10=CE$4,ADRYr1!$AJ10,IF(ADRYr1!$AK10=CE$4,ADRYr1!$AL10,IF(ADRYr1!$AM10=CE$4,ADRYr1!$AN10,0))))*(INDEX(avoidedcosttbl,$H10,CN$2)+(($H10-ROUNDDOWN($H10,0))*(INDEX(avoidedcosttbl,ROUNDUP($H10,0),CN$2)-(INDEX(avoidedcosttbl,ROUNDDOWN($H10,0),CN$2)))))*ADRYr1!P10*ADRYr1!Q10*ADRYr1!U10)</f>
        <v/>
      </c>
      <c r="CO10" s="220" t="str">
        <f t="shared" si="40"/>
        <v/>
      </c>
      <c r="CP10" s="220" t="str">
        <f t="shared" si="41"/>
        <v/>
      </c>
      <c r="CQ10" s="157" t="str">
        <f>IF($G10="","",$G10*(IF(ADRYr1!$AI10=CQ$4,ADRYr1!$AJ10,IF(ADRYr1!$AK10=CQ$4,ADRYr1!$AL10,IF(ADRYr1!$AM10=CQ$4,ADRYr1!$AN10,0))))*(INDEX(avoidedcosttbl,$H10,CQ$2)+(($H10-ROUNDDOWN($H10,0))*(INDEX(avoidedcosttbl,ROUNDUP($H10,0),CQ$2)-(INDEX(avoidedcosttbl,ROUNDDOWN($H10,0),CQ$2)))))*ADRYr1!$P10*ADRYr1!$Q10*ADRYr1!$U10)</f>
        <v/>
      </c>
      <c r="CR10" s="28" t="str">
        <f>IF($G10="","",G10*(IF(ADRYr1!$AI10=CR$4,ADRYr1!$AJ10,IF(ADRYr1!$AK10=CR$4,ADRYr1!$AL10,IF(ADRYr1!$AM10=CR$4,ADRYr1!$AN10,0))))*(INDEX(avoidedcosttbl,$H10,CR$2)+(($H10-ROUNDDOWN($H10,0))*(INDEX(avoidedcosttbl,ROUNDUP($H10,0),CR$2)-(INDEX(avoidedcosttbl,ROUNDDOWN($H10,0),CR$2)))))*ADRYr1!$P10*ADRYr1!$Q10*ADRYr1!$U10)</f>
        <v/>
      </c>
      <c r="CS10" s="28" t="str">
        <f>IF($G10="","",G10*(IF(ADRYr1!$AI10=CS$4,ADRYr1!$AJ10,IF(ADRYr1!$AK10=CS$4,ADRYr1!$AL10,IF(ADRYr1!$AM10=CS$4,ADRYr1!$AN10,0))))*(INDEX(avoidedcosttbl,$H10,CS$2)+(($H10-ROUNDDOWN($H10,0))*(INDEX(avoidedcosttbl,ROUNDUP($H10,0),CS$2)-(INDEX(avoidedcosttbl,ROUNDDOWN($H10,0),CS$2)))))*ADRYr1!$P10*ADRYr1!$Q10*ADRYr1!$U10)</f>
        <v/>
      </c>
      <c r="CT10" s="28" t="str">
        <f t="shared" si="12"/>
        <v/>
      </c>
      <c r="CU10" s="28" t="str">
        <f>IF($G10="","",G10*(IF(ADRYr1!$AI10=CU$4,ADRYr1!$AJ10,IF(ADRYr1!$AK10=CU$4,ADRYr1!$AL10,IF(ADRYr1!$AM10=CU$4,ADRYr1!$AN10,0))))*(INDEX(avoidedcosttbl,$H10,CU$2)+(($H10-ROUNDDOWN($H10,0))*(INDEX(avoidedcosttbl,ROUNDUP($H10,0),CU$2)-(INDEX(avoidedcosttbl,ROUNDDOWN($H10,0),CU$2)))))*ADRYr1!$P10*ADRYr1!$Q10*ADRYr1!$U10)</f>
        <v/>
      </c>
      <c r="CV10" s="28" t="str">
        <f>IF($G10="","",G10*(IF(ADRYr1!$AI10=CV$4,ADRYr1!$AJ10,IF(ADRYr1!$AK10=CV$4,ADRYr1!$AL10,IF(ADRYr1!$AM10=CV$4,ADRYr1!$AN10,0))))*(INDEX(avoidedcosttbl,$H10,CV$2)+(($H10-ROUNDDOWN($H10,0))*(INDEX(avoidedcosttbl,ROUNDUP($H10,0),CV$2)-(INDEX(avoidedcosttbl,ROUNDDOWN($H10,0),CV$2)))))*ADRYr1!$P10*ADRYr1!$Q10*ADRYr1!$U10)</f>
        <v/>
      </c>
      <c r="CW10" s="28" t="str">
        <f>IF($G10="","",G10*(IF(ADRYr1!$AI10=CW$4,ADRYr1!$AJ10,IF(ADRYr1!$AK10=CW$4,ADRYr1!$AL10,IF(ADRYr1!$AM10=CW$4,ADRYr1!$AN10,0))))*(INDEX(avoidedcosttbl,$H10,CW$2)+(($H10-ROUNDDOWN($H10,0))*(INDEX(avoidedcosttbl,ROUNDUP($H10,0),CW$2)-(INDEX(avoidedcosttbl,ROUNDDOWN($H10,0),CW$2)))))*ADRYr1!$P10*ADRYr1!$Q10*ADRYr1!$U10)</f>
        <v/>
      </c>
      <c r="CX10" s="28" t="str">
        <f>IF($G10="","",G10*(IF(ADRYr1!$AI10=CX$4,ADRYr1!$AJ10,IF(ADRYr1!$AK10=CX$4,ADRYr1!$AL10,IF(ADRYr1!$AM10=CX$4,ADRYr1!$AN10,0))))*(INDEX(avoidedcosttbl,$H10,CX$2)+(($H10-ROUNDDOWN($H10,0))*(INDEX(avoidedcosttbl,ROUNDUP($H10,0),CX$2)-(INDEX(avoidedcosttbl,ROUNDDOWN($H10,0),CX$2)))))*ADRYr1!$P10*ADRYr1!$Q10*ADRYr1!$U10)</f>
        <v/>
      </c>
      <c r="CY10" s="28" t="str">
        <f t="shared" si="13"/>
        <v/>
      </c>
      <c r="CZ10" s="32" t="str">
        <f t="shared" si="14"/>
        <v/>
      </c>
      <c r="DA10" s="84" t="str">
        <f t="shared" si="42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15"/>
        <v/>
      </c>
      <c r="DD10" s="166" t="str">
        <f t="shared" si="16"/>
        <v/>
      </c>
      <c r="DE10" s="82">
        <f>SUM(DB10:DD10)</f>
        <v>0</v>
      </c>
      <c r="DF10" s="760" t="str">
        <f>IF($G10="","",(1+WntPeakEnergyLL)*(INDEX(avoidedcosttbl,$H10,DF$2)+(($H10-ROUNDDOWN($H10,0))*(INDEX(avoidedcosttbl,ROUNDUP($H10,0),DF$2)-(INDEX(avoidedcosttbl,ROUNDDOWN($H10,0),DF$2)))))*$P10*1000*ADRYr1!Z10)</f>
        <v/>
      </c>
      <c r="DG10" s="760" t="str">
        <f>IF($G10="","",(1+WntOffPeakEnergyLL)*(INDEX(avoidedcosttbl,$H10,DG$2)+(($H10-ROUNDDOWN($H10,0))*(INDEX(avoidedcosttbl,ROUNDUP($H10,0),DG$2)-(INDEX(avoidedcosttbl,ROUNDDOWN($H10,0),DG$2)))))*$P10*1000*ADRYr1!AA10)</f>
        <v/>
      </c>
      <c r="DH10" s="760" t="str">
        <f>IF($G10="","",(1+SumPeakEnergyLL)*(INDEX(avoidedcosttbl,$H10,DH$2)+(($H10-ROUNDDOWN($H10,0))*(INDEX(avoidedcosttbl,ROUNDUP($H10,0),DH$2)-(INDEX(avoidedcosttbl,ROUNDDOWN($H10,0),DH$2)))))*$P10*1000*ADRYr1!AB10)</f>
        <v/>
      </c>
      <c r="DI10" s="760" t="str">
        <f>IF($G10="","",(1+SumOffPeakEnergyLL)*(INDEX(avoidedcosttbl,$H10,DI$2)+(($H10-ROUNDDOWN($H10,0))*(INDEX(avoidedcosttbl,ROUNDUP($H10,0),DI$2)-(INDEX(avoidedcosttbl,ROUNDDOWN($H10,0),DI$2)))))*$P10*1000*ADRYr1!AC10)</f>
        <v/>
      </c>
      <c r="DJ10" s="29" t="str">
        <f t="shared" si="44"/>
        <v/>
      </c>
      <c r="DK10" s="161" t="str">
        <f t="shared" si="45"/>
        <v/>
      </c>
      <c r="DL10" s="1375" t="str">
        <f t="shared" si="46"/>
        <v/>
      </c>
      <c r="DM10" s="1375" t="str">
        <f t="shared" si="47"/>
        <v/>
      </c>
      <c r="DN10" s="43" t="str">
        <f t="shared" si="48"/>
        <v/>
      </c>
      <c r="DO10" s="1131" t="str">
        <f>IF($G10="","",ADRYr1!AQ10)</f>
        <v/>
      </c>
      <c r="DP10" s="1133" t="str">
        <f>IF($G10="","",ADRYr1!AR10)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17"/>
        <v/>
      </c>
      <c r="DU10" s="1135" t="str">
        <f>IF($G10="","",ADRYr1!AS10)</f>
        <v/>
      </c>
      <c r="DV10" s="1136" t="str">
        <f>IF($G10="","",ADRYr1!AT10)</f>
        <v/>
      </c>
      <c r="DW10" s="1344" t="str">
        <f>IF($G10="","",INDEX(AvoidedEnergy!$H$4:$H$10,MATCH($DO10,AvoidedEnergy!$A$4:$A$10,0)))</f>
        <v/>
      </c>
    </row>
    <row r="11" spans="1:127">
      <c r="A11" s="160" t="str">
        <f>IF(ADRYr1!$B11=0,"",ADRYr1!A11)</f>
        <v>A - Residential</v>
      </c>
      <c r="B11" s="9" t="str">
        <f>IF(ADRYr1!$B11=0,"",ADRYr1!B11)</f>
        <v>A5 - Residential Active Demand Response</v>
      </c>
      <c r="C11" s="9" t="str">
        <f>IF(ADRYr1!$B11=0,"",ADRYr1!C11)</f>
        <v>A5a - Residential Active Demand Response</v>
      </c>
      <c r="D11" s="9" t="str">
        <f>IF(ADRYr1!$B11=0,"",ADRYr1!D11)</f>
        <v>Storage Daily Dispatch P4P (savings) Summer</v>
      </c>
      <c r="E11" s="9" t="str">
        <f>IF(ADRYr1!$B11=0,"",ADRYr1!E11)</f>
        <v>E21A5a002</v>
      </c>
      <c r="F11" s="11" t="str">
        <f>IF(ADRYr1!$B11=0,"",ADRYr1!F11)</f>
        <v>Behavior</v>
      </c>
      <c r="G11" s="12" t="str">
        <f>IF(ADRYr1!$G11&lt;&gt;0,ADRYr1!G11,"")</f>
        <v/>
      </c>
      <c r="H11" s="1125" t="str">
        <f>IF($G11="","",ROUND(ADRYr1!H11,0))</f>
        <v/>
      </c>
      <c r="I11" s="47" t="str">
        <f>IF($G11="","",ADRYr1!I11*ADRYr1!P11*G11)</f>
        <v/>
      </c>
      <c r="J11" s="47" t="str">
        <f>IF($G11="","",ADRYr1!J11*G11)</f>
        <v/>
      </c>
      <c r="K11" s="47" t="str">
        <f t="shared" si="18"/>
        <v/>
      </c>
      <c r="L11" s="27" t="str">
        <f>IF($G11="","",ADRYr1!V11*G11/1000)</f>
        <v/>
      </c>
      <c r="M11" s="27" t="str">
        <f>IF($G11="","",L11*ADRYr1!$Q11*ADRYr1!$R11)</f>
        <v/>
      </c>
      <c r="N11" s="27" t="str">
        <f t="shared" si="19"/>
        <v/>
      </c>
      <c r="O11" s="27" t="str">
        <f t="shared" si="20"/>
        <v/>
      </c>
      <c r="P11" s="27" t="str">
        <f>IF($G11="","",M11*ADRYr1!P11)</f>
        <v/>
      </c>
      <c r="Q11" s="27" t="str">
        <f t="shared" si="21"/>
        <v/>
      </c>
      <c r="R11" s="27" t="str">
        <f>IF($G11="","",$Q11*ADRYr1!Z11)</f>
        <v/>
      </c>
      <c r="S11" s="27" t="str">
        <f>IF($G11="","",$Q11*ADRYr1!AA11)</f>
        <v/>
      </c>
      <c r="T11" s="27" t="str">
        <f>IF($G11="","",$Q11*ADRYr1!AB11)</f>
        <v/>
      </c>
      <c r="U11" s="27" t="str">
        <f>IF($G11="","",$Q11*ADRYr1!AC11)</f>
        <v/>
      </c>
      <c r="V11" s="27" t="str">
        <f>IF($G11="","",G11*ADRYr1!$AD11*ADRYr1!$P11*ADRYr1!$Q11)</f>
        <v/>
      </c>
      <c r="W11" s="27" t="str">
        <f>IF($G11="","",$G11*ADRYr1!$AD11*ADRYr1!$AF11*ADRYr1!Q11*ADRYr1!$S11)</f>
        <v/>
      </c>
      <c r="X11" s="27" t="str">
        <f>IF($G11="","",$G11*ADRYr1!$AD11*ADRYr1!$AF11*ADRYr1!P11*ADRYr1!Q11*ADRYr1!$S11)</f>
        <v/>
      </c>
      <c r="Y11" s="27" t="str">
        <f>IF($G11="","",$G11*ADRYr1!$AD11*ADRYr1!$AE11*ADRYr1!Q11*ADRYr1!$T11)</f>
        <v/>
      </c>
      <c r="Z11" s="27" t="str">
        <f>IF($G11="","",$G11*ADRYr1!$AD11*ADRYr1!$AE11*ADRYr1!P11*ADRYr1!Q11*ADRYr1!$T11)</f>
        <v/>
      </c>
      <c r="AA11" s="45" t="str">
        <f>IF($G11="","",$G11*ADRYr1!$Q11*ADRYr1!$U11*(IF(IFERROR(SEARCH("NG", ADRYr1!$AI11),0),ADRYr1!$AJ11,0)+IF(IFERROR(SEARCH("NG", ADRYr1!$AK11),0),ADRYr1!$AL11,0)+IF(IFERROR(SEARCH("NG", ADRYr1!$AM11),0),ADRYr1!$AN11,0)))</f>
        <v/>
      </c>
      <c r="AB11" s="45" t="str">
        <f t="shared" si="22"/>
        <v/>
      </c>
      <c r="AC11" s="45">
        <f>IF($G11="",0,AA11*ADRYr1!$P11)</f>
        <v>0</v>
      </c>
      <c r="AD11" s="45" t="str">
        <f t="shared" si="23"/>
        <v/>
      </c>
      <c r="AE11" s="45" t="str">
        <f>IF($G11="","",$G11*ADRYr1!$Q11*ADRYr1!$U11*(IF(IFERROR(SEARCH("Oil", ADRYr1!$AI11), 0),ADRYr1!$AJ11,0)+IF(IFERROR(SEARCH("Oil", ADRYr1!$AK11), 0),ADRYr1!$AL11,0)+IF(IFERROR(SEARCH("Oil", ADRYr1!$AM11), 0),ADRYr1!$AN11,0)))</f>
        <v/>
      </c>
      <c r="AF11" s="45" t="str">
        <f t="shared" si="24"/>
        <v/>
      </c>
      <c r="AG11" s="45">
        <f>IF($G11="",0,AE11*ADRYr1!$P11)</f>
        <v>0</v>
      </c>
      <c r="AH11" s="45" t="str">
        <f t="shared" si="25"/>
        <v/>
      </c>
      <c r="AI11" s="45" t="str">
        <f>IF($G11="","",$G11*ADRYr1!$Q11*ADRYr1!$U11*(IF(ADRYr1!$AI11=Lookups!$E$114,ADRYr1!$AJ11,IF(ADRYr1!$AK11=Lookups!$E$114,ADRYr1!$AL11,IF(ADRYr1!$AM11=Lookups!$E$114,ADRYr1!$AN11,0)))))</f>
        <v/>
      </c>
      <c r="AJ11" s="45" t="str">
        <f t="shared" si="26"/>
        <v/>
      </c>
      <c r="AK11" s="45">
        <f>IF($G11="",0,AI11*ADRYr1!$P11)</f>
        <v>0</v>
      </c>
      <c r="AL11" s="45" t="str">
        <f t="shared" si="27"/>
        <v/>
      </c>
      <c r="AM11" s="45" t="str">
        <f>IF($G11="","",$G11*ADRYr1!$Q11*ADRYr1!$U11*(IF(ADRYr1!$AI11=Lookups!$E$113,ADRYr1!$AJ11,IF(ADRYr1!$AK11=Lookups!$E$113,ADRYr1!$AL11,IF(ADRYr1!$AM11=Lookups!$E$113,ADRYr1!$AN11,0)))))</f>
        <v/>
      </c>
      <c r="AN11" s="45" t="str">
        <f t="shared" si="28"/>
        <v/>
      </c>
      <c r="AO11" s="45">
        <f>IF($G11="",0,AM11*ADRYr1!$P11)</f>
        <v>0</v>
      </c>
      <c r="AP11" s="45" t="str">
        <f t="shared" si="29"/>
        <v/>
      </c>
      <c r="AQ11" s="45" t="str">
        <f>IF($G11="","",$G11*ADRYr1!$Q11*ADRYr1!$U11*(IF(ADRYr1!$AI11=Lookups!$E$115,ADRYr1!$AJ11,IF(ADRYr1!$AK11=Lookups!$E$115,ADRYr1!$AL11,IF(ADRYr1!$AM11=Lookups!$E$115,ADRYr1!$AN11,0)))))</f>
        <v/>
      </c>
      <c r="AR11" s="45" t="str">
        <f t="shared" si="30"/>
        <v/>
      </c>
      <c r="AS11" s="45" t="str">
        <f>IF($G11="","",AQ11*ADRYr1!$P11)</f>
        <v/>
      </c>
      <c r="AT11" s="45" t="str">
        <f t="shared" si="31"/>
        <v/>
      </c>
      <c r="AU11" s="45" t="str">
        <f>IF($G11="","",$G11*ADRYr1!$Q11*ADRYr1!$U11*(IF(ADRYr1!$AI11=Lookups!$E$116,ADRYr1!$AJ11,IF(ADRYr1!$AK11=Lookups!$E$116,ADRYr1!$AL11,IF(ADRYr1!$AM11=Lookups!$E$116,ADRYr1!$AN11,0)))))</f>
        <v/>
      </c>
      <c r="AV11" s="45" t="str">
        <f t="shared" si="32"/>
        <v/>
      </c>
      <c r="AW11" s="45" t="str">
        <f>IF($G11="","",AU11*ADRYr1!$P11)</f>
        <v/>
      </c>
      <c r="AX11" s="45" t="str">
        <f t="shared" si="33"/>
        <v/>
      </c>
      <c r="AY11" s="45">
        <f t="shared" si="34"/>
        <v>0</v>
      </c>
      <c r="AZ11" s="45">
        <f t="shared" si="34"/>
        <v>0</v>
      </c>
      <c r="BA11" s="101" t="str">
        <f>IF($G11="","",$G11*ADRYr1!$P11*ADRYr1!$Q11*ADRYr1!$U11*ADRYr1!AO11)</f>
        <v/>
      </c>
      <c r="BB11" s="102" t="str">
        <f>IF($G11="","",$G11*ADRYr1!$P11*ADRYr1!$Q11*ADRYr1!$U11*ADRYr1!AP11)</f>
        <v/>
      </c>
      <c r="BC11" s="100" t="str">
        <f t="shared" si="35"/>
        <v/>
      </c>
      <c r="BD11" s="1126"/>
      <c r="BE11" s="1126"/>
      <c r="BF11" s="1126"/>
      <c r="BG11" s="1126"/>
      <c r="BH11" s="1127" t="str">
        <f t="shared" si="3"/>
        <v/>
      </c>
      <c r="BI11" s="1126"/>
      <c r="BJ11" s="1126"/>
      <c r="BK11" s="1126"/>
      <c r="BL11" s="1126"/>
      <c r="BM11" s="30" t="str">
        <f t="shared" si="4"/>
        <v/>
      </c>
      <c r="BN11" s="1128" t="str">
        <f t="shared" si="5"/>
        <v/>
      </c>
      <c r="BO11" s="31" t="str">
        <f t="shared" si="36"/>
        <v/>
      </c>
      <c r="BP11" s="1129" t="str">
        <f t="shared" si="6"/>
        <v/>
      </c>
      <c r="BQ11" s="28" t="str">
        <f t="shared" si="7"/>
        <v/>
      </c>
      <c r="BR11" s="1129" t="str">
        <f t="shared" si="8"/>
        <v/>
      </c>
      <c r="BS11" s="1129" t="str">
        <f t="shared" si="9"/>
        <v/>
      </c>
      <c r="BT11" s="28" t="str">
        <f t="shared" si="10"/>
        <v/>
      </c>
      <c r="BU11" s="28" t="str">
        <f t="shared" si="10"/>
        <v/>
      </c>
      <c r="BV11" s="28" t="str">
        <f t="shared" si="10"/>
        <v/>
      </c>
      <c r="BW11" s="29" t="str">
        <f t="shared" si="37"/>
        <v/>
      </c>
      <c r="BX11" s="29" t="str">
        <f t="shared" si="38"/>
        <v/>
      </c>
      <c r="BY11" s="28" t="str">
        <f>IF($G11="","",$G11*(IF(ADRYr1!$AI11=BY$4,ADRYr1!$AJ11,IF(ADRYr1!$AK11=BY$4,ADRYr1!$AL11,IF(ADRYr1!$AM11=BY$4,ADRYr1!$AN11,0))))*(INDEX(avoidedcosttbl,$H11,BY$2)+(($H11-ROUNDDOWN($H11,0))*(INDEX(avoidedcosttbl,ROUNDUP($H11,0),BY$2)-(INDEX(avoidedcosttbl,ROUNDDOWN($H11,0),BY$2)))))*ADRYr1!P11*ADRYr1!Q11*ADRYr1!U11)</f>
        <v/>
      </c>
      <c r="BZ11" s="28" t="str">
        <f>IF($G11="","",$G11*(IF(ADRYr1!$AI11=BZ$4,ADRYr1!$AJ11,IF(ADRYr1!$AK11=BZ$4,ADRYr1!$AL11,IF(ADRYr1!$AM11=BZ$4,ADRYr1!$AN11,0))))*(INDEX(avoidedcosttbl,$H11,BZ$2)+(($H11-ROUNDDOWN($H11,0))*(INDEX(avoidedcosttbl,ROUNDUP($H11,0),BZ$2)-(INDEX(avoidedcosttbl,ROUNDDOWN($H11,0),BZ$2)))))*ADRYr1!P11*ADRYr1!Q11*ADRYr1!U11)</f>
        <v/>
      </c>
      <c r="CA11" s="28" t="str">
        <f>IF($G11="","",$G11*(IF(ADRYr1!$AI11=CA$4,ADRYr1!$AJ11,IF(ADRYr1!$AK11=CA$4,ADRYr1!$AL11,IF(ADRYr1!$AM11=CA$4,ADRYr1!$AN11,0))))*(INDEX(avoidedcosttbl,$H11,CA$2)+(($H11-ROUNDDOWN($H11,0))*(INDEX(avoidedcosttbl,ROUNDUP($H11,0),CA$2)-(INDEX(avoidedcosttbl,ROUNDDOWN($H11,0),CA$2)))))*ADRYr1!P11*ADRYr1!Q11*ADRYr1!U11)</f>
        <v/>
      </c>
      <c r="CB11" s="28" t="str">
        <f>IF($G11="","",$G11*(IF(ADRYr1!$AI11=CB$4,ADRYr1!$AJ11,IF(ADRYr1!$AK11=CB$4,ADRYr1!$AL11,IF(ADRYr1!$AM11=CB$4,ADRYr1!$AN11,0))))*(INDEX(avoidedcosttbl,$H11,CB$2)+(($H11-ROUNDDOWN($H11,0))*(INDEX(avoidedcosttbl,ROUNDUP($H11,0),CB$2)-(INDEX(avoidedcosttbl,ROUNDDOWN($H11,0),CB$2)))))*ADRYr1!P11*ADRYr1!Q11*ADRYr1!U11)</f>
        <v/>
      </c>
      <c r="CC11" s="28" t="str">
        <f>IF($G11="","",$G11*(IF(ADRYr1!$AI11=CC$4,ADRYr1!$AJ11,IF(ADRYr1!$AK11=CC$4,ADRYr1!$AL11,IF(ADRYr1!$AM11=CC$4,ADRYr1!$AN11,0))))*(INDEX(avoidedcosttbl,$H11,CC$2)+(($H11-ROUNDDOWN($H11,0))*(INDEX(avoidedcosttbl,ROUNDUP($H11,0),CC$2)-(INDEX(avoidedcosttbl,ROUNDDOWN($H11,0),CC$2)))))*ADRYr1!P11*ADRYr1!Q11*ADRYr1!U11)</f>
        <v/>
      </c>
      <c r="CD11" s="28" t="str">
        <f>IF($G11="","",$G11*(IF(ADRYr1!$AI11=CD$4,ADRYr1!$AJ11,IF(ADRYr1!$AK11=CD$4,ADRYr1!$AL11,IF(ADRYr1!$AM11=CD$4,ADRYr1!$AN11,0))))*(INDEX(avoidedcosttbl,$H11,CD$2)+(($H11-ROUNDDOWN($H11,0))*(INDEX(avoidedcosttbl,ROUNDUP($H11,0),CD$2)-(INDEX(avoidedcosttbl,ROUNDDOWN($H11,0),CD$2)))))*ADRYr1!P11*ADRYr1!Q11*ADRYr1!U11)</f>
        <v/>
      </c>
      <c r="CE11" s="28" t="str">
        <f>IF($G11="","",$G11*(IF(ADRYr1!$AI11=CE$4,ADRYr1!$AJ11,IF(ADRYr1!$AK11=CE$4,ADRYr1!$AL11,IF(ADRYr1!$AM11=CE$4,ADRYr1!$AN11,0))))*(INDEX(avoidedcosttbl,$H11,CE$2)+(($H11-ROUNDDOWN($H11,0))*(INDEX(avoidedcosttbl,ROUNDUP($H11,0),CE$2)-(INDEX(avoidedcosttbl,ROUNDDOWN($H11,0),CE$2)))))*ADRYr1!P11*ADRYr1!Q11*ADRYr1!U11)</f>
        <v/>
      </c>
      <c r="CF11" s="41" t="str">
        <f t="shared" si="39"/>
        <v/>
      </c>
      <c r="CG11" s="30" t="str">
        <f t="shared" si="11"/>
        <v/>
      </c>
      <c r="CH11" s="30" t="str">
        <f>IF($G11="","",$G11*(IF(ADRYr1!$AI11=BY$4,ADRYr1!$AJ11,IF(ADRYr1!$AK11=BY$4,ADRYr1!$AL11,IF(ADRYr1!$AM11=BY$4,ADRYr1!$AN11,0))))*(INDEX(avoidedcosttbl,$H11,CH$2)+(($H11-ROUNDDOWN($H11,0))*(INDEX(avoidedcosttbl,ROUNDUP($H11,0),CH$2)-(INDEX(avoidedcosttbl,ROUNDDOWN($H11,0),CH$2)))))*ADRYr1!P11*ADRYr1!Q11*ADRYr1!U11)</f>
        <v/>
      </c>
      <c r="CI11" s="30" t="str">
        <f>IF($G11="","",$G11*(IF(ADRYr1!$AI11=BZ$4,ADRYr1!$AJ11,IF(ADRYr1!$AK11=BZ$4,ADRYr1!$AL11,IF(ADRYr1!$AM11=BZ$4,ADRYr1!$AN11,0))))*(INDEX(avoidedcosttbl,$H11,CI$2)+(($H11-ROUNDDOWN($H11,0))*(INDEX(avoidedcosttbl,ROUNDUP($H11,0),CI$2)-(INDEX(avoidedcosttbl,ROUNDDOWN($H11,0),CI$2)))))*ADRYr1!P11*ADRYr1!Q11*ADRYr1!U11)</f>
        <v/>
      </c>
      <c r="CJ11" s="30" t="str">
        <f>IF($G11="","",$G11*(IF(ADRYr1!$AI11=CA$4,ADRYr1!$AJ11,IF(ADRYr1!$AK11=CA$4,ADRYr1!$AL11,IF(ADRYr1!$AM11=CA$4,ADRYr1!$AN11,0))))*(INDEX(avoidedcosttbl,$H11,CJ$2)+(($H11-ROUNDDOWN($H11,0))*(INDEX(avoidedcosttbl,ROUNDUP($H11,0),CJ$2)-(INDEX(avoidedcosttbl,ROUNDDOWN($H11,0),CJ$2)))))*ADRYr1!P11*ADRYr1!Q11*ADRYr1!U11)</f>
        <v/>
      </c>
      <c r="CK11" s="30" t="str">
        <f>IF($G11="","",$G11*(IF(ADRYr1!$AI11=CB$4,ADRYr1!$AJ11,IF(ADRYr1!$AK11=CB$4,ADRYr1!$AL11,IF(ADRYr1!$AM11=CB$4,ADRYr1!$AN11,0))))*(INDEX(avoidedcosttbl,$H11,CK$2)+(($H11-ROUNDDOWN($H11,0))*(INDEX(avoidedcosttbl,ROUNDUP($H11,0),CK$2)-(INDEX(avoidedcosttbl,ROUNDDOWN($H11,0),CK$2)))))*ADRYr1!P11*ADRYr1!Q11*ADRYr1!U11)</f>
        <v/>
      </c>
      <c r="CL11" s="30" t="str">
        <f>IF($G11="","",$G11*(IF(ADRYr1!$AI11=CC$4,ADRYr1!$AJ11,IF(ADRYr1!$AK11=CC$4,ADRYr1!$AL11,IF(ADRYr1!$AM11=CC$4,ADRYr1!$AN11,0))))*(INDEX(avoidedcosttbl,$H11,CL$2)+(($H11-ROUNDDOWN($H11,0))*(INDEX(avoidedcosttbl,ROUNDUP($H11,0),CL$2)-(INDEX(avoidedcosttbl,ROUNDDOWN($H11,0),CL$2)))))*ADRYr1!P11*ADRYr1!Q11*ADRYr1!U11)</f>
        <v/>
      </c>
      <c r="CM11" s="30" t="str">
        <f>IF($G11="","",$G11*(IF(ADRYr1!$AI11=CD$4,ADRYr1!$AJ11,IF(ADRYr1!$AK11=CD$4,ADRYr1!$AL11,IF(ADRYr1!$AM11=CD$4,ADRYr1!$AN11,0))))*(INDEX(avoidedcosttbl,$H11,CM$2)+(($H11-ROUNDDOWN($H11,0))*(INDEX(avoidedcosttbl,ROUNDUP($H11,0),CM$2)-(INDEX(avoidedcosttbl,ROUNDDOWN($H11,0),CM$2)))))*ADRYr1!P11*ADRYr1!Q11*ADRYr1!U11)</f>
        <v/>
      </c>
      <c r="CN11" s="30" t="str">
        <f>IF($G11="","",$G11*(IF(ADRYr1!$AI11=CE$4,ADRYr1!$AJ11,IF(ADRYr1!$AK11=CE$4,ADRYr1!$AL11,IF(ADRYr1!$AM11=CE$4,ADRYr1!$AN11,0))))*(INDEX(avoidedcosttbl,$H11,CN$2)+(($H11-ROUNDDOWN($H11,0))*(INDEX(avoidedcosttbl,ROUNDUP($H11,0),CN$2)-(INDEX(avoidedcosttbl,ROUNDDOWN($H11,0),CN$2)))))*ADRYr1!P11*ADRYr1!Q11*ADRYr1!U11)</f>
        <v/>
      </c>
      <c r="CO11" s="220" t="str">
        <f t="shared" si="40"/>
        <v/>
      </c>
      <c r="CP11" s="220" t="str">
        <f t="shared" si="41"/>
        <v/>
      </c>
      <c r="CQ11" s="157" t="str">
        <f>IF($G11="","",$G11*(IF(ADRYr1!$AI11=CQ$4,ADRYr1!$AJ11,IF(ADRYr1!$AK11=CQ$4,ADRYr1!$AL11,IF(ADRYr1!$AM11=CQ$4,ADRYr1!$AN11,0))))*(INDEX(avoidedcosttbl,$H11,CQ$2)+(($H11-ROUNDDOWN($H11,0))*(INDEX(avoidedcosttbl,ROUNDUP($H11,0),CQ$2)-(INDEX(avoidedcosttbl,ROUNDDOWN($H11,0),CQ$2)))))*ADRYr1!$P11*ADRYr1!$Q11*ADRYr1!$U11)</f>
        <v/>
      </c>
      <c r="CR11" s="28" t="str">
        <f>IF($G11="","",G11*(IF(ADRYr1!$AI11=CR$4,ADRYr1!$AJ11,IF(ADRYr1!$AK11=CR$4,ADRYr1!$AL11,IF(ADRYr1!$AM11=CR$4,ADRYr1!$AN11,0))))*(INDEX(avoidedcosttbl,$H11,CR$2)+(($H11-ROUNDDOWN($H11,0))*(INDEX(avoidedcosttbl,ROUNDUP($H11,0),CR$2)-(INDEX(avoidedcosttbl,ROUNDDOWN($H11,0),CR$2)))))*ADRYr1!$P11*ADRYr1!$Q11*ADRYr1!$U11)</f>
        <v/>
      </c>
      <c r="CS11" s="28" t="str">
        <f>IF($G11="","",G11*(IF(ADRYr1!$AI11=CS$4,ADRYr1!$AJ11,IF(ADRYr1!$AK11=CS$4,ADRYr1!$AL11,IF(ADRYr1!$AM11=CS$4,ADRYr1!$AN11,0))))*(INDEX(avoidedcosttbl,$H11,CS$2)+(($H11-ROUNDDOWN($H11,0))*(INDEX(avoidedcosttbl,ROUNDUP($H11,0),CS$2)-(INDEX(avoidedcosttbl,ROUNDDOWN($H11,0),CS$2)))))*ADRYr1!$P11*ADRYr1!$Q11*ADRYr1!$U11)</f>
        <v/>
      </c>
      <c r="CT11" s="28" t="str">
        <f t="shared" si="12"/>
        <v/>
      </c>
      <c r="CU11" s="28" t="str">
        <f>IF($G11="","",G11*(IF(ADRYr1!$AI11=CU$4,ADRYr1!$AJ11,IF(ADRYr1!$AK11=CU$4,ADRYr1!$AL11,IF(ADRYr1!$AM11=CU$4,ADRYr1!$AN11,0))))*(INDEX(avoidedcosttbl,$H11,CU$2)+(($H11-ROUNDDOWN($H11,0))*(INDEX(avoidedcosttbl,ROUNDUP($H11,0),CU$2)-(INDEX(avoidedcosttbl,ROUNDDOWN($H11,0),CU$2)))))*ADRYr1!$P11*ADRYr1!$Q11*ADRYr1!$U11)</f>
        <v/>
      </c>
      <c r="CV11" s="28" t="str">
        <f>IF($G11="","",G11*(IF(ADRYr1!$AI11=CV$4,ADRYr1!$AJ11,IF(ADRYr1!$AK11=CV$4,ADRYr1!$AL11,IF(ADRYr1!$AM11=CV$4,ADRYr1!$AN11,0))))*(INDEX(avoidedcosttbl,$H11,CV$2)+(($H11-ROUNDDOWN($H11,0))*(INDEX(avoidedcosttbl,ROUNDUP($H11,0),CV$2)-(INDEX(avoidedcosttbl,ROUNDDOWN($H11,0),CV$2)))))*ADRYr1!$P11*ADRYr1!$Q11*ADRYr1!$U11)</f>
        <v/>
      </c>
      <c r="CW11" s="28" t="str">
        <f>IF($G11="","",G11*(IF(ADRYr1!$AI11=CW$4,ADRYr1!$AJ11,IF(ADRYr1!$AK11=CW$4,ADRYr1!$AL11,IF(ADRYr1!$AM11=CW$4,ADRYr1!$AN11,0))))*(INDEX(avoidedcosttbl,$H11,CW$2)+(($H11-ROUNDDOWN($H11,0))*(INDEX(avoidedcosttbl,ROUNDUP($H11,0),CW$2)-(INDEX(avoidedcosttbl,ROUNDDOWN($H11,0),CW$2)))))*ADRYr1!$P11*ADRYr1!$Q11*ADRYr1!$U11)</f>
        <v/>
      </c>
      <c r="CX11" s="28" t="str">
        <f>IF($G11="","",G11*(IF(ADRYr1!$AI11=CX$4,ADRYr1!$AJ11,IF(ADRYr1!$AK11=CX$4,ADRYr1!$AL11,IF(ADRYr1!$AM11=CX$4,ADRYr1!$AN11,0))))*(INDEX(avoidedcosttbl,$H11,CX$2)+(($H11-ROUNDDOWN($H11,0))*(INDEX(avoidedcosttbl,ROUNDUP($H11,0),CX$2)-(INDEX(avoidedcosttbl,ROUNDDOWN($H11,0),CX$2)))))*ADRYr1!$P11*ADRYr1!$Q11*ADRYr1!$U11)</f>
        <v/>
      </c>
      <c r="CY11" s="28" t="str">
        <f t="shared" si="13"/>
        <v/>
      </c>
      <c r="CZ11" s="32" t="str">
        <f t="shared" si="14"/>
        <v/>
      </c>
      <c r="DA11" s="84" t="str">
        <f t="shared" si="42"/>
        <v/>
      </c>
      <c r="DB11" s="81" t="str">
        <f>IF(NEIadder="Yes",IF($G11="","",INDEX(Lookups!$G$68:$G$70,MATCH($A11,Lookups!$E$68:$E$70,0))*(SUM(CP11:CX11,BX11))),"")</f>
        <v/>
      </c>
      <c r="DC11" s="263" t="str">
        <f t="shared" si="15"/>
        <v/>
      </c>
      <c r="DD11" s="166" t="str">
        <f t="shared" si="16"/>
        <v/>
      </c>
      <c r="DE11" s="82">
        <f>SUM(DB11:DD11)</f>
        <v>0</v>
      </c>
      <c r="DF11" s="760" t="str">
        <f>IF($G11="","",(1+WntPeakEnergyLL)*(INDEX(avoidedcosttbl,$H11,DF$2)+(($H11-ROUNDDOWN($H11,0))*(INDEX(avoidedcosttbl,ROUNDUP($H11,0),DF$2)-(INDEX(avoidedcosttbl,ROUNDDOWN($H11,0),DF$2)))))*$P11*1000*ADRYr1!Z11)</f>
        <v/>
      </c>
      <c r="DG11" s="760" t="str">
        <f>IF($G11="","",(1+WntOffPeakEnergyLL)*(INDEX(avoidedcosttbl,$H11,DG$2)+(($H11-ROUNDDOWN($H11,0))*(INDEX(avoidedcosttbl,ROUNDUP($H11,0),DG$2)-(INDEX(avoidedcosttbl,ROUNDDOWN($H11,0),DG$2)))))*$P11*1000*ADRYr1!AA11)</f>
        <v/>
      </c>
      <c r="DH11" s="760" t="str">
        <f>IF($G11="","",(1+SumPeakEnergyLL)*(INDEX(avoidedcosttbl,$H11,DH$2)+(($H11-ROUNDDOWN($H11,0))*(INDEX(avoidedcosttbl,ROUNDUP($H11,0),DH$2)-(INDEX(avoidedcosttbl,ROUNDDOWN($H11,0),DH$2)))))*$P11*1000*ADRYr1!AB11)</f>
        <v/>
      </c>
      <c r="DI11" s="760" t="str">
        <f>IF($G11="","",(1+SumOffPeakEnergyLL)*(INDEX(avoidedcosttbl,$H11,DI$2)+(($H11-ROUNDDOWN($H11,0))*(INDEX(avoidedcosttbl,ROUNDUP($H11,0),DI$2)-(INDEX(avoidedcosttbl,ROUNDDOWN($H11,0),DI$2)))))*$P11*1000*ADRYr1!AC11)</f>
        <v/>
      </c>
      <c r="DJ11" s="29" t="str">
        <f t="shared" si="44"/>
        <v/>
      </c>
      <c r="DK11" s="161" t="str">
        <f t="shared" si="45"/>
        <v/>
      </c>
      <c r="DL11" s="1375" t="str">
        <f t="shared" si="46"/>
        <v/>
      </c>
      <c r="DM11" s="1375" t="str">
        <f t="shared" si="47"/>
        <v/>
      </c>
      <c r="DN11" s="43" t="str">
        <f t="shared" si="48"/>
        <v/>
      </c>
      <c r="DO11" s="1131" t="str">
        <f>IF($G11="","",ADRYr1!AQ11)</f>
        <v/>
      </c>
      <c r="DP11" s="1133" t="str">
        <f>IF($G11="","",ADRYr1!AR11)</f>
        <v/>
      </c>
      <c r="DQ11" s="1135" t="str">
        <f>IF($G11="","",IF($DP11="Yes",COLUMN(AESC!$L$10),IF($DP11="No","Using AvoidedDemand tab",IF($DP11="Mixed",COLUMN(AESC!$N$10)))))</f>
        <v/>
      </c>
      <c r="DR11" s="1135" t="str">
        <f>IF($G11="","",IF($DP11="Yes",COLUMN(AESC!$P$10),IF($DP11="No","Using AvoidedDemand tab",IF($DP11="Mixed",COLUMN(AESC!$R$10)))))</f>
        <v/>
      </c>
      <c r="DS11" s="1135" t="str">
        <f>IF($G11="","",IF($DP11="Yes",COLUMN(AESC!$S$10),IF($DP11="No",COLUMN(AESC!$T$10),IF($DP11="Mixed",COLUMN(AESC!$U$10)))))</f>
        <v/>
      </c>
      <c r="DT11" s="1135" t="str">
        <f t="shared" si="17"/>
        <v/>
      </c>
      <c r="DU11" s="1135" t="str">
        <f>IF($G11="","",ADRYr1!AS11)</f>
        <v/>
      </c>
      <c r="DV11" s="1136" t="str">
        <f>IF($G11="","",ADRYr1!AT11)</f>
        <v/>
      </c>
      <c r="DW11" s="1344" t="str">
        <f>IF($G11="","",INDEX(AvoidedEnergy!$H$4:$H$10,MATCH($DO11,AvoidedEnergy!$A$4:$A$10,0)))</f>
        <v/>
      </c>
    </row>
    <row r="12" spans="1:127">
      <c r="A12" s="160" t="str">
        <f>IF(ADRYr1!$B12=0,"",ADRYr1!A12)</f>
        <v>A - Residential</v>
      </c>
      <c r="B12" s="9" t="str">
        <f>IF(ADRYr1!$B12=0,"",ADRYr1!B12)</f>
        <v>A5 - Residential Active Demand Response</v>
      </c>
      <c r="C12" s="9" t="str">
        <f>IF(ADRYr1!$B12=0,"",ADRYr1!C12)</f>
        <v>A5a - Residential Active Demand Response</v>
      </c>
      <c r="D12" s="9" t="str">
        <f>IF(ADRYr1!$B12=0,"",ADRYr1!D12)</f>
        <v>Storage Daily Dispatch P4P (consumption) Summer</v>
      </c>
      <c r="E12" s="9" t="str">
        <f>IF(ADRYr1!$B12=0,"",ADRYr1!E12)</f>
        <v>E21A5a003</v>
      </c>
      <c r="F12" s="11" t="str">
        <f>IF(ADRYr1!$B12=0,"",ADRYr1!F12)</f>
        <v>Behavior</v>
      </c>
      <c r="G12" s="12" t="str">
        <f>IF(ADRYr1!$G12&lt;&gt;0,ADRYr1!G12,"")</f>
        <v/>
      </c>
      <c r="H12" s="1125" t="str">
        <f>IF($G12="","",ROUND(ADRYr1!H12,0))</f>
        <v/>
      </c>
      <c r="I12" s="47" t="str">
        <f>IF($G12="","",ADRYr1!I12*ADRYr1!P12*G12)</f>
        <v/>
      </c>
      <c r="J12" s="47" t="str">
        <f>IF($G12="","",ADRYr1!J12*G12)</f>
        <v/>
      </c>
      <c r="K12" s="47" t="str">
        <f t="shared" si="18"/>
        <v/>
      </c>
      <c r="L12" s="27" t="str">
        <f>IF($G12="","",ADRYr1!V12*G12/1000)</f>
        <v/>
      </c>
      <c r="M12" s="27" t="str">
        <f>IF($G12="","",L12*ADRYr1!$Q12*ADRYr1!$R12)</f>
        <v/>
      </c>
      <c r="N12" s="27" t="str">
        <f t="shared" si="19"/>
        <v/>
      </c>
      <c r="O12" s="27" t="str">
        <f t="shared" si="20"/>
        <v/>
      </c>
      <c r="P12" s="27" t="str">
        <f>IF($G12="","",M12*ADRYr1!P12)</f>
        <v/>
      </c>
      <c r="Q12" s="27" t="str">
        <f t="shared" si="21"/>
        <v/>
      </c>
      <c r="R12" s="27" t="str">
        <f>IF($G12="","",$Q12*ADRYr1!Z12)</f>
        <v/>
      </c>
      <c r="S12" s="27" t="str">
        <f>IF($G12="","",$Q12*ADRYr1!AA12)</f>
        <v/>
      </c>
      <c r="T12" s="27" t="str">
        <f>IF($G12="","",$Q12*ADRYr1!AB12)</f>
        <v/>
      </c>
      <c r="U12" s="27" t="str">
        <f>IF($G12="","",$Q12*ADRYr1!AC12)</f>
        <v/>
      </c>
      <c r="V12" s="27" t="str">
        <f>IF($G12="","",G12*ADRYr1!$AD12*ADRYr1!$P12*ADRYr1!$Q12)</f>
        <v/>
      </c>
      <c r="W12" s="27" t="str">
        <f>IF($G12="","",$G12*ADRYr1!$AD12*ADRYr1!$AF12*ADRYr1!Q12*ADRYr1!$S12)</f>
        <v/>
      </c>
      <c r="X12" s="27" t="str">
        <f>IF($G12="","",$G12*ADRYr1!$AD12*ADRYr1!$AF12*ADRYr1!P12*ADRYr1!Q12*ADRYr1!$S12)</f>
        <v/>
      </c>
      <c r="Y12" s="27" t="str">
        <f>IF($G12="","",$G12*ADRYr1!$AD12*ADRYr1!$AE12*ADRYr1!Q12*ADRYr1!$T12)</f>
        <v/>
      </c>
      <c r="Z12" s="27" t="str">
        <f>IF($G12="","",$G12*ADRYr1!$AD12*ADRYr1!$AE12*ADRYr1!P12*ADRYr1!Q12*ADRYr1!$T12)</f>
        <v/>
      </c>
      <c r="AA12" s="45" t="str">
        <f>IF($G12="","",$G12*ADRYr1!$Q12*ADRYr1!$U12*(IF(IFERROR(SEARCH("NG", ADRYr1!$AI12),0),ADRYr1!$AJ12,0)+IF(IFERROR(SEARCH("NG", ADRYr1!$AK12),0),ADRYr1!$AL12,0)+IF(IFERROR(SEARCH("NG", ADRYr1!$AM12),0),ADRYr1!$AN12,0)))</f>
        <v/>
      </c>
      <c r="AB12" s="45" t="str">
        <f t="shared" si="22"/>
        <v/>
      </c>
      <c r="AC12" s="45">
        <f>IF($G12="",0,AA12*ADRYr1!$P12)</f>
        <v>0</v>
      </c>
      <c r="AD12" s="45" t="str">
        <f t="shared" si="23"/>
        <v/>
      </c>
      <c r="AE12" s="45" t="str">
        <f>IF($G12="","",$G12*ADRYr1!$Q12*ADRYr1!$U12*(IF(IFERROR(SEARCH("Oil", ADRYr1!$AI12), 0),ADRYr1!$AJ12,0)+IF(IFERROR(SEARCH("Oil", ADRYr1!$AK12), 0),ADRYr1!$AL12,0)+IF(IFERROR(SEARCH("Oil", ADRYr1!$AM12), 0),ADRYr1!$AN12,0)))</f>
        <v/>
      </c>
      <c r="AF12" s="45" t="str">
        <f t="shared" si="24"/>
        <v/>
      </c>
      <c r="AG12" s="45">
        <f>IF($G12="",0,AE12*ADRYr1!$P12)</f>
        <v>0</v>
      </c>
      <c r="AH12" s="45" t="str">
        <f t="shared" si="25"/>
        <v/>
      </c>
      <c r="AI12" s="45" t="str">
        <f>IF($G12="","",$G12*ADRYr1!$Q12*ADRYr1!$U12*(IF(ADRYr1!$AI12=Lookups!$E$114,ADRYr1!$AJ12,IF(ADRYr1!$AK12=Lookups!$E$114,ADRYr1!$AL12,IF(ADRYr1!$AM12=Lookups!$E$114,ADRYr1!$AN12,0)))))</f>
        <v/>
      </c>
      <c r="AJ12" s="45" t="str">
        <f t="shared" si="26"/>
        <v/>
      </c>
      <c r="AK12" s="45">
        <f>IF($G12="",0,AI12*ADRYr1!$P12)</f>
        <v>0</v>
      </c>
      <c r="AL12" s="45" t="str">
        <f t="shared" si="27"/>
        <v/>
      </c>
      <c r="AM12" s="45" t="str">
        <f>IF($G12="","",$G12*ADRYr1!$Q12*ADRYr1!$U12*(IF(ADRYr1!$AI12=Lookups!$E$113,ADRYr1!$AJ12,IF(ADRYr1!$AK12=Lookups!$E$113,ADRYr1!$AL12,IF(ADRYr1!$AM12=Lookups!$E$113,ADRYr1!$AN12,0)))))</f>
        <v/>
      </c>
      <c r="AN12" s="45" t="str">
        <f t="shared" si="28"/>
        <v/>
      </c>
      <c r="AO12" s="45">
        <f>IF($G12="",0,AM12*ADRYr1!$P12)</f>
        <v>0</v>
      </c>
      <c r="AP12" s="45" t="str">
        <f t="shared" si="29"/>
        <v/>
      </c>
      <c r="AQ12" s="45" t="str">
        <f>IF($G12="","",$G12*ADRYr1!$Q12*ADRYr1!$U12*(IF(ADRYr1!$AI12=Lookups!$E$115,ADRYr1!$AJ12,IF(ADRYr1!$AK12=Lookups!$E$115,ADRYr1!$AL12,IF(ADRYr1!$AM12=Lookups!$E$115,ADRYr1!$AN12,0)))))</f>
        <v/>
      </c>
      <c r="AR12" s="45" t="str">
        <f t="shared" si="30"/>
        <v/>
      </c>
      <c r="AS12" s="45" t="str">
        <f>IF($G12="","",AQ12*ADRYr1!$P12)</f>
        <v/>
      </c>
      <c r="AT12" s="45" t="str">
        <f t="shared" si="31"/>
        <v/>
      </c>
      <c r="AU12" s="45" t="str">
        <f>IF($G12="","",$G12*ADRYr1!$Q12*ADRYr1!$U12*(IF(ADRYr1!$AI12=Lookups!$E$116,ADRYr1!$AJ12,IF(ADRYr1!$AK12=Lookups!$E$116,ADRYr1!$AL12,IF(ADRYr1!$AM12=Lookups!$E$116,ADRYr1!$AN12,0)))))</f>
        <v/>
      </c>
      <c r="AV12" s="45" t="str">
        <f t="shared" si="32"/>
        <v/>
      </c>
      <c r="AW12" s="45" t="str">
        <f>IF($G12="","",AU12*ADRYr1!$P12)</f>
        <v/>
      </c>
      <c r="AX12" s="45" t="str">
        <f t="shared" si="33"/>
        <v/>
      </c>
      <c r="AY12" s="45">
        <f t="shared" si="34"/>
        <v>0</v>
      </c>
      <c r="AZ12" s="45">
        <f t="shared" si="34"/>
        <v>0</v>
      </c>
      <c r="BA12" s="101" t="str">
        <f>IF($G12="","",$G12*ADRYr1!$P12*ADRYr1!$Q12*ADRYr1!$U12*ADRYr1!AO12)</f>
        <v/>
      </c>
      <c r="BB12" s="102" t="str">
        <f>IF($G12="","",$G12*ADRYr1!$P12*ADRYr1!$Q12*ADRYr1!$U12*ADRYr1!AP12)</f>
        <v/>
      </c>
      <c r="BC12" s="100" t="str">
        <f t="shared" si="35"/>
        <v/>
      </c>
      <c r="BD12" s="1126"/>
      <c r="BE12" s="1126"/>
      <c r="BF12" s="1126"/>
      <c r="BG12" s="1126"/>
      <c r="BH12" s="1127" t="str">
        <f t="shared" si="3"/>
        <v/>
      </c>
      <c r="BI12" s="1126"/>
      <c r="BJ12" s="1126"/>
      <c r="BK12" s="1126"/>
      <c r="BL12" s="1126"/>
      <c r="BM12" s="30" t="str">
        <f t="shared" si="4"/>
        <v/>
      </c>
      <c r="BN12" s="1128" t="str">
        <f t="shared" si="5"/>
        <v/>
      </c>
      <c r="BO12" s="31" t="str">
        <f t="shared" si="36"/>
        <v/>
      </c>
      <c r="BP12" s="1129" t="str">
        <f t="shared" si="6"/>
        <v/>
      </c>
      <c r="BQ12" s="28" t="str">
        <f t="shared" si="7"/>
        <v/>
      </c>
      <c r="BR12" s="1129" t="str">
        <f t="shared" si="8"/>
        <v/>
      </c>
      <c r="BS12" s="1129" t="str">
        <f t="shared" si="9"/>
        <v/>
      </c>
      <c r="BT12" s="28" t="str">
        <f t="shared" si="10"/>
        <v/>
      </c>
      <c r="BU12" s="28" t="str">
        <f t="shared" si="10"/>
        <v/>
      </c>
      <c r="BV12" s="28" t="str">
        <f t="shared" si="10"/>
        <v/>
      </c>
      <c r="BW12" s="29" t="str">
        <f t="shared" si="37"/>
        <v/>
      </c>
      <c r="BX12" s="29" t="str">
        <f t="shared" si="38"/>
        <v/>
      </c>
      <c r="BY12" s="28" t="str">
        <f>IF($G12="","",$G12*(IF(ADRYr1!$AI12=BY$4,ADRYr1!$AJ12,IF(ADRYr1!$AK12=BY$4,ADRYr1!$AL12,IF(ADRYr1!$AM12=BY$4,ADRYr1!$AN12,0))))*(INDEX(avoidedcosttbl,$H12,BY$2)+(($H12-ROUNDDOWN($H12,0))*(INDEX(avoidedcosttbl,ROUNDUP($H12,0),BY$2)-(INDEX(avoidedcosttbl,ROUNDDOWN($H12,0),BY$2)))))*ADRYr1!P12*ADRYr1!Q12*ADRYr1!U12)</f>
        <v/>
      </c>
      <c r="BZ12" s="28" t="str">
        <f>IF($G12="","",$G12*(IF(ADRYr1!$AI12=BZ$4,ADRYr1!$AJ12,IF(ADRYr1!$AK12=BZ$4,ADRYr1!$AL12,IF(ADRYr1!$AM12=BZ$4,ADRYr1!$AN12,0))))*(INDEX(avoidedcosttbl,$H12,BZ$2)+(($H12-ROUNDDOWN($H12,0))*(INDEX(avoidedcosttbl,ROUNDUP($H12,0),BZ$2)-(INDEX(avoidedcosttbl,ROUNDDOWN($H12,0),BZ$2)))))*ADRYr1!P12*ADRYr1!Q12*ADRYr1!U12)</f>
        <v/>
      </c>
      <c r="CA12" s="28" t="str">
        <f>IF($G12="","",$G12*(IF(ADRYr1!$AI12=CA$4,ADRYr1!$AJ12,IF(ADRYr1!$AK12=CA$4,ADRYr1!$AL12,IF(ADRYr1!$AM12=CA$4,ADRYr1!$AN12,0))))*(INDEX(avoidedcosttbl,$H12,CA$2)+(($H12-ROUNDDOWN($H12,0))*(INDEX(avoidedcosttbl,ROUNDUP($H12,0),CA$2)-(INDEX(avoidedcosttbl,ROUNDDOWN($H12,0),CA$2)))))*ADRYr1!P12*ADRYr1!Q12*ADRYr1!U12)</f>
        <v/>
      </c>
      <c r="CB12" s="28" t="str">
        <f>IF($G12="","",$G12*(IF(ADRYr1!$AI12=CB$4,ADRYr1!$AJ12,IF(ADRYr1!$AK12=CB$4,ADRYr1!$AL12,IF(ADRYr1!$AM12=CB$4,ADRYr1!$AN12,0))))*(INDEX(avoidedcosttbl,$H12,CB$2)+(($H12-ROUNDDOWN($H12,0))*(INDEX(avoidedcosttbl,ROUNDUP($H12,0),CB$2)-(INDEX(avoidedcosttbl,ROUNDDOWN($H12,0),CB$2)))))*ADRYr1!P12*ADRYr1!Q12*ADRYr1!U12)</f>
        <v/>
      </c>
      <c r="CC12" s="28" t="str">
        <f>IF($G12="","",$G12*(IF(ADRYr1!$AI12=CC$4,ADRYr1!$AJ12,IF(ADRYr1!$AK12=CC$4,ADRYr1!$AL12,IF(ADRYr1!$AM12=CC$4,ADRYr1!$AN12,0))))*(INDEX(avoidedcosttbl,$H12,CC$2)+(($H12-ROUNDDOWN($H12,0))*(INDEX(avoidedcosttbl,ROUNDUP($H12,0),CC$2)-(INDEX(avoidedcosttbl,ROUNDDOWN($H12,0),CC$2)))))*ADRYr1!P12*ADRYr1!Q12*ADRYr1!U12)</f>
        <v/>
      </c>
      <c r="CD12" s="28" t="str">
        <f>IF($G12="","",$G12*(IF(ADRYr1!$AI12=CD$4,ADRYr1!$AJ12,IF(ADRYr1!$AK12=CD$4,ADRYr1!$AL12,IF(ADRYr1!$AM12=CD$4,ADRYr1!$AN12,0))))*(INDEX(avoidedcosttbl,$H12,CD$2)+(($H12-ROUNDDOWN($H12,0))*(INDEX(avoidedcosttbl,ROUNDUP($H12,0),CD$2)-(INDEX(avoidedcosttbl,ROUNDDOWN($H12,0),CD$2)))))*ADRYr1!P12*ADRYr1!Q12*ADRYr1!U12)</f>
        <v/>
      </c>
      <c r="CE12" s="28" t="str">
        <f>IF($G12="","",$G12*(IF(ADRYr1!$AI12=CE$4,ADRYr1!$AJ12,IF(ADRYr1!$AK12=CE$4,ADRYr1!$AL12,IF(ADRYr1!$AM12=CE$4,ADRYr1!$AN12,0))))*(INDEX(avoidedcosttbl,$H12,CE$2)+(($H12-ROUNDDOWN($H12,0))*(INDEX(avoidedcosttbl,ROUNDUP($H12,0),CE$2)-(INDEX(avoidedcosttbl,ROUNDDOWN($H12,0),CE$2)))))*ADRYr1!P12*ADRYr1!Q12*ADRYr1!U12)</f>
        <v/>
      </c>
      <c r="CF12" s="41" t="str">
        <f t="shared" si="39"/>
        <v/>
      </c>
      <c r="CG12" s="30" t="str">
        <f t="shared" si="11"/>
        <v/>
      </c>
      <c r="CH12" s="30" t="str">
        <f>IF($G12="","",$G12*(IF(ADRYr1!$AI12=BY$4,ADRYr1!$AJ12,IF(ADRYr1!$AK12=BY$4,ADRYr1!$AL12,IF(ADRYr1!$AM12=BY$4,ADRYr1!$AN12,0))))*(INDEX(avoidedcosttbl,$H12,CH$2)+(($H12-ROUNDDOWN($H12,0))*(INDEX(avoidedcosttbl,ROUNDUP($H12,0),CH$2)-(INDEX(avoidedcosttbl,ROUNDDOWN($H12,0),CH$2)))))*ADRYr1!P12*ADRYr1!Q12*ADRYr1!U12)</f>
        <v/>
      </c>
      <c r="CI12" s="30" t="str">
        <f>IF($G12="","",$G12*(IF(ADRYr1!$AI12=BZ$4,ADRYr1!$AJ12,IF(ADRYr1!$AK12=BZ$4,ADRYr1!$AL12,IF(ADRYr1!$AM12=BZ$4,ADRYr1!$AN12,0))))*(INDEX(avoidedcosttbl,$H12,CI$2)+(($H12-ROUNDDOWN($H12,0))*(INDEX(avoidedcosttbl,ROUNDUP($H12,0),CI$2)-(INDEX(avoidedcosttbl,ROUNDDOWN($H12,0),CI$2)))))*ADRYr1!P12*ADRYr1!Q12*ADRYr1!U12)</f>
        <v/>
      </c>
      <c r="CJ12" s="30" t="str">
        <f>IF($G12="","",$G12*(IF(ADRYr1!$AI12=CA$4,ADRYr1!$AJ12,IF(ADRYr1!$AK12=CA$4,ADRYr1!$AL12,IF(ADRYr1!$AM12=CA$4,ADRYr1!$AN12,0))))*(INDEX(avoidedcosttbl,$H12,CJ$2)+(($H12-ROUNDDOWN($H12,0))*(INDEX(avoidedcosttbl,ROUNDUP($H12,0),CJ$2)-(INDEX(avoidedcosttbl,ROUNDDOWN($H12,0),CJ$2)))))*ADRYr1!P12*ADRYr1!Q12*ADRYr1!U12)</f>
        <v/>
      </c>
      <c r="CK12" s="30" t="str">
        <f>IF($G12="","",$G12*(IF(ADRYr1!$AI12=CB$4,ADRYr1!$AJ12,IF(ADRYr1!$AK12=CB$4,ADRYr1!$AL12,IF(ADRYr1!$AM12=CB$4,ADRYr1!$AN12,0))))*(INDEX(avoidedcosttbl,$H12,CK$2)+(($H12-ROUNDDOWN($H12,0))*(INDEX(avoidedcosttbl,ROUNDUP($H12,0),CK$2)-(INDEX(avoidedcosttbl,ROUNDDOWN($H12,0),CK$2)))))*ADRYr1!P12*ADRYr1!Q12*ADRYr1!U12)</f>
        <v/>
      </c>
      <c r="CL12" s="30" t="str">
        <f>IF($G12="","",$G12*(IF(ADRYr1!$AI12=CC$4,ADRYr1!$AJ12,IF(ADRYr1!$AK12=CC$4,ADRYr1!$AL12,IF(ADRYr1!$AM12=CC$4,ADRYr1!$AN12,0))))*(INDEX(avoidedcosttbl,$H12,CL$2)+(($H12-ROUNDDOWN($H12,0))*(INDEX(avoidedcosttbl,ROUNDUP($H12,0),CL$2)-(INDEX(avoidedcosttbl,ROUNDDOWN($H12,0),CL$2)))))*ADRYr1!P12*ADRYr1!Q12*ADRYr1!U12)</f>
        <v/>
      </c>
      <c r="CM12" s="30" t="str">
        <f>IF($G12="","",$G12*(IF(ADRYr1!$AI12=CD$4,ADRYr1!$AJ12,IF(ADRYr1!$AK12=CD$4,ADRYr1!$AL12,IF(ADRYr1!$AM12=CD$4,ADRYr1!$AN12,0))))*(INDEX(avoidedcosttbl,$H12,CM$2)+(($H12-ROUNDDOWN($H12,0))*(INDEX(avoidedcosttbl,ROUNDUP($H12,0),CM$2)-(INDEX(avoidedcosttbl,ROUNDDOWN($H12,0),CM$2)))))*ADRYr1!P12*ADRYr1!Q12*ADRYr1!U12)</f>
        <v/>
      </c>
      <c r="CN12" s="30" t="str">
        <f>IF($G12="","",$G12*(IF(ADRYr1!$AI12=CE$4,ADRYr1!$AJ12,IF(ADRYr1!$AK12=CE$4,ADRYr1!$AL12,IF(ADRYr1!$AM12=CE$4,ADRYr1!$AN12,0))))*(INDEX(avoidedcosttbl,$H12,CN$2)+(($H12-ROUNDDOWN($H12,0))*(INDEX(avoidedcosttbl,ROUNDUP($H12,0),CN$2)-(INDEX(avoidedcosttbl,ROUNDDOWN($H12,0),CN$2)))))*ADRYr1!P12*ADRYr1!Q12*ADRYr1!U12)</f>
        <v/>
      </c>
      <c r="CO12" s="220" t="str">
        <f t="shared" si="40"/>
        <v/>
      </c>
      <c r="CP12" s="220" t="str">
        <f t="shared" si="41"/>
        <v/>
      </c>
      <c r="CQ12" s="157" t="str">
        <f>IF($G12="","",$G12*(IF(ADRYr1!$AI12=CQ$4,ADRYr1!$AJ12,IF(ADRYr1!$AK12=CQ$4,ADRYr1!$AL12,IF(ADRYr1!$AM12=CQ$4,ADRYr1!$AN12,0))))*(INDEX(avoidedcosttbl,$H12,CQ$2)+(($H12-ROUNDDOWN($H12,0))*(INDEX(avoidedcosttbl,ROUNDUP($H12,0),CQ$2)-(INDEX(avoidedcosttbl,ROUNDDOWN($H12,0),CQ$2)))))*ADRYr1!$P12*ADRYr1!$Q12*ADRYr1!$U12)</f>
        <v/>
      </c>
      <c r="CR12" s="28" t="str">
        <f>IF($G12="","",G12*(IF(ADRYr1!$AI12=CR$4,ADRYr1!$AJ12,IF(ADRYr1!$AK12=CR$4,ADRYr1!$AL12,IF(ADRYr1!$AM12=CR$4,ADRYr1!$AN12,0))))*(INDEX(avoidedcosttbl,$H12,CR$2)+(($H12-ROUNDDOWN($H12,0))*(INDEX(avoidedcosttbl,ROUNDUP($H12,0),CR$2)-(INDEX(avoidedcosttbl,ROUNDDOWN($H12,0),CR$2)))))*ADRYr1!$P12*ADRYr1!$Q12*ADRYr1!$U12)</f>
        <v/>
      </c>
      <c r="CS12" s="28" t="str">
        <f>IF($G12="","",G12*(IF(ADRYr1!$AI12=CS$4,ADRYr1!$AJ12,IF(ADRYr1!$AK12=CS$4,ADRYr1!$AL12,IF(ADRYr1!$AM12=CS$4,ADRYr1!$AN12,0))))*(INDEX(avoidedcosttbl,$H12,CS$2)+(($H12-ROUNDDOWN($H12,0))*(INDEX(avoidedcosttbl,ROUNDUP($H12,0),CS$2)-(INDEX(avoidedcosttbl,ROUNDDOWN($H12,0),CS$2)))))*ADRYr1!$P12*ADRYr1!$Q12*ADRYr1!$U12)</f>
        <v/>
      </c>
      <c r="CT12" s="28" t="str">
        <f t="shared" si="12"/>
        <v/>
      </c>
      <c r="CU12" s="28" t="str">
        <f>IF($G12="","",G12*(IF(ADRYr1!$AI12=CU$4,ADRYr1!$AJ12,IF(ADRYr1!$AK12=CU$4,ADRYr1!$AL12,IF(ADRYr1!$AM12=CU$4,ADRYr1!$AN12,0))))*(INDEX(avoidedcosttbl,$H12,CU$2)+(($H12-ROUNDDOWN($H12,0))*(INDEX(avoidedcosttbl,ROUNDUP($H12,0),CU$2)-(INDEX(avoidedcosttbl,ROUNDDOWN($H12,0),CU$2)))))*ADRYr1!$P12*ADRYr1!$Q12*ADRYr1!$U12)</f>
        <v/>
      </c>
      <c r="CV12" s="28" t="str">
        <f>IF($G12="","",G12*(IF(ADRYr1!$AI12=CV$4,ADRYr1!$AJ12,IF(ADRYr1!$AK12=CV$4,ADRYr1!$AL12,IF(ADRYr1!$AM12=CV$4,ADRYr1!$AN12,0))))*(INDEX(avoidedcosttbl,$H12,CV$2)+(($H12-ROUNDDOWN($H12,0))*(INDEX(avoidedcosttbl,ROUNDUP($H12,0),CV$2)-(INDEX(avoidedcosttbl,ROUNDDOWN($H12,0),CV$2)))))*ADRYr1!$P12*ADRYr1!$Q12*ADRYr1!$U12)</f>
        <v/>
      </c>
      <c r="CW12" s="28" t="str">
        <f>IF($G12="","",G12*(IF(ADRYr1!$AI12=CW$4,ADRYr1!$AJ12,IF(ADRYr1!$AK12=CW$4,ADRYr1!$AL12,IF(ADRYr1!$AM12=CW$4,ADRYr1!$AN12,0))))*(INDEX(avoidedcosttbl,$H12,CW$2)+(($H12-ROUNDDOWN($H12,0))*(INDEX(avoidedcosttbl,ROUNDUP($H12,0),CW$2)-(INDEX(avoidedcosttbl,ROUNDDOWN($H12,0),CW$2)))))*ADRYr1!$P12*ADRYr1!$Q12*ADRYr1!$U12)</f>
        <v/>
      </c>
      <c r="CX12" s="28" t="str">
        <f>IF($G12="","",G12*(IF(ADRYr1!$AI12=CX$4,ADRYr1!$AJ12,IF(ADRYr1!$AK12=CX$4,ADRYr1!$AL12,IF(ADRYr1!$AM12=CX$4,ADRYr1!$AN12,0))))*(INDEX(avoidedcosttbl,$H12,CX$2)+(($H12-ROUNDDOWN($H12,0))*(INDEX(avoidedcosttbl,ROUNDUP($H12,0),CX$2)-(INDEX(avoidedcosttbl,ROUNDDOWN($H12,0),CX$2)))))*ADRYr1!$P12*ADRYr1!$Q12*ADRYr1!$U12)</f>
        <v/>
      </c>
      <c r="CY12" s="28" t="str">
        <f t="shared" si="13"/>
        <v/>
      </c>
      <c r="CZ12" s="32" t="str">
        <f t="shared" si="14"/>
        <v/>
      </c>
      <c r="DA12" s="84" t="str">
        <f t="shared" si="42"/>
        <v/>
      </c>
      <c r="DB12" s="81" t="str">
        <f>IF(NEIadder="Yes",IF($G12="","",INDEX(Lookups!$G$68:$G$70,MATCH($A12,Lookups!$E$68:$E$70,0))*(SUM(CP12:CX12,BX12))),"")</f>
        <v/>
      </c>
      <c r="DC12" s="263" t="str">
        <f t="shared" si="15"/>
        <v/>
      </c>
      <c r="DD12" s="166" t="str">
        <f t="shared" si="16"/>
        <v/>
      </c>
      <c r="DE12" s="82">
        <f t="shared" si="43"/>
        <v>0</v>
      </c>
      <c r="DF12" s="760" t="str">
        <f>IF($G12="","",(1+WntPeakEnergyLL)*(INDEX(avoidedcosttbl,$H12,DF$2)+(($H12-ROUNDDOWN($H12,0))*(INDEX(avoidedcosttbl,ROUNDUP($H12,0),DF$2)-(INDEX(avoidedcosttbl,ROUNDDOWN($H12,0),DF$2)))))*$P12*1000*ADRYr1!Z12)</f>
        <v/>
      </c>
      <c r="DG12" s="760" t="str">
        <f>IF($G12="","",(1+WntOffPeakEnergyLL)*(INDEX(avoidedcosttbl,$H12,DG$2)+(($H12-ROUNDDOWN($H12,0))*(INDEX(avoidedcosttbl,ROUNDUP($H12,0),DG$2)-(INDEX(avoidedcosttbl,ROUNDDOWN($H12,0),DG$2)))))*$P12*1000*ADRYr1!AA12)</f>
        <v/>
      </c>
      <c r="DH12" s="760" t="str">
        <f>IF($G12="","",(1+SumPeakEnergyLL)*(INDEX(avoidedcosttbl,$H12,DH$2)+(($H12-ROUNDDOWN($H12,0))*(INDEX(avoidedcosttbl,ROUNDUP($H12,0),DH$2)-(INDEX(avoidedcosttbl,ROUNDDOWN($H12,0),DH$2)))))*$P12*1000*ADRYr1!AB12)</f>
        <v/>
      </c>
      <c r="DI12" s="760" t="str">
        <f>IF($G12="","",(1+SumOffPeakEnergyLL)*(INDEX(avoidedcosttbl,$H12,DI$2)+(($H12-ROUNDDOWN($H12,0))*(INDEX(avoidedcosttbl,ROUNDUP($H12,0),DI$2)-(INDEX(avoidedcosttbl,ROUNDDOWN($H12,0),DI$2)))))*$P12*1000*ADRYr1!AC12)</f>
        <v/>
      </c>
      <c r="DJ12" s="29" t="str">
        <f t="shared" si="44"/>
        <v/>
      </c>
      <c r="DK12" s="161" t="str">
        <f t="shared" si="45"/>
        <v/>
      </c>
      <c r="DL12" s="1375" t="str">
        <f t="shared" si="46"/>
        <v/>
      </c>
      <c r="DM12" s="1375" t="str">
        <f t="shared" si="47"/>
        <v/>
      </c>
      <c r="DN12" s="43" t="str">
        <f t="shared" si="48"/>
        <v/>
      </c>
      <c r="DO12" s="1131" t="str">
        <f>IF($G12="","",ADRYr1!AQ12)</f>
        <v/>
      </c>
      <c r="DP12" s="1133" t="str">
        <f>IF($G12="","",ADRYr1!AR12)</f>
        <v/>
      </c>
      <c r="DQ12" s="1135" t="str">
        <f>IF($G12="","",IF($DP12="Yes",COLUMN(AESC!$L$10),IF($DP12="No","Using AvoidedDemand tab",IF($DP12="Mixed",COLUMN(AESC!$N$10)))))</f>
        <v/>
      </c>
      <c r="DR12" s="1135" t="str">
        <f>IF($G12="","",IF($DP12="Yes",COLUMN(AESC!$P$10),IF($DP12="No","Using AvoidedDemand tab",IF($DP12="Mixed",COLUMN(AESC!$R$10)))))</f>
        <v/>
      </c>
      <c r="DS12" s="1135" t="str">
        <f>IF($G12="","",IF($DP12="Yes",COLUMN(AESC!$S$10),IF($DP12="No",COLUMN(AESC!$T$10),IF($DP12="Mixed",COLUMN(AESC!$U$10)))))</f>
        <v/>
      </c>
      <c r="DT12" s="1135" t="str">
        <f t="shared" si="17"/>
        <v/>
      </c>
      <c r="DU12" s="1135" t="str">
        <f>IF($G12="","",ADRYr1!AS12)</f>
        <v/>
      </c>
      <c r="DV12" s="1136" t="str">
        <f>IF($G12="","",ADRYr1!AT12)</f>
        <v/>
      </c>
      <c r="DW12" s="1344" t="str">
        <f>IF($G12="","",INDEX(AvoidedEnergy!$H$4:$H$10,MATCH($DO12,AvoidedEnergy!$A$4:$A$10,0)))</f>
        <v/>
      </c>
    </row>
    <row r="13" spans="1:127">
      <c r="A13" s="160" t="str">
        <f>IF(ADRYr1!$B13=0,"",ADRYr1!A13)</f>
        <v>A - Residential</v>
      </c>
      <c r="B13" s="9" t="str">
        <f>IF(ADRYr1!$B13=0,"",ADRYr1!B13)</f>
        <v>A5 - Residential Active Demand Response</v>
      </c>
      <c r="C13" s="9" t="str">
        <f>IF(ADRYr1!$B13=0,"",ADRYr1!C13)</f>
        <v>A5a - Residential Active Demand Response</v>
      </c>
      <c r="D13" s="9" t="str">
        <f>IF(ADRYr1!$B13=0,"",ADRYr1!D13)</f>
        <v>Storage Targeted Dispatch P4P (savings) Winter</v>
      </c>
      <c r="E13" s="9">
        <f>IF(ADRYr1!$B13=0,"",ADRYr1!E13)</f>
        <v>0</v>
      </c>
      <c r="F13" s="11" t="str">
        <f>IF(ADRYr1!$B13=0,"",ADRYr1!F13)</f>
        <v>Behavior</v>
      </c>
      <c r="G13" s="12" t="str">
        <f>IF(ADRYr1!$G13&lt;&gt;0,ADRYr1!G13,"")</f>
        <v/>
      </c>
      <c r="H13" s="1125" t="str">
        <f>IF($G13="","",ROUND(ADRYr1!H13,0))</f>
        <v/>
      </c>
      <c r="I13" s="47" t="str">
        <f>IF($G13="","",ADRYr1!I13*ADRYr1!P13*G13)</f>
        <v/>
      </c>
      <c r="J13" s="47" t="str">
        <f>IF($G13="","",ADRYr1!J13*G13)</f>
        <v/>
      </c>
      <c r="K13" s="47" t="str">
        <f t="shared" si="18"/>
        <v/>
      </c>
      <c r="L13" s="27" t="str">
        <f>IF($G13="","",ADRYr1!V13*G13/1000)</f>
        <v/>
      </c>
      <c r="M13" s="27" t="str">
        <f>IF($G13="","",L13*ADRYr1!$Q13*ADRYr1!$R13)</f>
        <v/>
      </c>
      <c r="N13" s="27" t="str">
        <f t="shared" si="19"/>
        <v/>
      </c>
      <c r="O13" s="27" t="str">
        <f t="shared" si="20"/>
        <v/>
      </c>
      <c r="P13" s="27" t="str">
        <f>IF($G13="","",M13*ADRYr1!P13)</f>
        <v/>
      </c>
      <c r="Q13" s="27" t="str">
        <f t="shared" si="21"/>
        <v/>
      </c>
      <c r="R13" s="27" t="str">
        <f>IF($G13="","",$Q13*ADRYr1!Z13)</f>
        <v/>
      </c>
      <c r="S13" s="27" t="str">
        <f>IF($G13="","",$Q13*ADRYr1!AA13)</f>
        <v/>
      </c>
      <c r="T13" s="27" t="str">
        <f>IF($G13="","",$Q13*ADRYr1!AB13)</f>
        <v/>
      </c>
      <c r="U13" s="27" t="str">
        <f>IF($G13="","",$Q13*ADRYr1!AC13)</f>
        <v/>
      </c>
      <c r="V13" s="27" t="str">
        <f>IF($G13="","",G13*ADRYr1!$AD13*ADRYr1!$P13*ADRYr1!$Q13)</f>
        <v/>
      </c>
      <c r="W13" s="27" t="str">
        <f>IF($G13="","",$G13*ADRYr1!$AD13*ADRYr1!$AF13*ADRYr1!Q13*ADRYr1!$S13)</f>
        <v/>
      </c>
      <c r="X13" s="27" t="str">
        <f>IF($G13="","",$G13*ADRYr1!$AD13*ADRYr1!$AF13*ADRYr1!P13*ADRYr1!Q13*ADRYr1!$S13)</f>
        <v/>
      </c>
      <c r="Y13" s="27" t="str">
        <f>IF($G13="","",$G13*ADRYr1!$AD13*ADRYr1!$AE13*ADRYr1!Q13*ADRYr1!$T13)</f>
        <v/>
      </c>
      <c r="Z13" s="27" t="str">
        <f>IF($G13="","",$G13*ADRYr1!$AD13*ADRYr1!$AE13*ADRYr1!P13*ADRYr1!Q13*ADRYr1!$T13)</f>
        <v/>
      </c>
      <c r="AA13" s="45" t="str">
        <f>IF($G13="","",$G13*ADRYr1!$Q13*ADRYr1!$U13*(IF(IFERROR(SEARCH("NG", ADRYr1!$AI13),0),ADRYr1!$AJ13,0)+IF(IFERROR(SEARCH("NG", ADRYr1!$AK13),0),ADRYr1!$AL13,0)+IF(IFERROR(SEARCH("NG", ADRYr1!$AM13),0),ADRYr1!$AN13,0)))</f>
        <v/>
      </c>
      <c r="AB13" s="45" t="str">
        <f t="shared" si="22"/>
        <v/>
      </c>
      <c r="AC13" s="45">
        <f>IF($G13="",0,AA13*ADRYr1!$P13)</f>
        <v>0</v>
      </c>
      <c r="AD13" s="45" t="str">
        <f t="shared" si="23"/>
        <v/>
      </c>
      <c r="AE13" s="45" t="str">
        <f>IF($G13="","",$G13*ADRYr1!$Q13*ADRYr1!$U13*(IF(IFERROR(SEARCH("Oil", ADRYr1!$AI13), 0),ADRYr1!$AJ13,0)+IF(IFERROR(SEARCH("Oil", ADRYr1!$AK13), 0),ADRYr1!$AL13,0)+IF(IFERROR(SEARCH("Oil", ADRYr1!$AM13), 0),ADRYr1!$AN13,0)))</f>
        <v/>
      </c>
      <c r="AF13" s="45" t="str">
        <f t="shared" si="24"/>
        <v/>
      </c>
      <c r="AG13" s="45">
        <f>IF($G13="",0,AE13*ADRYr1!$P13)</f>
        <v>0</v>
      </c>
      <c r="AH13" s="45" t="str">
        <f t="shared" si="25"/>
        <v/>
      </c>
      <c r="AI13" s="45" t="str">
        <f>IF($G13="","",$G13*ADRYr1!$Q13*ADRYr1!$U13*(IF(ADRYr1!$AI13=Lookups!$E$114,ADRYr1!$AJ13,IF(ADRYr1!$AK13=Lookups!$E$114,ADRYr1!$AL13,IF(ADRYr1!$AM13=Lookups!$E$114,ADRYr1!$AN13,0)))))</f>
        <v/>
      </c>
      <c r="AJ13" s="45" t="str">
        <f t="shared" si="26"/>
        <v/>
      </c>
      <c r="AK13" s="45">
        <f>IF($G13="",0,AI13*ADRYr1!$P13)</f>
        <v>0</v>
      </c>
      <c r="AL13" s="45" t="str">
        <f t="shared" si="27"/>
        <v/>
      </c>
      <c r="AM13" s="45" t="str">
        <f>IF($G13="","",$G13*ADRYr1!$Q13*ADRYr1!$U13*(IF(ADRYr1!$AI13=Lookups!$E$113,ADRYr1!$AJ13,IF(ADRYr1!$AK13=Lookups!$E$113,ADRYr1!$AL13,IF(ADRYr1!$AM13=Lookups!$E$113,ADRYr1!$AN13,0)))))</f>
        <v/>
      </c>
      <c r="AN13" s="45" t="str">
        <f t="shared" si="28"/>
        <v/>
      </c>
      <c r="AO13" s="45">
        <f>IF($G13="",0,AM13*ADRYr1!$P13)</f>
        <v>0</v>
      </c>
      <c r="AP13" s="45" t="str">
        <f t="shared" si="29"/>
        <v/>
      </c>
      <c r="AQ13" s="45" t="str">
        <f>IF($G13="","",$G13*ADRYr1!$Q13*ADRYr1!$U13*(IF(ADRYr1!$AI13=Lookups!$E$115,ADRYr1!$AJ13,IF(ADRYr1!$AK13=Lookups!$E$115,ADRYr1!$AL13,IF(ADRYr1!$AM13=Lookups!$E$115,ADRYr1!$AN13,0)))))</f>
        <v/>
      </c>
      <c r="AR13" s="45" t="str">
        <f t="shared" si="30"/>
        <v/>
      </c>
      <c r="AS13" s="45" t="str">
        <f>IF($G13="","",AQ13*ADRYr1!$P13)</f>
        <v/>
      </c>
      <c r="AT13" s="45" t="str">
        <f t="shared" si="31"/>
        <v/>
      </c>
      <c r="AU13" s="45" t="str">
        <f>IF($G13="","",$G13*ADRYr1!$Q13*ADRYr1!$U13*(IF(ADRYr1!$AI13=Lookups!$E$116,ADRYr1!$AJ13,IF(ADRYr1!$AK13=Lookups!$E$116,ADRYr1!$AL13,IF(ADRYr1!$AM13=Lookups!$E$116,ADRYr1!$AN13,0)))))</f>
        <v/>
      </c>
      <c r="AV13" s="45" t="str">
        <f t="shared" si="32"/>
        <v/>
      </c>
      <c r="AW13" s="45" t="str">
        <f>IF($G13="","",AU13*ADRYr1!$P13)</f>
        <v/>
      </c>
      <c r="AX13" s="45" t="str">
        <f t="shared" si="33"/>
        <v/>
      </c>
      <c r="AY13" s="45">
        <f t="shared" si="34"/>
        <v>0</v>
      </c>
      <c r="AZ13" s="45">
        <f t="shared" si="34"/>
        <v>0</v>
      </c>
      <c r="BA13" s="101" t="str">
        <f>IF($G13="","",$G13*ADRYr1!$P13*ADRYr1!$Q13*ADRYr1!$U13*ADRYr1!AO13)</f>
        <v/>
      </c>
      <c r="BB13" s="102" t="str">
        <f>IF($G13="","",$G13*ADRYr1!$P13*ADRYr1!$Q13*ADRYr1!$U13*ADRYr1!AP13)</f>
        <v/>
      </c>
      <c r="BC13" s="100" t="str">
        <f t="shared" si="35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5"/>
        <v/>
      </c>
      <c r="BO13" s="31" t="str">
        <f t="shared" si="36"/>
        <v/>
      </c>
      <c r="BP13" s="1129" t="str">
        <f t="shared" si="6"/>
        <v/>
      </c>
      <c r="BQ13" s="28" t="str">
        <f t="shared" si="7"/>
        <v/>
      </c>
      <c r="BR13" s="1129" t="str">
        <f t="shared" si="8"/>
        <v/>
      </c>
      <c r="BS13" s="1129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7"/>
        <v/>
      </c>
      <c r="BX13" s="29" t="str">
        <f t="shared" si="38"/>
        <v/>
      </c>
      <c r="BY13" s="28" t="str">
        <f>IF($G13="","",$G13*(IF(ADRYr1!$AI13=BY$4,ADRYr1!$AJ13,IF(ADRYr1!$AK13=BY$4,ADRYr1!$AL13,IF(ADRYr1!$AM13=BY$4,ADRYr1!$AN13,0))))*(INDEX(avoidedcosttbl,$H13,BY$2)+(($H13-ROUNDDOWN($H13,0))*(INDEX(avoidedcosttbl,ROUNDUP($H13,0),BY$2)-(INDEX(avoidedcosttbl,ROUNDDOWN($H13,0),BY$2)))))*ADRYr1!P13*ADRYr1!Q13*ADRYr1!U13)</f>
        <v/>
      </c>
      <c r="BZ13" s="28" t="str">
        <f>IF($G13="","",$G13*(IF(ADRYr1!$AI13=BZ$4,ADRYr1!$AJ13,IF(ADRYr1!$AK13=BZ$4,ADRYr1!$AL13,IF(ADRYr1!$AM13=BZ$4,ADRYr1!$AN13,0))))*(INDEX(avoidedcosttbl,$H13,BZ$2)+(($H13-ROUNDDOWN($H13,0))*(INDEX(avoidedcosttbl,ROUNDUP($H13,0),BZ$2)-(INDEX(avoidedcosttbl,ROUNDDOWN($H13,0),BZ$2)))))*ADRYr1!P13*ADRYr1!Q13*ADRYr1!U13)</f>
        <v/>
      </c>
      <c r="CA13" s="28" t="str">
        <f>IF($G13="","",$G13*(IF(ADRYr1!$AI13=CA$4,ADRYr1!$AJ13,IF(ADRYr1!$AK13=CA$4,ADRYr1!$AL13,IF(ADRYr1!$AM13=CA$4,ADRYr1!$AN13,0))))*(INDEX(avoidedcosttbl,$H13,CA$2)+(($H13-ROUNDDOWN($H13,0))*(INDEX(avoidedcosttbl,ROUNDUP($H13,0),CA$2)-(INDEX(avoidedcosttbl,ROUNDDOWN($H13,0),CA$2)))))*ADRYr1!P13*ADRYr1!Q13*ADRYr1!U13)</f>
        <v/>
      </c>
      <c r="CB13" s="28" t="str">
        <f>IF($G13="","",$G13*(IF(ADRYr1!$AI13=CB$4,ADRYr1!$AJ13,IF(ADRYr1!$AK13=CB$4,ADRYr1!$AL13,IF(ADRYr1!$AM13=CB$4,ADRYr1!$AN13,0))))*(INDEX(avoidedcosttbl,$H13,CB$2)+(($H13-ROUNDDOWN($H13,0))*(INDEX(avoidedcosttbl,ROUNDUP($H13,0),CB$2)-(INDEX(avoidedcosttbl,ROUNDDOWN($H13,0),CB$2)))))*ADRYr1!P13*ADRYr1!Q13*ADRYr1!U13)</f>
        <v/>
      </c>
      <c r="CC13" s="28" t="str">
        <f>IF($G13="","",$G13*(IF(ADRYr1!$AI13=CC$4,ADRYr1!$AJ13,IF(ADRYr1!$AK13=CC$4,ADRYr1!$AL13,IF(ADRYr1!$AM13=CC$4,ADRYr1!$AN13,0))))*(INDEX(avoidedcosttbl,$H13,CC$2)+(($H13-ROUNDDOWN($H13,0))*(INDEX(avoidedcosttbl,ROUNDUP($H13,0),CC$2)-(INDEX(avoidedcosttbl,ROUNDDOWN($H13,0),CC$2)))))*ADRYr1!P13*ADRYr1!Q13*ADRYr1!U13)</f>
        <v/>
      </c>
      <c r="CD13" s="28" t="str">
        <f>IF($G13="","",$G13*(IF(ADRYr1!$AI13=CD$4,ADRYr1!$AJ13,IF(ADRYr1!$AK13=CD$4,ADRYr1!$AL13,IF(ADRYr1!$AM13=CD$4,ADRYr1!$AN13,0))))*(INDEX(avoidedcosttbl,$H13,CD$2)+(($H13-ROUNDDOWN($H13,0))*(INDEX(avoidedcosttbl,ROUNDUP($H13,0),CD$2)-(INDEX(avoidedcosttbl,ROUNDDOWN($H13,0),CD$2)))))*ADRYr1!P13*ADRYr1!Q13*ADRYr1!U13)</f>
        <v/>
      </c>
      <c r="CE13" s="28" t="str">
        <f>IF($G13="","",$G13*(IF(ADRYr1!$AI13=CE$4,ADRYr1!$AJ13,IF(ADRYr1!$AK13=CE$4,ADRYr1!$AL13,IF(ADRYr1!$AM13=CE$4,ADRYr1!$AN13,0))))*(INDEX(avoidedcosttbl,$H13,CE$2)+(($H13-ROUNDDOWN($H13,0))*(INDEX(avoidedcosttbl,ROUNDUP($H13,0),CE$2)-(INDEX(avoidedcosttbl,ROUNDDOWN($H13,0),CE$2)))))*ADRYr1!P13*ADRYr1!Q13*ADRYr1!U13)</f>
        <v/>
      </c>
      <c r="CF13" s="41" t="str">
        <f t="shared" si="39"/>
        <v/>
      </c>
      <c r="CG13" s="30" t="str">
        <f t="shared" si="11"/>
        <v/>
      </c>
      <c r="CH13" s="30" t="str">
        <f>IF($G13="","",$G13*(IF(ADRYr1!$AI13=BY$4,ADRYr1!$AJ13,IF(ADRYr1!$AK13=BY$4,ADRYr1!$AL13,IF(ADRYr1!$AM13=BY$4,ADRYr1!$AN13,0))))*(INDEX(avoidedcosttbl,$H13,CH$2)+(($H13-ROUNDDOWN($H13,0))*(INDEX(avoidedcosttbl,ROUNDUP($H13,0),CH$2)-(INDEX(avoidedcosttbl,ROUNDDOWN($H13,0),CH$2)))))*ADRYr1!P13*ADRYr1!Q13*ADRYr1!U13)</f>
        <v/>
      </c>
      <c r="CI13" s="30" t="str">
        <f>IF($G13="","",$G13*(IF(ADRYr1!$AI13=BZ$4,ADRYr1!$AJ13,IF(ADRYr1!$AK13=BZ$4,ADRYr1!$AL13,IF(ADRYr1!$AM13=BZ$4,ADRYr1!$AN13,0))))*(INDEX(avoidedcosttbl,$H13,CI$2)+(($H13-ROUNDDOWN($H13,0))*(INDEX(avoidedcosttbl,ROUNDUP($H13,0),CI$2)-(INDEX(avoidedcosttbl,ROUNDDOWN($H13,0),CI$2)))))*ADRYr1!P13*ADRYr1!Q13*ADRYr1!U13)</f>
        <v/>
      </c>
      <c r="CJ13" s="30" t="str">
        <f>IF($G13="","",$G13*(IF(ADRYr1!$AI13=CA$4,ADRYr1!$AJ13,IF(ADRYr1!$AK13=CA$4,ADRYr1!$AL13,IF(ADRYr1!$AM13=CA$4,ADRYr1!$AN13,0))))*(INDEX(avoidedcosttbl,$H13,CJ$2)+(($H13-ROUNDDOWN($H13,0))*(INDEX(avoidedcosttbl,ROUNDUP($H13,0),CJ$2)-(INDEX(avoidedcosttbl,ROUNDDOWN($H13,0),CJ$2)))))*ADRYr1!P13*ADRYr1!Q13*ADRYr1!U13)</f>
        <v/>
      </c>
      <c r="CK13" s="30" t="str">
        <f>IF($G13="","",$G13*(IF(ADRYr1!$AI13=CB$4,ADRYr1!$AJ13,IF(ADRYr1!$AK13=CB$4,ADRYr1!$AL13,IF(ADRYr1!$AM13=CB$4,ADRYr1!$AN13,0))))*(INDEX(avoidedcosttbl,$H13,CK$2)+(($H13-ROUNDDOWN($H13,0))*(INDEX(avoidedcosttbl,ROUNDUP($H13,0),CK$2)-(INDEX(avoidedcosttbl,ROUNDDOWN($H13,0),CK$2)))))*ADRYr1!P13*ADRYr1!Q13*ADRYr1!U13)</f>
        <v/>
      </c>
      <c r="CL13" s="30" t="str">
        <f>IF($G13="","",$G13*(IF(ADRYr1!$AI13=CC$4,ADRYr1!$AJ13,IF(ADRYr1!$AK13=CC$4,ADRYr1!$AL13,IF(ADRYr1!$AM13=CC$4,ADRYr1!$AN13,0))))*(INDEX(avoidedcosttbl,$H13,CL$2)+(($H13-ROUNDDOWN($H13,0))*(INDEX(avoidedcosttbl,ROUNDUP($H13,0),CL$2)-(INDEX(avoidedcosttbl,ROUNDDOWN($H13,0),CL$2)))))*ADRYr1!P13*ADRYr1!Q13*ADRYr1!U13)</f>
        <v/>
      </c>
      <c r="CM13" s="30" t="str">
        <f>IF($G13="","",$G13*(IF(ADRYr1!$AI13=CD$4,ADRYr1!$AJ13,IF(ADRYr1!$AK13=CD$4,ADRYr1!$AL13,IF(ADRYr1!$AM13=CD$4,ADRYr1!$AN13,0))))*(INDEX(avoidedcosttbl,$H13,CM$2)+(($H13-ROUNDDOWN($H13,0))*(INDEX(avoidedcosttbl,ROUNDUP($H13,0),CM$2)-(INDEX(avoidedcosttbl,ROUNDDOWN($H13,0),CM$2)))))*ADRYr1!P13*ADRYr1!Q13*ADRYr1!U13)</f>
        <v/>
      </c>
      <c r="CN13" s="30" t="str">
        <f>IF($G13="","",$G13*(IF(ADRYr1!$AI13=CE$4,ADRYr1!$AJ13,IF(ADRYr1!$AK13=CE$4,ADRYr1!$AL13,IF(ADRYr1!$AM13=CE$4,ADRYr1!$AN13,0))))*(INDEX(avoidedcosttbl,$H13,CN$2)+(($H13-ROUNDDOWN($H13,0))*(INDEX(avoidedcosttbl,ROUNDUP($H13,0),CN$2)-(INDEX(avoidedcosttbl,ROUNDDOWN($H13,0),CN$2)))))*ADRYr1!P13*ADRYr1!Q13*ADRYr1!U13)</f>
        <v/>
      </c>
      <c r="CO13" s="220" t="str">
        <f t="shared" si="40"/>
        <v/>
      </c>
      <c r="CP13" s="220" t="str">
        <f t="shared" si="41"/>
        <v/>
      </c>
      <c r="CQ13" s="157" t="str">
        <f>IF($G13="","",$G13*(IF(ADRYr1!$AI13=CQ$4,ADRYr1!$AJ13,IF(ADRYr1!$AK13=CQ$4,ADRYr1!$AL13,IF(ADRYr1!$AM13=CQ$4,ADRYr1!$AN13,0))))*(INDEX(avoidedcosttbl,$H13,CQ$2)+(($H13-ROUNDDOWN($H13,0))*(INDEX(avoidedcosttbl,ROUNDUP($H13,0),CQ$2)-(INDEX(avoidedcosttbl,ROUNDDOWN($H13,0),CQ$2)))))*ADRYr1!$P13*ADRYr1!$Q13*ADRYr1!$U13)</f>
        <v/>
      </c>
      <c r="CR13" s="28" t="str">
        <f>IF($G13="","",G13*(IF(ADRYr1!$AI13=CR$4,ADRYr1!$AJ13,IF(ADRYr1!$AK13=CR$4,ADRYr1!$AL13,IF(ADRYr1!$AM13=CR$4,ADRYr1!$AN13,0))))*(INDEX(avoidedcosttbl,$H13,CR$2)+(($H13-ROUNDDOWN($H13,0))*(INDEX(avoidedcosttbl,ROUNDUP($H13,0),CR$2)-(INDEX(avoidedcosttbl,ROUNDDOWN($H13,0),CR$2)))))*ADRYr1!$P13*ADRYr1!$Q13*ADRYr1!$U13)</f>
        <v/>
      </c>
      <c r="CS13" s="28" t="str">
        <f>IF($G13="","",G13*(IF(ADRYr1!$AI13=CS$4,ADRYr1!$AJ13,IF(ADRYr1!$AK13=CS$4,ADRYr1!$AL13,IF(ADRYr1!$AM13=CS$4,ADRYr1!$AN13,0))))*(INDEX(avoidedcosttbl,$H13,CS$2)+(($H13-ROUNDDOWN($H13,0))*(INDEX(avoidedcosttbl,ROUNDUP($H13,0),CS$2)-(INDEX(avoidedcosttbl,ROUNDDOWN($H13,0),CS$2)))))*ADRYr1!$P13*ADRYr1!$Q13*ADRYr1!$U13)</f>
        <v/>
      </c>
      <c r="CT13" s="28" t="str">
        <f t="shared" si="12"/>
        <v/>
      </c>
      <c r="CU13" s="28" t="str">
        <f>IF($G13="","",G13*(IF(ADRYr1!$AI13=CU$4,ADRYr1!$AJ13,IF(ADRYr1!$AK13=CU$4,ADRYr1!$AL13,IF(ADRYr1!$AM13=CU$4,ADRYr1!$AN13,0))))*(INDEX(avoidedcosttbl,$H13,CU$2)+(($H13-ROUNDDOWN($H13,0))*(INDEX(avoidedcosttbl,ROUNDUP($H13,0),CU$2)-(INDEX(avoidedcosttbl,ROUNDDOWN($H13,0),CU$2)))))*ADRYr1!$P13*ADRYr1!$Q13*ADRYr1!$U13)</f>
        <v/>
      </c>
      <c r="CV13" s="28" t="str">
        <f>IF($G13="","",G13*(IF(ADRYr1!$AI13=CV$4,ADRYr1!$AJ13,IF(ADRYr1!$AK13=CV$4,ADRYr1!$AL13,IF(ADRYr1!$AM13=CV$4,ADRYr1!$AN13,0))))*(INDEX(avoidedcosttbl,$H13,CV$2)+(($H13-ROUNDDOWN($H13,0))*(INDEX(avoidedcosttbl,ROUNDUP($H13,0),CV$2)-(INDEX(avoidedcosttbl,ROUNDDOWN($H13,0),CV$2)))))*ADRYr1!$P13*ADRYr1!$Q13*ADRYr1!$U13)</f>
        <v/>
      </c>
      <c r="CW13" s="28" t="str">
        <f>IF($G13="","",G13*(IF(ADRYr1!$AI13=CW$4,ADRYr1!$AJ13,IF(ADRYr1!$AK13=CW$4,ADRYr1!$AL13,IF(ADRYr1!$AM13=CW$4,ADRYr1!$AN13,0))))*(INDEX(avoidedcosttbl,$H13,CW$2)+(($H13-ROUNDDOWN($H13,0))*(INDEX(avoidedcosttbl,ROUNDUP($H13,0),CW$2)-(INDEX(avoidedcosttbl,ROUNDDOWN($H13,0),CW$2)))))*ADRYr1!$P13*ADRYr1!$Q13*ADRYr1!$U13)</f>
        <v/>
      </c>
      <c r="CX13" s="28" t="str">
        <f>IF($G13="","",G13*(IF(ADRYr1!$AI13=CX$4,ADRYr1!$AJ13,IF(ADRYr1!$AK13=CX$4,ADRYr1!$AL13,IF(ADRYr1!$AM13=CX$4,ADRYr1!$AN13,0))))*(INDEX(avoidedcosttbl,$H13,CX$2)+(($H13-ROUNDDOWN($H13,0))*(INDEX(avoidedcosttbl,ROUNDUP($H13,0),CX$2)-(INDEX(avoidedcosttbl,ROUNDDOWN($H13,0),CX$2)))))*ADRYr1!$P13*ADRYr1!$Q13*ADRYr1!$U13)</f>
        <v/>
      </c>
      <c r="CY13" s="28" t="str">
        <f t="shared" si="13"/>
        <v/>
      </c>
      <c r="CZ13" s="32" t="str">
        <f t="shared" si="14"/>
        <v/>
      </c>
      <c r="DA13" s="84" t="str">
        <f t="shared" si="42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15"/>
        <v/>
      </c>
      <c r="DD13" s="166" t="str">
        <f t="shared" si="16"/>
        <v/>
      </c>
      <c r="DE13" s="82">
        <f t="shared" si="43"/>
        <v>0</v>
      </c>
      <c r="DF13" s="760" t="str">
        <f>IF($G13="","",(1+WntPeakEnergyLL)*(INDEX(avoidedcosttbl,$H13,DF$2)+(($H13-ROUNDDOWN($H13,0))*(INDEX(avoidedcosttbl,ROUNDUP($H13,0),DF$2)-(INDEX(avoidedcosttbl,ROUNDDOWN($H13,0),DF$2)))))*$P13*1000*ADRYr1!Z13)</f>
        <v/>
      </c>
      <c r="DG13" s="760" t="str">
        <f>IF($G13="","",(1+WntOffPeakEnergyLL)*(INDEX(avoidedcosttbl,$H13,DG$2)+(($H13-ROUNDDOWN($H13,0))*(INDEX(avoidedcosttbl,ROUNDUP($H13,0),DG$2)-(INDEX(avoidedcosttbl,ROUNDDOWN($H13,0),DG$2)))))*$P13*1000*ADRYr1!AA13)</f>
        <v/>
      </c>
      <c r="DH13" s="760" t="str">
        <f>IF($G13="","",(1+SumPeakEnergyLL)*(INDEX(avoidedcosttbl,$H13,DH$2)+(($H13-ROUNDDOWN($H13,0))*(INDEX(avoidedcosttbl,ROUNDUP($H13,0),DH$2)-(INDEX(avoidedcosttbl,ROUNDDOWN($H13,0),DH$2)))))*$P13*1000*ADRYr1!AB13)</f>
        <v/>
      </c>
      <c r="DI13" s="760" t="str">
        <f>IF($G13="","",(1+SumOffPeakEnergyLL)*(INDEX(avoidedcosttbl,$H13,DI$2)+(($H13-ROUNDDOWN($H13,0))*(INDEX(avoidedcosttbl,ROUNDUP($H13,0),DI$2)-(INDEX(avoidedcosttbl,ROUNDDOWN($H13,0),DI$2)))))*$P13*1000*ADRYr1!AC13)</f>
        <v/>
      </c>
      <c r="DJ13" s="29" t="str">
        <f t="shared" si="44"/>
        <v/>
      </c>
      <c r="DK13" s="161" t="str">
        <f t="shared" si="45"/>
        <v/>
      </c>
      <c r="DL13" s="1375" t="str">
        <f t="shared" si="46"/>
        <v/>
      </c>
      <c r="DM13" s="1375" t="str">
        <f t="shared" si="47"/>
        <v/>
      </c>
      <c r="DN13" s="43" t="str">
        <f t="shared" si="48"/>
        <v/>
      </c>
      <c r="DO13" s="1131" t="str">
        <f>IF($G13="","",ADRYr1!AQ13)</f>
        <v/>
      </c>
      <c r="DP13" s="1133" t="str">
        <f>IF($G13="","",ADRYr1!AR13)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17"/>
        <v/>
      </c>
      <c r="DU13" s="1135" t="str">
        <f>IF($G13="","",ADRYr1!AS13)</f>
        <v/>
      </c>
      <c r="DV13" s="1136" t="str">
        <f>IF($G13="","",ADRYr1!AT13)</f>
        <v/>
      </c>
      <c r="DW13" s="1344" t="str">
        <f>IF($G13="","",INDEX(AvoidedEnergy!$H$4:$H$10,MATCH($DO13,AvoidedEnergy!$A$4:$A$10,0)))</f>
        <v/>
      </c>
    </row>
    <row r="14" spans="1:127">
      <c r="A14" s="160" t="str">
        <f>IF(ADRYr1!$B14=0,"",ADRYr1!A14)</f>
        <v>A - Residential</v>
      </c>
      <c r="B14" s="9" t="str">
        <f>IF(ADRYr1!$B14=0,"",ADRYr1!B14)</f>
        <v>A5 - Residential Active Demand Response</v>
      </c>
      <c r="C14" s="9" t="str">
        <f>IF(ADRYr1!$B14=0,"",ADRYr1!C14)</f>
        <v>A5a - Residential Active Demand Response</v>
      </c>
      <c r="D14" s="9" t="str">
        <f>IF(ADRYr1!$B14=0,"",ADRYr1!D14)</f>
        <v>Storage Targeted Dispatch P4P (consumption) Winter</v>
      </c>
      <c r="E14" s="9">
        <f>IF(ADRYr1!$B14=0,"",ADRYr1!E14)</f>
        <v>0</v>
      </c>
      <c r="F14" s="11" t="str">
        <f>IF(ADRYr1!$B14=0,"",ADRYr1!F14)</f>
        <v>Behavior</v>
      </c>
      <c r="G14" s="12" t="str">
        <f>IF(ADRYr1!$G14&lt;&gt;0,ADRYr1!G14,"")</f>
        <v/>
      </c>
      <c r="H14" s="1125" t="str">
        <f>IF($G14="","",ROUND(ADRYr1!H14,0))</f>
        <v/>
      </c>
      <c r="I14" s="47" t="str">
        <f>IF($G14="","",ADRYr1!I14*ADRYr1!P14*G14)</f>
        <v/>
      </c>
      <c r="J14" s="47" t="str">
        <f>IF($G14="","",ADRYr1!J14*G14)</f>
        <v/>
      </c>
      <c r="K14" s="47" t="str">
        <f t="shared" si="18"/>
        <v/>
      </c>
      <c r="L14" s="27" t="str">
        <f>IF($G14="","",ADRYr1!V14*G14/1000)</f>
        <v/>
      </c>
      <c r="M14" s="27" t="str">
        <f>IF($G14="","",L14*ADRYr1!$Q14*ADRYr1!$R14)</f>
        <v/>
      </c>
      <c r="N14" s="27" t="str">
        <f t="shared" si="19"/>
        <v/>
      </c>
      <c r="O14" s="27" t="str">
        <f t="shared" si="20"/>
        <v/>
      </c>
      <c r="P14" s="27" t="str">
        <f>IF($G14="","",M14*ADRYr1!P14)</f>
        <v/>
      </c>
      <c r="Q14" s="27" t="str">
        <f t="shared" si="21"/>
        <v/>
      </c>
      <c r="R14" s="27" t="str">
        <f>IF($G14="","",$Q14*ADRYr1!Z14)</f>
        <v/>
      </c>
      <c r="S14" s="27" t="str">
        <f>IF($G14="","",$Q14*ADRYr1!AA14)</f>
        <v/>
      </c>
      <c r="T14" s="27" t="str">
        <f>IF($G14="","",$Q14*ADRYr1!AB14)</f>
        <v/>
      </c>
      <c r="U14" s="27" t="str">
        <f>IF($G14="","",$Q14*ADRYr1!AC14)</f>
        <v/>
      </c>
      <c r="V14" s="27" t="str">
        <f>IF($G14="","",G14*ADRYr1!$AD14*ADRYr1!$P14*ADRYr1!$Q14)</f>
        <v/>
      </c>
      <c r="W14" s="27" t="str">
        <f>IF($G14="","",$G14*ADRYr1!$AD14*ADRYr1!$AF14*ADRYr1!Q14*ADRYr1!$S14)</f>
        <v/>
      </c>
      <c r="X14" s="27" t="str">
        <f>IF($G14="","",$G14*ADRYr1!$AD14*ADRYr1!$AF14*ADRYr1!P14*ADRYr1!Q14*ADRYr1!$S14)</f>
        <v/>
      </c>
      <c r="Y14" s="27" t="str">
        <f>IF($G14="","",$G14*ADRYr1!$AD14*ADRYr1!$AE14*ADRYr1!Q14*ADRYr1!$T14)</f>
        <v/>
      </c>
      <c r="Z14" s="27" t="str">
        <f>IF($G14="","",$G14*ADRYr1!$AD14*ADRYr1!$AE14*ADRYr1!P14*ADRYr1!Q14*ADRYr1!$T14)</f>
        <v/>
      </c>
      <c r="AA14" s="45" t="str">
        <f>IF($G14="","",$G14*ADRYr1!$Q14*ADRYr1!$U14*(IF(IFERROR(SEARCH("NG", ADRYr1!$AI14),0),ADRYr1!$AJ14,0)+IF(IFERROR(SEARCH("NG", ADRYr1!$AK14),0),ADRYr1!$AL14,0)+IF(IFERROR(SEARCH("NG", ADRYr1!$AM14),0),ADRYr1!$AN14,0)))</f>
        <v/>
      </c>
      <c r="AB14" s="45" t="str">
        <f t="shared" si="22"/>
        <v/>
      </c>
      <c r="AC14" s="45">
        <f>IF($G14="",0,AA14*ADRYr1!$P14)</f>
        <v>0</v>
      </c>
      <c r="AD14" s="45" t="str">
        <f t="shared" si="23"/>
        <v/>
      </c>
      <c r="AE14" s="45" t="str">
        <f>IF($G14="","",$G14*ADRYr1!$Q14*ADRYr1!$U14*(IF(IFERROR(SEARCH("Oil", ADRYr1!$AI14), 0),ADRYr1!$AJ14,0)+IF(IFERROR(SEARCH("Oil", ADRYr1!$AK14), 0),ADRYr1!$AL14,0)+IF(IFERROR(SEARCH("Oil", ADRYr1!$AM14), 0),ADRYr1!$AN14,0)))</f>
        <v/>
      </c>
      <c r="AF14" s="45" t="str">
        <f t="shared" si="24"/>
        <v/>
      </c>
      <c r="AG14" s="45">
        <f>IF($G14="",0,AE14*ADRYr1!$P14)</f>
        <v>0</v>
      </c>
      <c r="AH14" s="45" t="str">
        <f t="shared" si="25"/>
        <v/>
      </c>
      <c r="AI14" s="45" t="str">
        <f>IF($G14="","",$G14*ADRYr1!$Q14*ADRYr1!$U14*(IF(ADRYr1!$AI14=Lookups!$E$114,ADRYr1!$AJ14,IF(ADRYr1!$AK14=Lookups!$E$114,ADRYr1!$AL14,IF(ADRYr1!$AM14=Lookups!$E$114,ADRYr1!$AN14,0)))))</f>
        <v/>
      </c>
      <c r="AJ14" s="45" t="str">
        <f t="shared" si="26"/>
        <v/>
      </c>
      <c r="AK14" s="45">
        <f>IF($G14="",0,AI14*ADRYr1!$P14)</f>
        <v>0</v>
      </c>
      <c r="AL14" s="45" t="str">
        <f t="shared" si="27"/>
        <v/>
      </c>
      <c r="AM14" s="45" t="str">
        <f>IF($G14="","",$G14*ADRYr1!$Q14*ADRYr1!$U14*(IF(ADRYr1!$AI14=Lookups!$E$113,ADRYr1!$AJ14,IF(ADRYr1!$AK14=Lookups!$E$113,ADRYr1!$AL14,IF(ADRYr1!$AM14=Lookups!$E$113,ADRYr1!$AN14,0)))))</f>
        <v/>
      </c>
      <c r="AN14" s="45" t="str">
        <f t="shared" si="28"/>
        <v/>
      </c>
      <c r="AO14" s="45">
        <f>IF($G14="",0,AM14*ADRYr1!$P14)</f>
        <v>0</v>
      </c>
      <c r="AP14" s="45" t="str">
        <f t="shared" si="29"/>
        <v/>
      </c>
      <c r="AQ14" s="45" t="str">
        <f>IF($G14="","",$G14*ADRYr1!$Q14*ADRYr1!$U14*(IF(ADRYr1!$AI14=Lookups!$E$115,ADRYr1!$AJ14,IF(ADRYr1!$AK14=Lookups!$E$115,ADRYr1!$AL14,IF(ADRYr1!$AM14=Lookups!$E$115,ADRYr1!$AN14,0)))))</f>
        <v/>
      </c>
      <c r="AR14" s="45" t="str">
        <f t="shared" si="30"/>
        <v/>
      </c>
      <c r="AS14" s="45" t="str">
        <f>IF($G14="","",AQ14*ADRYr1!$P14)</f>
        <v/>
      </c>
      <c r="AT14" s="45" t="str">
        <f t="shared" si="31"/>
        <v/>
      </c>
      <c r="AU14" s="45" t="str">
        <f>IF($G14="","",$G14*ADRYr1!$Q14*ADRYr1!$U14*(IF(ADRYr1!$AI14=Lookups!$E$116,ADRYr1!$AJ14,IF(ADRYr1!$AK14=Lookups!$E$116,ADRYr1!$AL14,IF(ADRYr1!$AM14=Lookups!$E$116,ADRYr1!$AN14,0)))))</f>
        <v/>
      </c>
      <c r="AV14" s="45" t="str">
        <f t="shared" si="32"/>
        <v/>
      </c>
      <c r="AW14" s="45" t="str">
        <f>IF($G14="","",AU14*ADRYr1!$P14)</f>
        <v/>
      </c>
      <c r="AX14" s="45" t="str">
        <f t="shared" si="33"/>
        <v/>
      </c>
      <c r="AY14" s="45">
        <f t="shared" si="34"/>
        <v>0</v>
      </c>
      <c r="AZ14" s="45">
        <f t="shared" si="34"/>
        <v>0</v>
      </c>
      <c r="BA14" s="101" t="str">
        <f>IF($G14="","",$G14*ADRYr1!$P14*ADRYr1!$Q14*ADRYr1!$U14*ADRYr1!AO14)</f>
        <v/>
      </c>
      <c r="BB14" s="102" t="str">
        <f>IF($G14="","",$G14*ADRYr1!$P14*ADRYr1!$Q14*ADRYr1!$U14*ADRYr1!AP14)</f>
        <v/>
      </c>
      <c r="BC14" s="100" t="str">
        <f t="shared" si="35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5"/>
        <v/>
      </c>
      <c r="BO14" s="31" t="str">
        <f t="shared" si="36"/>
        <v/>
      </c>
      <c r="BP14" s="1129" t="str">
        <f t="shared" si="6"/>
        <v/>
      </c>
      <c r="BQ14" s="28" t="str">
        <f t="shared" si="7"/>
        <v/>
      </c>
      <c r="BR14" s="1129" t="str">
        <f t="shared" si="8"/>
        <v/>
      </c>
      <c r="BS14" s="1129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7"/>
        <v/>
      </c>
      <c r="BX14" s="29" t="str">
        <f t="shared" si="38"/>
        <v/>
      </c>
      <c r="BY14" s="28" t="str">
        <f>IF($G14="","",$G14*(IF(ADRYr1!$AI14=BY$4,ADRYr1!$AJ14,IF(ADRYr1!$AK14=BY$4,ADRYr1!$AL14,IF(ADRYr1!$AM14=BY$4,ADRYr1!$AN14,0))))*(INDEX(avoidedcosttbl,$H14,BY$2)+(($H14-ROUNDDOWN($H14,0))*(INDEX(avoidedcosttbl,ROUNDUP($H14,0),BY$2)-(INDEX(avoidedcosttbl,ROUNDDOWN($H14,0),BY$2)))))*ADRYr1!P14*ADRYr1!Q14*ADRYr1!U14)</f>
        <v/>
      </c>
      <c r="BZ14" s="28" t="str">
        <f>IF($G14="","",$G14*(IF(ADRYr1!$AI14=BZ$4,ADRYr1!$AJ14,IF(ADRYr1!$AK14=BZ$4,ADRYr1!$AL14,IF(ADRYr1!$AM14=BZ$4,ADRYr1!$AN14,0))))*(INDEX(avoidedcosttbl,$H14,BZ$2)+(($H14-ROUNDDOWN($H14,0))*(INDEX(avoidedcosttbl,ROUNDUP($H14,0),BZ$2)-(INDEX(avoidedcosttbl,ROUNDDOWN($H14,0),BZ$2)))))*ADRYr1!P14*ADRYr1!Q14*ADRYr1!U14)</f>
        <v/>
      </c>
      <c r="CA14" s="28" t="str">
        <f>IF($G14="","",$G14*(IF(ADRYr1!$AI14=CA$4,ADRYr1!$AJ14,IF(ADRYr1!$AK14=CA$4,ADRYr1!$AL14,IF(ADRYr1!$AM14=CA$4,ADRYr1!$AN14,0))))*(INDEX(avoidedcosttbl,$H14,CA$2)+(($H14-ROUNDDOWN($H14,0))*(INDEX(avoidedcosttbl,ROUNDUP($H14,0),CA$2)-(INDEX(avoidedcosttbl,ROUNDDOWN($H14,0),CA$2)))))*ADRYr1!P14*ADRYr1!Q14*ADRYr1!U14)</f>
        <v/>
      </c>
      <c r="CB14" s="28" t="str">
        <f>IF($G14="","",$G14*(IF(ADRYr1!$AI14=CB$4,ADRYr1!$AJ14,IF(ADRYr1!$AK14=CB$4,ADRYr1!$AL14,IF(ADRYr1!$AM14=CB$4,ADRYr1!$AN14,0))))*(INDEX(avoidedcosttbl,$H14,CB$2)+(($H14-ROUNDDOWN($H14,0))*(INDEX(avoidedcosttbl,ROUNDUP($H14,0),CB$2)-(INDEX(avoidedcosttbl,ROUNDDOWN($H14,0),CB$2)))))*ADRYr1!P14*ADRYr1!Q14*ADRYr1!U14)</f>
        <v/>
      </c>
      <c r="CC14" s="28" t="str">
        <f>IF($G14="","",$G14*(IF(ADRYr1!$AI14=CC$4,ADRYr1!$AJ14,IF(ADRYr1!$AK14=CC$4,ADRYr1!$AL14,IF(ADRYr1!$AM14=CC$4,ADRYr1!$AN14,0))))*(INDEX(avoidedcosttbl,$H14,CC$2)+(($H14-ROUNDDOWN($H14,0))*(INDEX(avoidedcosttbl,ROUNDUP($H14,0),CC$2)-(INDEX(avoidedcosttbl,ROUNDDOWN($H14,0),CC$2)))))*ADRYr1!P14*ADRYr1!Q14*ADRYr1!U14)</f>
        <v/>
      </c>
      <c r="CD14" s="28" t="str">
        <f>IF($G14="","",$G14*(IF(ADRYr1!$AI14=CD$4,ADRYr1!$AJ14,IF(ADRYr1!$AK14=CD$4,ADRYr1!$AL14,IF(ADRYr1!$AM14=CD$4,ADRYr1!$AN14,0))))*(INDEX(avoidedcosttbl,$H14,CD$2)+(($H14-ROUNDDOWN($H14,0))*(INDEX(avoidedcosttbl,ROUNDUP($H14,0),CD$2)-(INDEX(avoidedcosttbl,ROUNDDOWN($H14,0),CD$2)))))*ADRYr1!P14*ADRYr1!Q14*ADRYr1!U14)</f>
        <v/>
      </c>
      <c r="CE14" s="28" t="str">
        <f>IF($G14="","",$G14*(IF(ADRYr1!$AI14=CE$4,ADRYr1!$AJ14,IF(ADRYr1!$AK14=CE$4,ADRYr1!$AL14,IF(ADRYr1!$AM14=CE$4,ADRYr1!$AN14,0))))*(INDEX(avoidedcosttbl,$H14,CE$2)+(($H14-ROUNDDOWN($H14,0))*(INDEX(avoidedcosttbl,ROUNDUP($H14,0),CE$2)-(INDEX(avoidedcosttbl,ROUNDDOWN($H14,0),CE$2)))))*ADRYr1!P14*ADRYr1!Q14*ADRYr1!U14)</f>
        <v/>
      </c>
      <c r="CF14" s="41" t="str">
        <f t="shared" si="39"/>
        <v/>
      </c>
      <c r="CG14" s="30" t="str">
        <f t="shared" si="11"/>
        <v/>
      </c>
      <c r="CH14" s="30" t="str">
        <f>IF($G14="","",$G14*(IF(ADRYr1!$AI14=BY$4,ADRYr1!$AJ14,IF(ADRYr1!$AK14=BY$4,ADRYr1!$AL14,IF(ADRYr1!$AM14=BY$4,ADRYr1!$AN14,0))))*(INDEX(avoidedcosttbl,$H14,CH$2)+(($H14-ROUNDDOWN($H14,0))*(INDEX(avoidedcosttbl,ROUNDUP($H14,0),CH$2)-(INDEX(avoidedcosttbl,ROUNDDOWN($H14,0),CH$2)))))*ADRYr1!P14*ADRYr1!Q14*ADRYr1!U14)</f>
        <v/>
      </c>
      <c r="CI14" s="30" t="str">
        <f>IF($G14="","",$G14*(IF(ADRYr1!$AI14=BZ$4,ADRYr1!$AJ14,IF(ADRYr1!$AK14=BZ$4,ADRYr1!$AL14,IF(ADRYr1!$AM14=BZ$4,ADRYr1!$AN14,0))))*(INDEX(avoidedcosttbl,$H14,CI$2)+(($H14-ROUNDDOWN($H14,0))*(INDEX(avoidedcosttbl,ROUNDUP($H14,0),CI$2)-(INDEX(avoidedcosttbl,ROUNDDOWN($H14,0),CI$2)))))*ADRYr1!P14*ADRYr1!Q14*ADRYr1!U14)</f>
        <v/>
      </c>
      <c r="CJ14" s="30" t="str">
        <f>IF($G14="","",$G14*(IF(ADRYr1!$AI14=CA$4,ADRYr1!$AJ14,IF(ADRYr1!$AK14=CA$4,ADRYr1!$AL14,IF(ADRYr1!$AM14=CA$4,ADRYr1!$AN14,0))))*(INDEX(avoidedcosttbl,$H14,CJ$2)+(($H14-ROUNDDOWN($H14,0))*(INDEX(avoidedcosttbl,ROUNDUP($H14,0),CJ$2)-(INDEX(avoidedcosttbl,ROUNDDOWN($H14,0),CJ$2)))))*ADRYr1!P14*ADRYr1!Q14*ADRYr1!U14)</f>
        <v/>
      </c>
      <c r="CK14" s="30" t="str">
        <f>IF($G14="","",$G14*(IF(ADRYr1!$AI14=CB$4,ADRYr1!$AJ14,IF(ADRYr1!$AK14=CB$4,ADRYr1!$AL14,IF(ADRYr1!$AM14=CB$4,ADRYr1!$AN14,0))))*(INDEX(avoidedcosttbl,$H14,CK$2)+(($H14-ROUNDDOWN($H14,0))*(INDEX(avoidedcosttbl,ROUNDUP($H14,0),CK$2)-(INDEX(avoidedcosttbl,ROUNDDOWN($H14,0),CK$2)))))*ADRYr1!P14*ADRYr1!Q14*ADRYr1!U14)</f>
        <v/>
      </c>
      <c r="CL14" s="30" t="str">
        <f>IF($G14="","",$G14*(IF(ADRYr1!$AI14=CC$4,ADRYr1!$AJ14,IF(ADRYr1!$AK14=CC$4,ADRYr1!$AL14,IF(ADRYr1!$AM14=CC$4,ADRYr1!$AN14,0))))*(INDEX(avoidedcosttbl,$H14,CL$2)+(($H14-ROUNDDOWN($H14,0))*(INDEX(avoidedcosttbl,ROUNDUP($H14,0),CL$2)-(INDEX(avoidedcosttbl,ROUNDDOWN($H14,0),CL$2)))))*ADRYr1!P14*ADRYr1!Q14*ADRYr1!U14)</f>
        <v/>
      </c>
      <c r="CM14" s="30" t="str">
        <f>IF($G14="","",$G14*(IF(ADRYr1!$AI14=CD$4,ADRYr1!$AJ14,IF(ADRYr1!$AK14=CD$4,ADRYr1!$AL14,IF(ADRYr1!$AM14=CD$4,ADRYr1!$AN14,0))))*(INDEX(avoidedcosttbl,$H14,CM$2)+(($H14-ROUNDDOWN($H14,0))*(INDEX(avoidedcosttbl,ROUNDUP($H14,0),CM$2)-(INDEX(avoidedcosttbl,ROUNDDOWN($H14,0),CM$2)))))*ADRYr1!P14*ADRYr1!Q14*ADRYr1!U14)</f>
        <v/>
      </c>
      <c r="CN14" s="30" t="str">
        <f>IF($G14="","",$G14*(IF(ADRYr1!$AI14=CE$4,ADRYr1!$AJ14,IF(ADRYr1!$AK14=CE$4,ADRYr1!$AL14,IF(ADRYr1!$AM14=CE$4,ADRYr1!$AN14,0))))*(INDEX(avoidedcosttbl,$H14,CN$2)+(($H14-ROUNDDOWN($H14,0))*(INDEX(avoidedcosttbl,ROUNDUP($H14,0),CN$2)-(INDEX(avoidedcosttbl,ROUNDDOWN($H14,0),CN$2)))))*ADRYr1!P14*ADRYr1!Q14*ADRYr1!U14)</f>
        <v/>
      </c>
      <c r="CO14" s="220" t="str">
        <f t="shared" si="40"/>
        <v/>
      </c>
      <c r="CP14" s="220" t="str">
        <f t="shared" si="41"/>
        <v/>
      </c>
      <c r="CQ14" s="157" t="str">
        <f>IF($G14="","",$G14*(IF(ADRYr1!$AI14=CQ$4,ADRYr1!$AJ14,IF(ADRYr1!$AK14=CQ$4,ADRYr1!$AL14,IF(ADRYr1!$AM14=CQ$4,ADRYr1!$AN14,0))))*(INDEX(avoidedcosttbl,$H14,CQ$2)+(($H14-ROUNDDOWN($H14,0))*(INDEX(avoidedcosttbl,ROUNDUP($H14,0),CQ$2)-(INDEX(avoidedcosttbl,ROUNDDOWN($H14,0),CQ$2)))))*ADRYr1!$P14*ADRYr1!$Q14*ADRYr1!$U14)</f>
        <v/>
      </c>
      <c r="CR14" s="28" t="str">
        <f>IF($G14="","",G14*(IF(ADRYr1!$AI14=CR$4,ADRYr1!$AJ14,IF(ADRYr1!$AK14=CR$4,ADRYr1!$AL14,IF(ADRYr1!$AM14=CR$4,ADRYr1!$AN14,0))))*(INDEX(avoidedcosttbl,$H14,CR$2)+(($H14-ROUNDDOWN($H14,0))*(INDEX(avoidedcosttbl,ROUNDUP($H14,0),CR$2)-(INDEX(avoidedcosttbl,ROUNDDOWN($H14,0),CR$2)))))*ADRYr1!$P14*ADRYr1!$Q14*ADRYr1!$U14)</f>
        <v/>
      </c>
      <c r="CS14" s="28" t="str">
        <f>IF($G14="","",G14*(IF(ADRYr1!$AI14=CS$4,ADRYr1!$AJ14,IF(ADRYr1!$AK14=CS$4,ADRYr1!$AL14,IF(ADRYr1!$AM14=CS$4,ADRYr1!$AN14,0))))*(INDEX(avoidedcosttbl,$H14,CS$2)+(($H14-ROUNDDOWN($H14,0))*(INDEX(avoidedcosttbl,ROUNDUP($H14,0),CS$2)-(INDEX(avoidedcosttbl,ROUNDDOWN($H14,0),CS$2)))))*ADRYr1!$P14*ADRYr1!$Q14*ADRYr1!$U14)</f>
        <v/>
      </c>
      <c r="CT14" s="28" t="str">
        <f t="shared" si="12"/>
        <v/>
      </c>
      <c r="CU14" s="28" t="str">
        <f>IF($G14="","",G14*(IF(ADRYr1!$AI14=CU$4,ADRYr1!$AJ14,IF(ADRYr1!$AK14=CU$4,ADRYr1!$AL14,IF(ADRYr1!$AM14=CU$4,ADRYr1!$AN14,0))))*(INDEX(avoidedcosttbl,$H14,CU$2)+(($H14-ROUNDDOWN($H14,0))*(INDEX(avoidedcosttbl,ROUNDUP($H14,0),CU$2)-(INDEX(avoidedcosttbl,ROUNDDOWN($H14,0),CU$2)))))*ADRYr1!$P14*ADRYr1!$Q14*ADRYr1!$U14)</f>
        <v/>
      </c>
      <c r="CV14" s="28" t="str">
        <f>IF($G14="","",G14*(IF(ADRYr1!$AI14=CV$4,ADRYr1!$AJ14,IF(ADRYr1!$AK14=CV$4,ADRYr1!$AL14,IF(ADRYr1!$AM14=CV$4,ADRYr1!$AN14,0))))*(INDEX(avoidedcosttbl,$H14,CV$2)+(($H14-ROUNDDOWN($H14,0))*(INDEX(avoidedcosttbl,ROUNDUP($H14,0),CV$2)-(INDEX(avoidedcosttbl,ROUNDDOWN($H14,0),CV$2)))))*ADRYr1!$P14*ADRYr1!$Q14*ADRYr1!$U14)</f>
        <v/>
      </c>
      <c r="CW14" s="28" t="str">
        <f>IF($G14="","",G14*(IF(ADRYr1!$AI14=CW$4,ADRYr1!$AJ14,IF(ADRYr1!$AK14=CW$4,ADRYr1!$AL14,IF(ADRYr1!$AM14=CW$4,ADRYr1!$AN14,0))))*(INDEX(avoidedcosttbl,$H14,CW$2)+(($H14-ROUNDDOWN($H14,0))*(INDEX(avoidedcosttbl,ROUNDUP($H14,0),CW$2)-(INDEX(avoidedcosttbl,ROUNDDOWN($H14,0),CW$2)))))*ADRYr1!$P14*ADRYr1!$Q14*ADRYr1!$U14)</f>
        <v/>
      </c>
      <c r="CX14" s="28" t="str">
        <f>IF($G14="","",G14*(IF(ADRYr1!$AI14=CX$4,ADRYr1!$AJ14,IF(ADRYr1!$AK14=CX$4,ADRYr1!$AL14,IF(ADRYr1!$AM14=CX$4,ADRYr1!$AN14,0))))*(INDEX(avoidedcosttbl,$H14,CX$2)+(($H14-ROUNDDOWN($H14,0))*(INDEX(avoidedcosttbl,ROUNDUP($H14,0),CX$2)-(INDEX(avoidedcosttbl,ROUNDDOWN($H14,0),CX$2)))))*ADRYr1!$P14*ADRYr1!$Q14*ADRYr1!$U14)</f>
        <v/>
      </c>
      <c r="CY14" s="28" t="str">
        <f t="shared" si="13"/>
        <v/>
      </c>
      <c r="CZ14" s="32" t="str">
        <f t="shared" si="14"/>
        <v/>
      </c>
      <c r="DA14" s="84" t="str">
        <f t="shared" si="42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15"/>
        <v/>
      </c>
      <c r="DD14" s="166" t="str">
        <f t="shared" si="16"/>
        <v/>
      </c>
      <c r="DE14" s="82">
        <f t="shared" si="43"/>
        <v>0</v>
      </c>
      <c r="DF14" s="760" t="str">
        <f>IF($G14="","",(1+WntPeakEnergyLL)*(INDEX(avoidedcosttbl,$H14,DF$2)+(($H14-ROUNDDOWN($H14,0))*(INDEX(avoidedcosttbl,ROUNDUP($H14,0),DF$2)-(INDEX(avoidedcosttbl,ROUNDDOWN($H14,0),DF$2)))))*$P14*1000*ADRYr1!Z14)</f>
        <v/>
      </c>
      <c r="DG14" s="760" t="str">
        <f>IF($G14="","",(1+WntOffPeakEnergyLL)*(INDEX(avoidedcosttbl,$H14,DG$2)+(($H14-ROUNDDOWN($H14,0))*(INDEX(avoidedcosttbl,ROUNDUP($H14,0),DG$2)-(INDEX(avoidedcosttbl,ROUNDDOWN($H14,0),DG$2)))))*$P14*1000*ADRYr1!AA14)</f>
        <v/>
      </c>
      <c r="DH14" s="760" t="str">
        <f>IF($G14="","",(1+SumPeakEnergyLL)*(INDEX(avoidedcosttbl,$H14,DH$2)+(($H14-ROUNDDOWN($H14,0))*(INDEX(avoidedcosttbl,ROUNDUP($H14,0),DH$2)-(INDEX(avoidedcosttbl,ROUNDDOWN($H14,0),DH$2)))))*$P14*1000*ADRYr1!AB14)</f>
        <v/>
      </c>
      <c r="DI14" s="760" t="str">
        <f>IF($G14="","",(1+SumOffPeakEnergyLL)*(INDEX(avoidedcosttbl,$H14,DI$2)+(($H14-ROUNDDOWN($H14,0))*(INDEX(avoidedcosttbl,ROUNDUP($H14,0),DI$2)-(INDEX(avoidedcosttbl,ROUNDDOWN($H14,0),DI$2)))))*$P14*1000*ADRYr1!AC14)</f>
        <v/>
      </c>
      <c r="DJ14" s="29" t="str">
        <f t="shared" si="44"/>
        <v/>
      </c>
      <c r="DK14" s="161" t="str">
        <f t="shared" si="45"/>
        <v/>
      </c>
      <c r="DL14" s="1375" t="str">
        <f t="shared" si="46"/>
        <v/>
      </c>
      <c r="DM14" s="1375" t="str">
        <f t="shared" si="47"/>
        <v/>
      </c>
      <c r="DN14" s="43" t="str">
        <f t="shared" si="48"/>
        <v/>
      </c>
      <c r="DO14" s="1131" t="str">
        <f>IF($G14="","",ADRYr1!AQ14)</f>
        <v/>
      </c>
      <c r="DP14" s="1133" t="str">
        <f>IF($G14="","",ADRYr1!AR14)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17"/>
        <v/>
      </c>
      <c r="DU14" s="1135" t="str">
        <f>IF($G14="","",ADRYr1!AS14)</f>
        <v/>
      </c>
      <c r="DV14" s="1136" t="str">
        <f>IF($G14="","",ADRYr1!AT14)</f>
        <v/>
      </c>
      <c r="DW14" s="1344" t="str">
        <f>IF($G14="","",INDEX(AvoidedEnergy!$H$4:$H$10,MATCH($DO14,AvoidedEnergy!$A$4:$A$10,0)))</f>
        <v/>
      </c>
    </row>
    <row r="15" spans="1:127">
      <c r="A15" s="160" t="str">
        <f>IF(ADRYr1!$B15=0,"",ADRYr1!A15)</f>
        <v>A - Residential</v>
      </c>
      <c r="B15" s="9" t="str">
        <f>IF(ADRYr1!$B15=0,"",ADRYr1!B15)</f>
        <v>A5 - Residential Active Demand Response</v>
      </c>
      <c r="C15" s="9" t="str">
        <f>IF(ADRYr1!$B15=0,"",ADRYr1!C15)</f>
        <v>A5a - Residential Active Demand Response</v>
      </c>
      <c r="D15" s="9" t="str">
        <f>IF(ADRYr1!$B15=0,"",ADRYr1!D15)</f>
        <v>EV Load Management Summer</v>
      </c>
      <c r="E15" s="9">
        <f>IF(ADRYr1!$B15=0,"",ADRYr1!E15)</f>
        <v>0</v>
      </c>
      <c r="F15" s="11" t="str">
        <f>IF(ADRYr1!$B15=0,"",ADRYr1!F15)</f>
        <v>Behavior</v>
      </c>
      <c r="G15" s="12" t="str">
        <f>IF(ADRYr1!$G15&lt;&gt;0,ADRYr1!G15,"")</f>
        <v/>
      </c>
      <c r="H15" s="1125" t="str">
        <f>IF($G15="","",ROUND(ADRYr1!H15,0))</f>
        <v/>
      </c>
      <c r="I15" s="47" t="str">
        <f>IF($G15="","",ADRYr1!I15*ADRYr1!P15*G15)</f>
        <v/>
      </c>
      <c r="J15" s="47" t="str">
        <f>IF($G15="","",ADRYr1!J15*G15)</f>
        <v/>
      </c>
      <c r="K15" s="47" t="str">
        <f t="shared" si="18"/>
        <v/>
      </c>
      <c r="L15" s="27" t="str">
        <f>IF($G15="","",ADRYr1!V15*G15/1000)</f>
        <v/>
      </c>
      <c r="M15" s="27" t="str">
        <f>IF($G15="","",L15*ADRYr1!$Q15*ADRYr1!$R15)</f>
        <v/>
      </c>
      <c r="N15" s="27" t="str">
        <f t="shared" si="19"/>
        <v/>
      </c>
      <c r="O15" s="27" t="str">
        <f t="shared" si="20"/>
        <v/>
      </c>
      <c r="P15" s="27" t="str">
        <f>IF($G15="","",M15*ADRYr1!P15)</f>
        <v/>
      </c>
      <c r="Q15" s="27" t="str">
        <f t="shared" si="21"/>
        <v/>
      </c>
      <c r="R15" s="27" t="str">
        <f>IF($G15="","",$Q15*ADRYr1!Z15)</f>
        <v/>
      </c>
      <c r="S15" s="27" t="str">
        <f>IF($G15="","",$Q15*ADRYr1!AA15)</f>
        <v/>
      </c>
      <c r="T15" s="27" t="str">
        <f>IF($G15="","",$Q15*ADRYr1!AB15)</f>
        <v/>
      </c>
      <c r="U15" s="27" t="str">
        <f>IF($G15="","",$Q15*ADRYr1!AC15)</f>
        <v/>
      </c>
      <c r="V15" s="27" t="str">
        <f>IF($G15="","",G15*ADRYr1!$AD15*ADRYr1!$P15*ADRYr1!$Q15)</f>
        <v/>
      </c>
      <c r="W15" s="27" t="str">
        <f>IF($G15="","",$G15*ADRYr1!$AD15*ADRYr1!$AF15*ADRYr1!Q15*ADRYr1!$S15)</f>
        <v/>
      </c>
      <c r="X15" s="27" t="str">
        <f>IF($G15="","",$G15*ADRYr1!$AD15*ADRYr1!$AF15*ADRYr1!P15*ADRYr1!Q15*ADRYr1!$S15)</f>
        <v/>
      </c>
      <c r="Y15" s="27" t="str">
        <f>IF($G15="","",$G15*ADRYr1!$AD15*ADRYr1!$AE15*ADRYr1!Q15*ADRYr1!$T15)</f>
        <v/>
      </c>
      <c r="Z15" s="27" t="str">
        <f>IF($G15="","",$G15*ADRYr1!$AD15*ADRYr1!$AE15*ADRYr1!P15*ADRYr1!Q15*ADRYr1!$T15)</f>
        <v/>
      </c>
      <c r="AA15" s="45" t="str">
        <f>IF($G15="","",$G15*ADRYr1!$Q15*ADRYr1!$U15*(IF(IFERROR(SEARCH("NG", ADRYr1!$AI15),0),ADRYr1!$AJ15,0)+IF(IFERROR(SEARCH("NG", ADRYr1!$AK15),0),ADRYr1!$AL15,0)+IF(IFERROR(SEARCH("NG", ADRYr1!$AM15),0),ADRYr1!$AN15,0)))</f>
        <v/>
      </c>
      <c r="AB15" s="45" t="str">
        <f t="shared" si="22"/>
        <v/>
      </c>
      <c r="AC15" s="45">
        <f>IF($G15="",0,AA15*ADRYr1!$P15)</f>
        <v>0</v>
      </c>
      <c r="AD15" s="45" t="str">
        <f t="shared" si="23"/>
        <v/>
      </c>
      <c r="AE15" s="45" t="str">
        <f>IF($G15="","",$G15*ADRYr1!$Q15*ADRYr1!$U15*(IF(IFERROR(SEARCH("Oil", ADRYr1!$AI15), 0),ADRYr1!$AJ15,0)+IF(IFERROR(SEARCH("Oil", ADRYr1!$AK15), 0),ADRYr1!$AL15,0)+IF(IFERROR(SEARCH("Oil", ADRYr1!$AM15), 0),ADRYr1!$AN15,0)))</f>
        <v/>
      </c>
      <c r="AF15" s="45" t="str">
        <f t="shared" si="24"/>
        <v/>
      </c>
      <c r="AG15" s="45">
        <f>IF($G15="",0,AE15*ADRYr1!$P15)</f>
        <v>0</v>
      </c>
      <c r="AH15" s="45" t="str">
        <f t="shared" si="25"/>
        <v/>
      </c>
      <c r="AI15" s="45" t="str">
        <f>IF($G15="","",$G15*ADRYr1!$Q15*ADRYr1!$U15*(IF(ADRYr1!$AI15=Lookups!$E$114,ADRYr1!$AJ15,IF(ADRYr1!$AK15=Lookups!$E$114,ADRYr1!$AL15,IF(ADRYr1!$AM15=Lookups!$E$114,ADRYr1!$AN15,0)))))</f>
        <v/>
      </c>
      <c r="AJ15" s="45" t="str">
        <f t="shared" si="26"/>
        <v/>
      </c>
      <c r="AK15" s="45">
        <f>IF($G15="",0,AI15*ADRYr1!$P15)</f>
        <v>0</v>
      </c>
      <c r="AL15" s="45" t="str">
        <f t="shared" si="27"/>
        <v/>
      </c>
      <c r="AM15" s="45" t="str">
        <f>IF($G15="","",$G15*ADRYr1!$Q15*ADRYr1!$U15*(IF(ADRYr1!$AI15=Lookups!$E$113,ADRYr1!$AJ15,IF(ADRYr1!$AK15=Lookups!$E$113,ADRYr1!$AL15,IF(ADRYr1!$AM15=Lookups!$E$113,ADRYr1!$AN15,0)))))</f>
        <v/>
      </c>
      <c r="AN15" s="45" t="str">
        <f t="shared" si="28"/>
        <v/>
      </c>
      <c r="AO15" s="45">
        <f>IF($G15="",0,AM15*ADRYr1!$P15)</f>
        <v>0</v>
      </c>
      <c r="AP15" s="45" t="str">
        <f t="shared" si="29"/>
        <v/>
      </c>
      <c r="AQ15" s="45" t="str">
        <f>IF($G15="","",$G15*ADRYr1!$Q15*ADRYr1!$U15*(IF(ADRYr1!$AI15=Lookups!$E$115,ADRYr1!$AJ15,IF(ADRYr1!$AK15=Lookups!$E$115,ADRYr1!$AL15,IF(ADRYr1!$AM15=Lookups!$E$115,ADRYr1!$AN15,0)))))</f>
        <v/>
      </c>
      <c r="AR15" s="45" t="str">
        <f t="shared" si="30"/>
        <v/>
      </c>
      <c r="AS15" s="45" t="str">
        <f>IF($G15="","",AQ15*ADRYr1!$P15)</f>
        <v/>
      </c>
      <c r="AT15" s="45" t="str">
        <f t="shared" si="31"/>
        <v/>
      </c>
      <c r="AU15" s="45" t="str">
        <f>IF($G15="","",$G15*ADRYr1!$Q15*ADRYr1!$U15*(IF(ADRYr1!$AI15=Lookups!$E$116,ADRYr1!$AJ15,IF(ADRYr1!$AK15=Lookups!$E$116,ADRYr1!$AL15,IF(ADRYr1!$AM15=Lookups!$E$116,ADRYr1!$AN15,0)))))</f>
        <v/>
      </c>
      <c r="AV15" s="45" t="str">
        <f t="shared" si="32"/>
        <v/>
      </c>
      <c r="AW15" s="45" t="str">
        <f>IF($G15="","",AU15*ADRYr1!$P15)</f>
        <v/>
      </c>
      <c r="AX15" s="45" t="str">
        <f t="shared" si="33"/>
        <v/>
      </c>
      <c r="AY15" s="45">
        <f t="shared" si="34"/>
        <v>0</v>
      </c>
      <c r="AZ15" s="45">
        <f t="shared" si="34"/>
        <v>0</v>
      </c>
      <c r="BA15" s="101" t="str">
        <f>IF($G15="","",$G15*ADRYr1!$P15*ADRYr1!$Q15*ADRYr1!$U15*ADRYr1!AO15)</f>
        <v/>
      </c>
      <c r="BB15" s="102" t="str">
        <f>IF($G15="","",$G15*ADRYr1!$P15*ADRYr1!$Q15*ADRYr1!$U15*ADRYr1!AP15)</f>
        <v/>
      </c>
      <c r="BC15" s="100" t="str">
        <f t="shared" si="35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5"/>
        <v/>
      </c>
      <c r="BO15" s="31" t="str">
        <f t="shared" si="36"/>
        <v/>
      </c>
      <c r="BP15" s="1129" t="str">
        <f t="shared" si="6"/>
        <v/>
      </c>
      <c r="BQ15" s="28" t="str">
        <f t="shared" si="7"/>
        <v/>
      </c>
      <c r="BR15" s="1129" t="str">
        <f t="shared" si="8"/>
        <v/>
      </c>
      <c r="BS15" s="1129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7"/>
        <v/>
      </c>
      <c r="BX15" s="29" t="str">
        <f t="shared" si="38"/>
        <v/>
      </c>
      <c r="BY15" s="28" t="str">
        <f>IF($G15="","",$G15*(IF(ADRYr1!$AI15=BY$4,ADRYr1!$AJ15,IF(ADRYr1!$AK15=BY$4,ADRYr1!$AL15,IF(ADRYr1!$AM15=BY$4,ADRYr1!$AN15,0))))*(INDEX(avoidedcosttbl,$H15,BY$2)+(($H15-ROUNDDOWN($H15,0))*(INDEX(avoidedcosttbl,ROUNDUP($H15,0),BY$2)-(INDEX(avoidedcosttbl,ROUNDDOWN($H15,0),BY$2)))))*ADRYr1!P15*ADRYr1!Q15*ADRYr1!U15)</f>
        <v/>
      </c>
      <c r="BZ15" s="28" t="str">
        <f>IF($G15="","",$G15*(IF(ADRYr1!$AI15=BZ$4,ADRYr1!$AJ15,IF(ADRYr1!$AK15=BZ$4,ADRYr1!$AL15,IF(ADRYr1!$AM15=BZ$4,ADRYr1!$AN15,0))))*(INDEX(avoidedcosttbl,$H15,BZ$2)+(($H15-ROUNDDOWN($H15,0))*(INDEX(avoidedcosttbl,ROUNDUP($H15,0),BZ$2)-(INDEX(avoidedcosttbl,ROUNDDOWN($H15,0),BZ$2)))))*ADRYr1!P15*ADRYr1!Q15*ADRYr1!U15)</f>
        <v/>
      </c>
      <c r="CA15" s="28" t="str">
        <f>IF($G15="","",$G15*(IF(ADRYr1!$AI15=CA$4,ADRYr1!$AJ15,IF(ADRYr1!$AK15=CA$4,ADRYr1!$AL15,IF(ADRYr1!$AM15=CA$4,ADRYr1!$AN15,0))))*(INDEX(avoidedcosttbl,$H15,CA$2)+(($H15-ROUNDDOWN($H15,0))*(INDEX(avoidedcosttbl,ROUNDUP($H15,0),CA$2)-(INDEX(avoidedcosttbl,ROUNDDOWN($H15,0),CA$2)))))*ADRYr1!P15*ADRYr1!Q15*ADRYr1!U15)</f>
        <v/>
      </c>
      <c r="CB15" s="28" t="str">
        <f>IF($G15="","",$G15*(IF(ADRYr1!$AI15=CB$4,ADRYr1!$AJ15,IF(ADRYr1!$AK15=CB$4,ADRYr1!$AL15,IF(ADRYr1!$AM15=CB$4,ADRYr1!$AN15,0))))*(INDEX(avoidedcosttbl,$H15,CB$2)+(($H15-ROUNDDOWN($H15,0))*(INDEX(avoidedcosttbl,ROUNDUP($H15,0),CB$2)-(INDEX(avoidedcosttbl,ROUNDDOWN($H15,0),CB$2)))))*ADRYr1!P15*ADRYr1!Q15*ADRYr1!U15)</f>
        <v/>
      </c>
      <c r="CC15" s="28" t="str">
        <f>IF($G15="","",$G15*(IF(ADRYr1!$AI15=CC$4,ADRYr1!$AJ15,IF(ADRYr1!$AK15=CC$4,ADRYr1!$AL15,IF(ADRYr1!$AM15=CC$4,ADRYr1!$AN15,0))))*(INDEX(avoidedcosttbl,$H15,CC$2)+(($H15-ROUNDDOWN($H15,0))*(INDEX(avoidedcosttbl,ROUNDUP($H15,0),CC$2)-(INDEX(avoidedcosttbl,ROUNDDOWN($H15,0),CC$2)))))*ADRYr1!P15*ADRYr1!Q15*ADRYr1!U15)</f>
        <v/>
      </c>
      <c r="CD15" s="28" t="str">
        <f>IF($G15="","",$G15*(IF(ADRYr1!$AI15=CD$4,ADRYr1!$AJ15,IF(ADRYr1!$AK15=CD$4,ADRYr1!$AL15,IF(ADRYr1!$AM15=CD$4,ADRYr1!$AN15,0))))*(INDEX(avoidedcosttbl,$H15,CD$2)+(($H15-ROUNDDOWN($H15,0))*(INDEX(avoidedcosttbl,ROUNDUP($H15,0),CD$2)-(INDEX(avoidedcosttbl,ROUNDDOWN($H15,0),CD$2)))))*ADRYr1!P15*ADRYr1!Q15*ADRYr1!U15)</f>
        <v/>
      </c>
      <c r="CE15" s="28" t="str">
        <f>IF($G15="","",$G15*(IF(ADRYr1!$AI15=CE$4,ADRYr1!$AJ15,IF(ADRYr1!$AK15=CE$4,ADRYr1!$AL15,IF(ADRYr1!$AM15=CE$4,ADRYr1!$AN15,0))))*(INDEX(avoidedcosttbl,$H15,CE$2)+(($H15-ROUNDDOWN($H15,0))*(INDEX(avoidedcosttbl,ROUNDUP($H15,0),CE$2)-(INDEX(avoidedcosttbl,ROUNDDOWN($H15,0),CE$2)))))*ADRYr1!P15*ADRYr1!Q15*ADRYr1!U15)</f>
        <v/>
      </c>
      <c r="CF15" s="41" t="str">
        <f t="shared" si="39"/>
        <v/>
      </c>
      <c r="CG15" s="30" t="str">
        <f t="shared" si="11"/>
        <v/>
      </c>
      <c r="CH15" s="30" t="str">
        <f>IF($G15="","",$G15*(IF(ADRYr1!$AI15=BY$4,ADRYr1!$AJ15,IF(ADRYr1!$AK15=BY$4,ADRYr1!$AL15,IF(ADRYr1!$AM15=BY$4,ADRYr1!$AN15,0))))*(INDEX(avoidedcosttbl,$H15,CH$2)+(($H15-ROUNDDOWN($H15,0))*(INDEX(avoidedcosttbl,ROUNDUP($H15,0),CH$2)-(INDEX(avoidedcosttbl,ROUNDDOWN($H15,0),CH$2)))))*ADRYr1!P15*ADRYr1!Q15*ADRYr1!U15)</f>
        <v/>
      </c>
      <c r="CI15" s="30" t="str">
        <f>IF($G15="","",$G15*(IF(ADRYr1!$AI15=BZ$4,ADRYr1!$AJ15,IF(ADRYr1!$AK15=BZ$4,ADRYr1!$AL15,IF(ADRYr1!$AM15=BZ$4,ADRYr1!$AN15,0))))*(INDEX(avoidedcosttbl,$H15,CI$2)+(($H15-ROUNDDOWN($H15,0))*(INDEX(avoidedcosttbl,ROUNDUP($H15,0),CI$2)-(INDEX(avoidedcosttbl,ROUNDDOWN($H15,0),CI$2)))))*ADRYr1!P15*ADRYr1!Q15*ADRYr1!U15)</f>
        <v/>
      </c>
      <c r="CJ15" s="30" t="str">
        <f>IF($G15="","",$G15*(IF(ADRYr1!$AI15=CA$4,ADRYr1!$AJ15,IF(ADRYr1!$AK15=CA$4,ADRYr1!$AL15,IF(ADRYr1!$AM15=CA$4,ADRYr1!$AN15,0))))*(INDEX(avoidedcosttbl,$H15,CJ$2)+(($H15-ROUNDDOWN($H15,0))*(INDEX(avoidedcosttbl,ROUNDUP($H15,0),CJ$2)-(INDEX(avoidedcosttbl,ROUNDDOWN($H15,0),CJ$2)))))*ADRYr1!P15*ADRYr1!Q15*ADRYr1!U15)</f>
        <v/>
      </c>
      <c r="CK15" s="30" t="str">
        <f>IF($G15="","",$G15*(IF(ADRYr1!$AI15=CB$4,ADRYr1!$AJ15,IF(ADRYr1!$AK15=CB$4,ADRYr1!$AL15,IF(ADRYr1!$AM15=CB$4,ADRYr1!$AN15,0))))*(INDEX(avoidedcosttbl,$H15,CK$2)+(($H15-ROUNDDOWN($H15,0))*(INDEX(avoidedcosttbl,ROUNDUP($H15,0),CK$2)-(INDEX(avoidedcosttbl,ROUNDDOWN($H15,0),CK$2)))))*ADRYr1!P15*ADRYr1!Q15*ADRYr1!U15)</f>
        <v/>
      </c>
      <c r="CL15" s="30" t="str">
        <f>IF($G15="","",$G15*(IF(ADRYr1!$AI15=CC$4,ADRYr1!$AJ15,IF(ADRYr1!$AK15=CC$4,ADRYr1!$AL15,IF(ADRYr1!$AM15=CC$4,ADRYr1!$AN15,0))))*(INDEX(avoidedcosttbl,$H15,CL$2)+(($H15-ROUNDDOWN($H15,0))*(INDEX(avoidedcosttbl,ROUNDUP($H15,0),CL$2)-(INDEX(avoidedcosttbl,ROUNDDOWN($H15,0),CL$2)))))*ADRYr1!P15*ADRYr1!Q15*ADRYr1!U15)</f>
        <v/>
      </c>
      <c r="CM15" s="30" t="str">
        <f>IF($G15="","",$G15*(IF(ADRYr1!$AI15=CD$4,ADRYr1!$AJ15,IF(ADRYr1!$AK15=CD$4,ADRYr1!$AL15,IF(ADRYr1!$AM15=CD$4,ADRYr1!$AN15,0))))*(INDEX(avoidedcosttbl,$H15,CM$2)+(($H15-ROUNDDOWN($H15,0))*(INDEX(avoidedcosttbl,ROUNDUP($H15,0),CM$2)-(INDEX(avoidedcosttbl,ROUNDDOWN($H15,0),CM$2)))))*ADRYr1!P15*ADRYr1!Q15*ADRYr1!U15)</f>
        <v/>
      </c>
      <c r="CN15" s="30" t="str">
        <f>IF($G15="","",$G15*(IF(ADRYr1!$AI15=CE$4,ADRYr1!$AJ15,IF(ADRYr1!$AK15=CE$4,ADRYr1!$AL15,IF(ADRYr1!$AM15=CE$4,ADRYr1!$AN15,0))))*(INDEX(avoidedcosttbl,$H15,CN$2)+(($H15-ROUNDDOWN($H15,0))*(INDEX(avoidedcosttbl,ROUNDUP($H15,0),CN$2)-(INDEX(avoidedcosttbl,ROUNDDOWN($H15,0),CN$2)))))*ADRYr1!P15*ADRYr1!Q15*ADRYr1!U15)</f>
        <v/>
      </c>
      <c r="CO15" s="220" t="str">
        <f t="shared" si="40"/>
        <v/>
      </c>
      <c r="CP15" s="220" t="str">
        <f t="shared" si="41"/>
        <v/>
      </c>
      <c r="CQ15" s="157" t="str">
        <f>IF($G15="","",$G15*(IF(ADRYr1!$AI15=CQ$4,ADRYr1!$AJ15,IF(ADRYr1!$AK15=CQ$4,ADRYr1!$AL15,IF(ADRYr1!$AM15=CQ$4,ADRYr1!$AN15,0))))*(INDEX(avoidedcosttbl,$H15,CQ$2)+(($H15-ROUNDDOWN($H15,0))*(INDEX(avoidedcosttbl,ROUNDUP($H15,0),CQ$2)-(INDEX(avoidedcosttbl,ROUNDDOWN($H15,0),CQ$2)))))*ADRYr1!$P15*ADRYr1!$Q15*ADRYr1!$U15)</f>
        <v/>
      </c>
      <c r="CR15" s="28" t="str">
        <f>IF($G15="","",G15*(IF(ADRYr1!$AI15=CR$4,ADRYr1!$AJ15,IF(ADRYr1!$AK15=CR$4,ADRYr1!$AL15,IF(ADRYr1!$AM15=CR$4,ADRYr1!$AN15,0))))*(INDEX(avoidedcosttbl,$H15,CR$2)+(($H15-ROUNDDOWN($H15,0))*(INDEX(avoidedcosttbl,ROUNDUP($H15,0),CR$2)-(INDEX(avoidedcosttbl,ROUNDDOWN($H15,0),CR$2)))))*ADRYr1!$P15*ADRYr1!$Q15*ADRYr1!$U15)</f>
        <v/>
      </c>
      <c r="CS15" s="28" t="str">
        <f>IF($G15="","",G15*(IF(ADRYr1!$AI15=CS$4,ADRYr1!$AJ15,IF(ADRYr1!$AK15=CS$4,ADRYr1!$AL15,IF(ADRYr1!$AM15=CS$4,ADRYr1!$AN15,0))))*(INDEX(avoidedcosttbl,$H15,CS$2)+(($H15-ROUNDDOWN($H15,0))*(INDEX(avoidedcosttbl,ROUNDUP($H15,0),CS$2)-(INDEX(avoidedcosttbl,ROUNDDOWN($H15,0),CS$2)))))*ADRYr1!$P15*ADRYr1!$Q15*ADRYr1!$U15)</f>
        <v/>
      </c>
      <c r="CT15" s="28" t="str">
        <f t="shared" si="12"/>
        <v/>
      </c>
      <c r="CU15" s="28" t="str">
        <f>IF($G15="","",G15*(IF(ADRYr1!$AI15=CU$4,ADRYr1!$AJ15,IF(ADRYr1!$AK15=CU$4,ADRYr1!$AL15,IF(ADRYr1!$AM15=CU$4,ADRYr1!$AN15,0))))*(INDEX(avoidedcosttbl,$H15,CU$2)+(($H15-ROUNDDOWN($H15,0))*(INDEX(avoidedcosttbl,ROUNDUP($H15,0),CU$2)-(INDEX(avoidedcosttbl,ROUNDDOWN($H15,0),CU$2)))))*ADRYr1!$P15*ADRYr1!$Q15*ADRYr1!$U15)</f>
        <v/>
      </c>
      <c r="CV15" s="28" t="str">
        <f>IF($G15="","",G15*(IF(ADRYr1!$AI15=CV$4,ADRYr1!$AJ15,IF(ADRYr1!$AK15=CV$4,ADRYr1!$AL15,IF(ADRYr1!$AM15=CV$4,ADRYr1!$AN15,0))))*(INDEX(avoidedcosttbl,$H15,CV$2)+(($H15-ROUNDDOWN($H15,0))*(INDEX(avoidedcosttbl,ROUNDUP($H15,0),CV$2)-(INDEX(avoidedcosttbl,ROUNDDOWN($H15,0),CV$2)))))*ADRYr1!$P15*ADRYr1!$Q15*ADRYr1!$U15)</f>
        <v/>
      </c>
      <c r="CW15" s="28" t="str">
        <f>IF($G15="","",G15*(IF(ADRYr1!$AI15=CW$4,ADRYr1!$AJ15,IF(ADRYr1!$AK15=CW$4,ADRYr1!$AL15,IF(ADRYr1!$AM15=CW$4,ADRYr1!$AN15,0))))*(INDEX(avoidedcosttbl,$H15,CW$2)+(($H15-ROUNDDOWN($H15,0))*(INDEX(avoidedcosttbl,ROUNDUP($H15,0),CW$2)-(INDEX(avoidedcosttbl,ROUNDDOWN($H15,0),CW$2)))))*ADRYr1!$P15*ADRYr1!$Q15*ADRYr1!$U15)</f>
        <v/>
      </c>
      <c r="CX15" s="28" t="str">
        <f>IF($G15="","",G15*(IF(ADRYr1!$AI15=CX$4,ADRYr1!$AJ15,IF(ADRYr1!$AK15=CX$4,ADRYr1!$AL15,IF(ADRYr1!$AM15=CX$4,ADRYr1!$AN15,0))))*(INDEX(avoidedcosttbl,$H15,CX$2)+(($H15-ROUNDDOWN($H15,0))*(INDEX(avoidedcosttbl,ROUNDUP($H15,0),CX$2)-(INDEX(avoidedcosttbl,ROUNDDOWN($H15,0),CX$2)))))*ADRYr1!$P15*ADRYr1!$Q15*ADRYr1!$U15)</f>
        <v/>
      </c>
      <c r="CY15" s="28" t="str">
        <f t="shared" si="13"/>
        <v/>
      </c>
      <c r="CZ15" s="32" t="str">
        <f t="shared" si="14"/>
        <v/>
      </c>
      <c r="DA15" s="84" t="str">
        <f t="shared" si="42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15"/>
        <v/>
      </c>
      <c r="DD15" s="166" t="str">
        <f t="shared" si="16"/>
        <v/>
      </c>
      <c r="DE15" s="82">
        <f t="shared" si="43"/>
        <v>0</v>
      </c>
      <c r="DF15" s="760" t="str">
        <f>IF($G15="","",(1+WntPeakEnergyLL)*(INDEX(avoidedcosttbl,$H15,DF$2)+(($H15-ROUNDDOWN($H15,0))*(INDEX(avoidedcosttbl,ROUNDUP($H15,0),DF$2)-(INDEX(avoidedcosttbl,ROUNDDOWN($H15,0),DF$2)))))*$P15*1000*ADRYr1!Z15)</f>
        <v/>
      </c>
      <c r="DG15" s="760" t="str">
        <f>IF($G15="","",(1+WntOffPeakEnergyLL)*(INDEX(avoidedcosttbl,$H15,DG$2)+(($H15-ROUNDDOWN($H15,0))*(INDEX(avoidedcosttbl,ROUNDUP($H15,0),DG$2)-(INDEX(avoidedcosttbl,ROUNDDOWN($H15,0),DG$2)))))*$P15*1000*ADRYr1!AA15)</f>
        <v/>
      </c>
      <c r="DH15" s="760" t="str">
        <f>IF($G15="","",(1+SumPeakEnergyLL)*(INDEX(avoidedcosttbl,$H15,DH$2)+(($H15-ROUNDDOWN($H15,0))*(INDEX(avoidedcosttbl,ROUNDUP($H15,0),DH$2)-(INDEX(avoidedcosttbl,ROUNDDOWN($H15,0),DH$2)))))*$P15*1000*ADRYr1!AB15)</f>
        <v/>
      </c>
      <c r="DI15" s="760" t="str">
        <f>IF($G15="","",(1+SumOffPeakEnergyLL)*(INDEX(avoidedcosttbl,$H15,DI$2)+(($H15-ROUNDDOWN($H15,0))*(INDEX(avoidedcosttbl,ROUNDUP($H15,0),DI$2)-(INDEX(avoidedcosttbl,ROUNDDOWN($H15,0),DI$2)))))*$P15*1000*ADRYr1!AC15)</f>
        <v/>
      </c>
      <c r="DJ15" s="29" t="str">
        <f t="shared" si="44"/>
        <v/>
      </c>
      <c r="DK15" s="161" t="str">
        <f t="shared" si="45"/>
        <v/>
      </c>
      <c r="DL15" s="1375" t="str">
        <f t="shared" si="46"/>
        <v/>
      </c>
      <c r="DM15" s="1375" t="str">
        <f t="shared" si="47"/>
        <v/>
      </c>
      <c r="DN15" s="43" t="str">
        <f t="shared" si="48"/>
        <v/>
      </c>
      <c r="DO15" s="1131" t="str">
        <f>IF($G15="","",ADRYr1!AQ15)</f>
        <v/>
      </c>
      <c r="DP15" s="1133" t="str">
        <f>IF($G15="","",ADRYr1!AR15)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17"/>
        <v/>
      </c>
      <c r="DU15" s="1135" t="str">
        <f>IF($G15="","",ADRYr1!AS15)</f>
        <v/>
      </c>
      <c r="DV15" s="1136" t="str">
        <f>IF($G15="","",ADRYr1!AT15)</f>
        <v/>
      </c>
      <c r="DW15" s="1344" t="str">
        <f>IF($G15="","",INDEX(AvoidedEnergy!$H$4:$H$10,MATCH($DO15,AvoidedEnergy!$A$4:$A$10,0)))</f>
        <v/>
      </c>
    </row>
    <row r="16" spans="1:127">
      <c r="A16" s="160" t="str">
        <f>IF(ADRYr1!$B16=0,"",ADRYr1!A16)</f>
        <v>A - Residential</v>
      </c>
      <c r="B16" s="9" t="str">
        <f>IF(ADRYr1!$B16=0,"",ADRYr1!B16)</f>
        <v>A5 - Residential Active Demand Response</v>
      </c>
      <c r="C16" s="9" t="str">
        <f>IF(ADRYr1!$B16=0,"",ADRYr1!C16)</f>
        <v>A5a - Residential Active Demand Response</v>
      </c>
      <c r="D16" s="9" t="str">
        <f>IF(ADRYr1!$B16=0,"",ADRYr1!D16)</f>
        <v>EV Load Management Winter</v>
      </c>
      <c r="E16" s="9">
        <f>IF(ADRYr1!$B16=0,"",ADRYr1!E16)</f>
        <v>0</v>
      </c>
      <c r="F16" s="11" t="str">
        <f>IF(ADRYr1!$B16=0,"",ADRYr1!F16)</f>
        <v>Behavior</v>
      </c>
      <c r="G16" s="12" t="str">
        <f>IF(ADRYr1!$G16&lt;&gt;0,ADRYr1!G16,"")</f>
        <v/>
      </c>
      <c r="H16" s="1125" t="str">
        <f>IF($G16="","",ROUND(ADRYr1!H16,0))</f>
        <v/>
      </c>
      <c r="I16" s="47" t="str">
        <f>IF($G16="","",ADRYr1!I16*ADRYr1!P16*G16)</f>
        <v/>
      </c>
      <c r="J16" s="47" t="str">
        <f>IF($G16="","",ADRYr1!J16*G16)</f>
        <v/>
      </c>
      <c r="K16" s="47" t="str">
        <f t="shared" si="18"/>
        <v/>
      </c>
      <c r="L16" s="27" t="str">
        <f>IF($G16="","",ADRYr1!V16*G16/1000)</f>
        <v/>
      </c>
      <c r="M16" s="27" t="str">
        <f>IF($G16="","",L16*ADRYr1!$Q16*ADRYr1!$R16)</f>
        <v/>
      </c>
      <c r="N16" s="27" t="str">
        <f t="shared" si="19"/>
        <v/>
      </c>
      <c r="O16" s="27" t="str">
        <f t="shared" si="20"/>
        <v/>
      </c>
      <c r="P16" s="27" t="str">
        <f>IF($G16="","",M16*ADRYr1!P16)</f>
        <v/>
      </c>
      <c r="Q16" s="27" t="str">
        <f t="shared" si="21"/>
        <v/>
      </c>
      <c r="R16" s="27" t="str">
        <f>IF($G16="","",$Q16*ADRYr1!Z16)</f>
        <v/>
      </c>
      <c r="S16" s="27" t="str">
        <f>IF($G16="","",$Q16*ADRYr1!AA16)</f>
        <v/>
      </c>
      <c r="T16" s="27" t="str">
        <f>IF($G16="","",$Q16*ADRYr1!AB16)</f>
        <v/>
      </c>
      <c r="U16" s="27" t="str">
        <f>IF($G16="","",$Q16*ADRYr1!AC16)</f>
        <v/>
      </c>
      <c r="V16" s="27" t="str">
        <f>IF($G16="","",G16*ADRYr1!$AD16*ADRYr1!$P16*ADRYr1!$Q16)</f>
        <v/>
      </c>
      <c r="W16" s="27" t="str">
        <f>IF($G16="","",$G16*ADRYr1!$AD16*ADRYr1!$AF16*ADRYr1!Q16*ADRYr1!$S16)</f>
        <v/>
      </c>
      <c r="X16" s="27" t="str">
        <f>IF($G16="","",$G16*ADRYr1!$AD16*ADRYr1!$AF16*ADRYr1!P16*ADRYr1!Q16*ADRYr1!$S16)</f>
        <v/>
      </c>
      <c r="Y16" s="27" t="str">
        <f>IF($G16="","",$G16*ADRYr1!$AD16*ADRYr1!$AE16*ADRYr1!Q16*ADRYr1!$T16)</f>
        <v/>
      </c>
      <c r="Z16" s="27" t="str">
        <f>IF($G16="","",$G16*ADRYr1!$AD16*ADRYr1!$AE16*ADRYr1!P16*ADRYr1!Q16*ADRYr1!$T16)</f>
        <v/>
      </c>
      <c r="AA16" s="45" t="str">
        <f>IF($G16="","",$G16*ADRYr1!$Q16*ADRYr1!$U16*(IF(IFERROR(SEARCH("NG", ADRYr1!$AI16),0),ADRYr1!$AJ16,0)+IF(IFERROR(SEARCH("NG", ADRYr1!$AK16),0),ADRYr1!$AL16,0)+IF(IFERROR(SEARCH("NG", ADRYr1!$AM16),0),ADRYr1!$AN16,0)))</f>
        <v/>
      </c>
      <c r="AB16" s="45" t="str">
        <f t="shared" si="22"/>
        <v/>
      </c>
      <c r="AC16" s="45">
        <f>IF($G16="",0,AA16*ADRYr1!$P16)</f>
        <v>0</v>
      </c>
      <c r="AD16" s="45" t="str">
        <f t="shared" si="23"/>
        <v/>
      </c>
      <c r="AE16" s="45" t="str">
        <f>IF($G16="","",$G16*ADRYr1!$Q16*ADRYr1!$U16*(IF(IFERROR(SEARCH("Oil", ADRYr1!$AI16), 0),ADRYr1!$AJ16,0)+IF(IFERROR(SEARCH("Oil", ADRYr1!$AK16), 0),ADRYr1!$AL16,0)+IF(IFERROR(SEARCH("Oil", ADRYr1!$AM16), 0),ADRYr1!$AN16,0)))</f>
        <v/>
      </c>
      <c r="AF16" s="45" t="str">
        <f t="shared" si="24"/>
        <v/>
      </c>
      <c r="AG16" s="45">
        <f>IF($G16="",0,AE16*ADRYr1!$P16)</f>
        <v>0</v>
      </c>
      <c r="AH16" s="45" t="str">
        <f t="shared" si="25"/>
        <v/>
      </c>
      <c r="AI16" s="45" t="str">
        <f>IF($G16="","",$G16*ADRYr1!$Q16*ADRYr1!$U16*(IF(ADRYr1!$AI16=Lookups!$E$114,ADRYr1!$AJ16,IF(ADRYr1!$AK16=Lookups!$E$114,ADRYr1!$AL16,IF(ADRYr1!$AM16=Lookups!$E$114,ADRYr1!$AN16,0)))))</f>
        <v/>
      </c>
      <c r="AJ16" s="45" t="str">
        <f t="shared" si="26"/>
        <v/>
      </c>
      <c r="AK16" s="45">
        <f>IF($G16="",0,AI16*ADRYr1!$P16)</f>
        <v>0</v>
      </c>
      <c r="AL16" s="45" t="str">
        <f t="shared" si="27"/>
        <v/>
      </c>
      <c r="AM16" s="45" t="str">
        <f>IF($G16="","",$G16*ADRYr1!$Q16*ADRYr1!$U16*(IF(ADRYr1!$AI16=Lookups!$E$113,ADRYr1!$AJ16,IF(ADRYr1!$AK16=Lookups!$E$113,ADRYr1!$AL16,IF(ADRYr1!$AM16=Lookups!$E$113,ADRYr1!$AN16,0)))))</f>
        <v/>
      </c>
      <c r="AN16" s="45" t="str">
        <f t="shared" si="28"/>
        <v/>
      </c>
      <c r="AO16" s="45">
        <f>IF($G16="",0,AM16*ADRYr1!$P16)</f>
        <v>0</v>
      </c>
      <c r="AP16" s="45" t="str">
        <f t="shared" si="29"/>
        <v/>
      </c>
      <c r="AQ16" s="45" t="str">
        <f>IF($G16="","",$G16*ADRYr1!$Q16*ADRYr1!$U16*(IF(ADRYr1!$AI16=Lookups!$E$115,ADRYr1!$AJ16,IF(ADRYr1!$AK16=Lookups!$E$115,ADRYr1!$AL16,IF(ADRYr1!$AM16=Lookups!$E$115,ADRYr1!$AN16,0)))))</f>
        <v/>
      </c>
      <c r="AR16" s="45" t="str">
        <f t="shared" si="30"/>
        <v/>
      </c>
      <c r="AS16" s="45" t="str">
        <f>IF($G16="","",AQ16*ADRYr1!$P16)</f>
        <v/>
      </c>
      <c r="AT16" s="45" t="str">
        <f t="shared" si="31"/>
        <v/>
      </c>
      <c r="AU16" s="45" t="str">
        <f>IF($G16="","",$G16*ADRYr1!$Q16*ADRYr1!$U16*(IF(ADRYr1!$AI16=Lookups!$E$116,ADRYr1!$AJ16,IF(ADRYr1!$AK16=Lookups!$E$116,ADRYr1!$AL16,IF(ADRYr1!$AM16=Lookups!$E$116,ADRYr1!$AN16,0)))))</f>
        <v/>
      </c>
      <c r="AV16" s="45" t="str">
        <f t="shared" si="32"/>
        <v/>
      </c>
      <c r="AW16" s="45" t="str">
        <f>IF($G16="","",AU16*ADRYr1!$P16)</f>
        <v/>
      </c>
      <c r="AX16" s="45" t="str">
        <f t="shared" si="33"/>
        <v/>
      </c>
      <c r="AY16" s="45">
        <f t="shared" si="34"/>
        <v>0</v>
      </c>
      <c r="AZ16" s="45">
        <f t="shared" si="34"/>
        <v>0</v>
      </c>
      <c r="BA16" s="101" t="str">
        <f>IF($G16="","",$G16*ADRYr1!$P16*ADRYr1!$Q16*ADRYr1!$U16*ADRYr1!AO16)</f>
        <v/>
      </c>
      <c r="BB16" s="102" t="str">
        <f>IF($G16="","",$G16*ADRYr1!$P16*ADRYr1!$Q16*ADRYr1!$U16*ADRYr1!AP16)</f>
        <v/>
      </c>
      <c r="BC16" s="100" t="str">
        <f t="shared" si="35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5"/>
        <v/>
      </c>
      <c r="BO16" s="31" t="str">
        <f t="shared" si="36"/>
        <v/>
      </c>
      <c r="BP16" s="1129" t="str">
        <f t="shared" si="6"/>
        <v/>
      </c>
      <c r="BQ16" s="28" t="str">
        <f t="shared" si="7"/>
        <v/>
      </c>
      <c r="BR16" s="1129" t="str">
        <f t="shared" si="8"/>
        <v/>
      </c>
      <c r="BS16" s="1129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7"/>
        <v/>
      </c>
      <c r="BX16" s="29" t="str">
        <f t="shared" si="38"/>
        <v/>
      </c>
      <c r="BY16" s="28" t="str">
        <f>IF($G16="","",$G16*(IF(ADRYr1!$AI16=BY$4,ADRYr1!$AJ16,IF(ADRYr1!$AK16=BY$4,ADRYr1!$AL16,IF(ADRYr1!$AM16=BY$4,ADRYr1!$AN16,0))))*(INDEX(avoidedcosttbl,$H16,BY$2)+(($H16-ROUNDDOWN($H16,0))*(INDEX(avoidedcosttbl,ROUNDUP($H16,0),BY$2)-(INDEX(avoidedcosttbl,ROUNDDOWN($H16,0),BY$2)))))*ADRYr1!P16*ADRYr1!Q16*ADRYr1!U16)</f>
        <v/>
      </c>
      <c r="BZ16" s="28" t="str">
        <f>IF($G16="","",$G16*(IF(ADRYr1!$AI16=BZ$4,ADRYr1!$AJ16,IF(ADRYr1!$AK16=BZ$4,ADRYr1!$AL16,IF(ADRYr1!$AM16=BZ$4,ADRYr1!$AN16,0))))*(INDEX(avoidedcosttbl,$H16,BZ$2)+(($H16-ROUNDDOWN($H16,0))*(INDEX(avoidedcosttbl,ROUNDUP($H16,0),BZ$2)-(INDEX(avoidedcosttbl,ROUNDDOWN($H16,0),BZ$2)))))*ADRYr1!P16*ADRYr1!Q16*ADRYr1!U16)</f>
        <v/>
      </c>
      <c r="CA16" s="28" t="str">
        <f>IF($G16="","",$G16*(IF(ADRYr1!$AI16=CA$4,ADRYr1!$AJ16,IF(ADRYr1!$AK16=CA$4,ADRYr1!$AL16,IF(ADRYr1!$AM16=CA$4,ADRYr1!$AN16,0))))*(INDEX(avoidedcosttbl,$H16,CA$2)+(($H16-ROUNDDOWN($H16,0))*(INDEX(avoidedcosttbl,ROUNDUP($H16,0),CA$2)-(INDEX(avoidedcosttbl,ROUNDDOWN($H16,0),CA$2)))))*ADRYr1!P16*ADRYr1!Q16*ADRYr1!U16)</f>
        <v/>
      </c>
      <c r="CB16" s="28" t="str">
        <f>IF($G16="","",$G16*(IF(ADRYr1!$AI16=CB$4,ADRYr1!$AJ16,IF(ADRYr1!$AK16=CB$4,ADRYr1!$AL16,IF(ADRYr1!$AM16=CB$4,ADRYr1!$AN16,0))))*(INDEX(avoidedcosttbl,$H16,CB$2)+(($H16-ROUNDDOWN($H16,0))*(INDEX(avoidedcosttbl,ROUNDUP($H16,0),CB$2)-(INDEX(avoidedcosttbl,ROUNDDOWN($H16,0),CB$2)))))*ADRYr1!P16*ADRYr1!Q16*ADRYr1!U16)</f>
        <v/>
      </c>
      <c r="CC16" s="28" t="str">
        <f>IF($G16="","",$G16*(IF(ADRYr1!$AI16=CC$4,ADRYr1!$AJ16,IF(ADRYr1!$AK16=CC$4,ADRYr1!$AL16,IF(ADRYr1!$AM16=CC$4,ADRYr1!$AN16,0))))*(INDEX(avoidedcosttbl,$H16,CC$2)+(($H16-ROUNDDOWN($H16,0))*(INDEX(avoidedcosttbl,ROUNDUP($H16,0),CC$2)-(INDEX(avoidedcosttbl,ROUNDDOWN($H16,0),CC$2)))))*ADRYr1!P16*ADRYr1!Q16*ADRYr1!U16)</f>
        <v/>
      </c>
      <c r="CD16" s="28" t="str">
        <f>IF($G16="","",$G16*(IF(ADRYr1!$AI16=CD$4,ADRYr1!$AJ16,IF(ADRYr1!$AK16=CD$4,ADRYr1!$AL16,IF(ADRYr1!$AM16=CD$4,ADRYr1!$AN16,0))))*(INDEX(avoidedcosttbl,$H16,CD$2)+(($H16-ROUNDDOWN($H16,0))*(INDEX(avoidedcosttbl,ROUNDUP($H16,0),CD$2)-(INDEX(avoidedcosttbl,ROUNDDOWN($H16,0),CD$2)))))*ADRYr1!P16*ADRYr1!Q16*ADRYr1!U16)</f>
        <v/>
      </c>
      <c r="CE16" s="28" t="str">
        <f>IF($G16="","",$G16*(IF(ADRYr1!$AI16=CE$4,ADRYr1!$AJ16,IF(ADRYr1!$AK16=CE$4,ADRYr1!$AL16,IF(ADRYr1!$AM16=CE$4,ADRYr1!$AN16,0))))*(INDEX(avoidedcosttbl,$H16,CE$2)+(($H16-ROUNDDOWN($H16,0))*(INDEX(avoidedcosttbl,ROUNDUP($H16,0),CE$2)-(INDEX(avoidedcosttbl,ROUNDDOWN($H16,0),CE$2)))))*ADRYr1!P16*ADRYr1!Q16*ADRYr1!U16)</f>
        <v/>
      </c>
      <c r="CF16" s="41" t="str">
        <f t="shared" si="39"/>
        <v/>
      </c>
      <c r="CG16" s="30" t="str">
        <f t="shared" si="11"/>
        <v/>
      </c>
      <c r="CH16" s="30" t="str">
        <f>IF($G16="","",$G16*(IF(ADRYr1!$AI16=BY$4,ADRYr1!$AJ16,IF(ADRYr1!$AK16=BY$4,ADRYr1!$AL16,IF(ADRYr1!$AM16=BY$4,ADRYr1!$AN16,0))))*(INDEX(avoidedcosttbl,$H16,CH$2)+(($H16-ROUNDDOWN($H16,0))*(INDEX(avoidedcosttbl,ROUNDUP($H16,0),CH$2)-(INDEX(avoidedcosttbl,ROUNDDOWN($H16,0),CH$2)))))*ADRYr1!P16*ADRYr1!Q16*ADRYr1!U16)</f>
        <v/>
      </c>
      <c r="CI16" s="30" t="str">
        <f>IF($G16="","",$G16*(IF(ADRYr1!$AI16=BZ$4,ADRYr1!$AJ16,IF(ADRYr1!$AK16=BZ$4,ADRYr1!$AL16,IF(ADRYr1!$AM16=BZ$4,ADRYr1!$AN16,0))))*(INDEX(avoidedcosttbl,$H16,CI$2)+(($H16-ROUNDDOWN($H16,0))*(INDEX(avoidedcosttbl,ROUNDUP($H16,0),CI$2)-(INDEX(avoidedcosttbl,ROUNDDOWN($H16,0),CI$2)))))*ADRYr1!P16*ADRYr1!Q16*ADRYr1!U16)</f>
        <v/>
      </c>
      <c r="CJ16" s="30" t="str">
        <f>IF($G16="","",$G16*(IF(ADRYr1!$AI16=CA$4,ADRYr1!$AJ16,IF(ADRYr1!$AK16=CA$4,ADRYr1!$AL16,IF(ADRYr1!$AM16=CA$4,ADRYr1!$AN16,0))))*(INDEX(avoidedcosttbl,$H16,CJ$2)+(($H16-ROUNDDOWN($H16,0))*(INDEX(avoidedcosttbl,ROUNDUP($H16,0),CJ$2)-(INDEX(avoidedcosttbl,ROUNDDOWN($H16,0),CJ$2)))))*ADRYr1!P16*ADRYr1!Q16*ADRYr1!U16)</f>
        <v/>
      </c>
      <c r="CK16" s="30" t="str">
        <f>IF($G16="","",$G16*(IF(ADRYr1!$AI16=CB$4,ADRYr1!$AJ16,IF(ADRYr1!$AK16=CB$4,ADRYr1!$AL16,IF(ADRYr1!$AM16=CB$4,ADRYr1!$AN16,0))))*(INDEX(avoidedcosttbl,$H16,CK$2)+(($H16-ROUNDDOWN($H16,0))*(INDEX(avoidedcosttbl,ROUNDUP($H16,0),CK$2)-(INDEX(avoidedcosttbl,ROUNDDOWN($H16,0),CK$2)))))*ADRYr1!P16*ADRYr1!Q16*ADRYr1!U16)</f>
        <v/>
      </c>
      <c r="CL16" s="30" t="str">
        <f>IF($G16="","",$G16*(IF(ADRYr1!$AI16=CC$4,ADRYr1!$AJ16,IF(ADRYr1!$AK16=CC$4,ADRYr1!$AL16,IF(ADRYr1!$AM16=CC$4,ADRYr1!$AN16,0))))*(INDEX(avoidedcosttbl,$H16,CL$2)+(($H16-ROUNDDOWN($H16,0))*(INDEX(avoidedcosttbl,ROUNDUP($H16,0),CL$2)-(INDEX(avoidedcosttbl,ROUNDDOWN($H16,0),CL$2)))))*ADRYr1!P16*ADRYr1!Q16*ADRYr1!U16)</f>
        <v/>
      </c>
      <c r="CM16" s="30" t="str">
        <f>IF($G16="","",$G16*(IF(ADRYr1!$AI16=CD$4,ADRYr1!$AJ16,IF(ADRYr1!$AK16=CD$4,ADRYr1!$AL16,IF(ADRYr1!$AM16=CD$4,ADRYr1!$AN16,0))))*(INDEX(avoidedcosttbl,$H16,CM$2)+(($H16-ROUNDDOWN($H16,0))*(INDEX(avoidedcosttbl,ROUNDUP($H16,0),CM$2)-(INDEX(avoidedcosttbl,ROUNDDOWN($H16,0),CM$2)))))*ADRYr1!P16*ADRYr1!Q16*ADRYr1!U16)</f>
        <v/>
      </c>
      <c r="CN16" s="30" t="str">
        <f>IF($G16="","",$G16*(IF(ADRYr1!$AI16=CE$4,ADRYr1!$AJ16,IF(ADRYr1!$AK16=CE$4,ADRYr1!$AL16,IF(ADRYr1!$AM16=CE$4,ADRYr1!$AN16,0))))*(INDEX(avoidedcosttbl,$H16,CN$2)+(($H16-ROUNDDOWN($H16,0))*(INDEX(avoidedcosttbl,ROUNDUP($H16,0),CN$2)-(INDEX(avoidedcosttbl,ROUNDDOWN($H16,0),CN$2)))))*ADRYr1!P16*ADRYr1!Q16*ADRYr1!U16)</f>
        <v/>
      </c>
      <c r="CO16" s="220" t="str">
        <f t="shared" si="40"/>
        <v/>
      </c>
      <c r="CP16" s="220" t="str">
        <f t="shared" si="41"/>
        <v/>
      </c>
      <c r="CQ16" s="157" t="str">
        <f>IF($G16="","",$G16*(IF(ADRYr1!$AI16=CQ$4,ADRYr1!$AJ16,IF(ADRYr1!$AK16=CQ$4,ADRYr1!$AL16,IF(ADRYr1!$AM16=CQ$4,ADRYr1!$AN16,0))))*(INDEX(avoidedcosttbl,$H16,CQ$2)+(($H16-ROUNDDOWN($H16,0))*(INDEX(avoidedcosttbl,ROUNDUP($H16,0),CQ$2)-(INDEX(avoidedcosttbl,ROUNDDOWN($H16,0),CQ$2)))))*ADRYr1!$P16*ADRYr1!$Q16*ADRYr1!$U16)</f>
        <v/>
      </c>
      <c r="CR16" s="28" t="str">
        <f>IF($G16="","",G16*(IF(ADRYr1!$AI16=CR$4,ADRYr1!$AJ16,IF(ADRYr1!$AK16=CR$4,ADRYr1!$AL16,IF(ADRYr1!$AM16=CR$4,ADRYr1!$AN16,0))))*(INDEX(avoidedcosttbl,$H16,CR$2)+(($H16-ROUNDDOWN($H16,0))*(INDEX(avoidedcosttbl,ROUNDUP($H16,0),CR$2)-(INDEX(avoidedcosttbl,ROUNDDOWN($H16,0),CR$2)))))*ADRYr1!$P16*ADRYr1!$Q16*ADRYr1!$U16)</f>
        <v/>
      </c>
      <c r="CS16" s="28" t="str">
        <f>IF($G16="","",G16*(IF(ADRYr1!$AI16=CS$4,ADRYr1!$AJ16,IF(ADRYr1!$AK16=CS$4,ADRYr1!$AL16,IF(ADRYr1!$AM16=CS$4,ADRYr1!$AN16,0))))*(INDEX(avoidedcosttbl,$H16,CS$2)+(($H16-ROUNDDOWN($H16,0))*(INDEX(avoidedcosttbl,ROUNDUP($H16,0),CS$2)-(INDEX(avoidedcosttbl,ROUNDDOWN($H16,0),CS$2)))))*ADRYr1!$P16*ADRYr1!$Q16*ADRYr1!$U16)</f>
        <v/>
      </c>
      <c r="CT16" s="28" t="str">
        <f t="shared" si="12"/>
        <v/>
      </c>
      <c r="CU16" s="28" t="str">
        <f>IF($G16="","",G16*(IF(ADRYr1!$AI16=CU$4,ADRYr1!$AJ16,IF(ADRYr1!$AK16=CU$4,ADRYr1!$AL16,IF(ADRYr1!$AM16=CU$4,ADRYr1!$AN16,0))))*(INDEX(avoidedcosttbl,$H16,CU$2)+(($H16-ROUNDDOWN($H16,0))*(INDEX(avoidedcosttbl,ROUNDUP($H16,0),CU$2)-(INDEX(avoidedcosttbl,ROUNDDOWN($H16,0),CU$2)))))*ADRYr1!$P16*ADRYr1!$Q16*ADRYr1!$U16)</f>
        <v/>
      </c>
      <c r="CV16" s="28" t="str">
        <f>IF($G16="","",G16*(IF(ADRYr1!$AI16=CV$4,ADRYr1!$AJ16,IF(ADRYr1!$AK16=CV$4,ADRYr1!$AL16,IF(ADRYr1!$AM16=CV$4,ADRYr1!$AN16,0))))*(INDEX(avoidedcosttbl,$H16,CV$2)+(($H16-ROUNDDOWN($H16,0))*(INDEX(avoidedcosttbl,ROUNDUP($H16,0),CV$2)-(INDEX(avoidedcosttbl,ROUNDDOWN($H16,0),CV$2)))))*ADRYr1!$P16*ADRYr1!$Q16*ADRYr1!$U16)</f>
        <v/>
      </c>
      <c r="CW16" s="28" t="str">
        <f>IF($G16="","",G16*(IF(ADRYr1!$AI16=CW$4,ADRYr1!$AJ16,IF(ADRYr1!$AK16=CW$4,ADRYr1!$AL16,IF(ADRYr1!$AM16=CW$4,ADRYr1!$AN16,0))))*(INDEX(avoidedcosttbl,$H16,CW$2)+(($H16-ROUNDDOWN($H16,0))*(INDEX(avoidedcosttbl,ROUNDUP($H16,0),CW$2)-(INDEX(avoidedcosttbl,ROUNDDOWN($H16,0),CW$2)))))*ADRYr1!$P16*ADRYr1!$Q16*ADRYr1!$U16)</f>
        <v/>
      </c>
      <c r="CX16" s="28" t="str">
        <f>IF($G16="","",G16*(IF(ADRYr1!$AI16=CX$4,ADRYr1!$AJ16,IF(ADRYr1!$AK16=CX$4,ADRYr1!$AL16,IF(ADRYr1!$AM16=CX$4,ADRYr1!$AN16,0))))*(INDEX(avoidedcosttbl,$H16,CX$2)+(($H16-ROUNDDOWN($H16,0))*(INDEX(avoidedcosttbl,ROUNDUP($H16,0),CX$2)-(INDEX(avoidedcosttbl,ROUNDDOWN($H16,0),CX$2)))))*ADRYr1!$P16*ADRYr1!$Q16*ADRYr1!$U16)</f>
        <v/>
      </c>
      <c r="CY16" s="28" t="str">
        <f t="shared" si="13"/>
        <v/>
      </c>
      <c r="CZ16" s="32" t="str">
        <f t="shared" si="14"/>
        <v/>
      </c>
      <c r="DA16" s="84" t="str">
        <f t="shared" si="42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15"/>
        <v/>
      </c>
      <c r="DD16" s="166" t="str">
        <f t="shared" si="16"/>
        <v/>
      </c>
      <c r="DE16" s="82">
        <f t="shared" si="43"/>
        <v>0</v>
      </c>
      <c r="DF16" s="760" t="str">
        <f>IF($G16="","",(1+WntPeakEnergyLL)*(INDEX(avoidedcosttbl,$H16,DF$2)+(($H16-ROUNDDOWN($H16,0))*(INDEX(avoidedcosttbl,ROUNDUP($H16,0),DF$2)-(INDEX(avoidedcosttbl,ROUNDDOWN($H16,0),DF$2)))))*$P16*1000*ADRYr1!Z16)</f>
        <v/>
      </c>
      <c r="DG16" s="760" t="str">
        <f>IF($G16="","",(1+WntOffPeakEnergyLL)*(INDEX(avoidedcosttbl,$H16,DG$2)+(($H16-ROUNDDOWN($H16,0))*(INDEX(avoidedcosttbl,ROUNDUP($H16,0),DG$2)-(INDEX(avoidedcosttbl,ROUNDDOWN($H16,0),DG$2)))))*$P16*1000*ADRYr1!AA16)</f>
        <v/>
      </c>
      <c r="DH16" s="760" t="str">
        <f>IF($G16="","",(1+SumPeakEnergyLL)*(INDEX(avoidedcosttbl,$H16,DH$2)+(($H16-ROUNDDOWN($H16,0))*(INDEX(avoidedcosttbl,ROUNDUP($H16,0),DH$2)-(INDEX(avoidedcosttbl,ROUNDDOWN($H16,0),DH$2)))))*$P16*1000*ADRYr1!AB16)</f>
        <v/>
      </c>
      <c r="DI16" s="760" t="str">
        <f>IF($G16="","",(1+SumOffPeakEnergyLL)*(INDEX(avoidedcosttbl,$H16,DI$2)+(($H16-ROUNDDOWN($H16,0))*(INDEX(avoidedcosttbl,ROUNDUP($H16,0),DI$2)-(INDEX(avoidedcosttbl,ROUNDDOWN($H16,0),DI$2)))))*$P16*1000*ADRYr1!AC16)</f>
        <v/>
      </c>
      <c r="DJ16" s="29" t="str">
        <f t="shared" si="44"/>
        <v/>
      </c>
      <c r="DK16" s="161" t="str">
        <f t="shared" si="45"/>
        <v/>
      </c>
      <c r="DL16" s="1375" t="str">
        <f t="shared" si="46"/>
        <v/>
      </c>
      <c r="DM16" s="1375" t="str">
        <f t="shared" si="47"/>
        <v/>
      </c>
      <c r="DN16" s="43" t="str">
        <f t="shared" si="48"/>
        <v/>
      </c>
      <c r="DO16" s="1131" t="str">
        <f>IF($G16="","",ADRYr1!AQ16)</f>
        <v/>
      </c>
      <c r="DP16" s="1133" t="str">
        <f>IF($G16="","",ADRYr1!AR16)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17"/>
        <v/>
      </c>
      <c r="DU16" s="1135" t="str">
        <f>IF($G16="","",ADRYr1!AS16)</f>
        <v/>
      </c>
      <c r="DV16" s="1136" t="str">
        <f>IF($G16="","",ADRYr1!AT16)</f>
        <v/>
      </c>
      <c r="DW16" s="1344" t="str">
        <f>IF($G16="","",INDEX(AvoidedEnergy!$H$4:$H$10,MATCH($DO16,AvoidedEnergy!$A$4:$A$10,0)))</f>
        <v/>
      </c>
    </row>
    <row r="17" spans="1:127">
      <c r="A17" s="160" t="str">
        <f>IF(ADRYr1!$B17=0,"",ADRYr1!A17)</f>
        <v>B - Low-Income</v>
      </c>
      <c r="B17" s="9" t="str">
        <f>IF(ADRYr1!$B17=0,"",ADRYr1!B17)</f>
        <v>Home Energy Assistance</v>
      </c>
      <c r="C17" s="9" t="str">
        <f>IF(ADRYr1!$B17=0,"",ADRYr1!C17)</f>
        <v>Res Demand Response</v>
      </c>
      <c r="D17" s="9" t="str">
        <f>IF(ADRYr1!$B17=0,"",ADRYr1!D17)</f>
        <v>Direct Load Control Targeted Dispatch Upfront/Annual Incentive Summer</v>
      </c>
      <c r="E17" s="9">
        <f>IF(ADRYr1!$B17=0,"",ADRYr1!E17)</f>
        <v>0</v>
      </c>
      <c r="F17" s="11" t="str">
        <f>IF(ADRYr1!$B17=0,"",ADRYr1!F17)</f>
        <v>Behavior</v>
      </c>
      <c r="G17" s="12" t="str">
        <f>IF(ADRYr1!$G17&lt;&gt;0,ADRYr1!G17,"")</f>
        <v/>
      </c>
      <c r="H17" s="1125" t="str">
        <f>IF($G17="","",ROUND(ADRYr1!H17,0))</f>
        <v/>
      </c>
      <c r="I17" s="47" t="str">
        <f>IF($G17="","",ADRYr1!I17*ADRYr1!P17*G17)</f>
        <v/>
      </c>
      <c r="J17" s="47" t="str">
        <f>IF($G17="","",ADRYr1!J17*G17)</f>
        <v/>
      </c>
      <c r="K17" s="47" t="str">
        <f t="shared" si="18"/>
        <v/>
      </c>
      <c r="L17" s="27" t="str">
        <f>IF($G17="","",ADRYr1!V17*G17/1000)</f>
        <v/>
      </c>
      <c r="M17" s="27" t="str">
        <f>IF($G17="","",L17*ADRYr1!$Q17*ADRYr1!$R17)</f>
        <v/>
      </c>
      <c r="N17" s="27" t="str">
        <f t="shared" si="19"/>
        <v/>
      </c>
      <c r="O17" s="27" t="str">
        <f t="shared" si="20"/>
        <v/>
      </c>
      <c r="P17" s="27" t="str">
        <f>IF($G17="","",M17*ADRYr1!P17)</f>
        <v/>
      </c>
      <c r="Q17" s="27" t="str">
        <f t="shared" si="21"/>
        <v/>
      </c>
      <c r="R17" s="27" t="str">
        <f>IF($G17="","",$Q17*ADRYr1!Z17)</f>
        <v/>
      </c>
      <c r="S17" s="27" t="str">
        <f>IF($G17="","",$Q17*ADRYr1!AA17)</f>
        <v/>
      </c>
      <c r="T17" s="27" t="str">
        <f>IF($G17="","",$Q17*ADRYr1!AB17)</f>
        <v/>
      </c>
      <c r="U17" s="27" t="str">
        <f>IF($G17="","",$Q17*ADRYr1!AC17)</f>
        <v/>
      </c>
      <c r="V17" s="27" t="str">
        <f>IF($G17="","",G17*ADRYr1!$AD17*ADRYr1!$P17*ADRYr1!$Q17)</f>
        <v/>
      </c>
      <c r="W17" s="27" t="str">
        <f>IF($G17="","",$G17*ADRYr1!$AD17*ADRYr1!$AF17*ADRYr1!Q17*ADRYr1!$S17)</f>
        <v/>
      </c>
      <c r="X17" s="27" t="str">
        <f>IF($G17="","",$G17*ADRYr1!$AD17*ADRYr1!$AF17*ADRYr1!P17*ADRYr1!Q17*ADRYr1!$S17)</f>
        <v/>
      </c>
      <c r="Y17" s="27" t="str">
        <f>IF($G17="","",$G17*ADRYr1!$AD17*ADRYr1!$AE17*ADRYr1!Q17*ADRYr1!$T17)</f>
        <v/>
      </c>
      <c r="Z17" s="27" t="str">
        <f>IF($G17="","",$G17*ADRYr1!$AD17*ADRYr1!$AE17*ADRYr1!P17*ADRYr1!Q17*ADRYr1!$T17)</f>
        <v/>
      </c>
      <c r="AA17" s="45" t="str">
        <f>IF($G17="","",$G17*ADRYr1!$Q17*ADRYr1!$U17*(IF(IFERROR(SEARCH("NG", ADRYr1!$AI17),0),ADRYr1!$AJ17,0)+IF(IFERROR(SEARCH("NG", ADRYr1!$AK17),0),ADRYr1!$AL17,0)+IF(IFERROR(SEARCH("NG", ADRYr1!$AM17),0),ADRYr1!$AN17,0)))</f>
        <v/>
      </c>
      <c r="AB17" s="45" t="str">
        <f t="shared" si="22"/>
        <v/>
      </c>
      <c r="AC17" s="45">
        <f>IF($G17="",0,AA17*ADRYr1!$P17)</f>
        <v>0</v>
      </c>
      <c r="AD17" s="45" t="str">
        <f t="shared" si="23"/>
        <v/>
      </c>
      <c r="AE17" s="45" t="str">
        <f>IF($G17="","",$G17*ADRYr1!$Q17*ADRYr1!$U17*(IF(IFERROR(SEARCH("Oil", ADRYr1!$AI17), 0),ADRYr1!$AJ17,0)+IF(IFERROR(SEARCH("Oil", ADRYr1!$AK17), 0),ADRYr1!$AL17,0)+IF(IFERROR(SEARCH("Oil", ADRYr1!$AM17), 0),ADRYr1!$AN17,0)))</f>
        <v/>
      </c>
      <c r="AF17" s="45" t="str">
        <f t="shared" si="24"/>
        <v/>
      </c>
      <c r="AG17" s="45">
        <f>IF($G17="",0,AE17*ADRYr1!$P17)</f>
        <v>0</v>
      </c>
      <c r="AH17" s="45" t="str">
        <f t="shared" si="25"/>
        <v/>
      </c>
      <c r="AI17" s="45" t="str">
        <f>IF($G17="","",$G17*ADRYr1!$Q17*ADRYr1!$U17*(IF(ADRYr1!$AI17=Lookups!$E$114,ADRYr1!$AJ17,IF(ADRYr1!$AK17=Lookups!$E$114,ADRYr1!$AL17,IF(ADRYr1!$AM17=Lookups!$E$114,ADRYr1!$AN17,0)))))</f>
        <v/>
      </c>
      <c r="AJ17" s="45" t="str">
        <f t="shared" si="26"/>
        <v/>
      </c>
      <c r="AK17" s="45">
        <f>IF($G17="",0,AI17*ADRYr1!$P17)</f>
        <v>0</v>
      </c>
      <c r="AL17" s="45" t="str">
        <f t="shared" si="27"/>
        <v/>
      </c>
      <c r="AM17" s="45" t="str">
        <f>IF($G17="","",$G17*ADRYr1!$Q17*ADRYr1!$U17*(IF(ADRYr1!$AI17=Lookups!$E$113,ADRYr1!$AJ17,IF(ADRYr1!$AK17=Lookups!$E$113,ADRYr1!$AL17,IF(ADRYr1!$AM17=Lookups!$E$113,ADRYr1!$AN17,0)))))</f>
        <v/>
      </c>
      <c r="AN17" s="45" t="str">
        <f t="shared" si="28"/>
        <v/>
      </c>
      <c r="AO17" s="45">
        <f>IF($G17="",0,AM17*ADRYr1!$P17)</f>
        <v>0</v>
      </c>
      <c r="AP17" s="45" t="str">
        <f t="shared" si="29"/>
        <v/>
      </c>
      <c r="AQ17" s="45" t="str">
        <f>IF($G17="","",$G17*ADRYr1!$Q17*ADRYr1!$U17*(IF(ADRYr1!$AI17=Lookups!$E$115,ADRYr1!$AJ17,IF(ADRYr1!$AK17=Lookups!$E$115,ADRYr1!$AL17,IF(ADRYr1!$AM17=Lookups!$E$115,ADRYr1!$AN17,0)))))</f>
        <v/>
      </c>
      <c r="AR17" s="45" t="str">
        <f t="shared" si="30"/>
        <v/>
      </c>
      <c r="AS17" s="45" t="str">
        <f>IF($G17="","",AQ17*ADRYr1!$P17)</f>
        <v/>
      </c>
      <c r="AT17" s="45" t="str">
        <f t="shared" si="31"/>
        <v/>
      </c>
      <c r="AU17" s="45" t="str">
        <f>IF($G17="","",$G17*ADRYr1!$Q17*ADRYr1!$U17*(IF(ADRYr1!$AI17=Lookups!$E$116,ADRYr1!$AJ17,IF(ADRYr1!$AK17=Lookups!$E$116,ADRYr1!$AL17,IF(ADRYr1!$AM17=Lookups!$E$116,ADRYr1!$AN17,0)))))</f>
        <v/>
      </c>
      <c r="AV17" s="45" t="str">
        <f t="shared" si="32"/>
        <v/>
      </c>
      <c r="AW17" s="45" t="str">
        <f>IF($G17="","",AU17*ADRYr1!$P17)</f>
        <v/>
      </c>
      <c r="AX17" s="45" t="str">
        <f t="shared" si="33"/>
        <v/>
      </c>
      <c r="AY17" s="45">
        <f t="shared" si="34"/>
        <v>0</v>
      </c>
      <c r="AZ17" s="45">
        <f t="shared" si="34"/>
        <v>0</v>
      </c>
      <c r="BA17" s="101" t="str">
        <f>IF($G17="","",$G17*ADRYr1!$P17*ADRYr1!$Q17*ADRYr1!$U17*ADRYr1!AO17)</f>
        <v/>
      </c>
      <c r="BB17" s="102" t="str">
        <f>IF($G17="","",$G17*ADRYr1!$P17*ADRYr1!$Q17*ADRYr1!$U17*ADRYr1!AP17)</f>
        <v/>
      </c>
      <c r="BC17" s="100" t="str">
        <f t="shared" si="35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5"/>
        <v/>
      </c>
      <c r="BO17" s="31" t="str">
        <f t="shared" si="36"/>
        <v/>
      </c>
      <c r="BP17" s="1129" t="str">
        <f t="shared" si="6"/>
        <v/>
      </c>
      <c r="BQ17" s="28" t="str">
        <f t="shared" si="7"/>
        <v/>
      </c>
      <c r="BR17" s="1129" t="str">
        <f t="shared" si="8"/>
        <v/>
      </c>
      <c r="BS17" s="1129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7"/>
        <v/>
      </c>
      <c r="BX17" s="29" t="str">
        <f t="shared" si="38"/>
        <v/>
      </c>
      <c r="BY17" s="28" t="str">
        <f>IF($G17="","",$G17*(IF(ADRYr1!$AI17=BY$4,ADRYr1!$AJ17,IF(ADRYr1!$AK17=BY$4,ADRYr1!$AL17,IF(ADRYr1!$AM17=BY$4,ADRYr1!$AN17,0))))*(INDEX(avoidedcosttbl,$H17,BY$2)+(($H17-ROUNDDOWN($H17,0))*(INDEX(avoidedcosttbl,ROUNDUP($H17,0),BY$2)-(INDEX(avoidedcosttbl,ROUNDDOWN($H17,0),BY$2)))))*ADRYr1!P17*ADRYr1!Q17*ADRYr1!U17)</f>
        <v/>
      </c>
      <c r="BZ17" s="28" t="str">
        <f>IF($G17="","",$G17*(IF(ADRYr1!$AI17=BZ$4,ADRYr1!$AJ17,IF(ADRYr1!$AK17=BZ$4,ADRYr1!$AL17,IF(ADRYr1!$AM17=BZ$4,ADRYr1!$AN17,0))))*(INDEX(avoidedcosttbl,$H17,BZ$2)+(($H17-ROUNDDOWN($H17,0))*(INDEX(avoidedcosttbl,ROUNDUP($H17,0),BZ$2)-(INDEX(avoidedcosttbl,ROUNDDOWN($H17,0),BZ$2)))))*ADRYr1!P17*ADRYr1!Q17*ADRYr1!U17)</f>
        <v/>
      </c>
      <c r="CA17" s="28" t="str">
        <f>IF($G17="","",$G17*(IF(ADRYr1!$AI17=CA$4,ADRYr1!$AJ17,IF(ADRYr1!$AK17=CA$4,ADRYr1!$AL17,IF(ADRYr1!$AM17=CA$4,ADRYr1!$AN17,0))))*(INDEX(avoidedcosttbl,$H17,CA$2)+(($H17-ROUNDDOWN($H17,0))*(INDEX(avoidedcosttbl,ROUNDUP($H17,0),CA$2)-(INDEX(avoidedcosttbl,ROUNDDOWN($H17,0),CA$2)))))*ADRYr1!P17*ADRYr1!Q17*ADRYr1!U17)</f>
        <v/>
      </c>
      <c r="CB17" s="28" t="str">
        <f>IF($G17="","",$G17*(IF(ADRYr1!$AI17=CB$4,ADRYr1!$AJ17,IF(ADRYr1!$AK17=CB$4,ADRYr1!$AL17,IF(ADRYr1!$AM17=CB$4,ADRYr1!$AN17,0))))*(INDEX(avoidedcosttbl,$H17,CB$2)+(($H17-ROUNDDOWN($H17,0))*(INDEX(avoidedcosttbl,ROUNDUP($H17,0),CB$2)-(INDEX(avoidedcosttbl,ROUNDDOWN($H17,0),CB$2)))))*ADRYr1!P17*ADRYr1!Q17*ADRYr1!U17)</f>
        <v/>
      </c>
      <c r="CC17" s="28" t="str">
        <f>IF($G17="","",$G17*(IF(ADRYr1!$AI17=CC$4,ADRYr1!$AJ17,IF(ADRYr1!$AK17=CC$4,ADRYr1!$AL17,IF(ADRYr1!$AM17=CC$4,ADRYr1!$AN17,0))))*(INDEX(avoidedcosttbl,$H17,CC$2)+(($H17-ROUNDDOWN($H17,0))*(INDEX(avoidedcosttbl,ROUNDUP($H17,0),CC$2)-(INDEX(avoidedcosttbl,ROUNDDOWN($H17,0),CC$2)))))*ADRYr1!P17*ADRYr1!Q17*ADRYr1!U17)</f>
        <v/>
      </c>
      <c r="CD17" s="28" t="str">
        <f>IF($G17="","",$G17*(IF(ADRYr1!$AI17=CD$4,ADRYr1!$AJ17,IF(ADRYr1!$AK17=CD$4,ADRYr1!$AL17,IF(ADRYr1!$AM17=CD$4,ADRYr1!$AN17,0))))*(INDEX(avoidedcosttbl,$H17,CD$2)+(($H17-ROUNDDOWN($H17,0))*(INDEX(avoidedcosttbl,ROUNDUP($H17,0),CD$2)-(INDEX(avoidedcosttbl,ROUNDDOWN($H17,0),CD$2)))))*ADRYr1!P17*ADRYr1!Q17*ADRYr1!U17)</f>
        <v/>
      </c>
      <c r="CE17" s="28" t="str">
        <f>IF($G17="","",$G17*(IF(ADRYr1!$AI17=CE$4,ADRYr1!$AJ17,IF(ADRYr1!$AK17=CE$4,ADRYr1!$AL17,IF(ADRYr1!$AM17=CE$4,ADRYr1!$AN17,0))))*(INDEX(avoidedcosttbl,$H17,CE$2)+(($H17-ROUNDDOWN($H17,0))*(INDEX(avoidedcosttbl,ROUNDUP($H17,0),CE$2)-(INDEX(avoidedcosttbl,ROUNDDOWN($H17,0),CE$2)))))*ADRYr1!P17*ADRYr1!Q17*ADRYr1!U17)</f>
        <v/>
      </c>
      <c r="CF17" s="41" t="str">
        <f t="shared" si="39"/>
        <v/>
      </c>
      <c r="CG17" s="30" t="str">
        <f t="shared" si="11"/>
        <v/>
      </c>
      <c r="CH17" s="30" t="str">
        <f>IF($G17="","",$G17*(IF(ADRYr1!$AI17=BY$4,ADRYr1!$AJ17,IF(ADRYr1!$AK17=BY$4,ADRYr1!$AL17,IF(ADRYr1!$AM17=BY$4,ADRYr1!$AN17,0))))*(INDEX(avoidedcosttbl,$H17,CH$2)+(($H17-ROUNDDOWN($H17,0))*(INDEX(avoidedcosttbl,ROUNDUP($H17,0),CH$2)-(INDEX(avoidedcosttbl,ROUNDDOWN($H17,0),CH$2)))))*ADRYr1!P17*ADRYr1!Q17*ADRYr1!U17)</f>
        <v/>
      </c>
      <c r="CI17" s="30" t="str">
        <f>IF($G17="","",$G17*(IF(ADRYr1!$AI17=BZ$4,ADRYr1!$AJ17,IF(ADRYr1!$AK17=BZ$4,ADRYr1!$AL17,IF(ADRYr1!$AM17=BZ$4,ADRYr1!$AN17,0))))*(INDEX(avoidedcosttbl,$H17,CI$2)+(($H17-ROUNDDOWN($H17,0))*(INDEX(avoidedcosttbl,ROUNDUP($H17,0),CI$2)-(INDEX(avoidedcosttbl,ROUNDDOWN($H17,0),CI$2)))))*ADRYr1!P17*ADRYr1!Q17*ADRYr1!U17)</f>
        <v/>
      </c>
      <c r="CJ17" s="30" t="str">
        <f>IF($G17="","",$G17*(IF(ADRYr1!$AI17=CA$4,ADRYr1!$AJ17,IF(ADRYr1!$AK17=CA$4,ADRYr1!$AL17,IF(ADRYr1!$AM17=CA$4,ADRYr1!$AN17,0))))*(INDEX(avoidedcosttbl,$H17,CJ$2)+(($H17-ROUNDDOWN($H17,0))*(INDEX(avoidedcosttbl,ROUNDUP($H17,0),CJ$2)-(INDEX(avoidedcosttbl,ROUNDDOWN($H17,0),CJ$2)))))*ADRYr1!P17*ADRYr1!Q17*ADRYr1!U17)</f>
        <v/>
      </c>
      <c r="CK17" s="30" t="str">
        <f>IF($G17="","",$G17*(IF(ADRYr1!$AI17=CB$4,ADRYr1!$AJ17,IF(ADRYr1!$AK17=CB$4,ADRYr1!$AL17,IF(ADRYr1!$AM17=CB$4,ADRYr1!$AN17,0))))*(INDEX(avoidedcosttbl,$H17,CK$2)+(($H17-ROUNDDOWN($H17,0))*(INDEX(avoidedcosttbl,ROUNDUP($H17,0),CK$2)-(INDEX(avoidedcosttbl,ROUNDDOWN($H17,0),CK$2)))))*ADRYr1!P17*ADRYr1!Q17*ADRYr1!U17)</f>
        <v/>
      </c>
      <c r="CL17" s="30" t="str">
        <f>IF($G17="","",$G17*(IF(ADRYr1!$AI17=CC$4,ADRYr1!$AJ17,IF(ADRYr1!$AK17=CC$4,ADRYr1!$AL17,IF(ADRYr1!$AM17=CC$4,ADRYr1!$AN17,0))))*(INDEX(avoidedcosttbl,$H17,CL$2)+(($H17-ROUNDDOWN($H17,0))*(INDEX(avoidedcosttbl,ROUNDUP($H17,0),CL$2)-(INDEX(avoidedcosttbl,ROUNDDOWN($H17,0),CL$2)))))*ADRYr1!P17*ADRYr1!Q17*ADRYr1!U17)</f>
        <v/>
      </c>
      <c r="CM17" s="30" t="str">
        <f>IF($G17="","",$G17*(IF(ADRYr1!$AI17=CD$4,ADRYr1!$AJ17,IF(ADRYr1!$AK17=CD$4,ADRYr1!$AL17,IF(ADRYr1!$AM17=CD$4,ADRYr1!$AN17,0))))*(INDEX(avoidedcosttbl,$H17,CM$2)+(($H17-ROUNDDOWN($H17,0))*(INDEX(avoidedcosttbl,ROUNDUP($H17,0),CM$2)-(INDEX(avoidedcosttbl,ROUNDDOWN($H17,0),CM$2)))))*ADRYr1!P17*ADRYr1!Q17*ADRYr1!U17)</f>
        <v/>
      </c>
      <c r="CN17" s="30" t="str">
        <f>IF($G17="","",$G17*(IF(ADRYr1!$AI17=CE$4,ADRYr1!$AJ17,IF(ADRYr1!$AK17=CE$4,ADRYr1!$AL17,IF(ADRYr1!$AM17=CE$4,ADRYr1!$AN17,0))))*(INDEX(avoidedcosttbl,$H17,CN$2)+(($H17-ROUNDDOWN($H17,0))*(INDEX(avoidedcosttbl,ROUNDUP($H17,0),CN$2)-(INDEX(avoidedcosttbl,ROUNDDOWN($H17,0),CN$2)))))*ADRYr1!P17*ADRYr1!Q17*ADRYr1!U17)</f>
        <v/>
      </c>
      <c r="CO17" s="220" t="str">
        <f t="shared" si="40"/>
        <v/>
      </c>
      <c r="CP17" s="220" t="str">
        <f t="shared" si="41"/>
        <v/>
      </c>
      <c r="CQ17" s="157" t="str">
        <f>IF($G17="","",$G17*(IF(ADRYr1!$AI17=CQ$4,ADRYr1!$AJ17,IF(ADRYr1!$AK17=CQ$4,ADRYr1!$AL17,IF(ADRYr1!$AM17=CQ$4,ADRYr1!$AN17,0))))*(INDEX(avoidedcosttbl,$H17,CQ$2)+(($H17-ROUNDDOWN($H17,0))*(INDEX(avoidedcosttbl,ROUNDUP($H17,0),CQ$2)-(INDEX(avoidedcosttbl,ROUNDDOWN($H17,0),CQ$2)))))*ADRYr1!$P17*ADRYr1!$Q17*ADRYr1!$U17)</f>
        <v/>
      </c>
      <c r="CR17" s="28" t="str">
        <f>IF($G17="","",G17*(IF(ADRYr1!$AI17=CR$4,ADRYr1!$AJ17,IF(ADRYr1!$AK17=CR$4,ADRYr1!$AL17,IF(ADRYr1!$AM17=CR$4,ADRYr1!$AN17,0))))*(INDEX(avoidedcosttbl,$H17,CR$2)+(($H17-ROUNDDOWN($H17,0))*(INDEX(avoidedcosttbl,ROUNDUP($H17,0),CR$2)-(INDEX(avoidedcosttbl,ROUNDDOWN($H17,0),CR$2)))))*ADRYr1!$P17*ADRYr1!$Q17*ADRYr1!$U17)</f>
        <v/>
      </c>
      <c r="CS17" s="28" t="str">
        <f>IF($G17="","",G17*(IF(ADRYr1!$AI17=CS$4,ADRYr1!$AJ17,IF(ADRYr1!$AK17=CS$4,ADRYr1!$AL17,IF(ADRYr1!$AM17=CS$4,ADRYr1!$AN17,0))))*(INDEX(avoidedcosttbl,$H17,CS$2)+(($H17-ROUNDDOWN($H17,0))*(INDEX(avoidedcosttbl,ROUNDUP($H17,0),CS$2)-(INDEX(avoidedcosttbl,ROUNDDOWN($H17,0),CS$2)))))*ADRYr1!$P17*ADRYr1!$Q17*ADRYr1!$U17)</f>
        <v/>
      </c>
      <c r="CT17" s="28" t="str">
        <f t="shared" si="12"/>
        <v/>
      </c>
      <c r="CU17" s="28" t="str">
        <f>IF($G17="","",G17*(IF(ADRYr1!$AI17=CU$4,ADRYr1!$AJ17,IF(ADRYr1!$AK17=CU$4,ADRYr1!$AL17,IF(ADRYr1!$AM17=CU$4,ADRYr1!$AN17,0))))*(INDEX(avoidedcosttbl,$H17,CU$2)+(($H17-ROUNDDOWN($H17,0))*(INDEX(avoidedcosttbl,ROUNDUP($H17,0),CU$2)-(INDEX(avoidedcosttbl,ROUNDDOWN($H17,0),CU$2)))))*ADRYr1!$P17*ADRYr1!$Q17*ADRYr1!$U17)</f>
        <v/>
      </c>
      <c r="CV17" s="28" t="str">
        <f>IF($G17="","",G17*(IF(ADRYr1!$AI17=CV$4,ADRYr1!$AJ17,IF(ADRYr1!$AK17=CV$4,ADRYr1!$AL17,IF(ADRYr1!$AM17=CV$4,ADRYr1!$AN17,0))))*(INDEX(avoidedcosttbl,$H17,CV$2)+(($H17-ROUNDDOWN($H17,0))*(INDEX(avoidedcosttbl,ROUNDUP($H17,0),CV$2)-(INDEX(avoidedcosttbl,ROUNDDOWN($H17,0),CV$2)))))*ADRYr1!$P17*ADRYr1!$Q17*ADRYr1!$U17)</f>
        <v/>
      </c>
      <c r="CW17" s="28" t="str">
        <f>IF($G17="","",G17*(IF(ADRYr1!$AI17=CW$4,ADRYr1!$AJ17,IF(ADRYr1!$AK17=CW$4,ADRYr1!$AL17,IF(ADRYr1!$AM17=CW$4,ADRYr1!$AN17,0))))*(INDEX(avoidedcosttbl,$H17,CW$2)+(($H17-ROUNDDOWN($H17,0))*(INDEX(avoidedcosttbl,ROUNDUP($H17,0),CW$2)-(INDEX(avoidedcosttbl,ROUNDDOWN($H17,0),CW$2)))))*ADRYr1!$P17*ADRYr1!$Q17*ADRYr1!$U17)</f>
        <v/>
      </c>
      <c r="CX17" s="28" t="str">
        <f>IF($G17="","",G17*(IF(ADRYr1!$AI17=CX$4,ADRYr1!$AJ17,IF(ADRYr1!$AK17=CX$4,ADRYr1!$AL17,IF(ADRYr1!$AM17=CX$4,ADRYr1!$AN17,0))))*(INDEX(avoidedcosttbl,$H17,CX$2)+(($H17-ROUNDDOWN($H17,0))*(INDEX(avoidedcosttbl,ROUNDUP($H17,0),CX$2)-(INDEX(avoidedcosttbl,ROUNDDOWN($H17,0),CX$2)))))*ADRYr1!$P17*ADRYr1!$Q17*ADRYr1!$U17)</f>
        <v/>
      </c>
      <c r="CY17" s="28" t="str">
        <f t="shared" si="13"/>
        <v/>
      </c>
      <c r="CZ17" s="32" t="str">
        <f t="shared" si="14"/>
        <v/>
      </c>
      <c r="DA17" s="84" t="str">
        <f t="shared" si="42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15"/>
        <v/>
      </c>
      <c r="DD17" s="166" t="str">
        <f t="shared" si="16"/>
        <v/>
      </c>
      <c r="DE17" s="82">
        <f t="shared" si="43"/>
        <v>0</v>
      </c>
      <c r="DF17" s="760" t="str">
        <f>IF($G17="","",(1+WntPeakEnergyLL)*(INDEX(avoidedcosttbl,$H17,DF$2)+(($H17-ROUNDDOWN($H17,0))*(INDEX(avoidedcosttbl,ROUNDUP($H17,0),DF$2)-(INDEX(avoidedcosttbl,ROUNDDOWN($H17,0),DF$2)))))*$P17*1000*ADRYr1!Z17)</f>
        <v/>
      </c>
      <c r="DG17" s="760" t="str">
        <f>IF($G17="","",(1+WntOffPeakEnergyLL)*(INDEX(avoidedcosttbl,$H17,DG$2)+(($H17-ROUNDDOWN($H17,0))*(INDEX(avoidedcosttbl,ROUNDUP($H17,0),DG$2)-(INDEX(avoidedcosttbl,ROUNDDOWN($H17,0),DG$2)))))*$P17*1000*ADRYr1!AA17)</f>
        <v/>
      </c>
      <c r="DH17" s="760" t="str">
        <f>IF($G17="","",(1+SumPeakEnergyLL)*(INDEX(avoidedcosttbl,$H17,DH$2)+(($H17-ROUNDDOWN($H17,0))*(INDEX(avoidedcosttbl,ROUNDUP($H17,0),DH$2)-(INDEX(avoidedcosttbl,ROUNDDOWN($H17,0),DH$2)))))*$P17*1000*ADRYr1!AB17)</f>
        <v/>
      </c>
      <c r="DI17" s="760" t="str">
        <f>IF($G17="","",(1+SumOffPeakEnergyLL)*(INDEX(avoidedcosttbl,$H17,DI$2)+(($H17-ROUNDDOWN($H17,0))*(INDEX(avoidedcosttbl,ROUNDUP($H17,0),DI$2)-(INDEX(avoidedcosttbl,ROUNDDOWN($H17,0),DI$2)))))*$P17*1000*ADRYr1!AC17)</f>
        <v/>
      </c>
      <c r="DJ17" s="29" t="str">
        <f t="shared" si="44"/>
        <v/>
      </c>
      <c r="DK17" s="161" t="str">
        <f t="shared" si="45"/>
        <v/>
      </c>
      <c r="DL17" s="1375" t="str">
        <f t="shared" si="46"/>
        <v/>
      </c>
      <c r="DM17" s="1375" t="str">
        <f t="shared" si="47"/>
        <v/>
      </c>
      <c r="DN17" s="43" t="str">
        <f t="shared" si="48"/>
        <v/>
      </c>
      <c r="DO17" s="1131" t="str">
        <f>IF($G17="","",ADRYr1!AQ17)</f>
        <v/>
      </c>
      <c r="DP17" s="1133" t="str">
        <f>IF($G17="","",ADRYr1!AR17)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17"/>
        <v/>
      </c>
      <c r="DU17" s="1135" t="str">
        <f>IF($G17="","",ADRYr1!AS17)</f>
        <v/>
      </c>
      <c r="DV17" s="1136" t="str">
        <f>IF($G17="","",ADRYr1!AT17)</f>
        <v/>
      </c>
      <c r="DW17" s="1344" t="str">
        <f>IF($G17="","",INDEX(AvoidedEnergy!$H$4:$H$10,MATCH($DO17,AvoidedEnergy!$A$4:$A$10,0)))</f>
        <v/>
      </c>
    </row>
    <row r="18" spans="1:127">
      <c r="A18" s="160" t="str">
        <f>IF(ADRYr1!$B18=0,"",ADRYr1!A18)</f>
        <v>B - Low-Income</v>
      </c>
      <c r="B18" s="9" t="str">
        <f>IF(ADRYr1!$B18=0,"",ADRYr1!B18)</f>
        <v>Home Energy Assistance</v>
      </c>
      <c r="C18" s="9" t="str">
        <f>IF(ADRYr1!$B18=0,"",ADRYr1!C18)</f>
        <v>Res Demand Response</v>
      </c>
      <c r="D18" s="9" t="str">
        <f>IF(ADRYr1!$B18=0,"",ADRYr1!D18)</f>
        <v>Behavior DR</v>
      </c>
      <c r="E18" s="9">
        <f>IF(ADRYr1!$B18=0,"",ADRYr1!E18)</f>
        <v>0</v>
      </c>
      <c r="F18" s="11" t="str">
        <f>IF(ADRYr1!$B18=0,"",ADRYr1!F18)</f>
        <v>Behavior</v>
      </c>
      <c r="G18" s="12" t="str">
        <f>IF(ADRYr1!$G18&lt;&gt;0,ADRYr1!G18,"")</f>
        <v/>
      </c>
      <c r="H18" s="1125" t="str">
        <f>IF($G18="","",ROUND(ADRYr1!H18,0))</f>
        <v/>
      </c>
      <c r="I18" s="47" t="str">
        <f>IF($G18="","",ADRYr1!I18*ADRYr1!P18*G18)</f>
        <v/>
      </c>
      <c r="J18" s="47" t="str">
        <f>IF($G18="","",ADRYr1!J18*G18)</f>
        <v/>
      </c>
      <c r="K18" s="47" t="str">
        <f t="shared" si="18"/>
        <v/>
      </c>
      <c r="L18" s="27" t="str">
        <f>IF($G18="","",ADRYr1!V18*G18/1000)</f>
        <v/>
      </c>
      <c r="M18" s="27" t="str">
        <f>IF($G18="","",L18*ADRYr1!$Q18*ADRYr1!$R18)</f>
        <v/>
      </c>
      <c r="N18" s="27" t="str">
        <f t="shared" si="19"/>
        <v/>
      </c>
      <c r="O18" s="27" t="str">
        <f t="shared" si="20"/>
        <v/>
      </c>
      <c r="P18" s="27" t="str">
        <f>IF($G18="","",M18*ADRYr1!P18)</f>
        <v/>
      </c>
      <c r="Q18" s="27" t="str">
        <f t="shared" si="21"/>
        <v/>
      </c>
      <c r="R18" s="27" t="str">
        <f>IF($G18="","",$Q18*ADRYr1!Z18)</f>
        <v/>
      </c>
      <c r="S18" s="27" t="str">
        <f>IF($G18="","",$Q18*ADRYr1!AA18)</f>
        <v/>
      </c>
      <c r="T18" s="27" t="str">
        <f>IF($G18="","",$Q18*ADRYr1!AB18)</f>
        <v/>
      </c>
      <c r="U18" s="27" t="str">
        <f>IF($G18="","",$Q18*ADRYr1!AC18)</f>
        <v/>
      </c>
      <c r="V18" s="27" t="str">
        <f>IF($G18="","",G18*ADRYr1!$AD18*ADRYr1!$P18*ADRYr1!$Q18)</f>
        <v/>
      </c>
      <c r="W18" s="27" t="str">
        <f>IF($G18="","",$G18*ADRYr1!$AD18*ADRYr1!$AF18*ADRYr1!Q18*ADRYr1!$S18)</f>
        <v/>
      </c>
      <c r="X18" s="27" t="str">
        <f>IF($G18="","",$G18*ADRYr1!$AD18*ADRYr1!$AF18*ADRYr1!P18*ADRYr1!Q18*ADRYr1!$S18)</f>
        <v/>
      </c>
      <c r="Y18" s="27" t="str">
        <f>IF($G18="","",$G18*ADRYr1!$AD18*ADRYr1!$AE18*ADRYr1!Q18*ADRYr1!$T18)</f>
        <v/>
      </c>
      <c r="Z18" s="27" t="str">
        <f>IF($G18="","",$G18*ADRYr1!$AD18*ADRYr1!$AE18*ADRYr1!P18*ADRYr1!Q18*ADRYr1!$T18)</f>
        <v/>
      </c>
      <c r="AA18" s="45" t="str">
        <f>IF($G18="","",$G18*ADRYr1!$Q18*ADRYr1!$U18*(IF(IFERROR(SEARCH("NG", ADRYr1!$AI18),0),ADRYr1!$AJ18,0)+IF(IFERROR(SEARCH("NG", ADRYr1!$AK18),0),ADRYr1!$AL18,0)+IF(IFERROR(SEARCH("NG", ADRYr1!$AM18),0),ADRYr1!$AN18,0)))</f>
        <v/>
      </c>
      <c r="AB18" s="45" t="str">
        <f t="shared" si="22"/>
        <v/>
      </c>
      <c r="AC18" s="45">
        <f>IF($G18="",0,AA18*ADRYr1!$P18)</f>
        <v>0</v>
      </c>
      <c r="AD18" s="45" t="str">
        <f t="shared" si="23"/>
        <v/>
      </c>
      <c r="AE18" s="45" t="str">
        <f>IF($G18="","",$G18*ADRYr1!$Q18*ADRYr1!$U18*(IF(IFERROR(SEARCH("Oil", ADRYr1!$AI18), 0),ADRYr1!$AJ18,0)+IF(IFERROR(SEARCH("Oil", ADRYr1!$AK18), 0),ADRYr1!$AL18,0)+IF(IFERROR(SEARCH("Oil", ADRYr1!$AM18), 0),ADRYr1!$AN18,0)))</f>
        <v/>
      </c>
      <c r="AF18" s="45" t="str">
        <f t="shared" si="24"/>
        <v/>
      </c>
      <c r="AG18" s="45">
        <f>IF($G18="",0,AE18*ADRYr1!$P18)</f>
        <v>0</v>
      </c>
      <c r="AH18" s="45" t="str">
        <f t="shared" si="25"/>
        <v/>
      </c>
      <c r="AI18" s="45" t="str">
        <f>IF($G18="","",$G18*ADRYr1!$Q18*ADRYr1!$U18*(IF(ADRYr1!$AI18=Lookups!$E$114,ADRYr1!$AJ18,IF(ADRYr1!$AK18=Lookups!$E$114,ADRYr1!$AL18,IF(ADRYr1!$AM18=Lookups!$E$114,ADRYr1!$AN18,0)))))</f>
        <v/>
      </c>
      <c r="AJ18" s="45" t="str">
        <f t="shared" si="26"/>
        <v/>
      </c>
      <c r="AK18" s="45">
        <f>IF($G18="",0,AI18*ADRYr1!$P18)</f>
        <v>0</v>
      </c>
      <c r="AL18" s="45" t="str">
        <f t="shared" si="27"/>
        <v/>
      </c>
      <c r="AM18" s="45" t="str">
        <f>IF($G18="","",$G18*ADRYr1!$Q18*ADRYr1!$U18*(IF(ADRYr1!$AI18=Lookups!$E$113,ADRYr1!$AJ18,IF(ADRYr1!$AK18=Lookups!$E$113,ADRYr1!$AL18,IF(ADRYr1!$AM18=Lookups!$E$113,ADRYr1!$AN18,0)))))</f>
        <v/>
      </c>
      <c r="AN18" s="45" t="str">
        <f t="shared" si="28"/>
        <v/>
      </c>
      <c r="AO18" s="45">
        <f>IF($G18="",0,AM18*ADRYr1!$P18)</f>
        <v>0</v>
      </c>
      <c r="AP18" s="45" t="str">
        <f t="shared" si="29"/>
        <v/>
      </c>
      <c r="AQ18" s="45" t="str">
        <f>IF($G18="","",$G18*ADRYr1!$Q18*ADRYr1!$U18*(IF(ADRYr1!$AI18=Lookups!$E$115,ADRYr1!$AJ18,IF(ADRYr1!$AK18=Lookups!$E$115,ADRYr1!$AL18,IF(ADRYr1!$AM18=Lookups!$E$115,ADRYr1!$AN18,0)))))</f>
        <v/>
      </c>
      <c r="AR18" s="45" t="str">
        <f t="shared" si="30"/>
        <v/>
      </c>
      <c r="AS18" s="45" t="str">
        <f>IF($G18="","",AQ18*ADRYr1!$P18)</f>
        <v/>
      </c>
      <c r="AT18" s="45" t="str">
        <f t="shared" si="31"/>
        <v/>
      </c>
      <c r="AU18" s="45" t="str">
        <f>IF($G18="","",$G18*ADRYr1!$Q18*ADRYr1!$U18*(IF(ADRYr1!$AI18=Lookups!$E$116,ADRYr1!$AJ18,IF(ADRYr1!$AK18=Lookups!$E$116,ADRYr1!$AL18,IF(ADRYr1!$AM18=Lookups!$E$116,ADRYr1!$AN18,0)))))</f>
        <v/>
      </c>
      <c r="AV18" s="45" t="str">
        <f t="shared" si="32"/>
        <v/>
      </c>
      <c r="AW18" s="45" t="str">
        <f>IF($G18="","",AU18*ADRYr1!$P18)</f>
        <v/>
      </c>
      <c r="AX18" s="45" t="str">
        <f t="shared" si="33"/>
        <v/>
      </c>
      <c r="AY18" s="45">
        <f t="shared" si="34"/>
        <v>0</v>
      </c>
      <c r="AZ18" s="45">
        <f t="shared" si="34"/>
        <v>0</v>
      </c>
      <c r="BA18" s="101" t="str">
        <f>IF($G18="","",$G18*ADRYr1!$P18*ADRYr1!$Q18*ADRYr1!$U18*ADRYr1!AO18)</f>
        <v/>
      </c>
      <c r="BB18" s="102" t="str">
        <f>IF($G18="","",$G18*ADRYr1!$P18*ADRYr1!$Q18*ADRYr1!$U18*ADRYr1!AP18)</f>
        <v/>
      </c>
      <c r="BC18" s="100" t="str">
        <f t="shared" si="35"/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5"/>
        <v/>
      </c>
      <c r="BO18" s="31" t="str">
        <f t="shared" si="36"/>
        <v/>
      </c>
      <c r="BP18" s="1129" t="str">
        <f t="shared" si="6"/>
        <v/>
      </c>
      <c r="BQ18" s="28" t="str">
        <f t="shared" si="7"/>
        <v/>
      </c>
      <c r="BR18" s="1129" t="str">
        <f t="shared" si="8"/>
        <v/>
      </c>
      <c r="BS18" s="1129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7"/>
        <v/>
      </c>
      <c r="BX18" s="29" t="str">
        <f t="shared" si="38"/>
        <v/>
      </c>
      <c r="BY18" s="28" t="str">
        <f>IF($G18="","",$G18*(IF(ADRYr1!$AI18=BY$4,ADRYr1!$AJ18,IF(ADRYr1!$AK18=BY$4,ADRYr1!$AL18,IF(ADRYr1!$AM18=BY$4,ADRYr1!$AN18,0))))*(INDEX(avoidedcosttbl,$H18,BY$2)+(($H18-ROUNDDOWN($H18,0))*(INDEX(avoidedcosttbl,ROUNDUP($H18,0),BY$2)-(INDEX(avoidedcosttbl,ROUNDDOWN($H18,0),BY$2)))))*ADRYr1!P18*ADRYr1!Q18*ADRYr1!U18)</f>
        <v/>
      </c>
      <c r="BZ18" s="28" t="str">
        <f>IF($G18="","",$G18*(IF(ADRYr1!$AI18=BZ$4,ADRYr1!$AJ18,IF(ADRYr1!$AK18=BZ$4,ADRYr1!$AL18,IF(ADRYr1!$AM18=BZ$4,ADRYr1!$AN18,0))))*(INDEX(avoidedcosttbl,$H18,BZ$2)+(($H18-ROUNDDOWN($H18,0))*(INDEX(avoidedcosttbl,ROUNDUP($H18,0),BZ$2)-(INDEX(avoidedcosttbl,ROUNDDOWN($H18,0),BZ$2)))))*ADRYr1!P18*ADRYr1!Q18*ADRYr1!U18)</f>
        <v/>
      </c>
      <c r="CA18" s="28" t="str">
        <f>IF($G18="","",$G18*(IF(ADRYr1!$AI18=CA$4,ADRYr1!$AJ18,IF(ADRYr1!$AK18=CA$4,ADRYr1!$AL18,IF(ADRYr1!$AM18=CA$4,ADRYr1!$AN18,0))))*(INDEX(avoidedcosttbl,$H18,CA$2)+(($H18-ROUNDDOWN($H18,0))*(INDEX(avoidedcosttbl,ROUNDUP($H18,0),CA$2)-(INDEX(avoidedcosttbl,ROUNDDOWN($H18,0),CA$2)))))*ADRYr1!P18*ADRYr1!Q18*ADRYr1!U18)</f>
        <v/>
      </c>
      <c r="CB18" s="28" t="str">
        <f>IF($G18="","",$G18*(IF(ADRYr1!$AI18=CB$4,ADRYr1!$AJ18,IF(ADRYr1!$AK18=CB$4,ADRYr1!$AL18,IF(ADRYr1!$AM18=CB$4,ADRYr1!$AN18,0))))*(INDEX(avoidedcosttbl,$H18,CB$2)+(($H18-ROUNDDOWN($H18,0))*(INDEX(avoidedcosttbl,ROUNDUP($H18,0),CB$2)-(INDEX(avoidedcosttbl,ROUNDDOWN($H18,0),CB$2)))))*ADRYr1!P18*ADRYr1!Q18*ADRYr1!U18)</f>
        <v/>
      </c>
      <c r="CC18" s="28" t="str">
        <f>IF($G18="","",$G18*(IF(ADRYr1!$AI18=CC$4,ADRYr1!$AJ18,IF(ADRYr1!$AK18=CC$4,ADRYr1!$AL18,IF(ADRYr1!$AM18=CC$4,ADRYr1!$AN18,0))))*(INDEX(avoidedcosttbl,$H18,CC$2)+(($H18-ROUNDDOWN($H18,0))*(INDEX(avoidedcosttbl,ROUNDUP($H18,0),CC$2)-(INDEX(avoidedcosttbl,ROUNDDOWN($H18,0),CC$2)))))*ADRYr1!P18*ADRYr1!Q18*ADRYr1!U18)</f>
        <v/>
      </c>
      <c r="CD18" s="28" t="str">
        <f>IF($G18="","",$G18*(IF(ADRYr1!$AI18=CD$4,ADRYr1!$AJ18,IF(ADRYr1!$AK18=CD$4,ADRYr1!$AL18,IF(ADRYr1!$AM18=CD$4,ADRYr1!$AN18,0))))*(INDEX(avoidedcosttbl,$H18,CD$2)+(($H18-ROUNDDOWN($H18,0))*(INDEX(avoidedcosttbl,ROUNDUP($H18,0),CD$2)-(INDEX(avoidedcosttbl,ROUNDDOWN($H18,0),CD$2)))))*ADRYr1!P18*ADRYr1!Q18*ADRYr1!U18)</f>
        <v/>
      </c>
      <c r="CE18" s="28" t="str">
        <f>IF($G18="","",$G18*(IF(ADRYr1!$AI18=CE$4,ADRYr1!$AJ18,IF(ADRYr1!$AK18=CE$4,ADRYr1!$AL18,IF(ADRYr1!$AM18=CE$4,ADRYr1!$AN18,0))))*(INDEX(avoidedcosttbl,$H18,CE$2)+(($H18-ROUNDDOWN($H18,0))*(INDEX(avoidedcosttbl,ROUNDUP($H18,0),CE$2)-(INDEX(avoidedcosttbl,ROUNDDOWN($H18,0),CE$2)))))*ADRYr1!P18*ADRYr1!Q18*ADRYr1!U18)</f>
        <v/>
      </c>
      <c r="CF18" s="41" t="str">
        <f t="shared" si="39"/>
        <v/>
      </c>
      <c r="CG18" s="30" t="str">
        <f t="shared" si="11"/>
        <v/>
      </c>
      <c r="CH18" s="30" t="str">
        <f>IF($G18="","",$G18*(IF(ADRYr1!$AI18=BY$4,ADRYr1!$AJ18,IF(ADRYr1!$AK18=BY$4,ADRYr1!$AL18,IF(ADRYr1!$AM18=BY$4,ADRYr1!$AN18,0))))*(INDEX(avoidedcosttbl,$H18,CH$2)+(($H18-ROUNDDOWN($H18,0))*(INDEX(avoidedcosttbl,ROUNDUP($H18,0),CH$2)-(INDEX(avoidedcosttbl,ROUNDDOWN($H18,0),CH$2)))))*ADRYr1!P18*ADRYr1!Q18*ADRYr1!U18)</f>
        <v/>
      </c>
      <c r="CI18" s="30" t="str">
        <f>IF($G18="","",$G18*(IF(ADRYr1!$AI18=BZ$4,ADRYr1!$AJ18,IF(ADRYr1!$AK18=BZ$4,ADRYr1!$AL18,IF(ADRYr1!$AM18=BZ$4,ADRYr1!$AN18,0))))*(INDEX(avoidedcosttbl,$H18,CI$2)+(($H18-ROUNDDOWN($H18,0))*(INDEX(avoidedcosttbl,ROUNDUP($H18,0),CI$2)-(INDEX(avoidedcosttbl,ROUNDDOWN($H18,0),CI$2)))))*ADRYr1!P18*ADRYr1!Q18*ADRYr1!U18)</f>
        <v/>
      </c>
      <c r="CJ18" s="30" t="str">
        <f>IF($G18="","",$G18*(IF(ADRYr1!$AI18=CA$4,ADRYr1!$AJ18,IF(ADRYr1!$AK18=CA$4,ADRYr1!$AL18,IF(ADRYr1!$AM18=CA$4,ADRYr1!$AN18,0))))*(INDEX(avoidedcosttbl,$H18,CJ$2)+(($H18-ROUNDDOWN($H18,0))*(INDEX(avoidedcosttbl,ROUNDUP($H18,0),CJ$2)-(INDEX(avoidedcosttbl,ROUNDDOWN($H18,0),CJ$2)))))*ADRYr1!P18*ADRYr1!Q18*ADRYr1!U18)</f>
        <v/>
      </c>
      <c r="CK18" s="30" t="str">
        <f>IF($G18="","",$G18*(IF(ADRYr1!$AI18=CB$4,ADRYr1!$AJ18,IF(ADRYr1!$AK18=CB$4,ADRYr1!$AL18,IF(ADRYr1!$AM18=CB$4,ADRYr1!$AN18,0))))*(INDEX(avoidedcosttbl,$H18,CK$2)+(($H18-ROUNDDOWN($H18,0))*(INDEX(avoidedcosttbl,ROUNDUP($H18,0),CK$2)-(INDEX(avoidedcosttbl,ROUNDDOWN($H18,0),CK$2)))))*ADRYr1!P18*ADRYr1!Q18*ADRYr1!U18)</f>
        <v/>
      </c>
      <c r="CL18" s="30" t="str">
        <f>IF($G18="","",$G18*(IF(ADRYr1!$AI18=CC$4,ADRYr1!$AJ18,IF(ADRYr1!$AK18=CC$4,ADRYr1!$AL18,IF(ADRYr1!$AM18=CC$4,ADRYr1!$AN18,0))))*(INDEX(avoidedcosttbl,$H18,CL$2)+(($H18-ROUNDDOWN($H18,0))*(INDEX(avoidedcosttbl,ROUNDUP($H18,0),CL$2)-(INDEX(avoidedcosttbl,ROUNDDOWN($H18,0),CL$2)))))*ADRYr1!P18*ADRYr1!Q18*ADRYr1!U18)</f>
        <v/>
      </c>
      <c r="CM18" s="30" t="str">
        <f>IF($G18="","",$G18*(IF(ADRYr1!$AI18=CD$4,ADRYr1!$AJ18,IF(ADRYr1!$AK18=CD$4,ADRYr1!$AL18,IF(ADRYr1!$AM18=CD$4,ADRYr1!$AN18,0))))*(INDEX(avoidedcosttbl,$H18,CM$2)+(($H18-ROUNDDOWN($H18,0))*(INDEX(avoidedcosttbl,ROUNDUP($H18,0),CM$2)-(INDEX(avoidedcosttbl,ROUNDDOWN($H18,0),CM$2)))))*ADRYr1!P18*ADRYr1!Q18*ADRYr1!U18)</f>
        <v/>
      </c>
      <c r="CN18" s="30" t="str">
        <f>IF($G18="","",$G18*(IF(ADRYr1!$AI18=CE$4,ADRYr1!$AJ18,IF(ADRYr1!$AK18=CE$4,ADRYr1!$AL18,IF(ADRYr1!$AM18=CE$4,ADRYr1!$AN18,0))))*(INDEX(avoidedcosttbl,$H18,CN$2)+(($H18-ROUNDDOWN($H18,0))*(INDEX(avoidedcosttbl,ROUNDUP($H18,0),CN$2)-(INDEX(avoidedcosttbl,ROUNDDOWN($H18,0),CN$2)))))*ADRYr1!P18*ADRYr1!Q18*ADRYr1!U18)</f>
        <v/>
      </c>
      <c r="CO18" s="220" t="str">
        <f t="shared" si="40"/>
        <v/>
      </c>
      <c r="CP18" s="220" t="str">
        <f t="shared" si="41"/>
        <v/>
      </c>
      <c r="CQ18" s="157" t="str">
        <f>IF($G18="","",$G18*(IF(ADRYr1!$AI18=CQ$4,ADRYr1!$AJ18,IF(ADRYr1!$AK18=CQ$4,ADRYr1!$AL18,IF(ADRYr1!$AM18=CQ$4,ADRYr1!$AN18,0))))*(INDEX(avoidedcosttbl,$H18,CQ$2)+(($H18-ROUNDDOWN($H18,0))*(INDEX(avoidedcosttbl,ROUNDUP($H18,0),CQ$2)-(INDEX(avoidedcosttbl,ROUNDDOWN($H18,0),CQ$2)))))*ADRYr1!$P18*ADRYr1!$Q18*ADRYr1!$U18)</f>
        <v/>
      </c>
      <c r="CR18" s="28" t="str">
        <f>IF($G18="","",G18*(IF(ADRYr1!$AI18=CR$4,ADRYr1!$AJ18,IF(ADRYr1!$AK18=CR$4,ADRYr1!$AL18,IF(ADRYr1!$AM18=CR$4,ADRYr1!$AN18,0))))*(INDEX(avoidedcosttbl,$H18,CR$2)+(($H18-ROUNDDOWN($H18,0))*(INDEX(avoidedcosttbl,ROUNDUP($H18,0),CR$2)-(INDEX(avoidedcosttbl,ROUNDDOWN($H18,0),CR$2)))))*ADRYr1!$P18*ADRYr1!$Q18*ADRYr1!$U18)</f>
        <v/>
      </c>
      <c r="CS18" s="28" t="str">
        <f>IF($G18="","",G18*(IF(ADRYr1!$AI18=CS$4,ADRYr1!$AJ18,IF(ADRYr1!$AK18=CS$4,ADRYr1!$AL18,IF(ADRYr1!$AM18=CS$4,ADRYr1!$AN18,0))))*(INDEX(avoidedcosttbl,$H18,CS$2)+(($H18-ROUNDDOWN($H18,0))*(INDEX(avoidedcosttbl,ROUNDUP($H18,0),CS$2)-(INDEX(avoidedcosttbl,ROUNDDOWN($H18,0),CS$2)))))*ADRYr1!$P18*ADRYr1!$Q18*ADRYr1!$U18)</f>
        <v/>
      </c>
      <c r="CT18" s="28" t="str">
        <f t="shared" si="12"/>
        <v/>
      </c>
      <c r="CU18" s="28" t="str">
        <f>IF($G18="","",G18*(IF(ADRYr1!$AI18=CU$4,ADRYr1!$AJ18,IF(ADRYr1!$AK18=CU$4,ADRYr1!$AL18,IF(ADRYr1!$AM18=CU$4,ADRYr1!$AN18,0))))*(INDEX(avoidedcosttbl,$H18,CU$2)+(($H18-ROUNDDOWN($H18,0))*(INDEX(avoidedcosttbl,ROUNDUP($H18,0),CU$2)-(INDEX(avoidedcosttbl,ROUNDDOWN($H18,0),CU$2)))))*ADRYr1!$P18*ADRYr1!$Q18*ADRYr1!$U18)</f>
        <v/>
      </c>
      <c r="CV18" s="28" t="str">
        <f>IF($G18="","",G18*(IF(ADRYr1!$AI18=CV$4,ADRYr1!$AJ18,IF(ADRYr1!$AK18=CV$4,ADRYr1!$AL18,IF(ADRYr1!$AM18=CV$4,ADRYr1!$AN18,0))))*(INDEX(avoidedcosttbl,$H18,CV$2)+(($H18-ROUNDDOWN($H18,0))*(INDEX(avoidedcosttbl,ROUNDUP($H18,0),CV$2)-(INDEX(avoidedcosttbl,ROUNDDOWN($H18,0),CV$2)))))*ADRYr1!$P18*ADRYr1!$Q18*ADRYr1!$U18)</f>
        <v/>
      </c>
      <c r="CW18" s="28" t="str">
        <f>IF($G18="","",G18*(IF(ADRYr1!$AI18=CW$4,ADRYr1!$AJ18,IF(ADRYr1!$AK18=CW$4,ADRYr1!$AL18,IF(ADRYr1!$AM18=CW$4,ADRYr1!$AN18,0))))*(INDEX(avoidedcosttbl,$H18,CW$2)+(($H18-ROUNDDOWN($H18,0))*(INDEX(avoidedcosttbl,ROUNDUP($H18,0),CW$2)-(INDEX(avoidedcosttbl,ROUNDDOWN($H18,0),CW$2)))))*ADRYr1!$P18*ADRYr1!$Q18*ADRYr1!$U18)</f>
        <v/>
      </c>
      <c r="CX18" s="28" t="str">
        <f>IF($G18="","",G18*(IF(ADRYr1!$AI18=CX$4,ADRYr1!$AJ18,IF(ADRYr1!$AK18=CX$4,ADRYr1!$AL18,IF(ADRYr1!$AM18=CX$4,ADRYr1!$AN18,0))))*(INDEX(avoidedcosttbl,$H18,CX$2)+(($H18-ROUNDDOWN($H18,0))*(INDEX(avoidedcosttbl,ROUNDUP($H18,0),CX$2)-(INDEX(avoidedcosttbl,ROUNDDOWN($H18,0),CX$2)))))*ADRYr1!$P18*ADRYr1!$Q18*ADRYr1!$U18)</f>
        <v/>
      </c>
      <c r="CY18" s="28" t="str">
        <f t="shared" si="13"/>
        <v/>
      </c>
      <c r="CZ18" s="32" t="str">
        <f t="shared" si="14"/>
        <v/>
      </c>
      <c r="DA18" s="84" t="str">
        <f t="shared" si="42"/>
        <v/>
      </c>
      <c r="DB18" s="81" t="str">
        <f>IF(NEIadder="Yes",IF($G18="","",INDEX(Lookups!$G$68:$G$70,MATCH($A18,Lookups!$E$68:$E$70,0))*(SUM(CP18:CX18,BX18))),"")</f>
        <v/>
      </c>
      <c r="DC18" s="263" t="str">
        <f t="shared" si="15"/>
        <v/>
      </c>
      <c r="DD18" s="166" t="str">
        <f t="shared" si="16"/>
        <v/>
      </c>
      <c r="DE18" s="82">
        <f t="shared" si="43"/>
        <v>0</v>
      </c>
      <c r="DF18" s="760" t="str">
        <f>IF($G18="","",(1+WntPeakEnergyLL)*(INDEX(avoidedcosttbl,$H18,DF$2)+(($H18-ROUNDDOWN($H18,0))*(INDEX(avoidedcosttbl,ROUNDUP($H18,0),DF$2)-(INDEX(avoidedcosttbl,ROUNDDOWN($H18,0),DF$2)))))*$P18*1000*ADRYr1!Z18)</f>
        <v/>
      </c>
      <c r="DG18" s="760" t="str">
        <f>IF($G18="","",(1+WntOffPeakEnergyLL)*(INDEX(avoidedcosttbl,$H18,DG$2)+(($H18-ROUNDDOWN($H18,0))*(INDEX(avoidedcosttbl,ROUNDUP($H18,0),DG$2)-(INDEX(avoidedcosttbl,ROUNDDOWN($H18,0),DG$2)))))*$P18*1000*ADRYr1!AA18)</f>
        <v/>
      </c>
      <c r="DH18" s="760" t="str">
        <f>IF($G18="","",(1+SumPeakEnergyLL)*(INDEX(avoidedcosttbl,$H18,DH$2)+(($H18-ROUNDDOWN($H18,0))*(INDEX(avoidedcosttbl,ROUNDUP($H18,0),DH$2)-(INDEX(avoidedcosttbl,ROUNDDOWN($H18,0),DH$2)))))*$P18*1000*ADRYr1!AB18)</f>
        <v/>
      </c>
      <c r="DI18" s="760" t="str">
        <f>IF($G18="","",(1+SumOffPeakEnergyLL)*(INDEX(avoidedcosttbl,$H18,DI$2)+(($H18-ROUNDDOWN($H18,0))*(INDEX(avoidedcosttbl,ROUNDUP($H18,0),DI$2)-(INDEX(avoidedcosttbl,ROUNDDOWN($H18,0),DI$2)))))*$P18*1000*ADRYr1!AC18)</f>
        <v/>
      </c>
      <c r="DJ18" s="29" t="str">
        <f t="shared" si="44"/>
        <v/>
      </c>
      <c r="DK18" s="161" t="str">
        <f t="shared" si="45"/>
        <v/>
      </c>
      <c r="DL18" s="1375" t="str">
        <f t="shared" si="46"/>
        <v/>
      </c>
      <c r="DM18" s="1375" t="str">
        <f t="shared" si="47"/>
        <v/>
      </c>
      <c r="DN18" s="43" t="str">
        <f t="shared" si="48"/>
        <v/>
      </c>
      <c r="DO18" s="1131" t="str">
        <f>IF($G18="","",ADRYr1!AQ18)</f>
        <v/>
      </c>
      <c r="DP18" s="1133" t="str">
        <f>IF($G18="","",ADRYr1!AR18)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17"/>
        <v/>
      </c>
      <c r="DU18" s="1135" t="str">
        <f>IF($G18="","",ADRYr1!AS18)</f>
        <v/>
      </c>
      <c r="DV18" s="1136" t="str">
        <f>IF($G18="","",ADRYr1!AT18)</f>
        <v/>
      </c>
      <c r="DW18" s="1344" t="str">
        <f>IF($G18="","",INDEX(AvoidedEnergy!$H$4:$H$10,MATCH($DO18,AvoidedEnergy!$A$4:$A$10,0)))</f>
        <v/>
      </c>
    </row>
    <row r="19" spans="1:127">
      <c r="A19" s="160" t="str">
        <f>IF(ADRYr1!$B19=0,"",ADRYr1!A19)</f>
        <v>B - Low-Income</v>
      </c>
      <c r="B19" s="9" t="str">
        <f>IF(ADRYr1!$B19=0,"",ADRYr1!B19)</f>
        <v>Home Energy Assistance</v>
      </c>
      <c r="C19" s="9" t="str">
        <f>IF(ADRYr1!$B19=0,"",ADRYr1!C19)</f>
        <v>Res Demand Response</v>
      </c>
      <c r="D19" s="9" t="str">
        <f>IF(ADRYr1!$B19=0,"",ADRYr1!D19)</f>
        <v>Storage Daily Dispatch Upfront Incentive (savings) Summer</v>
      </c>
      <c r="E19" s="9">
        <f>IF(ADRYr1!$B19=0,"",ADRYr1!E19)</f>
        <v>0</v>
      </c>
      <c r="F19" s="11" t="str">
        <f>IF(ADRYr1!$B19=0,"",ADRYr1!F19)</f>
        <v>Behavior</v>
      </c>
      <c r="G19" s="12" t="str">
        <f>IF(ADRYr1!$G19&lt;&gt;0,ADRYr1!G19,"")</f>
        <v/>
      </c>
      <c r="H19" s="1125" t="str">
        <f>IF($G19="","",ROUND(ADRYr1!H19,0))</f>
        <v/>
      </c>
      <c r="I19" s="47" t="str">
        <f>IF($G19="","",ADRYr1!I19*ADRYr1!P19*G19)</f>
        <v/>
      </c>
      <c r="J19" s="47" t="str">
        <f>IF($G19="","",ADRYr1!J19*G19)</f>
        <v/>
      </c>
      <c r="K19" s="47" t="str">
        <f t="shared" si="18"/>
        <v/>
      </c>
      <c r="L19" s="27" t="str">
        <f>IF($G19="","",ADRYr1!V19*G19/1000)</f>
        <v/>
      </c>
      <c r="M19" s="27" t="str">
        <f>IF($G19="","",L19*ADRYr1!$Q19*ADRYr1!$R19)</f>
        <v/>
      </c>
      <c r="N19" s="27" t="str">
        <f t="shared" si="19"/>
        <v/>
      </c>
      <c r="O19" s="27" t="str">
        <f t="shared" si="20"/>
        <v/>
      </c>
      <c r="P19" s="27" t="str">
        <f>IF($G19="","",M19*ADRYr1!P19)</f>
        <v/>
      </c>
      <c r="Q19" s="27" t="str">
        <f t="shared" si="21"/>
        <v/>
      </c>
      <c r="R19" s="27" t="str">
        <f>IF($G19="","",$Q19*ADRYr1!Z19)</f>
        <v/>
      </c>
      <c r="S19" s="27" t="str">
        <f>IF($G19="","",$Q19*ADRYr1!AA19)</f>
        <v/>
      </c>
      <c r="T19" s="27" t="str">
        <f>IF($G19="","",$Q19*ADRYr1!AB19)</f>
        <v/>
      </c>
      <c r="U19" s="27" t="str">
        <f>IF($G19="","",$Q19*ADRYr1!AC19)</f>
        <v/>
      </c>
      <c r="V19" s="27" t="str">
        <f>IF($G19="","",G19*ADRYr1!$AD19*ADRYr1!$P19*ADRYr1!$Q19)</f>
        <v/>
      </c>
      <c r="W19" s="27" t="str">
        <f>IF($G19="","",$G19*ADRYr1!$AD19*ADRYr1!$AF19*ADRYr1!Q19*ADRYr1!$S19)</f>
        <v/>
      </c>
      <c r="X19" s="27" t="str">
        <f>IF($G19="","",$G19*ADRYr1!$AD19*ADRYr1!$AF19*ADRYr1!P19*ADRYr1!Q19*ADRYr1!$S19)</f>
        <v/>
      </c>
      <c r="Y19" s="27" t="str">
        <f>IF($G19="","",$G19*ADRYr1!$AD19*ADRYr1!$AE19*ADRYr1!Q19*ADRYr1!$T19)</f>
        <v/>
      </c>
      <c r="Z19" s="27" t="str">
        <f>IF($G19="","",$G19*ADRYr1!$AD19*ADRYr1!$AE19*ADRYr1!P19*ADRYr1!Q19*ADRYr1!$T19)</f>
        <v/>
      </c>
      <c r="AA19" s="45" t="str">
        <f>IF($G19="","",$G19*ADRYr1!$Q19*ADRYr1!$U19*(IF(IFERROR(SEARCH("NG", ADRYr1!$AI19),0),ADRYr1!$AJ19,0)+IF(IFERROR(SEARCH("NG", ADRYr1!$AK19),0),ADRYr1!$AL19,0)+IF(IFERROR(SEARCH("NG", ADRYr1!$AM19),0),ADRYr1!$AN19,0)))</f>
        <v/>
      </c>
      <c r="AB19" s="45" t="str">
        <f t="shared" si="22"/>
        <v/>
      </c>
      <c r="AC19" s="45">
        <f>IF($G19="",0,AA19*ADRYr1!$P19)</f>
        <v>0</v>
      </c>
      <c r="AD19" s="45" t="str">
        <f t="shared" si="23"/>
        <v/>
      </c>
      <c r="AE19" s="45" t="str">
        <f>IF($G19="","",$G19*ADRYr1!$Q19*ADRYr1!$U19*(IF(IFERROR(SEARCH("Oil", ADRYr1!$AI19), 0),ADRYr1!$AJ19,0)+IF(IFERROR(SEARCH("Oil", ADRYr1!$AK19), 0),ADRYr1!$AL19,0)+IF(IFERROR(SEARCH("Oil", ADRYr1!$AM19), 0),ADRYr1!$AN19,0)))</f>
        <v/>
      </c>
      <c r="AF19" s="45" t="str">
        <f t="shared" si="24"/>
        <v/>
      </c>
      <c r="AG19" s="45">
        <f>IF($G19="",0,AE19*ADRYr1!$P19)</f>
        <v>0</v>
      </c>
      <c r="AH19" s="45" t="str">
        <f t="shared" si="25"/>
        <v/>
      </c>
      <c r="AI19" s="45" t="str">
        <f>IF($G19="","",$G19*ADRYr1!$Q19*ADRYr1!$U19*(IF(ADRYr1!$AI19=Lookups!$E$114,ADRYr1!$AJ19,IF(ADRYr1!$AK19=Lookups!$E$114,ADRYr1!$AL19,IF(ADRYr1!$AM19=Lookups!$E$114,ADRYr1!$AN19,0)))))</f>
        <v/>
      </c>
      <c r="AJ19" s="45" t="str">
        <f t="shared" si="26"/>
        <v/>
      </c>
      <c r="AK19" s="45">
        <f>IF($G19="",0,AI19*ADRYr1!$P19)</f>
        <v>0</v>
      </c>
      <c r="AL19" s="45" t="str">
        <f t="shared" si="27"/>
        <v/>
      </c>
      <c r="AM19" s="45" t="str">
        <f>IF($G19="","",$G19*ADRYr1!$Q19*ADRYr1!$U19*(IF(ADRYr1!$AI19=Lookups!$E$113,ADRYr1!$AJ19,IF(ADRYr1!$AK19=Lookups!$E$113,ADRYr1!$AL19,IF(ADRYr1!$AM19=Lookups!$E$113,ADRYr1!$AN19,0)))))</f>
        <v/>
      </c>
      <c r="AN19" s="45" t="str">
        <f t="shared" si="28"/>
        <v/>
      </c>
      <c r="AO19" s="45">
        <f>IF($G19="",0,AM19*ADRYr1!$P19)</f>
        <v>0</v>
      </c>
      <c r="AP19" s="45" t="str">
        <f t="shared" si="29"/>
        <v/>
      </c>
      <c r="AQ19" s="45" t="str">
        <f>IF($G19="","",$G19*ADRYr1!$Q19*ADRYr1!$U19*(IF(ADRYr1!$AI19=Lookups!$E$115,ADRYr1!$AJ19,IF(ADRYr1!$AK19=Lookups!$E$115,ADRYr1!$AL19,IF(ADRYr1!$AM19=Lookups!$E$115,ADRYr1!$AN19,0)))))</f>
        <v/>
      </c>
      <c r="AR19" s="45" t="str">
        <f t="shared" si="30"/>
        <v/>
      </c>
      <c r="AS19" s="45" t="str">
        <f>IF($G19="","",AQ19*ADRYr1!$P19)</f>
        <v/>
      </c>
      <c r="AT19" s="45" t="str">
        <f t="shared" si="31"/>
        <v/>
      </c>
      <c r="AU19" s="45" t="str">
        <f>IF($G19="","",$G19*ADRYr1!$Q19*ADRYr1!$U19*(IF(ADRYr1!$AI19=Lookups!$E$116,ADRYr1!$AJ19,IF(ADRYr1!$AK19=Lookups!$E$116,ADRYr1!$AL19,IF(ADRYr1!$AM19=Lookups!$E$116,ADRYr1!$AN19,0)))))</f>
        <v/>
      </c>
      <c r="AV19" s="45" t="str">
        <f t="shared" si="32"/>
        <v/>
      </c>
      <c r="AW19" s="45" t="str">
        <f>IF($G19="","",AU19*ADRYr1!$P19)</f>
        <v/>
      </c>
      <c r="AX19" s="45" t="str">
        <f t="shared" si="33"/>
        <v/>
      </c>
      <c r="AY19" s="45">
        <f t="shared" si="34"/>
        <v>0</v>
      </c>
      <c r="AZ19" s="45">
        <f t="shared" si="34"/>
        <v>0</v>
      </c>
      <c r="BA19" s="101" t="str">
        <f>IF($G19="","",$G19*ADRYr1!$P19*ADRYr1!$Q19*ADRYr1!$U19*ADRYr1!AO19)</f>
        <v/>
      </c>
      <c r="BB19" s="102" t="str">
        <f>IF($G19="","",$G19*ADRYr1!$P19*ADRYr1!$Q19*ADRYr1!$U19*ADRYr1!AP19)</f>
        <v/>
      </c>
      <c r="BC19" s="100" t="str">
        <f t="shared" si="35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5"/>
        <v/>
      </c>
      <c r="BO19" s="31" t="str">
        <f t="shared" si="36"/>
        <v/>
      </c>
      <c r="BP19" s="1129" t="str">
        <f t="shared" si="6"/>
        <v/>
      </c>
      <c r="BQ19" s="28" t="str">
        <f t="shared" si="7"/>
        <v/>
      </c>
      <c r="BR19" s="1129" t="str">
        <f t="shared" si="8"/>
        <v/>
      </c>
      <c r="BS19" s="1129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7"/>
        <v/>
      </c>
      <c r="BX19" s="29" t="str">
        <f t="shared" si="38"/>
        <v/>
      </c>
      <c r="BY19" s="28" t="str">
        <f>IF($G19="","",$G19*(IF(ADRYr1!$AI19=BY$4,ADRYr1!$AJ19,IF(ADRYr1!$AK19=BY$4,ADRYr1!$AL19,IF(ADRYr1!$AM19=BY$4,ADRYr1!$AN19,0))))*(INDEX(avoidedcosttbl,$H19,BY$2)+(($H19-ROUNDDOWN($H19,0))*(INDEX(avoidedcosttbl,ROUNDUP($H19,0),BY$2)-(INDEX(avoidedcosttbl,ROUNDDOWN($H19,0),BY$2)))))*ADRYr1!P19*ADRYr1!Q19*ADRYr1!U19)</f>
        <v/>
      </c>
      <c r="BZ19" s="28" t="str">
        <f>IF($G19="","",$G19*(IF(ADRYr1!$AI19=BZ$4,ADRYr1!$AJ19,IF(ADRYr1!$AK19=BZ$4,ADRYr1!$AL19,IF(ADRYr1!$AM19=BZ$4,ADRYr1!$AN19,0))))*(INDEX(avoidedcosttbl,$H19,BZ$2)+(($H19-ROUNDDOWN($H19,0))*(INDEX(avoidedcosttbl,ROUNDUP($H19,0),BZ$2)-(INDEX(avoidedcosttbl,ROUNDDOWN($H19,0),BZ$2)))))*ADRYr1!P19*ADRYr1!Q19*ADRYr1!U19)</f>
        <v/>
      </c>
      <c r="CA19" s="28" t="str">
        <f>IF($G19="","",$G19*(IF(ADRYr1!$AI19=CA$4,ADRYr1!$AJ19,IF(ADRYr1!$AK19=CA$4,ADRYr1!$AL19,IF(ADRYr1!$AM19=CA$4,ADRYr1!$AN19,0))))*(INDEX(avoidedcosttbl,$H19,CA$2)+(($H19-ROUNDDOWN($H19,0))*(INDEX(avoidedcosttbl,ROUNDUP($H19,0),CA$2)-(INDEX(avoidedcosttbl,ROUNDDOWN($H19,0),CA$2)))))*ADRYr1!P19*ADRYr1!Q19*ADRYr1!U19)</f>
        <v/>
      </c>
      <c r="CB19" s="28" t="str">
        <f>IF($G19="","",$G19*(IF(ADRYr1!$AI19=CB$4,ADRYr1!$AJ19,IF(ADRYr1!$AK19=CB$4,ADRYr1!$AL19,IF(ADRYr1!$AM19=CB$4,ADRYr1!$AN19,0))))*(INDEX(avoidedcosttbl,$H19,CB$2)+(($H19-ROUNDDOWN($H19,0))*(INDEX(avoidedcosttbl,ROUNDUP($H19,0),CB$2)-(INDEX(avoidedcosttbl,ROUNDDOWN($H19,0),CB$2)))))*ADRYr1!P19*ADRYr1!Q19*ADRYr1!U19)</f>
        <v/>
      </c>
      <c r="CC19" s="28" t="str">
        <f>IF($G19="","",$G19*(IF(ADRYr1!$AI19=CC$4,ADRYr1!$AJ19,IF(ADRYr1!$AK19=CC$4,ADRYr1!$AL19,IF(ADRYr1!$AM19=CC$4,ADRYr1!$AN19,0))))*(INDEX(avoidedcosttbl,$H19,CC$2)+(($H19-ROUNDDOWN($H19,0))*(INDEX(avoidedcosttbl,ROUNDUP($H19,0),CC$2)-(INDEX(avoidedcosttbl,ROUNDDOWN($H19,0),CC$2)))))*ADRYr1!P19*ADRYr1!Q19*ADRYr1!U19)</f>
        <v/>
      </c>
      <c r="CD19" s="28" t="str">
        <f>IF($G19="","",$G19*(IF(ADRYr1!$AI19=CD$4,ADRYr1!$AJ19,IF(ADRYr1!$AK19=CD$4,ADRYr1!$AL19,IF(ADRYr1!$AM19=CD$4,ADRYr1!$AN19,0))))*(INDEX(avoidedcosttbl,$H19,CD$2)+(($H19-ROUNDDOWN($H19,0))*(INDEX(avoidedcosttbl,ROUNDUP($H19,0),CD$2)-(INDEX(avoidedcosttbl,ROUNDDOWN($H19,0),CD$2)))))*ADRYr1!P19*ADRYr1!Q19*ADRYr1!U19)</f>
        <v/>
      </c>
      <c r="CE19" s="28" t="str">
        <f>IF($G19="","",$G19*(IF(ADRYr1!$AI19=CE$4,ADRYr1!$AJ19,IF(ADRYr1!$AK19=CE$4,ADRYr1!$AL19,IF(ADRYr1!$AM19=CE$4,ADRYr1!$AN19,0))))*(INDEX(avoidedcosttbl,$H19,CE$2)+(($H19-ROUNDDOWN($H19,0))*(INDEX(avoidedcosttbl,ROUNDUP($H19,0),CE$2)-(INDEX(avoidedcosttbl,ROUNDDOWN($H19,0),CE$2)))))*ADRYr1!P19*ADRYr1!Q19*ADRYr1!U19)</f>
        <v/>
      </c>
      <c r="CF19" s="41" t="str">
        <f t="shared" si="39"/>
        <v/>
      </c>
      <c r="CG19" s="30" t="str">
        <f t="shared" si="11"/>
        <v/>
      </c>
      <c r="CH19" s="30" t="str">
        <f>IF($G19="","",$G19*(IF(ADRYr1!$AI19=BY$4,ADRYr1!$AJ19,IF(ADRYr1!$AK19=BY$4,ADRYr1!$AL19,IF(ADRYr1!$AM19=BY$4,ADRYr1!$AN19,0))))*(INDEX(avoidedcosttbl,$H19,CH$2)+(($H19-ROUNDDOWN($H19,0))*(INDEX(avoidedcosttbl,ROUNDUP($H19,0),CH$2)-(INDEX(avoidedcosttbl,ROUNDDOWN($H19,0),CH$2)))))*ADRYr1!P19*ADRYr1!Q19*ADRYr1!U19)</f>
        <v/>
      </c>
      <c r="CI19" s="30" t="str">
        <f>IF($G19="","",$G19*(IF(ADRYr1!$AI19=BZ$4,ADRYr1!$AJ19,IF(ADRYr1!$AK19=BZ$4,ADRYr1!$AL19,IF(ADRYr1!$AM19=BZ$4,ADRYr1!$AN19,0))))*(INDEX(avoidedcosttbl,$H19,CI$2)+(($H19-ROUNDDOWN($H19,0))*(INDEX(avoidedcosttbl,ROUNDUP($H19,0),CI$2)-(INDEX(avoidedcosttbl,ROUNDDOWN($H19,0),CI$2)))))*ADRYr1!P19*ADRYr1!Q19*ADRYr1!U19)</f>
        <v/>
      </c>
      <c r="CJ19" s="30" t="str">
        <f>IF($G19="","",$G19*(IF(ADRYr1!$AI19=CA$4,ADRYr1!$AJ19,IF(ADRYr1!$AK19=CA$4,ADRYr1!$AL19,IF(ADRYr1!$AM19=CA$4,ADRYr1!$AN19,0))))*(INDEX(avoidedcosttbl,$H19,CJ$2)+(($H19-ROUNDDOWN($H19,0))*(INDEX(avoidedcosttbl,ROUNDUP($H19,0),CJ$2)-(INDEX(avoidedcosttbl,ROUNDDOWN($H19,0),CJ$2)))))*ADRYr1!P19*ADRYr1!Q19*ADRYr1!U19)</f>
        <v/>
      </c>
      <c r="CK19" s="30" t="str">
        <f>IF($G19="","",$G19*(IF(ADRYr1!$AI19=CB$4,ADRYr1!$AJ19,IF(ADRYr1!$AK19=CB$4,ADRYr1!$AL19,IF(ADRYr1!$AM19=CB$4,ADRYr1!$AN19,0))))*(INDEX(avoidedcosttbl,$H19,CK$2)+(($H19-ROUNDDOWN($H19,0))*(INDEX(avoidedcosttbl,ROUNDUP($H19,0),CK$2)-(INDEX(avoidedcosttbl,ROUNDDOWN($H19,0),CK$2)))))*ADRYr1!P19*ADRYr1!Q19*ADRYr1!U19)</f>
        <v/>
      </c>
      <c r="CL19" s="30" t="str">
        <f>IF($G19="","",$G19*(IF(ADRYr1!$AI19=CC$4,ADRYr1!$AJ19,IF(ADRYr1!$AK19=CC$4,ADRYr1!$AL19,IF(ADRYr1!$AM19=CC$4,ADRYr1!$AN19,0))))*(INDEX(avoidedcosttbl,$H19,CL$2)+(($H19-ROUNDDOWN($H19,0))*(INDEX(avoidedcosttbl,ROUNDUP($H19,0),CL$2)-(INDEX(avoidedcosttbl,ROUNDDOWN($H19,0),CL$2)))))*ADRYr1!P19*ADRYr1!Q19*ADRYr1!U19)</f>
        <v/>
      </c>
      <c r="CM19" s="30" t="str">
        <f>IF($G19="","",$G19*(IF(ADRYr1!$AI19=CD$4,ADRYr1!$AJ19,IF(ADRYr1!$AK19=CD$4,ADRYr1!$AL19,IF(ADRYr1!$AM19=CD$4,ADRYr1!$AN19,0))))*(INDEX(avoidedcosttbl,$H19,CM$2)+(($H19-ROUNDDOWN($H19,0))*(INDEX(avoidedcosttbl,ROUNDUP($H19,0),CM$2)-(INDEX(avoidedcosttbl,ROUNDDOWN($H19,0),CM$2)))))*ADRYr1!P19*ADRYr1!Q19*ADRYr1!U19)</f>
        <v/>
      </c>
      <c r="CN19" s="30" t="str">
        <f>IF($G19="","",$G19*(IF(ADRYr1!$AI19=CE$4,ADRYr1!$AJ19,IF(ADRYr1!$AK19=CE$4,ADRYr1!$AL19,IF(ADRYr1!$AM19=CE$4,ADRYr1!$AN19,0))))*(INDEX(avoidedcosttbl,$H19,CN$2)+(($H19-ROUNDDOWN($H19,0))*(INDEX(avoidedcosttbl,ROUNDUP($H19,0),CN$2)-(INDEX(avoidedcosttbl,ROUNDDOWN($H19,0),CN$2)))))*ADRYr1!P19*ADRYr1!Q19*ADRYr1!U19)</f>
        <v/>
      </c>
      <c r="CO19" s="220" t="str">
        <f t="shared" si="40"/>
        <v/>
      </c>
      <c r="CP19" s="220" t="str">
        <f t="shared" si="41"/>
        <v/>
      </c>
      <c r="CQ19" s="157" t="str">
        <f>IF($G19="","",$G19*(IF(ADRYr1!$AI19=CQ$4,ADRYr1!$AJ19,IF(ADRYr1!$AK19=CQ$4,ADRYr1!$AL19,IF(ADRYr1!$AM19=CQ$4,ADRYr1!$AN19,0))))*(INDEX(avoidedcosttbl,$H19,CQ$2)+(($H19-ROUNDDOWN($H19,0))*(INDEX(avoidedcosttbl,ROUNDUP($H19,0),CQ$2)-(INDEX(avoidedcosttbl,ROUNDDOWN($H19,0),CQ$2)))))*ADRYr1!$P19*ADRYr1!$Q19*ADRYr1!$U19)</f>
        <v/>
      </c>
      <c r="CR19" s="28" t="str">
        <f>IF($G19="","",G19*(IF(ADRYr1!$AI19=CR$4,ADRYr1!$AJ19,IF(ADRYr1!$AK19=CR$4,ADRYr1!$AL19,IF(ADRYr1!$AM19=CR$4,ADRYr1!$AN19,0))))*(INDEX(avoidedcosttbl,$H19,CR$2)+(($H19-ROUNDDOWN($H19,0))*(INDEX(avoidedcosttbl,ROUNDUP($H19,0),CR$2)-(INDEX(avoidedcosttbl,ROUNDDOWN($H19,0),CR$2)))))*ADRYr1!$P19*ADRYr1!$Q19*ADRYr1!$U19)</f>
        <v/>
      </c>
      <c r="CS19" s="28" t="str">
        <f>IF($G19="","",G19*(IF(ADRYr1!$AI19=CS$4,ADRYr1!$AJ19,IF(ADRYr1!$AK19=CS$4,ADRYr1!$AL19,IF(ADRYr1!$AM19=CS$4,ADRYr1!$AN19,0))))*(INDEX(avoidedcosttbl,$H19,CS$2)+(($H19-ROUNDDOWN($H19,0))*(INDEX(avoidedcosttbl,ROUNDUP($H19,0),CS$2)-(INDEX(avoidedcosttbl,ROUNDDOWN($H19,0),CS$2)))))*ADRYr1!$P19*ADRYr1!$Q19*ADRYr1!$U19)</f>
        <v/>
      </c>
      <c r="CT19" s="28" t="str">
        <f t="shared" si="12"/>
        <v/>
      </c>
      <c r="CU19" s="28" t="str">
        <f>IF($G19="","",G19*(IF(ADRYr1!$AI19=CU$4,ADRYr1!$AJ19,IF(ADRYr1!$AK19=CU$4,ADRYr1!$AL19,IF(ADRYr1!$AM19=CU$4,ADRYr1!$AN19,0))))*(INDEX(avoidedcosttbl,$H19,CU$2)+(($H19-ROUNDDOWN($H19,0))*(INDEX(avoidedcosttbl,ROUNDUP($H19,0),CU$2)-(INDEX(avoidedcosttbl,ROUNDDOWN($H19,0),CU$2)))))*ADRYr1!$P19*ADRYr1!$Q19*ADRYr1!$U19)</f>
        <v/>
      </c>
      <c r="CV19" s="28" t="str">
        <f>IF($G19="","",G19*(IF(ADRYr1!$AI19=CV$4,ADRYr1!$AJ19,IF(ADRYr1!$AK19=CV$4,ADRYr1!$AL19,IF(ADRYr1!$AM19=CV$4,ADRYr1!$AN19,0))))*(INDEX(avoidedcosttbl,$H19,CV$2)+(($H19-ROUNDDOWN($H19,0))*(INDEX(avoidedcosttbl,ROUNDUP($H19,0),CV$2)-(INDEX(avoidedcosttbl,ROUNDDOWN($H19,0),CV$2)))))*ADRYr1!$P19*ADRYr1!$Q19*ADRYr1!$U19)</f>
        <v/>
      </c>
      <c r="CW19" s="28" t="str">
        <f>IF($G19="","",G19*(IF(ADRYr1!$AI19=CW$4,ADRYr1!$AJ19,IF(ADRYr1!$AK19=CW$4,ADRYr1!$AL19,IF(ADRYr1!$AM19=CW$4,ADRYr1!$AN19,0))))*(INDEX(avoidedcosttbl,$H19,CW$2)+(($H19-ROUNDDOWN($H19,0))*(INDEX(avoidedcosttbl,ROUNDUP($H19,0),CW$2)-(INDEX(avoidedcosttbl,ROUNDDOWN($H19,0),CW$2)))))*ADRYr1!$P19*ADRYr1!$Q19*ADRYr1!$U19)</f>
        <v/>
      </c>
      <c r="CX19" s="28" t="str">
        <f>IF($G19="","",G19*(IF(ADRYr1!$AI19=CX$4,ADRYr1!$AJ19,IF(ADRYr1!$AK19=CX$4,ADRYr1!$AL19,IF(ADRYr1!$AM19=CX$4,ADRYr1!$AN19,0))))*(INDEX(avoidedcosttbl,$H19,CX$2)+(($H19-ROUNDDOWN($H19,0))*(INDEX(avoidedcosttbl,ROUNDUP($H19,0),CX$2)-(INDEX(avoidedcosttbl,ROUNDDOWN($H19,0),CX$2)))))*ADRYr1!$P19*ADRYr1!$Q19*ADRYr1!$U19)</f>
        <v/>
      </c>
      <c r="CY19" s="28" t="str">
        <f t="shared" si="13"/>
        <v/>
      </c>
      <c r="CZ19" s="32" t="str">
        <f t="shared" si="14"/>
        <v/>
      </c>
      <c r="DA19" s="84" t="str">
        <f t="shared" si="42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15"/>
        <v/>
      </c>
      <c r="DD19" s="166" t="str">
        <f t="shared" si="16"/>
        <v/>
      </c>
      <c r="DE19" s="82">
        <f t="shared" si="43"/>
        <v>0</v>
      </c>
      <c r="DF19" s="760" t="str">
        <f>IF($G19="","",(1+WntPeakEnergyLL)*(INDEX(avoidedcosttbl,$H19,DF$2)+(($H19-ROUNDDOWN($H19,0))*(INDEX(avoidedcosttbl,ROUNDUP($H19,0),DF$2)-(INDEX(avoidedcosttbl,ROUNDDOWN($H19,0),DF$2)))))*$P19*1000*ADRYr1!Z19)</f>
        <v/>
      </c>
      <c r="DG19" s="760" t="str">
        <f>IF($G19="","",(1+WntOffPeakEnergyLL)*(INDEX(avoidedcosttbl,$H19,DG$2)+(($H19-ROUNDDOWN($H19,0))*(INDEX(avoidedcosttbl,ROUNDUP($H19,0),DG$2)-(INDEX(avoidedcosttbl,ROUNDDOWN($H19,0),DG$2)))))*$P19*1000*ADRYr1!AA19)</f>
        <v/>
      </c>
      <c r="DH19" s="760" t="str">
        <f>IF($G19="","",(1+SumPeakEnergyLL)*(INDEX(avoidedcosttbl,$H19,DH$2)+(($H19-ROUNDDOWN($H19,0))*(INDEX(avoidedcosttbl,ROUNDUP($H19,0),DH$2)-(INDEX(avoidedcosttbl,ROUNDDOWN($H19,0),DH$2)))))*$P19*1000*ADRYr1!AB19)</f>
        <v/>
      </c>
      <c r="DI19" s="760" t="str">
        <f>IF($G19="","",(1+SumOffPeakEnergyLL)*(INDEX(avoidedcosttbl,$H19,DI$2)+(($H19-ROUNDDOWN($H19,0))*(INDEX(avoidedcosttbl,ROUNDUP($H19,0),DI$2)-(INDEX(avoidedcosttbl,ROUNDDOWN($H19,0),DI$2)))))*$P19*1000*ADRYr1!AC19)</f>
        <v/>
      </c>
      <c r="DJ19" s="29" t="str">
        <f t="shared" si="44"/>
        <v/>
      </c>
      <c r="DK19" s="161" t="str">
        <f t="shared" si="45"/>
        <v/>
      </c>
      <c r="DL19" s="1375" t="str">
        <f t="shared" si="46"/>
        <v/>
      </c>
      <c r="DM19" s="1375" t="str">
        <f t="shared" si="47"/>
        <v/>
      </c>
      <c r="DN19" s="43" t="str">
        <f t="shared" si="48"/>
        <v/>
      </c>
      <c r="DO19" s="1131" t="str">
        <f>IF($G19="","",ADRYr1!AQ19)</f>
        <v/>
      </c>
      <c r="DP19" s="1133" t="str">
        <f>IF($G19="","",ADRYr1!AR19)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17"/>
        <v/>
      </c>
      <c r="DU19" s="1135" t="str">
        <f>IF($G19="","",ADRYr1!AS19)</f>
        <v/>
      </c>
      <c r="DV19" s="1136" t="str">
        <f>IF($G19="","",ADRYr1!AT19)</f>
        <v/>
      </c>
      <c r="DW19" s="1344" t="str">
        <f>IF($G19="","",INDEX(AvoidedEnergy!$H$4:$H$10,MATCH($DO19,AvoidedEnergy!$A$4:$A$10,0)))</f>
        <v/>
      </c>
    </row>
    <row r="20" spans="1:127">
      <c r="A20" s="160" t="str">
        <f>IF(ADRYr1!$B20=0,"",ADRYr1!A20)</f>
        <v>B - Low-Income</v>
      </c>
      <c r="B20" s="9" t="str">
        <f>IF(ADRYr1!$B20=0,"",ADRYr1!B20)</f>
        <v>Home Energy Assistance</v>
      </c>
      <c r="C20" s="9" t="str">
        <f>IF(ADRYr1!$B20=0,"",ADRYr1!C20)</f>
        <v>Res Demand Response</v>
      </c>
      <c r="D20" s="9" t="str">
        <f>IF(ADRYr1!$B20=0,"",ADRYr1!D20)</f>
        <v>Storage Daily Dispatch Upfront Incentive (consumption) Summer</v>
      </c>
      <c r="E20" s="9">
        <f>IF(ADRYr1!$B20=0,"",ADRYr1!E20)</f>
        <v>0</v>
      </c>
      <c r="F20" s="11" t="str">
        <f>IF(ADRYr1!$B20=0,"",ADRYr1!F20)</f>
        <v>Behavior</v>
      </c>
      <c r="G20" s="12" t="str">
        <f>IF(ADRYr1!$G20&lt;&gt;0,ADRYr1!G20,"")</f>
        <v/>
      </c>
      <c r="H20" s="1125" t="str">
        <f>IF($G20="","",ROUND(ADRYr1!H20,0))</f>
        <v/>
      </c>
      <c r="I20" s="47" t="str">
        <f>IF($G20="","",ADRYr1!I20*ADRYr1!P20*G20)</f>
        <v/>
      </c>
      <c r="J20" s="47" t="str">
        <f>IF($G20="","",ADRYr1!J20*G20)</f>
        <v/>
      </c>
      <c r="K20" s="47" t="str">
        <f t="shared" si="18"/>
        <v/>
      </c>
      <c r="L20" s="27" t="str">
        <f>IF($G20="","",ADRYr1!V20*G20/1000)</f>
        <v/>
      </c>
      <c r="M20" s="27" t="str">
        <f>IF($G20="","",L20*ADRYr1!$Q20*ADRYr1!$R20)</f>
        <v/>
      </c>
      <c r="N20" s="27" t="str">
        <f t="shared" si="19"/>
        <v/>
      </c>
      <c r="O20" s="27" t="str">
        <f t="shared" si="20"/>
        <v/>
      </c>
      <c r="P20" s="27" t="str">
        <f>IF($G20="","",M20*ADRYr1!P20)</f>
        <v/>
      </c>
      <c r="Q20" s="27" t="str">
        <f t="shared" si="21"/>
        <v/>
      </c>
      <c r="R20" s="27" t="str">
        <f>IF($G20="","",$Q20*ADRYr1!Z20)</f>
        <v/>
      </c>
      <c r="S20" s="27" t="str">
        <f>IF($G20="","",$Q20*ADRYr1!AA20)</f>
        <v/>
      </c>
      <c r="T20" s="27" t="str">
        <f>IF($G20="","",$Q20*ADRYr1!AB20)</f>
        <v/>
      </c>
      <c r="U20" s="27" t="str">
        <f>IF($G20="","",$Q20*ADRYr1!AC20)</f>
        <v/>
      </c>
      <c r="V20" s="27" t="str">
        <f>IF($G20="","",G20*ADRYr1!$AD20*ADRYr1!$P20*ADRYr1!$Q20)</f>
        <v/>
      </c>
      <c r="W20" s="27" t="str">
        <f>IF($G20="","",$G20*ADRYr1!$AD20*ADRYr1!$AF20*ADRYr1!Q20*ADRYr1!$S20)</f>
        <v/>
      </c>
      <c r="X20" s="27" t="str">
        <f>IF($G20="","",$G20*ADRYr1!$AD20*ADRYr1!$AF20*ADRYr1!P20*ADRYr1!Q20*ADRYr1!$S20)</f>
        <v/>
      </c>
      <c r="Y20" s="27" t="str">
        <f>IF($G20="","",$G20*ADRYr1!$AD20*ADRYr1!$AE20*ADRYr1!Q20*ADRYr1!$T20)</f>
        <v/>
      </c>
      <c r="Z20" s="27" t="str">
        <f>IF($G20="","",$G20*ADRYr1!$AD20*ADRYr1!$AE20*ADRYr1!P20*ADRYr1!Q20*ADRYr1!$T20)</f>
        <v/>
      </c>
      <c r="AA20" s="45" t="str">
        <f>IF($G20="","",$G20*ADRYr1!$Q20*ADRYr1!$U20*(IF(IFERROR(SEARCH("NG", ADRYr1!$AI20),0),ADRYr1!$AJ20,0)+IF(IFERROR(SEARCH("NG", ADRYr1!$AK20),0),ADRYr1!$AL20,0)+IF(IFERROR(SEARCH("NG", ADRYr1!$AM20),0),ADRYr1!$AN20,0)))</f>
        <v/>
      </c>
      <c r="AB20" s="45" t="str">
        <f t="shared" si="22"/>
        <v/>
      </c>
      <c r="AC20" s="45">
        <f>IF($G20="",0,AA20*ADRYr1!$P20)</f>
        <v>0</v>
      </c>
      <c r="AD20" s="45" t="str">
        <f t="shared" si="23"/>
        <v/>
      </c>
      <c r="AE20" s="45" t="str">
        <f>IF($G20="","",$G20*ADRYr1!$Q20*ADRYr1!$U20*(IF(IFERROR(SEARCH("Oil", ADRYr1!$AI20), 0),ADRYr1!$AJ20,0)+IF(IFERROR(SEARCH("Oil", ADRYr1!$AK20), 0),ADRYr1!$AL20,0)+IF(IFERROR(SEARCH("Oil", ADRYr1!$AM20), 0),ADRYr1!$AN20,0)))</f>
        <v/>
      </c>
      <c r="AF20" s="45" t="str">
        <f t="shared" si="24"/>
        <v/>
      </c>
      <c r="AG20" s="45">
        <f>IF($G20="",0,AE20*ADRYr1!$P20)</f>
        <v>0</v>
      </c>
      <c r="AH20" s="45" t="str">
        <f t="shared" si="25"/>
        <v/>
      </c>
      <c r="AI20" s="45" t="str">
        <f>IF($G20="","",$G20*ADRYr1!$Q20*ADRYr1!$U20*(IF(ADRYr1!$AI20=Lookups!$E$114,ADRYr1!$AJ20,IF(ADRYr1!$AK20=Lookups!$E$114,ADRYr1!$AL20,IF(ADRYr1!$AM20=Lookups!$E$114,ADRYr1!$AN20,0)))))</f>
        <v/>
      </c>
      <c r="AJ20" s="45" t="str">
        <f t="shared" si="26"/>
        <v/>
      </c>
      <c r="AK20" s="45">
        <f>IF($G20="",0,AI20*ADRYr1!$P20)</f>
        <v>0</v>
      </c>
      <c r="AL20" s="45" t="str">
        <f t="shared" si="27"/>
        <v/>
      </c>
      <c r="AM20" s="45" t="str">
        <f>IF($G20="","",$G20*ADRYr1!$Q20*ADRYr1!$U20*(IF(ADRYr1!$AI20=Lookups!$E$113,ADRYr1!$AJ20,IF(ADRYr1!$AK20=Lookups!$E$113,ADRYr1!$AL20,IF(ADRYr1!$AM20=Lookups!$E$113,ADRYr1!$AN20,0)))))</f>
        <v/>
      </c>
      <c r="AN20" s="45" t="str">
        <f t="shared" si="28"/>
        <v/>
      </c>
      <c r="AO20" s="45">
        <f>IF($G20="",0,AM20*ADRYr1!$P20)</f>
        <v>0</v>
      </c>
      <c r="AP20" s="45" t="str">
        <f t="shared" si="29"/>
        <v/>
      </c>
      <c r="AQ20" s="45" t="str">
        <f>IF($G20="","",$G20*ADRYr1!$Q20*ADRYr1!$U20*(IF(ADRYr1!$AI20=Lookups!$E$115,ADRYr1!$AJ20,IF(ADRYr1!$AK20=Lookups!$E$115,ADRYr1!$AL20,IF(ADRYr1!$AM20=Lookups!$E$115,ADRYr1!$AN20,0)))))</f>
        <v/>
      </c>
      <c r="AR20" s="45" t="str">
        <f t="shared" si="30"/>
        <v/>
      </c>
      <c r="AS20" s="45" t="str">
        <f>IF($G20="","",AQ20*ADRYr1!$P20)</f>
        <v/>
      </c>
      <c r="AT20" s="45" t="str">
        <f t="shared" si="31"/>
        <v/>
      </c>
      <c r="AU20" s="45" t="str">
        <f>IF($G20="","",$G20*ADRYr1!$Q20*ADRYr1!$U20*(IF(ADRYr1!$AI20=Lookups!$E$116,ADRYr1!$AJ20,IF(ADRYr1!$AK20=Lookups!$E$116,ADRYr1!$AL20,IF(ADRYr1!$AM20=Lookups!$E$116,ADRYr1!$AN20,0)))))</f>
        <v/>
      </c>
      <c r="AV20" s="45" t="str">
        <f t="shared" si="32"/>
        <v/>
      </c>
      <c r="AW20" s="45" t="str">
        <f>IF($G20="","",AU20*ADRYr1!$P20)</f>
        <v/>
      </c>
      <c r="AX20" s="45" t="str">
        <f t="shared" si="33"/>
        <v/>
      </c>
      <c r="AY20" s="45">
        <f t="shared" si="34"/>
        <v>0</v>
      </c>
      <c r="AZ20" s="45">
        <f t="shared" si="34"/>
        <v>0</v>
      </c>
      <c r="BA20" s="101" t="str">
        <f>IF($G20="","",$G20*ADRYr1!$P20*ADRYr1!$Q20*ADRYr1!$U20*ADRYr1!AO20)</f>
        <v/>
      </c>
      <c r="BB20" s="102" t="str">
        <f>IF($G20="","",$G20*ADRYr1!$P20*ADRYr1!$Q20*ADRYr1!$U20*ADRYr1!AP20)</f>
        <v/>
      </c>
      <c r="BC20" s="100" t="str">
        <f t="shared" si="35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5"/>
        <v/>
      </c>
      <c r="BO20" s="31" t="str">
        <f t="shared" si="36"/>
        <v/>
      </c>
      <c r="BP20" s="1129" t="str">
        <f t="shared" si="6"/>
        <v/>
      </c>
      <c r="BQ20" s="28" t="str">
        <f t="shared" si="7"/>
        <v/>
      </c>
      <c r="BR20" s="1129" t="str">
        <f t="shared" si="8"/>
        <v/>
      </c>
      <c r="BS20" s="1129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7"/>
        <v/>
      </c>
      <c r="BX20" s="29" t="str">
        <f t="shared" si="38"/>
        <v/>
      </c>
      <c r="BY20" s="28" t="str">
        <f>IF($G20="","",$G20*(IF(ADRYr1!$AI20=BY$4,ADRYr1!$AJ20,IF(ADRYr1!$AK20=BY$4,ADRYr1!$AL20,IF(ADRYr1!$AM20=BY$4,ADRYr1!$AN20,0))))*(INDEX(avoidedcosttbl,$H20,BY$2)+(($H20-ROUNDDOWN($H20,0))*(INDEX(avoidedcosttbl,ROUNDUP($H20,0),BY$2)-(INDEX(avoidedcosttbl,ROUNDDOWN($H20,0),BY$2)))))*ADRYr1!P20*ADRYr1!Q20*ADRYr1!U20)</f>
        <v/>
      </c>
      <c r="BZ20" s="28" t="str">
        <f>IF($G20="","",$G20*(IF(ADRYr1!$AI20=BZ$4,ADRYr1!$AJ20,IF(ADRYr1!$AK20=BZ$4,ADRYr1!$AL20,IF(ADRYr1!$AM20=BZ$4,ADRYr1!$AN20,0))))*(INDEX(avoidedcosttbl,$H20,BZ$2)+(($H20-ROUNDDOWN($H20,0))*(INDEX(avoidedcosttbl,ROUNDUP($H20,0),BZ$2)-(INDEX(avoidedcosttbl,ROUNDDOWN($H20,0),BZ$2)))))*ADRYr1!P20*ADRYr1!Q20*ADRYr1!U20)</f>
        <v/>
      </c>
      <c r="CA20" s="28" t="str">
        <f>IF($G20="","",$G20*(IF(ADRYr1!$AI20=CA$4,ADRYr1!$AJ20,IF(ADRYr1!$AK20=CA$4,ADRYr1!$AL20,IF(ADRYr1!$AM20=CA$4,ADRYr1!$AN20,0))))*(INDEX(avoidedcosttbl,$H20,CA$2)+(($H20-ROUNDDOWN($H20,0))*(INDEX(avoidedcosttbl,ROUNDUP($H20,0),CA$2)-(INDEX(avoidedcosttbl,ROUNDDOWN($H20,0),CA$2)))))*ADRYr1!P20*ADRYr1!Q20*ADRYr1!U20)</f>
        <v/>
      </c>
      <c r="CB20" s="28" t="str">
        <f>IF($G20="","",$G20*(IF(ADRYr1!$AI20=CB$4,ADRYr1!$AJ20,IF(ADRYr1!$AK20=CB$4,ADRYr1!$AL20,IF(ADRYr1!$AM20=CB$4,ADRYr1!$AN20,0))))*(INDEX(avoidedcosttbl,$H20,CB$2)+(($H20-ROUNDDOWN($H20,0))*(INDEX(avoidedcosttbl,ROUNDUP($H20,0),CB$2)-(INDEX(avoidedcosttbl,ROUNDDOWN($H20,0),CB$2)))))*ADRYr1!P20*ADRYr1!Q20*ADRYr1!U20)</f>
        <v/>
      </c>
      <c r="CC20" s="28" t="str">
        <f>IF($G20="","",$G20*(IF(ADRYr1!$AI20=CC$4,ADRYr1!$AJ20,IF(ADRYr1!$AK20=CC$4,ADRYr1!$AL20,IF(ADRYr1!$AM20=CC$4,ADRYr1!$AN20,0))))*(INDEX(avoidedcosttbl,$H20,CC$2)+(($H20-ROUNDDOWN($H20,0))*(INDEX(avoidedcosttbl,ROUNDUP($H20,0),CC$2)-(INDEX(avoidedcosttbl,ROUNDDOWN($H20,0),CC$2)))))*ADRYr1!P20*ADRYr1!Q20*ADRYr1!U20)</f>
        <v/>
      </c>
      <c r="CD20" s="28" t="str">
        <f>IF($G20="","",$G20*(IF(ADRYr1!$AI20=CD$4,ADRYr1!$AJ20,IF(ADRYr1!$AK20=CD$4,ADRYr1!$AL20,IF(ADRYr1!$AM20=CD$4,ADRYr1!$AN20,0))))*(INDEX(avoidedcosttbl,$H20,CD$2)+(($H20-ROUNDDOWN($H20,0))*(INDEX(avoidedcosttbl,ROUNDUP($H20,0),CD$2)-(INDEX(avoidedcosttbl,ROUNDDOWN($H20,0),CD$2)))))*ADRYr1!P20*ADRYr1!Q20*ADRYr1!U20)</f>
        <v/>
      </c>
      <c r="CE20" s="28" t="str">
        <f>IF($G20="","",$G20*(IF(ADRYr1!$AI20=CE$4,ADRYr1!$AJ20,IF(ADRYr1!$AK20=CE$4,ADRYr1!$AL20,IF(ADRYr1!$AM20=CE$4,ADRYr1!$AN20,0))))*(INDEX(avoidedcosttbl,$H20,CE$2)+(($H20-ROUNDDOWN($H20,0))*(INDEX(avoidedcosttbl,ROUNDUP($H20,0),CE$2)-(INDEX(avoidedcosttbl,ROUNDDOWN($H20,0),CE$2)))))*ADRYr1!P20*ADRYr1!Q20*ADRYr1!U20)</f>
        <v/>
      </c>
      <c r="CF20" s="41" t="str">
        <f t="shared" si="39"/>
        <v/>
      </c>
      <c r="CG20" s="30" t="str">
        <f t="shared" si="11"/>
        <v/>
      </c>
      <c r="CH20" s="30" t="str">
        <f>IF($G20="","",$G20*(IF(ADRYr1!$AI20=BY$4,ADRYr1!$AJ20,IF(ADRYr1!$AK20=BY$4,ADRYr1!$AL20,IF(ADRYr1!$AM20=BY$4,ADRYr1!$AN20,0))))*(INDEX(avoidedcosttbl,$H20,CH$2)+(($H20-ROUNDDOWN($H20,0))*(INDEX(avoidedcosttbl,ROUNDUP($H20,0),CH$2)-(INDEX(avoidedcosttbl,ROUNDDOWN($H20,0),CH$2)))))*ADRYr1!P20*ADRYr1!Q20*ADRYr1!U20)</f>
        <v/>
      </c>
      <c r="CI20" s="30" t="str">
        <f>IF($G20="","",$G20*(IF(ADRYr1!$AI20=BZ$4,ADRYr1!$AJ20,IF(ADRYr1!$AK20=BZ$4,ADRYr1!$AL20,IF(ADRYr1!$AM20=BZ$4,ADRYr1!$AN20,0))))*(INDEX(avoidedcosttbl,$H20,CI$2)+(($H20-ROUNDDOWN($H20,0))*(INDEX(avoidedcosttbl,ROUNDUP($H20,0),CI$2)-(INDEX(avoidedcosttbl,ROUNDDOWN($H20,0),CI$2)))))*ADRYr1!P20*ADRYr1!Q20*ADRYr1!U20)</f>
        <v/>
      </c>
      <c r="CJ20" s="30" t="str">
        <f>IF($G20="","",$G20*(IF(ADRYr1!$AI20=CA$4,ADRYr1!$AJ20,IF(ADRYr1!$AK20=CA$4,ADRYr1!$AL20,IF(ADRYr1!$AM20=CA$4,ADRYr1!$AN20,0))))*(INDEX(avoidedcosttbl,$H20,CJ$2)+(($H20-ROUNDDOWN($H20,0))*(INDEX(avoidedcosttbl,ROUNDUP($H20,0),CJ$2)-(INDEX(avoidedcosttbl,ROUNDDOWN($H20,0),CJ$2)))))*ADRYr1!P20*ADRYr1!Q20*ADRYr1!U20)</f>
        <v/>
      </c>
      <c r="CK20" s="30" t="str">
        <f>IF($G20="","",$G20*(IF(ADRYr1!$AI20=CB$4,ADRYr1!$AJ20,IF(ADRYr1!$AK20=CB$4,ADRYr1!$AL20,IF(ADRYr1!$AM20=CB$4,ADRYr1!$AN20,0))))*(INDEX(avoidedcosttbl,$H20,CK$2)+(($H20-ROUNDDOWN($H20,0))*(INDEX(avoidedcosttbl,ROUNDUP($H20,0),CK$2)-(INDEX(avoidedcosttbl,ROUNDDOWN($H20,0),CK$2)))))*ADRYr1!P20*ADRYr1!Q20*ADRYr1!U20)</f>
        <v/>
      </c>
      <c r="CL20" s="30" t="str">
        <f>IF($G20="","",$G20*(IF(ADRYr1!$AI20=CC$4,ADRYr1!$AJ20,IF(ADRYr1!$AK20=CC$4,ADRYr1!$AL20,IF(ADRYr1!$AM20=CC$4,ADRYr1!$AN20,0))))*(INDEX(avoidedcosttbl,$H20,CL$2)+(($H20-ROUNDDOWN($H20,0))*(INDEX(avoidedcosttbl,ROUNDUP($H20,0),CL$2)-(INDEX(avoidedcosttbl,ROUNDDOWN($H20,0),CL$2)))))*ADRYr1!P20*ADRYr1!Q20*ADRYr1!U20)</f>
        <v/>
      </c>
      <c r="CM20" s="30" t="str">
        <f>IF($G20="","",$G20*(IF(ADRYr1!$AI20=CD$4,ADRYr1!$AJ20,IF(ADRYr1!$AK20=CD$4,ADRYr1!$AL20,IF(ADRYr1!$AM20=CD$4,ADRYr1!$AN20,0))))*(INDEX(avoidedcosttbl,$H20,CM$2)+(($H20-ROUNDDOWN($H20,0))*(INDEX(avoidedcosttbl,ROUNDUP($H20,0),CM$2)-(INDEX(avoidedcosttbl,ROUNDDOWN($H20,0),CM$2)))))*ADRYr1!P20*ADRYr1!Q20*ADRYr1!U20)</f>
        <v/>
      </c>
      <c r="CN20" s="30" t="str">
        <f>IF($G20="","",$G20*(IF(ADRYr1!$AI20=CE$4,ADRYr1!$AJ20,IF(ADRYr1!$AK20=CE$4,ADRYr1!$AL20,IF(ADRYr1!$AM20=CE$4,ADRYr1!$AN20,0))))*(INDEX(avoidedcosttbl,$H20,CN$2)+(($H20-ROUNDDOWN($H20,0))*(INDEX(avoidedcosttbl,ROUNDUP($H20,0),CN$2)-(INDEX(avoidedcosttbl,ROUNDDOWN($H20,0),CN$2)))))*ADRYr1!P20*ADRYr1!Q20*ADRYr1!U20)</f>
        <v/>
      </c>
      <c r="CO20" s="220" t="str">
        <f t="shared" si="40"/>
        <v/>
      </c>
      <c r="CP20" s="220" t="str">
        <f t="shared" si="41"/>
        <v/>
      </c>
      <c r="CQ20" s="157" t="str">
        <f>IF($G20="","",$G20*(IF(ADRYr1!$AI20=CQ$4,ADRYr1!$AJ20,IF(ADRYr1!$AK20=CQ$4,ADRYr1!$AL20,IF(ADRYr1!$AM20=CQ$4,ADRYr1!$AN20,0))))*(INDEX(avoidedcosttbl,$H20,CQ$2)+(($H20-ROUNDDOWN($H20,0))*(INDEX(avoidedcosttbl,ROUNDUP($H20,0),CQ$2)-(INDEX(avoidedcosttbl,ROUNDDOWN($H20,0),CQ$2)))))*ADRYr1!$P20*ADRYr1!$Q20*ADRYr1!$U20)</f>
        <v/>
      </c>
      <c r="CR20" s="28" t="str">
        <f>IF($G20="","",G20*(IF(ADRYr1!$AI20=CR$4,ADRYr1!$AJ20,IF(ADRYr1!$AK20=CR$4,ADRYr1!$AL20,IF(ADRYr1!$AM20=CR$4,ADRYr1!$AN20,0))))*(INDEX(avoidedcosttbl,$H20,CR$2)+(($H20-ROUNDDOWN($H20,0))*(INDEX(avoidedcosttbl,ROUNDUP($H20,0),CR$2)-(INDEX(avoidedcosttbl,ROUNDDOWN($H20,0),CR$2)))))*ADRYr1!$P20*ADRYr1!$Q20*ADRYr1!$U20)</f>
        <v/>
      </c>
      <c r="CS20" s="28" t="str">
        <f>IF($G20="","",G20*(IF(ADRYr1!$AI20=CS$4,ADRYr1!$AJ20,IF(ADRYr1!$AK20=CS$4,ADRYr1!$AL20,IF(ADRYr1!$AM20=CS$4,ADRYr1!$AN20,0))))*(INDEX(avoidedcosttbl,$H20,CS$2)+(($H20-ROUNDDOWN($H20,0))*(INDEX(avoidedcosttbl,ROUNDUP($H20,0),CS$2)-(INDEX(avoidedcosttbl,ROUNDDOWN($H20,0),CS$2)))))*ADRYr1!$P20*ADRYr1!$Q20*ADRYr1!$U20)</f>
        <v/>
      </c>
      <c r="CT20" s="28" t="str">
        <f t="shared" si="12"/>
        <v/>
      </c>
      <c r="CU20" s="28" t="str">
        <f>IF($G20="","",G20*(IF(ADRYr1!$AI20=CU$4,ADRYr1!$AJ20,IF(ADRYr1!$AK20=CU$4,ADRYr1!$AL20,IF(ADRYr1!$AM20=CU$4,ADRYr1!$AN20,0))))*(INDEX(avoidedcosttbl,$H20,CU$2)+(($H20-ROUNDDOWN($H20,0))*(INDEX(avoidedcosttbl,ROUNDUP($H20,0),CU$2)-(INDEX(avoidedcosttbl,ROUNDDOWN($H20,0),CU$2)))))*ADRYr1!$P20*ADRYr1!$Q20*ADRYr1!$U20)</f>
        <v/>
      </c>
      <c r="CV20" s="28" t="str">
        <f>IF($G20="","",G20*(IF(ADRYr1!$AI20=CV$4,ADRYr1!$AJ20,IF(ADRYr1!$AK20=CV$4,ADRYr1!$AL20,IF(ADRYr1!$AM20=CV$4,ADRYr1!$AN20,0))))*(INDEX(avoidedcosttbl,$H20,CV$2)+(($H20-ROUNDDOWN($H20,0))*(INDEX(avoidedcosttbl,ROUNDUP($H20,0),CV$2)-(INDEX(avoidedcosttbl,ROUNDDOWN($H20,0),CV$2)))))*ADRYr1!$P20*ADRYr1!$Q20*ADRYr1!$U20)</f>
        <v/>
      </c>
      <c r="CW20" s="28" t="str">
        <f>IF($G20="","",G20*(IF(ADRYr1!$AI20=CW$4,ADRYr1!$AJ20,IF(ADRYr1!$AK20=CW$4,ADRYr1!$AL20,IF(ADRYr1!$AM20=CW$4,ADRYr1!$AN20,0))))*(INDEX(avoidedcosttbl,$H20,CW$2)+(($H20-ROUNDDOWN($H20,0))*(INDEX(avoidedcosttbl,ROUNDUP($H20,0),CW$2)-(INDEX(avoidedcosttbl,ROUNDDOWN($H20,0),CW$2)))))*ADRYr1!$P20*ADRYr1!$Q20*ADRYr1!$U20)</f>
        <v/>
      </c>
      <c r="CX20" s="28" t="str">
        <f>IF($G20="","",G20*(IF(ADRYr1!$AI20=CX$4,ADRYr1!$AJ20,IF(ADRYr1!$AK20=CX$4,ADRYr1!$AL20,IF(ADRYr1!$AM20=CX$4,ADRYr1!$AN20,0))))*(INDEX(avoidedcosttbl,$H20,CX$2)+(($H20-ROUNDDOWN($H20,0))*(INDEX(avoidedcosttbl,ROUNDUP($H20,0),CX$2)-(INDEX(avoidedcosttbl,ROUNDDOWN($H20,0),CX$2)))))*ADRYr1!$P20*ADRYr1!$Q20*ADRYr1!$U20)</f>
        <v/>
      </c>
      <c r="CY20" s="28" t="str">
        <f t="shared" si="13"/>
        <v/>
      </c>
      <c r="CZ20" s="32" t="str">
        <f t="shared" si="14"/>
        <v/>
      </c>
      <c r="DA20" s="84" t="str">
        <f t="shared" si="42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15"/>
        <v/>
      </c>
      <c r="DD20" s="166" t="str">
        <f t="shared" si="16"/>
        <v/>
      </c>
      <c r="DE20" s="82">
        <f t="shared" si="43"/>
        <v>0</v>
      </c>
      <c r="DF20" s="760" t="str">
        <f>IF($G20="","",(1+WntPeakEnergyLL)*(INDEX(avoidedcosttbl,$H20,DF$2)+(($H20-ROUNDDOWN($H20,0))*(INDEX(avoidedcosttbl,ROUNDUP($H20,0),DF$2)-(INDEX(avoidedcosttbl,ROUNDDOWN($H20,0),DF$2)))))*$P20*1000*ADRYr1!Z20)</f>
        <v/>
      </c>
      <c r="DG20" s="760" t="str">
        <f>IF($G20="","",(1+WntOffPeakEnergyLL)*(INDEX(avoidedcosttbl,$H20,DG$2)+(($H20-ROUNDDOWN($H20,0))*(INDEX(avoidedcosttbl,ROUNDUP($H20,0),DG$2)-(INDEX(avoidedcosttbl,ROUNDDOWN($H20,0),DG$2)))))*$P20*1000*ADRYr1!AA20)</f>
        <v/>
      </c>
      <c r="DH20" s="760" t="str">
        <f>IF($G20="","",(1+SumPeakEnergyLL)*(INDEX(avoidedcosttbl,$H20,DH$2)+(($H20-ROUNDDOWN($H20,0))*(INDEX(avoidedcosttbl,ROUNDUP($H20,0),DH$2)-(INDEX(avoidedcosttbl,ROUNDDOWN($H20,0),DH$2)))))*$P20*1000*ADRYr1!AB20)</f>
        <v/>
      </c>
      <c r="DI20" s="760" t="str">
        <f>IF($G20="","",(1+SumOffPeakEnergyLL)*(INDEX(avoidedcosttbl,$H20,DI$2)+(($H20-ROUNDDOWN($H20,0))*(INDEX(avoidedcosttbl,ROUNDUP($H20,0),DI$2)-(INDEX(avoidedcosttbl,ROUNDDOWN($H20,0),DI$2)))))*$P20*1000*ADRYr1!AC20)</f>
        <v/>
      </c>
      <c r="DJ20" s="29" t="str">
        <f t="shared" si="44"/>
        <v/>
      </c>
      <c r="DK20" s="161" t="str">
        <f t="shared" si="45"/>
        <v/>
      </c>
      <c r="DL20" s="1375" t="str">
        <f t="shared" si="46"/>
        <v/>
      </c>
      <c r="DM20" s="1375" t="str">
        <f t="shared" si="47"/>
        <v/>
      </c>
      <c r="DN20" s="43" t="str">
        <f t="shared" si="48"/>
        <v/>
      </c>
      <c r="DO20" s="1131" t="str">
        <f>IF($G20="","",ADRYr1!AQ20)</f>
        <v/>
      </c>
      <c r="DP20" s="1133" t="str">
        <f>IF($G20="","",ADRYr1!AR20)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17"/>
        <v/>
      </c>
      <c r="DU20" s="1135" t="str">
        <f>IF($G20="","",ADRYr1!AS20)</f>
        <v/>
      </c>
      <c r="DV20" s="1136" t="str">
        <f>IF($G20="","",ADRYr1!AT20)</f>
        <v/>
      </c>
      <c r="DW20" s="1344" t="str">
        <f>IF($G20="","",INDEX(AvoidedEnergy!$H$4:$H$10,MATCH($DO20,AvoidedEnergy!$A$4:$A$10,0)))</f>
        <v/>
      </c>
    </row>
    <row r="21" spans="1:127">
      <c r="A21" s="160" t="str">
        <f>IF(ADRYr1!$B21=0,"",ADRYr1!A21)</f>
        <v>B - Low-Income</v>
      </c>
      <c r="B21" s="9" t="str">
        <f>IF(ADRYr1!$B21=0,"",ADRYr1!B21)</f>
        <v>Home Energy Assistance</v>
      </c>
      <c r="C21" s="9" t="str">
        <f>IF(ADRYr1!$B21=0,"",ADRYr1!C21)</f>
        <v>Res Demand Response</v>
      </c>
      <c r="D21" s="9" t="str">
        <f>IF(ADRYr1!$B21=0,"",ADRYr1!D21)</f>
        <v>Storage Daily Dispatch Upfront Incentive (savings) Winter</v>
      </c>
      <c r="E21" s="9">
        <f>IF(ADRYr1!$B21=0,"",ADRYr1!E21)</f>
        <v>0</v>
      </c>
      <c r="F21" s="11" t="str">
        <f>IF(ADRYr1!$B21=0,"",ADRYr1!F21)</f>
        <v>Behavior</v>
      </c>
      <c r="G21" s="12" t="str">
        <f>IF(ADRYr1!$G21&lt;&gt;0,ADRYr1!G21,"")</f>
        <v/>
      </c>
      <c r="H21" s="1125" t="str">
        <f>IF($G21="","",ROUND(ADRYr1!H21,0))</f>
        <v/>
      </c>
      <c r="I21" s="47" t="str">
        <f>IF($G21="","",ADRYr1!I21*ADRYr1!P21*G21)</f>
        <v/>
      </c>
      <c r="J21" s="47" t="str">
        <f>IF($G21="","",ADRYr1!J21*G21)</f>
        <v/>
      </c>
      <c r="K21" s="47" t="str">
        <f t="shared" si="18"/>
        <v/>
      </c>
      <c r="L21" s="27" t="str">
        <f>IF($G21="","",ADRYr1!V21*G21/1000)</f>
        <v/>
      </c>
      <c r="M21" s="27" t="str">
        <f>IF($G21="","",L21*ADRYr1!$Q21*ADRYr1!$R21)</f>
        <v/>
      </c>
      <c r="N21" s="27" t="str">
        <f t="shared" si="19"/>
        <v/>
      </c>
      <c r="O21" s="27" t="str">
        <f t="shared" si="20"/>
        <v/>
      </c>
      <c r="P21" s="27" t="str">
        <f>IF($G21="","",M21*ADRYr1!P21)</f>
        <v/>
      </c>
      <c r="Q21" s="27" t="str">
        <f t="shared" si="21"/>
        <v/>
      </c>
      <c r="R21" s="27" t="str">
        <f>IF($G21="","",$Q21*ADRYr1!Z21)</f>
        <v/>
      </c>
      <c r="S21" s="27" t="str">
        <f>IF($G21="","",$Q21*ADRYr1!AA21)</f>
        <v/>
      </c>
      <c r="T21" s="27" t="str">
        <f>IF($G21="","",$Q21*ADRYr1!AB21)</f>
        <v/>
      </c>
      <c r="U21" s="27" t="str">
        <f>IF($G21="","",$Q21*ADRYr1!AC21)</f>
        <v/>
      </c>
      <c r="V21" s="27" t="str">
        <f>IF($G21="","",G21*ADRYr1!$AD21*ADRYr1!$P21*ADRYr1!$Q21)</f>
        <v/>
      </c>
      <c r="W21" s="27" t="str">
        <f>IF($G21="","",$G21*ADRYr1!$AD21*ADRYr1!$AF21*ADRYr1!Q21*ADRYr1!$S21)</f>
        <v/>
      </c>
      <c r="X21" s="27" t="str">
        <f>IF($G21="","",$G21*ADRYr1!$AD21*ADRYr1!$AF21*ADRYr1!P21*ADRYr1!Q21*ADRYr1!$S21)</f>
        <v/>
      </c>
      <c r="Y21" s="27" t="str">
        <f>IF($G21="","",$G21*ADRYr1!$AD21*ADRYr1!$AE21*ADRYr1!Q21*ADRYr1!$T21)</f>
        <v/>
      </c>
      <c r="Z21" s="27" t="str">
        <f>IF($G21="","",$G21*ADRYr1!$AD21*ADRYr1!$AE21*ADRYr1!P21*ADRYr1!Q21*ADRYr1!$T21)</f>
        <v/>
      </c>
      <c r="AA21" s="45" t="str">
        <f>IF($G21="","",$G21*ADRYr1!$Q21*ADRYr1!$U21*(IF(IFERROR(SEARCH("NG", ADRYr1!$AI21),0),ADRYr1!$AJ21,0)+IF(IFERROR(SEARCH("NG", ADRYr1!$AK21),0),ADRYr1!$AL21,0)+IF(IFERROR(SEARCH("NG", ADRYr1!$AM21),0),ADRYr1!$AN21,0)))</f>
        <v/>
      </c>
      <c r="AB21" s="45" t="str">
        <f t="shared" si="22"/>
        <v/>
      </c>
      <c r="AC21" s="45">
        <f>IF($G21="",0,AA21*ADRYr1!$P21)</f>
        <v>0</v>
      </c>
      <c r="AD21" s="45" t="str">
        <f t="shared" si="23"/>
        <v/>
      </c>
      <c r="AE21" s="45" t="str">
        <f>IF($G21="","",$G21*ADRYr1!$Q21*ADRYr1!$U21*(IF(IFERROR(SEARCH("Oil", ADRYr1!$AI21), 0),ADRYr1!$AJ21,0)+IF(IFERROR(SEARCH("Oil", ADRYr1!$AK21), 0),ADRYr1!$AL21,0)+IF(IFERROR(SEARCH("Oil", ADRYr1!$AM21), 0),ADRYr1!$AN21,0)))</f>
        <v/>
      </c>
      <c r="AF21" s="45" t="str">
        <f t="shared" si="24"/>
        <v/>
      </c>
      <c r="AG21" s="45">
        <f>IF($G21="",0,AE21*ADRYr1!$P21)</f>
        <v>0</v>
      </c>
      <c r="AH21" s="45" t="str">
        <f t="shared" si="25"/>
        <v/>
      </c>
      <c r="AI21" s="45" t="str">
        <f>IF($G21="","",$G21*ADRYr1!$Q21*ADRYr1!$U21*(IF(ADRYr1!$AI21=Lookups!$E$114,ADRYr1!$AJ21,IF(ADRYr1!$AK21=Lookups!$E$114,ADRYr1!$AL21,IF(ADRYr1!$AM21=Lookups!$E$114,ADRYr1!$AN21,0)))))</f>
        <v/>
      </c>
      <c r="AJ21" s="45" t="str">
        <f t="shared" si="26"/>
        <v/>
      </c>
      <c r="AK21" s="45">
        <f>IF($G21="",0,AI21*ADRYr1!$P21)</f>
        <v>0</v>
      </c>
      <c r="AL21" s="45" t="str">
        <f t="shared" si="27"/>
        <v/>
      </c>
      <c r="AM21" s="45" t="str">
        <f>IF($G21="","",$G21*ADRYr1!$Q21*ADRYr1!$U21*(IF(ADRYr1!$AI21=Lookups!$E$113,ADRYr1!$AJ21,IF(ADRYr1!$AK21=Lookups!$E$113,ADRYr1!$AL21,IF(ADRYr1!$AM21=Lookups!$E$113,ADRYr1!$AN21,0)))))</f>
        <v/>
      </c>
      <c r="AN21" s="45" t="str">
        <f t="shared" si="28"/>
        <v/>
      </c>
      <c r="AO21" s="45">
        <f>IF($G21="",0,AM21*ADRYr1!$P21)</f>
        <v>0</v>
      </c>
      <c r="AP21" s="45" t="str">
        <f t="shared" si="29"/>
        <v/>
      </c>
      <c r="AQ21" s="45" t="str">
        <f>IF($G21="","",$G21*ADRYr1!$Q21*ADRYr1!$U21*(IF(ADRYr1!$AI21=Lookups!$E$115,ADRYr1!$AJ21,IF(ADRYr1!$AK21=Lookups!$E$115,ADRYr1!$AL21,IF(ADRYr1!$AM21=Lookups!$E$115,ADRYr1!$AN21,0)))))</f>
        <v/>
      </c>
      <c r="AR21" s="45" t="str">
        <f t="shared" si="30"/>
        <v/>
      </c>
      <c r="AS21" s="45" t="str">
        <f>IF($G21="","",AQ21*ADRYr1!$P21)</f>
        <v/>
      </c>
      <c r="AT21" s="45" t="str">
        <f t="shared" si="31"/>
        <v/>
      </c>
      <c r="AU21" s="45" t="str">
        <f>IF($G21="","",$G21*ADRYr1!$Q21*ADRYr1!$U21*(IF(ADRYr1!$AI21=Lookups!$E$116,ADRYr1!$AJ21,IF(ADRYr1!$AK21=Lookups!$E$116,ADRYr1!$AL21,IF(ADRYr1!$AM21=Lookups!$E$116,ADRYr1!$AN21,0)))))</f>
        <v/>
      </c>
      <c r="AV21" s="45" t="str">
        <f t="shared" si="32"/>
        <v/>
      </c>
      <c r="AW21" s="45" t="str">
        <f>IF($G21="","",AU21*ADRYr1!$P21)</f>
        <v/>
      </c>
      <c r="AX21" s="45" t="str">
        <f t="shared" si="33"/>
        <v/>
      </c>
      <c r="AY21" s="45">
        <f t="shared" si="34"/>
        <v>0</v>
      </c>
      <c r="AZ21" s="45">
        <f t="shared" si="34"/>
        <v>0</v>
      </c>
      <c r="BA21" s="101" t="str">
        <f>IF($G21="","",$G21*ADRYr1!$P21*ADRYr1!$Q21*ADRYr1!$U21*ADRYr1!AO21)</f>
        <v/>
      </c>
      <c r="BB21" s="102" t="str">
        <f>IF($G21="","",$G21*ADRYr1!$P21*ADRYr1!$Q21*ADRYr1!$U21*ADRYr1!AP21)</f>
        <v/>
      </c>
      <c r="BC21" s="100" t="str">
        <f t="shared" si="35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5"/>
        <v/>
      </c>
      <c r="BO21" s="31" t="str">
        <f t="shared" si="36"/>
        <v/>
      </c>
      <c r="BP21" s="1129" t="str">
        <f t="shared" si="6"/>
        <v/>
      </c>
      <c r="BQ21" s="28" t="str">
        <f t="shared" si="7"/>
        <v/>
      </c>
      <c r="BR21" s="1129" t="str">
        <f t="shared" si="8"/>
        <v/>
      </c>
      <c r="BS21" s="1129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7"/>
        <v/>
      </c>
      <c r="BX21" s="29" t="str">
        <f t="shared" si="38"/>
        <v/>
      </c>
      <c r="BY21" s="28" t="str">
        <f>IF($G21="","",$G21*(IF(ADRYr1!$AI21=BY$4,ADRYr1!$AJ21,IF(ADRYr1!$AK21=BY$4,ADRYr1!$AL21,IF(ADRYr1!$AM21=BY$4,ADRYr1!$AN21,0))))*(INDEX(avoidedcosttbl,$H21,BY$2)+(($H21-ROUNDDOWN($H21,0))*(INDEX(avoidedcosttbl,ROUNDUP($H21,0),BY$2)-(INDEX(avoidedcosttbl,ROUNDDOWN($H21,0),BY$2)))))*ADRYr1!P21*ADRYr1!Q21*ADRYr1!U21)</f>
        <v/>
      </c>
      <c r="BZ21" s="28" t="str">
        <f>IF($G21="","",$G21*(IF(ADRYr1!$AI21=BZ$4,ADRYr1!$AJ21,IF(ADRYr1!$AK21=BZ$4,ADRYr1!$AL21,IF(ADRYr1!$AM21=BZ$4,ADRYr1!$AN21,0))))*(INDEX(avoidedcosttbl,$H21,BZ$2)+(($H21-ROUNDDOWN($H21,0))*(INDEX(avoidedcosttbl,ROUNDUP($H21,0),BZ$2)-(INDEX(avoidedcosttbl,ROUNDDOWN($H21,0),BZ$2)))))*ADRYr1!P21*ADRYr1!Q21*ADRYr1!U21)</f>
        <v/>
      </c>
      <c r="CA21" s="28" t="str">
        <f>IF($G21="","",$G21*(IF(ADRYr1!$AI21=CA$4,ADRYr1!$AJ21,IF(ADRYr1!$AK21=CA$4,ADRYr1!$AL21,IF(ADRYr1!$AM21=CA$4,ADRYr1!$AN21,0))))*(INDEX(avoidedcosttbl,$H21,CA$2)+(($H21-ROUNDDOWN($H21,0))*(INDEX(avoidedcosttbl,ROUNDUP($H21,0),CA$2)-(INDEX(avoidedcosttbl,ROUNDDOWN($H21,0),CA$2)))))*ADRYr1!P21*ADRYr1!Q21*ADRYr1!U21)</f>
        <v/>
      </c>
      <c r="CB21" s="28" t="str">
        <f>IF($G21="","",$G21*(IF(ADRYr1!$AI21=CB$4,ADRYr1!$AJ21,IF(ADRYr1!$AK21=CB$4,ADRYr1!$AL21,IF(ADRYr1!$AM21=CB$4,ADRYr1!$AN21,0))))*(INDEX(avoidedcosttbl,$H21,CB$2)+(($H21-ROUNDDOWN($H21,0))*(INDEX(avoidedcosttbl,ROUNDUP($H21,0),CB$2)-(INDEX(avoidedcosttbl,ROUNDDOWN($H21,0),CB$2)))))*ADRYr1!P21*ADRYr1!Q21*ADRYr1!U21)</f>
        <v/>
      </c>
      <c r="CC21" s="28" t="str">
        <f>IF($G21="","",$G21*(IF(ADRYr1!$AI21=CC$4,ADRYr1!$AJ21,IF(ADRYr1!$AK21=CC$4,ADRYr1!$AL21,IF(ADRYr1!$AM21=CC$4,ADRYr1!$AN21,0))))*(INDEX(avoidedcosttbl,$H21,CC$2)+(($H21-ROUNDDOWN($H21,0))*(INDEX(avoidedcosttbl,ROUNDUP($H21,0),CC$2)-(INDEX(avoidedcosttbl,ROUNDDOWN($H21,0),CC$2)))))*ADRYr1!P21*ADRYr1!Q21*ADRYr1!U21)</f>
        <v/>
      </c>
      <c r="CD21" s="28" t="str">
        <f>IF($G21="","",$G21*(IF(ADRYr1!$AI21=CD$4,ADRYr1!$AJ21,IF(ADRYr1!$AK21=CD$4,ADRYr1!$AL21,IF(ADRYr1!$AM21=CD$4,ADRYr1!$AN21,0))))*(INDEX(avoidedcosttbl,$H21,CD$2)+(($H21-ROUNDDOWN($H21,0))*(INDEX(avoidedcosttbl,ROUNDUP($H21,0),CD$2)-(INDEX(avoidedcosttbl,ROUNDDOWN($H21,0),CD$2)))))*ADRYr1!P21*ADRYr1!Q21*ADRYr1!U21)</f>
        <v/>
      </c>
      <c r="CE21" s="28" t="str">
        <f>IF($G21="","",$G21*(IF(ADRYr1!$AI21=CE$4,ADRYr1!$AJ21,IF(ADRYr1!$AK21=CE$4,ADRYr1!$AL21,IF(ADRYr1!$AM21=CE$4,ADRYr1!$AN21,0))))*(INDEX(avoidedcosttbl,$H21,CE$2)+(($H21-ROUNDDOWN($H21,0))*(INDEX(avoidedcosttbl,ROUNDUP($H21,0),CE$2)-(INDEX(avoidedcosttbl,ROUNDDOWN($H21,0),CE$2)))))*ADRYr1!P21*ADRYr1!Q21*ADRYr1!U21)</f>
        <v/>
      </c>
      <c r="CF21" s="41" t="str">
        <f t="shared" si="39"/>
        <v/>
      </c>
      <c r="CG21" s="30" t="str">
        <f t="shared" si="11"/>
        <v/>
      </c>
      <c r="CH21" s="30" t="str">
        <f>IF($G21="","",$G21*(IF(ADRYr1!$AI21=BY$4,ADRYr1!$AJ21,IF(ADRYr1!$AK21=BY$4,ADRYr1!$AL21,IF(ADRYr1!$AM21=BY$4,ADRYr1!$AN21,0))))*(INDEX(avoidedcosttbl,$H21,CH$2)+(($H21-ROUNDDOWN($H21,0))*(INDEX(avoidedcosttbl,ROUNDUP($H21,0),CH$2)-(INDEX(avoidedcosttbl,ROUNDDOWN($H21,0),CH$2)))))*ADRYr1!P21*ADRYr1!Q21*ADRYr1!U21)</f>
        <v/>
      </c>
      <c r="CI21" s="30" t="str">
        <f>IF($G21="","",$G21*(IF(ADRYr1!$AI21=BZ$4,ADRYr1!$AJ21,IF(ADRYr1!$AK21=BZ$4,ADRYr1!$AL21,IF(ADRYr1!$AM21=BZ$4,ADRYr1!$AN21,0))))*(INDEX(avoidedcosttbl,$H21,CI$2)+(($H21-ROUNDDOWN($H21,0))*(INDEX(avoidedcosttbl,ROUNDUP($H21,0),CI$2)-(INDEX(avoidedcosttbl,ROUNDDOWN($H21,0),CI$2)))))*ADRYr1!P21*ADRYr1!Q21*ADRYr1!U21)</f>
        <v/>
      </c>
      <c r="CJ21" s="30" t="str">
        <f>IF($G21="","",$G21*(IF(ADRYr1!$AI21=CA$4,ADRYr1!$AJ21,IF(ADRYr1!$AK21=CA$4,ADRYr1!$AL21,IF(ADRYr1!$AM21=CA$4,ADRYr1!$AN21,0))))*(INDEX(avoidedcosttbl,$H21,CJ$2)+(($H21-ROUNDDOWN($H21,0))*(INDEX(avoidedcosttbl,ROUNDUP($H21,0),CJ$2)-(INDEX(avoidedcosttbl,ROUNDDOWN($H21,0),CJ$2)))))*ADRYr1!P21*ADRYr1!Q21*ADRYr1!U21)</f>
        <v/>
      </c>
      <c r="CK21" s="30" t="str">
        <f>IF($G21="","",$G21*(IF(ADRYr1!$AI21=CB$4,ADRYr1!$AJ21,IF(ADRYr1!$AK21=CB$4,ADRYr1!$AL21,IF(ADRYr1!$AM21=CB$4,ADRYr1!$AN21,0))))*(INDEX(avoidedcosttbl,$H21,CK$2)+(($H21-ROUNDDOWN($H21,0))*(INDEX(avoidedcosttbl,ROUNDUP($H21,0),CK$2)-(INDEX(avoidedcosttbl,ROUNDDOWN($H21,0),CK$2)))))*ADRYr1!P21*ADRYr1!Q21*ADRYr1!U21)</f>
        <v/>
      </c>
      <c r="CL21" s="30" t="str">
        <f>IF($G21="","",$G21*(IF(ADRYr1!$AI21=CC$4,ADRYr1!$AJ21,IF(ADRYr1!$AK21=CC$4,ADRYr1!$AL21,IF(ADRYr1!$AM21=CC$4,ADRYr1!$AN21,0))))*(INDEX(avoidedcosttbl,$H21,CL$2)+(($H21-ROUNDDOWN($H21,0))*(INDEX(avoidedcosttbl,ROUNDUP($H21,0),CL$2)-(INDEX(avoidedcosttbl,ROUNDDOWN($H21,0),CL$2)))))*ADRYr1!P21*ADRYr1!Q21*ADRYr1!U21)</f>
        <v/>
      </c>
      <c r="CM21" s="30" t="str">
        <f>IF($G21="","",$G21*(IF(ADRYr1!$AI21=CD$4,ADRYr1!$AJ21,IF(ADRYr1!$AK21=CD$4,ADRYr1!$AL21,IF(ADRYr1!$AM21=CD$4,ADRYr1!$AN21,0))))*(INDEX(avoidedcosttbl,$H21,CM$2)+(($H21-ROUNDDOWN($H21,0))*(INDEX(avoidedcosttbl,ROUNDUP($H21,0),CM$2)-(INDEX(avoidedcosttbl,ROUNDDOWN($H21,0),CM$2)))))*ADRYr1!P21*ADRYr1!Q21*ADRYr1!U21)</f>
        <v/>
      </c>
      <c r="CN21" s="30" t="str">
        <f>IF($G21="","",$G21*(IF(ADRYr1!$AI21=CE$4,ADRYr1!$AJ21,IF(ADRYr1!$AK21=CE$4,ADRYr1!$AL21,IF(ADRYr1!$AM21=CE$4,ADRYr1!$AN21,0))))*(INDEX(avoidedcosttbl,$H21,CN$2)+(($H21-ROUNDDOWN($H21,0))*(INDEX(avoidedcosttbl,ROUNDUP($H21,0),CN$2)-(INDEX(avoidedcosttbl,ROUNDDOWN($H21,0),CN$2)))))*ADRYr1!P21*ADRYr1!Q21*ADRYr1!U21)</f>
        <v/>
      </c>
      <c r="CO21" s="220" t="str">
        <f t="shared" si="40"/>
        <v/>
      </c>
      <c r="CP21" s="220" t="str">
        <f t="shared" si="41"/>
        <v/>
      </c>
      <c r="CQ21" s="157" t="str">
        <f>IF($G21="","",$G21*(IF(ADRYr1!$AI21=CQ$4,ADRYr1!$AJ21,IF(ADRYr1!$AK21=CQ$4,ADRYr1!$AL21,IF(ADRYr1!$AM21=CQ$4,ADRYr1!$AN21,0))))*(INDEX(avoidedcosttbl,$H21,CQ$2)+(($H21-ROUNDDOWN($H21,0))*(INDEX(avoidedcosttbl,ROUNDUP($H21,0),CQ$2)-(INDEX(avoidedcosttbl,ROUNDDOWN($H21,0),CQ$2)))))*ADRYr1!$P21*ADRYr1!$Q21*ADRYr1!$U21)</f>
        <v/>
      </c>
      <c r="CR21" s="28" t="str">
        <f>IF($G21="","",G21*(IF(ADRYr1!$AI21=CR$4,ADRYr1!$AJ21,IF(ADRYr1!$AK21=CR$4,ADRYr1!$AL21,IF(ADRYr1!$AM21=CR$4,ADRYr1!$AN21,0))))*(INDEX(avoidedcosttbl,$H21,CR$2)+(($H21-ROUNDDOWN($H21,0))*(INDEX(avoidedcosttbl,ROUNDUP($H21,0),CR$2)-(INDEX(avoidedcosttbl,ROUNDDOWN($H21,0),CR$2)))))*ADRYr1!$P21*ADRYr1!$Q21*ADRYr1!$U21)</f>
        <v/>
      </c>
      <c r="CS21" s="28" t="str">
        <f>IF($G21="","",G21*(IF(ADRYr1!$AI21=CS$4,ADRYr1!$AJ21,IF(ADRYr1!$AK21=CS$4,ADRYr1!$AL21,IF(ADRYr1!$AM21=CS$4,ADRYr1!$AN21,0))))*(INDEX(avoidedcosttbl,$H21,CS$2)+(($H21-ROUNDDOWN($H21,0))*(INDEX(avoidedcosttbl,ROUNDUP($H21,0),CS$2)-(INDEX(avoidedcosttbl,ROUNDDOWN($H21,0),CS$2)))))*ADRYr1!$P21*ADRYr1!$Q21*ADRYr1!$U21)</f>
        <v/>
      </c>
      <c r="CT21" s="28" t="str">
        <f t="shared" si="12"/>
        <v/>
      </c>
      <c r="CU21" s="28" t="str">
        <f>IF($G21="","",G21*(IF(ADRYr1!$AI21=CU$4,ADRYr1!$AJ21,IF(ADRYr1!$AK21=CU$4,ADRYr1!$AL21,IF(ADRYr1!$AM21=CU$4,ADRYr1!$AN21,0))))*(INDEX(avoidedcosttbl,$H21,CU$2)+(($H21-ROUNDDOWN($H21,0))*(INDEX(avoidedcosttbl,ROUNDUP($H21,0),CU$2)-(INDEX(avoidedcosttbl,ROUNDDOWN($H21,0),CU$2)))))*ADRYr1!$P21*ADRYr1!$Q21*ADRYr1!$U21)</f>
        <v/>
      </c>
      <c r="CV21" s="28" t="str">
        <f>IF($G21="","",G21*(IF(ADRYr1!$AI21=CV$4,ADRYr1!$AJ21,IF(ADRYr1!$AK21=CV$4,ADRYr1!$AL21,IF(ADRYr1!$AM21=CV$4,ADRYr1!$AN21,0))))*(INDEX(avoidedcosttbl,$H21,CV$2)+(($H21-ROUNDDOWN($H21,0))*(INDEX(avoidedcosttbl,ROUNDUP($H21,0),CV$2)-(INDEX(avoidedcosttbl,ROUNDDOWN($H21,0),CV$2)))))*ADRYr1!$P21*ADRYr1!$Q21*ADRYr1!$U21)</f>
        <v/>
      </c>
      <c r="CW21" s="28" t="str">
        <f>IF($G21="","",G21*(IF(ADRYr1!$AI21=CW$4,ADRYr1!$AJ21,IF(ADRYr1!$AK21=CW$4,ADRYr1!$AL21,IF(ADRYr1!$AM21=CW$4,ADRYr1!$AN21,0))))*(INDEX(avoidedcosttbl,$H21,CW$2)+(($H21-ROUNDDOWN($H21,0))*(INDEX(avoidedcosttbl,ROUNDUP($H21,0),CW$2)-(INDEX(avoidedcosttbl,ROUNDDOWN($H21,0),CW$2)))))*ADRYr1!$P21*ADRYr1!$Q21*ADRYr1!$U21)</f>
        <v/>
      </c>
      <c r="CX21" s="28" t="str">
        <f>IF($G21="","",G21*(IF(ADRYr1!$AI21=CX$4,ADRYr1!$AJ21,IF(ADRYr1!$AK21=CX$4,ADRYr1!$AL21,IF(ADRYr1!$AM21=CX$4,ADRYr1!$AN21,0))))*(INDEX(avoidedcosttbl,$H21,CX$2)+(($H21-ROUNDDOWN($H21,0))*(INDEX(avoidedcosttbl,ROUNDUP($H21,0),CX$2)-(INDEX(avoidedcosttbl,ROUNDDOWN($H21,0),CX$2)))))*ADRYr1!$P21*ADRYr1!$Q21*ADRYr1!$U21)</f>
        <v/>
      </c>
      <c r="CY21" s="28" t="str">
        <f t="shared" si="13"/>
        <v/>
      </c>
      <c r="CZ21" s="32" t="str">
        <f t="shared" si="14"/>
        <v/>
      </c>
      <c r="DA21" s="84" t="str">
        <f t="shared" si="42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15"/>
        <v/>
      </c>
      <c r="DD21" s="166" t="str">
        <f t="shared" si="16"/>
        <v/>
      </c>
      <c r="DE21" s="82">
        <f t="shared" si="43"/>
        <v>0</v>
      </c>
      <c r="DF21" s="760" t="str">
        <f>IF($G21="","",(1+WntPeakEnergyLL)*(INDEX(avoidedcosttbl,$H21,DF$2)+(($H21-ROUNDDOWN($H21,0))*(INDEX(avoidedcosttbl,ROUNDUP($H21,0),DF$2)-(INDEX(avoidedcosttbl,ROUNDDOWN($H21,0),DF$2)))))*$P21*1000*ADRYr1!Z21)</f>
        <v/>
      </c>
      <c r="DG21" s="760" t="str">
        <f>IF($G21="","",(1+WntOffPeakEnergyLL)*(INDEX(avoidedcosttbl,$H21,DG$2)+(($H21-ROUNDDOWN($H21,0))*(INDEX(avoidedcosttbl,ROUNDUP($H21,0),DG$2)-(INDEX(avoidedcosttbl,ROUNDDOWN($H21,0),DG$2)))))*$P21*1000*ADRYr1!AA21)</f>
        <v/>
      </c>
      <c r="DH21" s="760" t="str">
        <f>IF($G21="","",(1+SumPeakEnergyLL)*(INDEX(avoidedcosttbl,$H21,DH$2)+(($H21-ROUNDDOWN($H21,0))*(INDEX(avoidedcosttbl,ROUNDUP($H21,0),DH$2)-(INDEX(avoidedcosttbl,ROUNDDOWN($H21,0),DH$2)))))*$P21*1000*ADRYr1!AB21)</f>
        <v/>
      </c>
      <c r="DI21" s="760" t="str">
        <f>IF($G21="","",(1+SumOffPeakEnergyLL)*(INDEX(avoidedcosttbl,$H21,DI$2)+(($H21-ROUNDDOWN($H21,0))*(INDEX(avoidedcosttbl,ROUNDUP($H21,0),DI$2)-(INDEX(avoidedcosttbl,ROUNDDOWN($H21,0),DI$2)))))*$P21*1000*ADRYr1!AC21)</f>
        <v/>
      </c>
      <c r="DJ21" s="29" t="str">
        <f t="shared" si="44"/>
        <v/>
      </c>
      <c r="DK21" s="161" t="str">
        <f t="shared" si="45"/>
        <v/>
      </c>
      <c r="DL21" s="1375" t="str">
        <f t="shared" si="46"/>
        <v/>
      </c>
      <c r="DM21" s="1375" t="str">
        <f t="shared" si="47"/>
        <v/>
      </c>
      <c r="DN21" s="43" t="str">
        <f t="shared" si="48"/>
        <v/>
      </c>
      <c r="DO21" s="1131" t="str">
        <f>IF($G21="","",ADRYr1!AQ21)</f>
        <v/>
      </c>
      <c r="DP21" s="1133" t="str">
        <f>IF($G21="","",ADRYr1!AR21)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17"/>
        <v/>
      </c>
      <c r="DU21" s="1135" t="str">
        <f>IF($G21="","",ADRYr1!AS21)</f>
        <v/>
      </c>
      <c r="DV21" s="1136" t="str">
        <f>IF($G21="","",ADRYr1!AT21)</f>
        <v/>
      </c>
      <c r="DW21" s="1344" t="str">
        <f>IF($G21="","",INDEX(AvoidedEnergy!$H$4:$H$10,MATCH($DO21,AvoidedEnergy!$A$4:$A$10,0)))</f>
        <v/>
      </c>
    </row>
    <row r="22" spans="1:127">
      <c r="A22" s="160" t="str">
        <f>IF(ADRYr1!$B22=0,"",ADRYr1!A22)</f>
        <v>B - Low-Income</v>
      </c>
      <c r="B22" s="9" t="str">
        <f>IF(ADRYr1!$B22=0,"",ADRYr1!B22)</f>
        <v>Home Energy Assistance</v>
      </c>
      <c r="C22" s="9" t="str">
        <f>IF(ADRYr1!$B22=0,"",ADRYr1!C22)</f>
        <v>Res Demand Response</v>
      </c>
      <c r="D22" s="9" t="str">
        <f>IF(ADRYr1!$B22=0,"",ADRYr1!D22)</f>
        <v>Storage Daily Dispatch Upfront Incentive (consumption) Winter</v>
      </c>
      <c r="E22" s="9">
        <f>IF(ADRYr1!$B22=0,"",ADRYr1!E22)</f>
        <v>0</v>
      </c>
      <c r="F22" s="11" t="str">
        <f>IF(ADRYr1!$B22=0,"",ADRYr1!F22)</f>
        <v>Behavior</v>
      </c>
      <c r="G22" s="12" t="str">
        <f>IF(ADRYr1!$G22&lt;&gt;0,ADRYr1!G22,"")</f>
        <v/>
      </c>
      <c r="H22" s="1125" t="str">
        <f>IF($G22="","",ROUND(ADRYr1!H22,0))</f>
        <v/>
      </c>
      <c r="I22" s="47" t="str">
        <f>IF($G22="","",ADRYr1!I22*ADRYr1!P22*G22)</f>
        <v/>
      </c>
      <c r="J22" s="47" t="str">
        <f>IF($G22="","",ADRYr1!J22*G22)</f>
        <v/>
      </c>
      <c r="K22" s="47" t="str">
        <f t="shared" si="18"/>
        <v/>
      </c>
      <c r="L22" s="27" t="str">
        <f>IF($G22="","",ADRYr1!V22*G22/1000)</f>
        <v/>
      </c>
      <c r="M22" s="27" t="str">
        <f>IF($G22="","",L22*ADRYr1!$Q22*ADRYr1!$R22)</f>
        <v/>
      </c>
      <c r="N22" s="27" t="str">
        <f t="shared" si="19"/>
        <v/>
      </c>
      <c r="O22" s="27" t="str">
        <f t="shared" si="20"/>
        <v/>
      </c>
      <c r="P22" s="27" t="str">
        <f>IF($G22="","",M22*ADRYr1!P22)</f>
        <v/>
      </c>
      <c r="Q22" s="27" t="str">
        <f t="shared" si="21"/>
        <v/>
      </c>
      <c r="R22" s="27" t="str">
        <f>IF($G22="","",$Q22*ADRYr1!Z22)</f>
        <v/>
      </c>
      <c r="S22" s="27" t="str">
        <f>IF($G22="","",$Q22*ADRYr1!AA22)</f>
        <v/>
      </c>
      <c r="T22" s="27" t="str">
        <f>IF($G22="","",$Q22*ADRYr1!AB22)</f>
        <v/>
      </c>
      <c r="U22" s="27" t="str">
        <f>IF($G22="","",$Q22*ADRYr1!AC22)</f>
        <v/>
      </c>
      <c r="V22" s="27" t="str">
        <f>IF($G22="","",G22*ADRYr1!$AD22*ADRYr1!$P22*ADRYr1!$Q22)</f>
        <v/>
      </c>
      <c r="W22" s="27" t="str">
        <f>IF($G22="","",$G22*ADRYr1!$AD22*ADRYr1!$AF22*ADRYr1!Q22*ADRYr1!$S22)</f>
        <v/>
      </c>
      <c r="X22" s="27" t="str">
        <f>IF($G22="","",$G22*ADRYr1!$AD22*ADRYr1!$AF22*ADRYr1!P22*ADRYr1!Q22*ADRYr1!$S22)</f>
        <v/>
      </c>
      <c r="Y22" s="27" t="str">
        <f>IF($G22="","",$G22*ADRYr1!$AD22*ADRYr1!$AE22*ADRYr1!Q22*ADRYr1!$T22)</f>
        <v/>
      </c>
      <c r="Z22" s="27" t="str">
        <f>IF($G22="","",$G22*ADRYr1!$AD22*ADRYr1!$AE22*ADRYr1!P22*ADRYr1!Q22*ADRYr1!$T22)</f>
        <v/>
      </c>
      <c r="AA22" s="45" t="str">
        <f>IF($G22="","",$G22*ADRYr1!$Q22*ADRYr1!$U22*(IF(IFERROR(SEARCH("NG", ADRYr1!$AI22),0),ADRYr1!$AJ22,0)+IF(IFERROR(SEARCH("NG", ADRYr1!$AK22),0),ADRYr1!$AL22,0)+IF(IFERROR(SEARCH("NG", ADRYr1!$AM22),0),ADRYr1!$AN22,0)))</f>
        <v/>
      </c>
      <c r="AB22" s="45" t="str">
        <f t="shared" si="22"/>
        <v/>
      </c>
      <c r="AC22" s="45">
        <f>IF($G22="",0,AA22*ADRYr1!$P22)</f>
        <v>0</v>
      </c>
      <c r="AD22" s="45" t="str">
        <f t="shared" si="23"/>
        <v/>
      </c>
      <c r="AE22" s="45" t="str">
        <f>IF($G22="","",$G22*ADRYr1!$Q22*ADRYr1!$U22*(IF(IFERROR(SEARCH("Oil", ADRYr1!$AI22), 0),ADRYr1!$AJ22,0)+IF(IFERROR(SEARCH("Oil", ADRYr1!$AK22), 0),ADRYr1!$AL22,0)+IF(IFERROR(SEARCH("Oil", ADRYr1!$AM22), 0),ADRYr1!$AN22,0)))</f>
        <v/>
      </c>
      <c r="AF22" s="45" t="str">
        <f t="shared" si="24"/>
        <v/>
      </c>
      <c r="AG22" s="45">
        <f>IF($G22="",0,AE22*ADRYr1!$P22)</f>
        <v>0</v>
      </c>
      <c r="AH22" s="45" t="str">
        <f t="shared" si="25"/>
        <v/>
      </c>
      <c r="AI22" s="45" t="str">
        <f>IF($G22="","",$G22*ADRYr1!$Q22*ADRYr1!$U22*(IF(ADRYr1!$AI22=Lookups!$E$114,ADRYr1!$AJ22,IF(ADRYr1!$AK22=Lookups!$E$114,ADRYr1!$AL22,IF(ADRYr1!$AM22=Lookups!$E$114,ADRYr1!$AN22,0)))))</f>
        <v/>
      </c>
      <c r="AJ22" s="45" t="str">
        <f t="shared" si="26"/>
        <v/>
      </c>
      <c r="AK22" s="45">
        <f>IF($G22="",0,AI22*ADRYr1!$P22)</f>
        <v>0</v>
      </c>
      <c r="AL22" s="45" t="str">
        <f t="shared" si="27"/>
        <v/>
      </c>
      <c r="AM22" s="45" t="str">
        <f>IF($G22="","",$G22*ADRYr1!$Q22*ADRYr1!$U22*(IF(ADRYr1!$AI22=Lookups!$E$113,ADRYr1!$AJ22,IF(ADRYr1!$AK22=Lookups!$E$113,ADRYr1!$AL22,IF(ADRYr1!$AM22=Lookups!$E$113,ADRYr1!$AN22,0)))))</f>
        <v/>
      </c>
      <c r="AN22" s="45" t="str">
        <f t="shared" si="28"/>
        <v/>
      </c>
      <c r="AO22" s="45">
        <f>IF($G22="",0,AM22*ADRYr1!$P22)</f>
        <v>0</v>
      </c>
      <c r="AP22" s="45" t="str">
        <f t="shared" si="29"/>
        <v/>
      </c>
      <c r="AQ22" s="45" t="str">
        <f>IF($G22="","",$G22*ADRYr1!$Q22*ADRYr1!$U22*(IF(ADRYr1!$AI22=Lookups!$E$115,ADRYr1!$AJ22,IF(ADRYr1!$AK22=Lookups!$E$115,ADRYr1!$AL22,IF(ADRYr1!$AM22=Lookups!$E$115,ADRYr1!$AN22,0)))))</f>
        <v/>
      </c>
      <c r="AR22" s="45" t="str">
        <f t="shared" si="30"/>
        <v/>
      </c>
      <c r="AS22" s="45" t="str">
        <f>IF($G22="","",AQ22*ADRYr1!$P22)</f>
        <v/>
      </c>
      <c r="AT22" s="45" t="str">
        <f t="shared" si="31"/>
        <v/>
      </c>
      <c r="AU22" s="45" t="str">
        <f>IF($G22="","",$G22*ADRYr1!$Q22*ADRYr1!$U22*(IF(ADRYr1!$AI22=Lookups!$E$116,ADRYr1!$AJ22,IF(ADRYr1!$AK22=Lookups!$E$116,ADRYr1!$AL22,IF(ADRYr1!$AM22=Lookups!$E$116,ADRYr1!$AN22,0)))))</f>
        <v/>
      </c>
      <c r="AV22" s="45" t="str">
        <f t="shared" si="32"/>
        <v/>
      </c>
      <c r="AW22" s="45" t="str">
        <f>IF($G22="","",AU22*ADRYr1!$P22)</f>
        <v/>
      </c>
      <c r="AX22" s="45" t="str">
        <f t="shared" si="33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IF($G22="","",$G22*ADRYr1!$P22*ADRYr1!$Q22*ADRYr1!$U22*ADRYr1!AO22)</f>
        <v/>
      </c>
      <c r="BB22" s="102" t="str">
        <f>IF($G22="","",$G22*ADRYr1!$P22*ADRYr1!$Q22*ADRYr1!$U22*ADRYr1!AP22)</f>
        <v/>
      </c>
      <c r="BC22" s="100" t="str">
        <f t="shared" si="35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5"/>
        <v/>
      </c>
      <c r="BO22" s="31" t="str">
        <f t="shared" si="36"/>
        <v/>
      </c>
      <c r="BP22" s="1129" t="str">
        <f t="shared" si="6"/>
        <v/>
      </c>
      <c r="BQ22" s="28" t="str">
        <f t="shared" si="7"/>
        <v/>
      </c>
      <c r="BR22" s="1129" t="str">
        <f t="shared" si="8"/>
        <v/>
      </c>
      <c r="BS22" s="1129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7"/>
        <v/>
      </c>
      <c r="BX22" s="29" t="str">
        <f t="shared" si="38"/>
        <v/>
      </c>
      <c r="BY22" s="28" t="str">
        <f>IF($G22="","",$G22*(IF(ADRYr1!$AI22=BY$4,ADRYr1!$AJ22,IF(ADRYr1!$AK22=BY$4,ADRYr1!$AL22,IF(ADRYr1!$AM22=BY$4,ADRYr1!$AN22,0))))*(INDEX(avoidedcosttbl,$H22,BY$2)+(($H22-ROUNDDOWN($H22,0))*(INDEX(avoidedcosttbl,ROUNDUP($H22,0),BY$2)-(INDEX(avoidedcosttbl,ROUNDDOWN($H22,0),BY$2)))))*ADRYr1!P22*ADRYr1!Q22*ADRYr1!U22)</f>
        <v/>
      </c>
      <c r="BZ22" s="28" t="str">
        <f>IF($G22="","",$G22*(IF(ADRYr1!$AI22=BZ$4,ADRYr1!$AJ22,IF(ADRYr1!$AK22=BZ$4,ADRYr1!$AL22,IF(ADRYr1!$AM22=BZ$4,ADRYr1!$AN22,0))))*(INDEX(avoidedcosttbl,$H22,BZ$2)+(($H22-ROUNDDOWN($H22,0))*(INDEX(avoidedcosttbl,ROUNDUP($H22,0),BZ$2)-(INDEX(avoidedcosttbl,ROUNDDOWN($H22,0),BZ$2)))))*ADRYr1!P22*ADRYr1!Q22*ADRYr1!U22)</f>
        <v/>
      </c>
      <c r="CA22" s="28" t="str">
        <f>IF($G22="","",$G22*(IF(ADRYr1!$AI22=CA$4,ADRYr1!$AJ22,IF(ADRYr1!$AK22=CA$4,ADRYr1!$AL22,IF(ADRYr1!$AM22=CA$4,ADRYr1!$AN22,0))))*(INDEX(avoidedcosttbl,$H22,CA$2)+(($H22-ROUNDDOWN($H22,0))*(INDEX(avoidedcosttbl,ROUNDUP($H22,0),CA$2)-(INDEX(avoidedcosttbl,ROUNDDOWN($H22,0),CA$2)))))*ADRYr1!P22*ADRYr1!Q22*ADRYr1!U22)</f>
        <v/>
      </c>
      <c r="CB22" s="28" t="str">
        <f>IF($G22="","",$G22*(IF(ADRYr1!$AI22=CB$4,ADRYr1!$AJ22,IF(ADRYr1!$AK22=CB$4,ADRYr1!$AL22,IF(ADRYr1!$AM22=CB$4,ADRYr1!$AN22,0))))*(INDEX(avoidedcosttbl,$H22,CB$2)+(($H22-ROUNDDOWN($H22,0))*(INDEX(avoidedcosttbl,ROUNDUP($H22,0),CB$2)-(INDEX(avoidedcosttbl,ROUNDDOWN($H22,0),CB$2)))))*ADRYr1!P22*ADRYr1!Q22*ADRYr1!U22)</f>
        <v/>
      </c>
      <c r="CC22" s="28" t="str">
        <f>IF($G22="","",$G22*(IF(ADRYr1!$AI22=CC$4,ADRYr1!$AJ22,IF(ADRYr1!$AK22=CC$4,ADRYr1!$AL22,IF(ADRYr1!$AM22=CC$4,ADRYr1!$AN22,0))))*(INDEX(avoidedcosttbl,$H22,CC$2)+(($H22-ROUNDDOWN($H22,0))*(INDEX(avoidedcosttbl,ROUNDUP($H22,0),CC$2)-(INDEX(avoidedcosttbl,ROUNDDOWN($H22,0),CC$2)))))*ADRYr1!P22*ADRYr1!Q22*ADRYr1!U22)</f>
        <v/>
      </c>
      <c r="CD22" s="28" t="str">
        <f>IF($G22="","",$G22*(IF(ADRYr1!$AI22=CD$4,ADRYr1!$AJ22,IF(ADRYr1!$AK22=CD$4,ADRYr1!$AL22,IF(ADRYr1!$AM22=CD$4,ADRYr1!$AN22,0))))*(INDEX(avoidedcosttbl,$H22,CD$2)+(($H22-ROUNDDOWN($H22,0))*(INDEX(avoidedcosttbl,ROUNDUP($H22,0),CD$2)-(INDEX(avoidedcosttbl,ROUNDDOWN($H22,0),CD$2)))))*ADRYr1!P22*ADRYr1!Q22*ADRYr1!U22)</f>
        <v/>
      </c>
      <c r="CE22" s="28" t="str">
        <f>IF($G22="","",$G22*(IF(ADRYr1!$AI22=CE$4,ADRYr1!$AJ22,IF(ADRYr1!$AK22=CE$4,ADRYr1!$AL22,IF(ADRYr1!$AM22=CE$4,ADRYr1!$AN22,0))))*(INDEX(avoidedcosttbl,$H22,CE$2)+(($H22-ROUNDDOWN($H22,0))*(INDEX(avoidedcosttbl,ROUNDUP($H22,0),CE$2)-(INDEX(avoidedcosttbl,ROUNDDOWN($H22,0),CE$2)))))*ADRYr1!P22*ADRYr1!Q22*ADRYr1!U22)</f>
        <v/>
      </c>
      <c r="CF22" s="41" t="str">
        <f t="shared" si="39"/>
        <v/>
      </c>
      <c r="CG22" s="30" t="str">
        <f t="shared" si="11"/>
        <v/>
      </c>
      <c r="CH22" s="30" t="str">
        <f>IF($G22="","",$G22*(IF(ADRYr1!$AI22=BY$4,ADRYr1!$AJ22,IF(ADRYr1!$AK22=BY$4,ADRYr1!$AL22,IF(ADRYr1!$AM22=BY$4,ADRYr1!$AN22,0))))*(INDEX(avoidedcosttbl,$H22,CH$2)+(($H22-ROUNDDOWN($H22,0))*(INDEX(avoidedcosttbl,ROUNDUP($H22,0),CH$2)-(INDEX(avoidedcosttbl,ROUNDDOWN($H22,0),CH$2)))))*ADRYr1!P22*ADRYr1!Q22*ADRYr1!U22)</f>
        <v/>
      </c>
      <c r="CI22" s="30" t="str">
        <f>IF($G22="","",$G22*(IF(ADRYr1!$AI22=BZ$4,ADRYr1!$AJ22,IF(ADRYr1!$AK22=BZ$4,ADRYr1!$AL22,IF(ADRYr1!$AM22=BZ$4,ADRYr1!$AN22,0))))*(INDEX(avoidedcosttbl,$H22,CI$2)+(($H22-ROUNDDOWN($H22,0))*(INDEX(avoidedcosttbl,ROUNDUP($H22,0),CI$2)-(INDEX(avoidedcosttbl,ROUNDDOWN($H22,0),CI$2)))))*ADRYr1!P22*ADRYr1!Q22*ADRYr1!U22)</f>
        <v/>
      </c>
      <c r="CJ22" s="30" t="str">
        <f>IF($G22="","",$G22*(IF(ADRYr1!$AI22=CA$4,ADRYr1!$AJ22,IF(ADRYr1!$AK22=CA$4,ADRYr1!$AL22,IF(ADRYr1!$AM22=CA$4,ADRYr1!$AN22,0))))*(INDEX(avoidedcosttbl,$H22,CJ$2)+(($H22-ROUNDDOWN($H22,0))*(INDEX(avoidedcosttbl,ROUNDUP($H22,0),CJ$2)-(INDEX(avoidedcosttbl,ROUNDDOWN($H22,0),CJ$2)))))*ADRYr1!P22*ADRYr1!Q22*ADRYr1!U22)</f>
        <v/>
      </c>
      <c r="CK22" s="30" t="str">
        <f>IF($G22="","",$G22*(IF(ADRYr1!$AI22=CB$4,ADRYr1!$AJ22,IF(ADRYr1!$AK22=CB$4,ADRYr1!$AL22,IF(ADRYr1!$AM22=CB$4,ADRYr1!$AN22,0))))*(INDEX(avoidedcosttbl,$H22,CK$2)+(($H22-ROUNDDOWN($H22,0))*(INDEX(avoidedcosttbl,ROUNDUP($H22,0),CK$2)-(INDEX(avoidedcosttbl,ROUNDDOWN($H22,0),CK$2)))))*ADRYr1!P22*ADRYr1!Q22*ADRYr1!U22)</f>
        <v/>
      </c>
      <c r="CL22" s="30" t="str">
        <f>IF($G22="","",$G22*(IF(ADRYr1!$AI22=CC$4,ADRYr1!$AJ22,IF(ADRYr1!$AK22=CC$4,ADRYr1!$AL22,IF(ADRYr1!$AM22=CC$4,ADRYr1!$AN22,0))))*(INDEX(avoidedcosttbl,$H22,CL$2)+(($H22-ROUNDDOWN($H22,0))*(INDEX(avoidedcosttbl,ROUNDUP($H22,0),CL$2)-(INDEX(avoidedcosttbl,ROUNDDOWN($H22,0),CL$2)))))*ADRYr1!P22*ADRYr1!Q22*ADRYr1!U22)</f>
        <v/>
      </c>
      <c r="CM22" s="30" t="str">
        <f>IF($G22="","",$G22*(IF(ADRYr1!$AI22=CD$4,ADRYr1!$AJ22,IF(ADRYr1!$AK22=CD$4,ADRYr1!$AL22,IF(ADRYr1!$AM22=CD$4,ADRYr1!$AN22,0))))*(INDEX(avoidedcosttbl,$H22,CM$2)+(($H22-ROUNDDOWN($H22,0))*(INDEX(avoidedcosttbl,ROUNDUP($H22,0),CM$2)-(INDEX(avoidedcosttbl,ROUNDDOWN($H22,0),CM$2)))))*ADRYr1!P22*ADRYr1!Q22*ADRYr1!U22)</f>
        <v/>
      </c>
      <c r="CN22" s="30" t="str">
        <f>IF($G22="","",$G22*(IF(ADRYr1!$AI22=CE$4,ADRYr1!$AJ22,IF(ADRYr1!$AK22=CE$4,ADRYr1!$AL22,IF(ADRYr1!$AM22=CE$4,ADRYr1!$AN22,0))))*(INDEX(avoidedcosttbl,$H22,CN$2)+(($H22-ROUNDDOWN($H22,0))*(INDEX(avoidedcosttbl,ROUNDUP($H22,0),CN$2)-(INDEX(avoidedcosttbl,ROUNDDOWN($H22,0),CN$2)))))*ADRYr1!P22*ADRYr1!Q22*ADRYr1!U22)</f>
        <v/>
      </c>
      <c r="CO22" s="220" t="str">
        <f t="shared" si="40"/>
        <v/>
      </c>
      <c r="CP22" s="220" t="str">
        <f t="shared" si="41"/>
        <v/>
      </c>
      <c r="CQ22" s="157" t="str">
        <f>IF($G22="","",$G22*(IF(ADRYr1!$AI22=CQ$4,ADRYr1!$AJ22,IF(ADRYr1!$AK22=CQ$4,ADRYr1!$AL22,IF(ADRYr1!$AM22=CQ$4,ADRYr1!$AN22,0))))*(INDEX(avoidedcosttbl,$H22,CQ$2)+(($H22-ROUNDDOWN($H22,0))*(INDEX(avoidedcosttbl,ROUNDUP($H22,0),CQ$2)-(INDEX(avoidedcosttbl,ROUNDDOWN($H22,0),CQ$2)))))*ADRYr1!$P22*ADRYr1!$Q22*ADRYr1!$U22)</f>
        <v/>
      </c>
      <c r="CR22" s="28" t="str">
        <f>IF($G22="","",G22*(IF(ADRYr1!$AI22=CR$4,ADRYr1!$AJ22,IF(ADRYr1!$AK22=CR$4,ADRYr1!$AL22,IF(ADRYr1!$AM22=CR$4,ADRYr1!$AN22,0))))*(INDEX(avoidedcosttbl,$H22,CR$2)+(($H22-ROUNDDOWN($H22,0))*(INDEX(avoidedcosttbl,ROUNDUP($H22,0),CR$2)-(INDEX(avoidedcosttbl,ROUNDDOWN($H22,0),CR$2)))))*ADRYr1!$P22*ADRYr1!$Q22*ADRYr1!$U22)</f>
        <v/>
      </c>
      <c r="CS22" s="28" t="str">
        <f>IF($G22="","",G22*(IF(ADRYr1!$AI22=CS$4,ADRYr1!$AJ22,IF(ADRYr1!$AK22=CS$4,ADRYr1!$AL22,IF(ADRYr1!$AM22=CS$4,ADRYr1!$AN22,0))))*(INDEX(avoidedcosttbl,$H22,CS$2)+(($H22-ROUNDDOWN($H22,0))*(INDEX(avoidedcosttbl,ROUNDUP($H22,0),CS$2)-(INDEX(avoidedcosttbl,ROUNDDOWN($H22,0),CS$2)))))*ADRYr1!$P22*ADRYr1!$Q22*ADRYr1!$U22)</f>
        <v/>
      </c>
      <c r="CT22" s="28" t="str">
        <f t="shared" si="12"/>
        <v/>
      </c>
      <c r="CU22" s="28" t="str">
        <f>IF($G22="","",G22*(IF(ADRYr1!$AI22=CU$4,ADRYr1!$AJ22,IF(ADRYr1!$AK22=CU$4,ADRYr1!$AL22,IF(ADRYr1!$AM22=CU$4,ADRYr1!$AN22,0))))*(INDEX(avoidedcosttbl,$H22,CU$2)+(($H22-ROUNDDOWN($H22,0))*(INDEX(avoidedcosttbl,ROUNDUP($H22,0),CU$2)-(INDEX(avoidedcosttbl,ROUNDDOWN($H22,0),CU$2)))))*ADRYr1!$P22*ADRYr1!$Q22*ADRYr1!$U22)</f>
        <v/>
      </c>
      <c r="CV22" s="28" t="str">
        <f>IF($G22="","",G22*(IF(ADRYr1!$AI22=CV$4,ADRYr1!$AJ22,IF(ADRYr1!$AK22=CV$4,ADRYr1!$AL22,IF(ADRYr1!$AM22=CV$4,ADRYr1!$AN22,0))))*(INDEX(avoidedcosttbl,$H22,CV$2)+(($H22-ROUNDDOWN($H22,0))*(INDEX(avoidedcosttbl,ROUNDUP($H22,0),CV$2)-(INDEX(avoidedcosttbl,ROUNDDOWN($H22,0),CV$2)))))*ADRYr1!$P22*ADRYr1!$Q22*ADRYr1!$U22)</f>
        <v/>
      </c>
      <c r="CW22" s="28" t="str">
        <f>IF($G22="","",G22*(IF(ADRYr1!$AI22=CW$4,ADRYr1!$AJ22,IF(ADRYr1!$AK22=CW$4,ADRYr1!$AL22,IF(ADRYr1!$AM22=CW$4,ADRYr1!$AN22,0))))*(INDEX(avoidedcosttbl,$H22,CW$2)+(($H22-ROUNDDOWN($H22,0))*(INDEX(avoidedcosttbl,ROUNDUP($H22,0),CW$2)-(INDEX(avoidedcosttbl,ROUNDDOWN($H22,0),CW$2)))))*ADRYr1!$P22*ADRYr1!$Q22*ADRYr1!$U22)</f>
        <v/>
      </c>
      <c r="CX22" s="28" t="str">
        <f>IF($G22="","",G22*(IF(ADRYr1!$AI22=CX$4,ADRYr1!$AJ22,IF(ADRYr1!$AK22=CX$4,ADRYr1!$AL22,IF(ADRYr1!$AM22=CX$4,ADRYr1!$AN22,0))))*(INDEX(avoidedcosttbl,$H22,CX$2)+(($H22-ROUNDDOWN($H22,0))*(INDEX(avoidedcosttbl,ROUNDUP($H22,0),CX$2)-(INDEX(avoidedcosttbl,ROUNDDOWN($H22,0),CX$2)))))*ADRYr1!$P22*ADRYr1!$Q22*ADRYr1!$U22)</f>
        <v/>
      </c>
      <c r="CY22" s="28" t="str">
        <f t="shared" si="13"/>
        <v/>
      </c>
      <c r="CZ22" s="32" t="str">
        <f t="shared" si="14"/>
        <v/>
      </c>
      <c r="DA22" s="84" t="str">
        <f t="shared" si="42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15"/>
        <v/>
      </c>
      <c r="DD22" s="166" t="str">
        <f t="shared" si="16"/>
        <v/>
      </c>
      <c r="DE22" s="82">
        <f t="shared" si="43"/>
        <v>0</v>
      </c>
      <c r="DF22" s="760" t="str">
        <f>IF($G22="","",(1+WntPeakEnergyLL)*(INDEX(avoidedcosttbl,$H22,DF$2)+(($H22-ROUNDDOWN($H22,0))*(INDEX(avoidedcosttbl,ROUNDUP($H22,0),DF$2)-(INDEX(avoidedcosttbl,ROUNDDOWN($H22,0),DF$2)))))*$P22*1000*ADRYr1!Z22)</f>
        <v/>
      </c>
      <c r="DG22" s="760" t="str">
        <f>IF($G22="","",(1+WntOffPeakEnergyLL)*(INDEX(avoidedcosttbl,$H22,DG$2)+(($H22-ROUNDDOWN($H22,0))*(INDEX(avoidedcosttbl,ROUNDUP($H22,0),DG$2)-(INDEX(avoidedcosttbl,ROUNDDOWN($H22,0),DG$2)))))*$P22*1000*ADRYr1!AA22)</f>
        <v/>
      </c>
      <c r="DH22" s="760" t="str">
        <f>IF($G22="","",(1+SumPeakEnergyLL)*(INDEX(avoidedcosttbl,$H22,DH$2)+(($H22-ROUNDDOWN($H22,0))*(INDEX(avoidedcosttbl,ROUNDUP($H22,0),DH$2)-(INDEX(avoidedcosttbl,ROUNDDOWN($H22,0),DH$2)))))*$P22*1000*ADRYr1!AB22)</f>
        <v/>
      </c>
      <c r="DI22" s="760" t="str">
        <f>IF($G22="","",(1+SumOffPeakEnergyLL)*(INDEX(avoidedcosttbl,$H22,DI$2)+(($H22-ROUNDDOWN($H22,0))*(INDEX(avoidedcosttbl,ROUNDUP($H22,0),DI$2)-(INDEX(avoidedcosttbl,ROUNDDOWN($H22,0),DI$2)))))*$P22*1000*ADRYr1!AC22)</f>
        <v/>
      </c>
      <c r="DJ22" s="29" t="str">
        <f t="shared" si="44"/>
        <v/>
      </c>
      <c r="DK22" s="161" t="str">
        <f t="shared" si="45"/>
        <v/>
      </c>
      <c r="DL22" s="1375" t="str">
        <f t="shared" si="46"/>
        <v/>
      </c>
      <c r="DM22" s="1375" t="str">
        <f t="shared" si="47"/>
        <v/>
      </c>
      <c r="DN22" s="43" t="str">
        <f t="shared" si="48"/>
        <v/>
      </c>
      <c r="DO22" s="1131" t="str">
        <f>IF($G22="","",ADRYr1!AQ22)</f>
        <v/>
      </c>
      <c r="DP22" s="1133" t="str">
        <f>IF($G22="","",ADRYr1!AR22)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17"/>
        <v/>
      </c>
      <c r="DU22" s="1135" t="str">
        <f>IF($G22="","",ADRYr1!AS22)</f>
        <v/>
      </c>
      <c r="DV22" s="1136" t="str">
        <f>IF($G22="","",ADRYr1!AT22)</f>
        <v/>
      </c>
      <c r="DW22" s="1344" t="str">
        <f>IF($G22="","",INDEX(AvoidedEnergy!$H$4:$H$10,MATCH($DO22,AvoidedEnergy!$A$4:$A$10,0)))</f>
        <v/>
      </c>
    </row>
    <row r="23" spans="1:127">
      <c r="A23" s="160" t="str">
        <f>IF(ADRYr1!$B23=0,"",ADRYr1!A23)</f>
        <v>B - Low-Income</v>
      </c>
      <c r="B23" s="9" t="str">
        <f>IF(ADRYr1!$B23=0,"",ADRYr1!B23)</f>
        <v>Home Energy Assistance</v>
      </c>
      <c r="C23" s="9" t="str">
        <f>IF(ADRYr1!$B23=0,"",ADRYr1!C23)</f>
        <v>Res Demand Response</v>
      </c>
      <c r="D23" s="9" t="str">
        <f>IF(ADRYr1!$B23=0,"",ADRYr1!D23)</f>
        <v>Storage Daily Dispatch P4P (savings) Summer</v>
      </c>
      <c r="E23" s="9">
        <f>IF(ADRYr1!$B23=0,"",ADRYr1!E23)</f>
        <v>0</v>
      </c>
      <c r="F23" s="11" t="str">
        <f>IF(ADRYr1!$B23=0,"",ADRYr1!F23)</f>
        <v>Behavior</v>
      </c>
      <c r="G23" s="12" t="str">
        <f>IF(ADRYr1!$G23&lt;&gt;0,ADRYr1!G23,"")</f>
        <v/>
      </c>
      <c r="H23" s="1125" t="str">
        <f>IF($G23="","",ROUND(ADRYr1!H23,0))</f>
        <v/>
      </c>
      <c r="I23" s="47" t="str">
        <f>IF($G23="","",ADRYr1!I23*ADRYr1!P23*G23)</f>
        <v/>
      </c>
      <c r="J23" s="47" t="str">
        <f>IF($G23="","",ADRYr1!J23*G23)</f>
        <v/>
      </c>
      <c r="K23" s="47" t="str">
        <f t="shared" si="18"/>
        <v/>
      </c>
      <c r="L23" s="27" t="str">
        <f>IF($G23="","",ADRYr1!V23*G23/1000)</f>
        <v/>
      </c>
      <c r="M23" s="27" t="str">
        <f>IF($G23="","",L23*ADRYr1!$Q23*ADRYr1!$R23)</f>
        <v/>
      </c>
      <c r="N23" s="27" t="str">
        <f t="shared" si="19"/>
        <v/>
      </c>
      <c r="O23" s="27" t="str">
        <f t="shared" si="20"/>
        <v/>
      </c>
      <c r="P23" s="27" t="str">
        <f>IF($G23="","",M23*ADRYr1!P23)</f>
        <v/>
      </c>
      <c r="Q23" s="27" t="str">
        <f t="shared" si="21"/>
        <v/>
      </c>
      <c r="R23" s="27" t="str">
        <f>IF($G23="","",$Q23*ADRYr1!Z23)</f>
        <v/>
      </c>
      <c r="S23" s="27" t="str">
        <f>IF($G23="","",$Q23*ADRYr1!AA23)</f>
        <v/>
      </c>
      <c r="T23" s="27" t="str">
        <f>IF($G23="","",$Q23*ADRYr1!AB23)</f>
        <v/>
      </c>
      <c r="U23" s="27" t="str">
        <f>IF($G23="","",$Q23*ADRYr1!AC23)</f>
        <v/>
      </c>
      <c r="V23" s="27" t="str">
        <f>IF($G23="","",G23*ADRYr1!$AD23*ADRYr1!$P23*ADRYr1!$Q23)</f>
        <v/>
      </c>
      <c r="W23" s="27" t="str">
        <f>IF($G23="","",$G23*ADRYr1!$AD23*ADRYr1!$AF23*ADRYr1!Q23*ADRYr1!$S23)</f>
        <v/>
      </c>
      <c r="X23" s="27" t="str">
        <f>IF($G23="","",$G23*ADRYr1!$AD23*ADRYr1!$AF23*ADRYr1!P23*ADRYr1!Q23*ADRYr1!$S23)</f>
        <v/>
      </c>
      <c r="Y23" s="27" t="str">
        <f>IF($G23="","",$G23*ADRYr1!$AD23*ADRYr1!$AE23*ADRYr1!Q23*ADRYr1!$T23)</f>
        <v/>
      </c>
      <c r="Z23" s="27" t="str">
        <f>IF($G23="","",$G23*ADRYr1!$AD23*ADRYr1!$AE23*ADRYr1!P23*ADRYr1!Q23*ADRYr1!$T23)</f>
        <v/>
      </c>
      <c r="AA23" s="45" t="str">
        <f>IF($G23="","",$G23*ADRYr1!$Q23*ADRYr1!$U23*(IF(IFERROR(SEARCH("NG", ADRYr1!$AI23),0),ADRYr1!$AJ23,0)+IF(IFERROR(SEARCH("NG", ADRYr1!$AK23),0),ADRYr1!$AL23,0)+IF(IFERROR(SEARCH("NG", ADRYr1!$AM23),0),ADRYr1!$AN23,0)))</f>
        <v/>
      </c>
      <c r="AB23" s="45" t="str">
        <f t="shared" si="22"/>
        <v/>
      </c>
      <c r="AC23" s="45">
        <f>IF($G23="",0,AA23*ADRYr1!$P23)</f>
        <v>0</v>
      </c>
      <c r="AD23" s="45" t="str">
        <f t="shared" si="23"/>
        <v/>
      </c>
      <c r="AE23" s="45" t="str">
        <f>IF($G23="","",$G23*ADRYr1!$Q23*ADRYr1!$U23*(IF(IFERROR(SEARCH("Oil", ADRYr1!$AI23), 0),ADRYr1!$AJ23,0)+IF(IFERROR(SEARCH("Oil", ADRYr1!$AK23), 0),ADRYr1!$AL23,0)+IF(IFERROR(SEARCH("Oil", ADRYr1!$AM23), 0),ADRYr1!$AN23,0)))</f>
        <v/>
      </c>
      <c r="AF23" s="45" t="str">
        <f t="shared" si="24"/>
        <v/>
      </c>
      <c r="AG23" s="45">
        <f>IF($G23="",0,AE23*ADRYr1!$P23)</f>
        <v>0</v>
      </c>
      <c r="AH23" s="45" t="str">
        <f t="shared" si="25"/>
        <v/>
      </c>
      <c r="AI23" s="45" t="str">
        <f>IF($G23="","",$G23*ADRYr1!$Q23*ADRYr1!$U23*(IF(ADRYr1!$AI23=Lookups!$E$114,ADRYr1!$AJ23,IF(ADRYr1!$AK23=Lookups!$E$114,ADRYr1!$AL23,IF(ADRYr1!$AM23=Lookups!$E$114,ADRYr1!$AN23,0)))))</f>
        <v/>
      </c>
      <c r="AJ23" s="45" t="str">
        <f t="shared" si="26"/>
        <v/>
      </c>
      <c r="AK23" s="45">
        <f>IF($G23="",0,AI23*ADRYr1!$P23)</f>
        <v>0</v>
      </c>
      <c r="AL23" s="45" t="str">
        <f t="shared" si="27"/>
        <v/>
      </c>
      <c r="AM23" s="45" t="str">
        <f>IF($G23="","",$G23*ADRYr1!$Q23*ADRYr1!$U23*(IF(ADRYr1!$AI23=Lookups!$E$113,ADRYr1!$AJ23,IF(ADRYr1!$AK23=Lookups!$E$113,ADRYr1!$AL23,IF(ADRYr1!$AM23=Lookups!$E$113,ADRYr1!$AN23,0)))))</f>
        <v/>
      </c>
      <c r="AN23" s="45" t="str">
        <f t="shared" si="28"/>
        <v/>
      </c>
      <c r="AO23" s="45">
        <f>IF($G23="",0,AM23*ADRYr1!$P23)</f>
        <v>0</v>
      </c>
      <c r="AP23" s="45" t="str">
        <f t="shared" si="29"/>
        <v/>
      </c>
      <c r="AQ23" s="45" t="str">
        <f>IF($G23="","",$G23*ADRYr1!$Q23*ADRYr1!$U23*(IF(ADRYr1!$AI23=Lookups!$E$115,ADRYr1!$AJ23,IF(ADRYr1!$AK23=Lookups!$E$115,ADRYr1!$AL23,IF(ADRYr1!$AM23=Lookups!$E$115,ADRYr1!$AN23,0)))))</f>
        <v/>
      </c>
      <c r="AR23" s="45" t="str">
        <f t="shared" si="30"/>
        <v/>
      </c>
      <c r="AS23" s="45" t="str">
        <f>IF($G23="","",AQ23*ADRYr1!$P23)</f>
        <v/>
      </c>
      <c r="AT23" s="45" t="str">
        <f t="shared" si="31"/>
        <v/>
      </c>
      <c r="AU23" s="45" t="str">
        <f>IF($G23="","",$G23*ADRYr1!$Q23*ADRYr1!$U23*(IF(ADRYr1!$AI23=Lookups!$E$116,ADRYr1!$AJ23,IF(ADRYr1!$AK23=Lookups!$E$116,ADRYr1!$AL23,IF(ADRYr1!$AM23=Lookups!$E$116,ADRYr1!$AN23,0)))))</f>
        <v/>
      </c>
      <c r="AV23" s="45" t="str">
        <f t="shared" si="32"/>
        <v/>
      </c>
      <c r="AW23" s="45" t="str">
        <f>IF($G23="","",AU23*ADRYr1!$P23)</f>
        <v/>
      </c>
      <c r="AX23" s="45" t="str">
        <f t="shared" si="33"/>
        <v/>
      </c>
      <c r="AY23" s="45">
        <f t="shared" si="49"/>
        <v>0</v>
      </c>
      <c r="AZ23" s="45">
        <f t="shared" si="49"/>
        <v>0</v>
      </c>
      <c r="BA23" s="101" t="str">
        <f>IF($G23="","",$G23*ADRYr1!$P23*ADRYr1!$Q23*ADRYr1!$U23*ADRYr1!AO23)</f>
        <v/>
      </c>
      <c r="BB23" s="102" t="str">
        <f>IF($G23="","",$G23*ADRYr1!$P23*ADRYr1!$Q23*ADRYr1!$U23*ADRYr1!AP23)</f>
        <v/>
      </c>
      <c r="BC23" s="100" t="str">
        <f t="shared" si="35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5"/>
        <v/>
      </c>
      <c r="BO23" s="31" t="str">
        <f t="shared" si="36"/>
        <v/>
      </c>
      <c r="BP23" s="1129" t="str">
        <f t="shared" si="6"/>
        <v/>
      </c>
      <c r="BQ23" s="28" t="str">
        <f t="shared" si="7"/>
        <v/>
      </c>
      <c r="BR23" s="1129" t="str">
        <f t="shared" si="8"/>
        <v/>
      </c>
      <c r="BS23" s="1129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7"/>
        <v/>
      </c>
      <c r="BX23" s="29" t="str">
        <f t="shared" si="38"/>
        <v/>
      </c>
      <c r="BY23" s="28" t="str">
        <f>IF($G23="","",$G23*(IF(ADRYr1!$AI23=BY$4,ADRYr1!$AJ23,IF(ADRYr1!$AK23=BY$4,ADRYr1!$AL23,IF(ADRYr1!$AM23=BY$4,ADRYr1!$AN23,0))))*(INDEX(avoidedcosttbl,$H23,BY$2)+(($H23-ROUNDDOWN($H23,0))*(INDEX(avoidedcosttbl,ROUNDUP($H23,0),BY$2)-(INDEX(avoidedcosttbl,ROUNDDOWN($H23,0),BY$2)))))*ADRYr1!P23*ADRYr1!Q23*ADRYr1!U23)</f>
        <v/>
      </c>
      <c r="BZ23" s="28" t="str">
        <f>IF($G23="","",$G23*(IF(ADRYr1!$AI23=BZ$4,ADRYr1!$AJ23,IF(ADRYr1!$AK23=BZ$4,ADRYr1!$AL23,IF(ADRYr1!$AM23=BZ$4,ADRYr1!$AN23,0))))*(INDEX(avoidedcosttbl,$H23,BZ$2)+(($H23-ROUNDDOWN($H23,0))*(INDEX(avoidedcosttbl,ROUNDUP($H23,0),BZ$2)-(INDEX(avoidedcosttbl,ROUNDDOWN($H23,0),BZ$2)))))*ADRYr1!P23*ADRYr1!Q23*ADRYr1!U23)</f>
        <v/>
      </c>
      <c r="CA23" s="28" t="str">
        <f>IF($G23="","",$G23*(IF(ADRYr1!$AI23=CA$4,ADRYr1!$AJ23,IF(ADRYr1!$AK23=CA$4,ADRYr1!$AL23,IF(ADRYr1!$AM23=CA$4,ADRYr1!$AN23,0))))*(INDEX(avoidedcosttbl,$H23,CA$2)+(($H23-ROUNDDOWN($H23,0))*(INDEX(avoidedcosttbl,ROUNDUP($H23,0),CA$2)-(INDEX(avoidedcosttbl,ROUNDDOWN($H23,0),CA$2)))))*ADRYr1!P23*ADRYr1!Q23*ADRYr1!U23)</f>
        <v/>
      </c>
      <c r="CB23" s="28" t="str">
        <f>IF($G23="","",$G23*(IF(ADRYr1!$AI23=CB$4,ADRYr1!$AJ23,IF(ADRYr1!$AK23=CB$4,ADRYr1!$AL23,IF(ADRYr1!$AM23=CB$4,ADRYr1!$AN23,0))))*(INDEX(avoidedcosttbl,$H23,CB$2)+(($H23-ROUNDDOWN($H23,0))*(INDEX(avoidedcosttbl,ROUNDUP($H23,0),CB$2)-(INDEX(avoidedcosttbl,ROUNDDOWN($H23,0),CB$2)))))*ADRYr1!P23*ADRYr1!Q23*ADRYr1!U23)</f>
        <v/>
      </c>
      <c r="CC23" s="28" t="str">
        <f>IF($G23="","",$G23*(IF(ADRYr1!$AI23=CC$4,ADRYr1!$AJ23,IF(ADRYr1!$AK23=CC$4,ADRYr1!$AL23,IF(ADRYr1!$AM23=CC$4,ADRYr1!$AN23,0))))*(INDEX(avoidedcosttbl,$H23,CC$2)+(($H23-ROUNDDOWN($H23,0))*(INDEX(avoidedcosttbl,ROUNDUP($H23,0),CC$2)-(INDEX(avoidedcosttbl,ROUNDDOWN($H23,0),CC$2)))))*ADRYr1!P23*ADRYr1!Q23*ADRYr1!U23)</f>
        <v/>
      </c>
      <c r="CD23" s="28" t="str">
        <f>IF($G23="","",$G23*(IF(ADRYr1!$AI23=CD$4,ADRYr1!$AJ23,IF(ADRYr1!$AK23=CD$4,ADRYr1!$AL23,IF(ADRYr1!$AM23=CD$4,ADRYr1!$AN23,0))))*(INDEX(avoidedcosttbl,$H23,CD$2)+(($H23-ROUNDDOWN($H23,0))*(INDEX(avoidedcosttbl,ROUNDUP($H23,0),CD$2)-(INDEX(avoidedcosttbl,ROUNDDOWN($H23,0),CD$2)))))*ADRYr1!P23*ADRYr1!Q23*ADRYr1!U23)</f>
        <v/>
      </c>
      <c r="CE23" s="28" t="str">
        <f>IF($G23="","",$G23*(IF(ADRYr1!$AI23=CE$4,ADRYr1!$AJ23,IF(ADRYr1!$AK23=CE$4,ADRYr1!$AL23,IF(ADRYr1!$AM23=CE$4,ADRYr1!$AN23,0))))*(INDEX(avoidedcosttbl,$H23,CE$2)+(($H23-ROUNDDOWN($H23,0))*(INDEX(avoidedcosttbl,ROUNDUP($H23,0),CE$2)-(INDEX(avoidedcosttbl,ROUNDDOWN($H23,0),CE$2)))))*ADRYr1!P23*ADRYr1!Q23*ADRYr1!U23)</f>
        <v/>
      </c>
      <c r="CF23" s="41" t="str">
        <f t="shared" si="39"/>
        <v/>
      </c>
      <c r="CG23" s="30" t="str">
        <f t="shared" si="11"/>
        <v/>
      </c>
      <c r="CH23" s="30" t="str">
        <f>IF($G23="","",$G23*(IF(ADRYr1!$AI23=BY$4,ADRYr1!$AJ23,IF(ADRYr1!$AK23=BY$4,ADRYr1!$AL23,IF(ADRYr1!$AM23=BY$4,ADRYr1!$AN23,0))))*(INDEX(avoidedcosttbl,$H23,CH$2)+(($H23-ROUNDDOWN($H23,0))*(INDEX(avoidedcosttbl,ROUNDUP($H23,0),CH$2)-(INDEX(avoidedcosttbl,ROUNDDOWN($H23,0),CH$2)))))*ADRYr1!P23*ADRYr1!Q23*ADRYr1!U23)</f>
        <v/>
      </c>
      <c r="CI23" s="30" t="str">
        <f>IF($G23="","",$G23*(IF(ADRYr1!$AI23=BZ$4,ADRYr1!$AJ23,IF(ADRYr1!$AK23=BZ$4,ADRYr1!$AL23,IF(ADRYr1!$AM23=BZ$4,ADRYr1!$AN23,0))))*(INDEX(avoidedcosttbl,$H23,CI$2)+(($H23-ROUNDDOWN($H23,0))*(INDEX(avoidedcosttbl,ROUNDUP($H23,0),CI$2)-(INDEX(avoidedcosttbl,ROUNDDOWN($H23,0),CI$2)))))*ADRYr1!P23*ADRYr1!Q23*ADRYr1!U23)</f>
        <v/>
      </c>
      <c r="CJ23" s="30" t="str">
        <f>IF($G23="","",$G23*(IF(ADRYr1!$AI23=CA$4,ADRYr1!$AJ23,IF(ADRYr1!$AK23=CA$4,ADRYr1!$AL23,IF(ADRYr1!$AM23=CA$4,ADRYr1!$AN23,0))))*(INDEX(avoidedcosttbl,$H23,CJ$2)+(($H23-ROUNDDOWN($H23,0))*(INDEX(avoidedcosttbl,ROUNDUP($H23,0),CJ$2)-(INDEX(avoidedcosttbl,ROUNDDOWN($H23,0),CJ$2)))))*ADRYr1!P23*ADRYr1!Q23*ADRYr1!U23)</f>
        <v/>
      </c>
      <c r="CK23" s="30" t="str">
        <f>IF($G23="","",$G23*(IF(ADRYr1!$AI23=CB$4,ADRYr1!$AJ23,IF(ADRYr1!$AK23=CB$4,ADRYr1!$AL23,IF(ADRYr1!$AM23=CB$4,ADRYr1!$AN23,0))))*(INDEX(avoidedcosttbl,$H23,CK$2)+(($H23-ROUNDDOWN($H23,0))*(INDEX(avoidedcosttbl,ROUNDUP($H23,0),CK$2)-(INDEX(avoidedcosttbl,ROUNDDOWN($H23,0),CK$2)))))*ADRYr1!P23*ADRYr1!Q23*ADRYr1!U23)</f>
        <v/>
      </c>
      <c r="CL23" s="30" t="str">
        <f>IF($G23="","",$G23*(IF(ADRYr1!$AI23=CC$4,ADRYr1!$AJ23,IF(ADRYr1!$AK23=CC$4,ADRYr1!$AL23,IF(ADRYr1!$AM23=CC$4,ADRYr1!$AN23,0))))*(INDEX(avoidedcosttbl,$H23,CL$2)+(($H23-ROUNDDOWN($H23,0))*(INDEX(avoidedcosttbl,ROUNDUP($H23,0),CL$2)-(INDEX(avoidedcosttbl,ROUNDDOWN($H23,0),CL$2)))))*ADRYr1!P23*ADRYr1!Q23*ADRYr1!U23)</f>
        <v/>
      </c>
      <c r="CM23" s="30" t="str">
        <f>IF($G23="","",$G23*(IF(ADRYr1!$AI23=CD$4,ADRYr1!$AJ23,IF(ADRYr1!$AK23=CD$4,ADRYr1!$AL23,IF(ADRYr1!$AM23=CD$4,ADRYr1!$AN23,0))))*(INDEX(avoidedcosttbl,$H23,CM$2)+(($H23-ROUNDDOWN($H23,0))*(INDEX(avoidedcosttbl,ROUNDUP($H23,0),CM$2)-(INDEX(avoidedcosttbl,ROUNDDOWN($H23,0),CM$2)))))*ADRYr1!P23*ADRYr1!Q23*ADRYr1!U23)</f>
        <v/>
      </c>
      <c r="CN23" s="30" t="str">
        <f>IF($G23="","",$G23*(IF(ADRYr1!$AI23=CE$4,ADRYr1!$AJ23,IF(ADRYr1!$AK23=CE$4,ADRYr1!$AL23,IF(ADRYr1!$AM23=CE$4,ADRYr1!$AN23,0))))*(INDEX(avoidedcosttbl,$H23,CN$2)+(($H23-ROUNDDOWN($H23,0))*(INDEX(avoidedcosttbl,ROUNDUP($H23,0),CN$2)-(INDEX(avoidedcosttbl,ROUNDDOWN($H23,0),CN$2)))))*ADRYr1!P23*ADRYr1!Q23*ADRYr1!U23)</f>
        <v/>
      </c>
      <c r="CO23" s="220" t="str">
        <f t="shared" si="40"/>
        <v/>
      </c>
      <c r="CP23" s="220" t="str">
        <f t="shared" si="41"/>
        <v/>
      </c>
      <c r="CQ23" s="157" t="str">
        <f>IF($G23="","",$G23*(IF(ADRYr1!$AI23=CQ$4,ADRYr1!$AJ23,IF(ADRYr1!$AK23=CQ$4,ADRYr1!$AL23,IF(ADRYr1!$AM23=CQ$4,ADRYr1!$AN23,0))))*(INDEX(avoidedcosttbl,$H23,CQ$2)+(($H23-ROUNDDOWN($H23,0))*(INDEX(avoidedcosttbl,ROUNDUP($H23,0),CQ$2)-(INDEX(avoidedcosttbl,ROUNDDOWN($H23,0),CQ$2)))))*ADRYr1!$P23*ADRYr1!$Q23*ADRYr1!$U23)</f>
        <v/>
      </c>
      <c r="CR23" s="28" t="str">
        <f>IF($G23="","",G23*(IF(ADRYr1!$AI23=CR$4,ADRYr1!$AJ23,IF(ADRYr1!$AK23=CR$4,ADRYr1!$AL23,IF(ADRYr1!$AM23=CR$4,ADRYr1!$AN23,0))))*(INDEX(avoidedcosttbl,$H23,CR$2)+(($H23-ROUNDDOWN($H23,0))*(INDEX(avoidedcosttbl,ROUNDUP($H23,0),CR$2)-(INDEX(avoidedcosttbl,ROUNDDOWN($H23,0),CR$2)))))*ADRYr1!$P23*ADRYr1!$Q23*ADRYr1!$U23)</f>
        <v/>
      </c>
      <c r="CS23" s="28" t="str">
        <f>IF($G23="","",G23*(IF(ADRYr1!$AI23=CS$4,ADRYr1!$AJ23,IF(ADRYr1!$AK23=CS$4,ADRYr1!$AL23,IF(ADRYr1!$AM23=CS$4,ADRYr1!$AN23,0))))*(INDEX(avoidedcosttbl,$H23,CS$2)+(($H23-ROUNDDOWN($H23,0))*(INDEX(avoidedcosttbl,ROUNDUP($H23,0),CS$2)-(INDEX(avoidedcosttbl,ROUNDDOWN($H23,0),CS$2)))))*ADRYr1!$P23*ADRYr1!$Q23*ADRYr1!$U23)</f>
        <v/>
      </c>
      <c r="CT23" s="28" t="str">
        <f t="shared" si="12"/>
        <v/>
      </c>
      <c r="CU23" s="28" t="str">
        <f>IF($G23="","",G23*(IF(ADRYr1!$AI23=CU$4,ADRYr1!$AJ23,IF(ADRYr1!$AK23=CU$4,ADRYr1!$AL23,IF(ADRYr1!$AM23=CU$4,ADRYr1!$AN23,0))))*(INDEX(avoidedcosttbl,$H23,CU$2)+(($H23-ROUNDDOWN($H23,0))*(INDEX(avoidedcosttbl,ROUNDUP($H23,0),CU$2)-(INDEX(avoidedcosttbl,ROUNDDOWN($H23,0),CU$2)))))*ADRYr1!$P23*ADRYr1!$Q23*ADRYr1!$U23)</f>
        <v/>
      </c>
      <c r="CV23" s="28" t="str">
        <f>IF($G23="","",G23*(IF(ADRYr1!$AI23=CV$4,ADRYr1!$AJ23,IF(ADRYr1!$AK23=CV$4,ADRYr1!$AL23,IF(ADRYr1!$AM23=CV$4,ADRYr1!$AN23,0))))*(INDEX(avoidedcosttbl,$H23,CV$2)+(($H23-ROUNDDOWN($H23,0))*(INDEX(avoidedcosttbl,ROUNDUP($H23,0),CV$2)-(INDEX(avoidedcosttbl,ROUNDDOWN($H23,0),CV$2)))))*ADRYr1!$P23*ADRYr1!$Q23*ADRYr1!$U23)</f>
        <v/>
      </c>
      <c r="CW23" s="28" t="str">
        <f>IF($G23="","",G23*(IF(ADRYr1!$AI23=CW$4,ADRYr1!$AJ23,IF(ADRYr1!$AK23=CW$4,ADRYr1!$AL23,IF(ADRYr1!$AM23=CW$4,ADRYr1!$AN23,0))))*(INDEX(avoidedcosttbl,$H23,CW$2)+(($H23-ROUNDDOWN($H23,0))*(INDEX(avoidedcosttbl,ROUNDUP($H23,0),CW$2)-(INDEX(avoidedcosttbl,ROUNDDOWN($H23,0),CW$2)))))*ADRYr1!$P23*ADRYr1!$Q23*ADRYr1!$U23)</f>
        <v/>
      </c>
      <c r="CX23" s="28" t="str">
        <f>IF($G23="","",G23*(IF(ADRYr1!$AI23=CX$4,ADRYr1!$AJ23,IF(ADRYr1!$AK23=CX$4,ADRYr1!$AL23,IF(ADRYr1!$AM23=CX$4,ADRYr1!$AN23,0))))*(INDEX(avoidedcosttbl,$H23,CX$2)+(($H23-ROUNDDOWN($H23,0))*(INDEX(avoidedcosttbl,ROUNDUP($H23,0),CX$2)-(INDEX(avoidedcosttbl,ROUNDDOWN($H23,0),CX$2)))))*ADRYr1!$P23*ADRYr1!$Q23*ADRYr1!$U23)</f>
        <v/>
      </c>
      <c r="CY23" s="28" t="str">
        <f t="shared" si="13"/>
        <v/>
      </c>
      <c r="CZ23" s="32" t="str">
        <f t="shared" si="14"/>
        <v/>
      </c>
      <c r="DA23" s="84" t="str">
        <f t="shared" si="42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15"/>
        <v/>
      </c>
      <c r="DD23" s="166" t="str">
        <f t="shared" si="16"/>
        <v/>
      </c>
      <c r="DE23" s="82">
        <f t="shared" si="43"/>
        <v>0</v>
      </c>
      <c r="DF23" s="760" t="str">
        <f>IF($G23="","",(1+WntPeakEnergyLL)*(INDEX(avoidedcosttbl,$H23,DF$2)+(($H23-ROUNDDOWN($H23,0))*(INDEX(avoidedcosttbl,ROUNDUP($H23,0),DF$2)-(INDEX(avoidedcosttbl,ROUNDDOWN($H23,0),DF$2)))))*$P23*1000*ADRYr1!Z23)</f>
        <v/>
      </c>
      <c r="DG23" s="760" t="str">
        <f>IF($G23="","",(1+WntOffPeakEnergyLL)*(INDEX(avoidedcosttbl,$H23,DG$2)+(($H23-ROUNDDOWN($H23,0))*(INDEX(avoidedcosttbl,ROUNDUP($H23,0),DG$2)-(INDEX(avoidedcosttbl,ROUNDDOWN($H23,0),DG$2)))))*$P23*1000*ADRYr1!AA23)</f>
        <v/>
      </c>
      <c r="DH23" s="760" t="str">
        <f>IF($G23="","",(1+SumPeakEnergyLL)*(INDEX(avoidedcosttbl,$H23,DH$2)+(($H23-ROUNDDOWN($H23,0))*(INDEX(avoidedcosttbl,ROUNDUP($H23,0),DH$2)-(INDEX(avoidedcosttbl,ROUNDDOWN($H23,0),DH$2)))))*$P23*1000*ADRYr1!AB23)</f>
        <v/>
      </c>
      <c r="DI23" s="760" t="str">
        <f>IF($G23="","",(1+SumOffPeakEnergyLL)*(INDEX(avoidedcosttbl,$H23,DI$2)+(($H23-ROUNDDOWN($H23,0))*(INDEX(avoidedcosttbl,ROUNDUP($H23,0),DI$2)-(INDEX(avoidedcosttbl,ROUNDDOWN($H23,0),DI$2)))))*$P23*1000*ADRYr1!AC23)</f>
        <v/>
      </c>
      <c r="DJ23" s="29" t="str">
        <f t="shared" si="44"/>
        <v/>
      </c>
      <c r="DK23" s="161" t="str">
        <f t="shared" si="45"/>
        <v/>
      </c>
      <c r="DL23" s="1375" t="str">
        <f t="shared" si="46"/>
        <v/>
      </c>
      <c r="DM23" s="1375" t="str">
        <f t="shared" si="47"/>
        <v/>
      </c>
      <c r="DN23" s="43" t="str">
        <f t="shared" si="48"/>
        <v/>
      </c>
      <c r="DO23" s="1131" t="str">
        <f>IF($G23="","",ADRYr1!AQ23)</f>
        <v/>
      </c>
      <c r="DP23" s="1133" t="str">
        <f>IF($G23="","",ADRYr1!AR23)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17"/>
        <v/>
      </c>
      <c r="DU23" s="1135" t="str">
        <f>IF($G23="","",ADRYr1!AS23)</f>
        <v/>
      </c>
      <c r="DV23" s="1136" t="str">
        <f>IF($G23="","",ADRYr1!AT23)</f>
        <v/>
      </c>
      <c r="DW23" s="1344" t="str">
        <f>IF($G23="","",INDEX(AvoidedEnergy!$H$4:$H$10,MATCH($DO23,AvoidedEnergy!$A$4:$A$10,0)))</f>
        <v/>
      </c>
    </row>
    <row r="24" spans="1:127">
      <c r="A24" s="160" t="str">
        <f>IF(ADRYr1!$B24=0,"",ADRYr1!A24)</f>
        <v>B - Low-Income</v>
      </c>
      <c r="B24" s="9" t="str">
        <f>IF(ADRYr1!$B24=0,"",ADRYr1!B24)</f>
        <v>Home Energy Assistance</v>
      </c>
      <c r="C24" s="9" t="str">
        <f>IF(ADRYr1!$B24=0,"",ADRYr1!C24)</f>
        <v>Res Demand Response</v>
      </c>
      <c r="D24" s="9" t="str">
        <f>IF(ADRYr1!$B24=0,"",ADRYr1!D24)</f>
        <v>Storage Daily Dispatch P4P (consumption) Summer</v>
      </c>
      <c r="E24" s="9">
        <f>IF(ADRYr1!$B24=0,"",ADRYr1!E24)</f>
        <v>0</v>
      </c>
      <c r="F24" s="11" t="str">
        <f>IF(ADRYr1!$B24=0,"",ADRYr1!F24)</f>
        <v>Behavior</v>
      </c>
      <c r="G24" s="12" t="str">
        <f>IF(ADRYr1!$G24&lt;&gt;0,ADRYr1!G24,"")</f>
        <v/>
      </c>
      <c r="H24" s="1125" t="str">
        <f>IF($G24="","",ROUND(ADRYr1!H24,0))</f>
        <v/>
      </c>
      <c r="I24" s="47" t="str">
        <f>IF($G24="","",ADRYr1!I24*ADRYr1!P24*G24)</f>
        <v/>
      </c>
      <c r="J24" s="47" t="str">
        <f>IF($G24="","",ADRYr1!J24*G24)</f>
        <v/>
      </c>
      <c r="K24" s="47" t="str">
        <f t="shared" si="18"/>
        <v/>
      </c>
      <c r="L24" s="27" t="str">
        <f>IF($G24="","",ADRYr1!V24*G24/1000)</f>
        <v/>
      </c>
      <c r="M24" s="27" t="str">
        <f>IF($G24="","",L24*ADRYr1!$Q24*ADRYr1!$R24)</f>
        <v/>
      </c>
      <c r="N24" s="27" t="str">
        <f t="shared" si="19"/>
        <v/>
      </c>
      <c r="O24" s="27" t="str">
        <f t="shared" si="20"/>
        <v/>
      </c>
      <c r="P24" s="27" t="str">
        <f>IF($G24="","",M24*ADRYr1!P24)</f>
        <v/>
      </c>
      <c r="Q24" s="27" t="str">
        <f t="shared" si="21"/>
        <v/>
      </c>
      <c r="R24" s="27" t="str">
        <f>IF($G24="","",$Q24*ADRYr1!Z24)</f>
        <v/>
      </c>
      <c r="S24" s="27" t="str">
        <f>IF($G24="","",$Q24*ADRYr1!AA24)</f>
        <v/>
      </c>
      <c r="T24" s="27" t="str">
        <f>IF($G24="","",$Q24*ADRYr1!AB24)</f>
        <v/>
      </c>
      <c r="U24" s="27" t="str">
        <f>IF($G24="","",$Q24*ADRYr1!AC24)</f>
        <v/>
      </c>
      <c r="V24" s="27" t="str">
        <f>IF($G24="","",G24*ADRYr1!$AD24*ADRYr1!$P24*ADRYr1!$Q24)</f>
        <v/>
      </c>
      <c r="W24" s="27" t="str">
        <f>IF($G24="","",$G24*ADRYr1!$AD24*ADRYr1!$AF24*ADRYr1!Q24*ADRYr1!$S24)</f>
        <v/>
      </c>
      <c r="X24" s="27" t="str">
        <f>IF($G24="","",$G24*ADRYr1!$AD24*ADRYr1!$AF24*ADRYr1!P24*ADRYr1!Q24*ADRYr1!$S24)</f>
        <v/>
      </c>
      <c r="Y24" s="27" t="str">
        <f>IF($G24="","",$G24*ADRYr1!$AD24*ADRYr1!$AE24*ADRYr1!Q24*ADRYr1!$T24)</f>
        <v/>
      </c>
      <c r="Z24" s="27" t="str">
        <f>IF($G24="","",$G24*ADRYr1!$AD24*ADRYr1!$AE24*ADRYr1!P24*ADRYr1!Q24*ADRYr1!$T24)</f>
        <v/>
      </c>
      <c r="AA24" s="45" t="str">
        <f>IF($G24="","",$G24*ADRYr1!$Q24*ADRYr1!$U24*(IF(IFERROR(SEARCH("NG", ADRYr1!$AI24),0),ADRYr1!$AJ24,0)+IF(IFERROR(SEARCH("NG", ADRYr1!$AK24),0),ADRYr1!$AL24,0)+IF(IFERROR(SEARCH("NG", ADRYr1!$AM24),0),ADRYr1!$AN24,0)))</f>
        <v/>
      </c>
      <c r="AB24" s="45" t="str">
        <f t="shared" si="22"/>
        <v/>
      </c>
      <c r="AC24" s="45">
        <f>IF($G24="",0,AA24*ADRYr1!$P24)</f>
        <v>0</v>
      </c>
      <c r="AD24" s="45" t="str">
        <f t="shared" si="23"/>
        <v/>
      </c>
      <c r="AE24" s="45" t="str">
        <f>IF($G24="","",$G24*ADRYr1!$Q24*ADRYr1!$U24*(IF(IFERROR(SEARCH("Oil", ADRYr1!$AI24), 0),ADRYr1!$AJ24,0)+IF(IFERROR(SEARCH("Oil", ADRYr1!$AK24), 0),ADRYr1!$AL24,0)+IF(IFERROR(SEARCH("Oil", ADRYr1!$AM24), 0),ADRYr1!$AN24,0)))</f>
        <v/>
      </c>
      <c r="AF24" s="45" t="str">
        <f t="shared" si="24"/>
        <v/>
      </c>
      <c r="AG24" s="45">
        <f>IF($G24="",0,AE24*ADRYr1!$P24)</f>
        <v>0</v>
      </c>
      <c r="AH24" s="45" t="str">
        <f t="shared" si="25"/>
        <v/>
      </c>
      <c r="AI24" s="45" t="str">
        <f>IF($G24="","",$G24*ADRYr1!$Q24*ADRYr1!$U24*(IF(ADRYr1!$AI24=Lookups!$E$114,ADRYr1!$AJ24,IF(ADRYr1!$AK24=Lookups!$E$114,ADRYr1!$AL24,IF(ADRYr1!$AM24=Lookups!$E$114,ADRYr1!$AN24,0)))))</f>
        <v/>
      </c>
      <c r="AJ24" s="45" t="str">
        <f t="shared" si="26"/>
        <v/>
      </c>
      <c r="AK24" s="45">
        <f>IF($G24="",0,AI24*ADRYr1!$P24)</f>
        <v>0</v>
      </c>
      <c r="AL24" s="45" t="str">
        <f t="shared" si="27"/>
        <v/>
      </c>
      <c r="AM24" s="45" t="str">
        <f>IF($G24="","",$G24*ADRYr1!$Q24*ADRYr1!$U24*(IF(ADRYr1!$AI24=Lookups!$E$113,ADRYr1!$AJ24,IF(ADRYr1!$AK24=Lookups!$E$113,ADRYr1!$AL24,IF(ADRYr1!$AM24=Lookups!$E$113,ADRYr1!$AN24,0)))))</f>
        <v/>
      </c>
      <c r="AN24" s="45" t="str">
        <f t="shared" si="28"/>
        <v/>
      </c>
      <c r="AO24" s="45">
        <f>IF($G24="",0,AM24*ADRYr1!$P24)</f>
        <v>0</v>
      </c>
      <c r="AP24" s="45" t="str">
        <f t="shared" si="29"/>
        <v/>
      </c>
      <c r="AQ24" s="45" t="str">
        <f>IF($G24="","",$G24*ADRYr1!$Q24*ADRYr1!$U24*(IF(ADRYr1!$AI24=Lookups!$E$115,ADRYr1!$AJ24,IF(ADRYr1!$AK24=Lookups!$E$115,ADRYr1!$AL24,IF(ADRYr1!$AM24=Lookups!$E$115,ADRYr1!$AN24,0)))))</f>
        <v/>
      </c>
      <c r="AR24" s="45" t="str">
        <f t="shared" si="30"/>
        <v/>
      </c>
      <c r="AS24" s="45" t="str">
        <f>IF($G24="","",AQ24*ADRYr1!$P24)</f>
        <v/>
      </c>
      <c r="AT24" s="45" t="str">
        <f t="shared" si="31"/>
        <v/>
      </c>
      <c r="AU24" s="45" t="str">
        <f>IF($G24="","",$G24*ADRYr1!$Q24*ADRYr1!$U24*(IF(ADRYr1!$AI24=Lookups!$E$116,ADRYr1!$AJ24,IF(ADRYr1!$AK24=Lookups!$E$116,ADRYr1!$AL24,IF(ADRYr1!$AM24=Lookups!$E$116,ADRYr1!$AN24,0)))))</f>
        <v/>
      </c>
      <c r="AV24" s="45" t="str">
        <f t="shared" si="32"/>
        <v/>
      </c>
      <c r="AW24" s="45" t="str">
        <f>IF($G24="","",AU24*ADRYr1!$P24)</f>
        <v/>
      </c>
      <c r="AX24" s="45" t="str">
        <f t="shared" si="33"/>
        <v/>
      </c>
      <c r="AY24" s="45">
        <f t="shared" si="49"/>
        <v>0</v>
      </c>
      <c r="AZ24" s="45">
        <f t="shared" si="49"/>
        <v>0</v>
      </c>
      <c r="BA24" s="101" t="str">
        <f>IF($G24="","",$G24*ADRYr1!$P24*ADRYr1!$Q24*ADRYr1!$U24*ADRYr1!AO24)</f>
        <v/>
      </c>
      <c r="BB24" s="102" t="str">
        <f>IF($G24="","",$G24*ADRYr1!$P24*ADRYr1!$Q24*ADRYr1!$U24*ADRYr1!AP24)</f>
        <v/>
      </c>
      <c r="BC24" s="100" t="str">
        <f t="shared" si="35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5"/>
        <v/>
      </c>
      <c r="BO24" s="31" t="str">
        <f t="shared" si="36"/>
        <v/>
      </c>
      <c r="BP24" s="1129" t="str">
        <f t="shared" si="6"/>
        <v/>
      </c>
      <c r="BQ24" s="28" t="str">
        <f t="shared" si="7"/>
        <v/>
      </c>
      <c r="BR24" s="1129" t="str">
        <f t="shared" si="8"/>
        <v/>
      </c>
      <c r="BS24" s="1129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7"/>
        <v/>
      </c>
      <c r="BX24" s="29" t="str">
        <f t="shared" si="38"/>
        <v/>
      </c>
      <c r="BY24" s="28" t="str">
        <f>IF($G24="","",$G24*(IF(ADRYr1!$AI24=BY$4,ADRYr1!$AJ24,IF(ADRYr1!$AK24=BY$4,ADRYr1!$AL24,IF(ADRYr1!$AM24=BY$4,ADRYr1!$AN24,0))))*(INDEX(avoidedcosttbl,$H24,BY$2)+(($H24-ROUNDDOWN($H24,0))*(INDEX(avoidedcosttbl,ROUNDUP($H24,0),BY$2)-(INDEX(avoidedcosttbl,ROUNDDOWN($H24,0),BY$2)))))*ADRYr1!P24*ADRYr1!Q24*ADRYr1!U24)</f>
        <v/>
      </c>
      <c r="BZ24" s="28" t="str">
        <f>IF($G24="","",$G24*(IF(ADRYr1!$AI24=BZ$4,ADRYr1!$AJ24,IF(ADRYr1!$AK24=BZ$4,ADRYr1!$AL24,IF(ADRYr1!$AM24=BZ$4,ADRYr1!$AN24,0))))*(INDEX(avoidedcosttbl,$H24,BZ$2)+(($H24-ROUNDDOWN($H24,0))*(INDEX(avoidedcosttbl,ROUNDUP($H24,0),BZ$2)-(INDEX(avoidedcosttbl,ROUNDDOWN($H24,0),BZ$2)))))*ADRYr1!P24*ADRYr1!Q24*ADRYr1!U24)</f>
        <v/>
      </c>
      <c r="CA24" s="28" t="str">
        <f>IF($G24="","",$G24*(IF(ADRYr1!$AI24=CA$4,ADRYr1!$AJ24,IF(ADRYr1!$AK24=CA$4,ADRYr1!$AL24,IF(ADRYr1!$AM24=CA$4,ADRYr1!$AN24,0))))*(INDEX(avoidedcosttbl,$H24,CA$2)+(($H24-ROUNDDOWN($H24,0))*(INDEX(avoidedcosttbl,ROUNDUP($H24,0),CA$2)-(INDEX(avoidedcosttbl,ROUNDDOWN($H24,0),CA$2)))))*ADRYr1!P24*ADRYr1!Q24*ADRYr1!U24)</f>
        <v/>
      </c>
      <c r="CB24" s="28" t="str">
        <f>IF($G24="","",$G24*(IF(ADRYr1!$AI24=CB$4,ADRYr1!$AJ24,IF(ADRYr1!$AK24=CB$4,ADRYr1!$AL24,IF(ADRYr1!$AM24=CB$4,ADRYr1!$AN24,0))))*(INDEX(avoidedcosttbl,$H24,CB$2)+(($H24-ROUNDDOWN($H24,0))*(INDEX(avoidedcosttbl,ROUNDUP($H24,0),CB$2)-(INDEX(avoidedcosttbl,ROUNDDOWN($H24,0),CB$2)))))*ADRYr1!P24*ADRYr1!Q24*ADRYr1!U24)</f>
        <v/>
      </c>
      <c r="CC24" s="28" t="str">
        <f>IF($G24="","",$G24*(IF(ADRYr1!$AI24=CC$4,ADRYr1!$AJ24,IF(ADRYr1!$AK24=CC$4,ADRYr1!$AL24,IF(ADRYr1!$AM24=CC$4,ADRYr1!$AN24,0))))*(INDEX(avoidedcosttbl,$H24,CC$2)+(($H24-ROUNDDOWN($H24,0))*(INDEX(avoidedcosttbl,ROUNDUP($H24,0),CC$2)-(INDEX(avoidedcosttbl,ROUNDDOWN($H24,0),CC$2)))))*ADRYr1!P24*ADRYr1!Q24*ADRYr1!U24)</f>
        <v/>
      </c>
      <c r="CD24" s="28" t="str">
        <f>IF($G24="","",$G24*(IF(ADRYr1!$AI24=CD$4,ADRYr1!$AJ24,IF(ADRYr1!$AK24=CD$4,ADRYr1!$AL24,IF(ADRYr1!$AM24=CD$4,ADRYr1!$AN24,0))))*(INDEX(avoidedcosttbl,$H24,CD$2)+(($H24-ROUNDDOWN($H24,0))*(INDEX(avoidedcosttbl,ROUNDUP($H24,0),CD$2)-(INDEX(avoidedcosttbl,ROUNDDOWN($H24,0),CD$2)))))*ADRYr1!P24*ADRYr1!Q24*ADRYr1!U24)</f>
        <v/>
      </c>
      <c r="CE24" s="28" t="str">
        <f>IF($G24="","",$G24*(IF(ADRYr1!$AI24=CE$4,ADRYr1!$AJ24,IF(ADRYr1!$AK24=CE$4,ADRYr1!$AL24,IF(ADRYr1!$AM24=CE$4,ADRYr1!$AN24,0))))*(INDEX(avoidedcosttbl,$H24,CE$2)+(($H24-ROUNDDOWN($H24,0))*(INDEX(avoidedcosttbl,ROUNDUP($H24,0),CE$2)-(INDEX(avoidedcosttbl,ROUNDDOWN($H24,0),CE$2)))))*ADRYr1!P24*ADRYr1!Q24*ADRYr1!U24)</f>
        <v/>
      </c>
      <c r="CF24" s="41" t="str">
        <f t="shared" si="39"/>
        <v/>
      </c>
      <c r="CG24" s="30" t="str">
        <f t="shared" si="11"/>
        <v/>
      </c>
      <c r="CH24" s="30" t="str">
        <f>IF($G24="","",$G24*(IF(ADRYr1!$AI24=BY$4,ADRYr1!$AJ24,IF(ADRYr1!$AK24=BY$4,ADRYr1!$AL24,IF(ADRYr1!$AM24=BY$4,ADRYr1!$AN24,0))))*(INDEX(avoidedcosttbl,$H24,CH$2)+(($H24-ROUNDDOWN($H24,0))*(INDEX(avoidedcosttbl,ROUNDUP($H24,0),CH$2)-(INDEX(avoidedcosttbl,ROUNDDOWN($H24,0),CH$2)))))*ADRYr1!P24*ADRYr1!Q24*ADRYr1!U24)</f>
        <v/>
      </c>
      <c r="CI24" s="30" t="str">
        <f>IF($G24="","",$G24*(IF(ADRYr1!$AI24=BZ$4,ADRYr1!$AJ24,IF(ADRYr1!$AK24=BZ$4,ADRYr1!$AL24,IF(ADRYr1!$AM24=BZ$4,ADRYr1!$AN24,0))))*(INDEX(avoidedcosttbl,$H24,CI$2)+(($H24-ROUNDDOWN($H24,0))*(INDEX(avoidedcosttbl,ROUNDUP($H24,0),CI$2)-(INDEX(avoidedcosttbl,ROUNDDOWN($H24,0),CI$2)))))*ADRYr1!P24*ADRYr1!Q24*ADRYr1!U24)</f>
        <v/>
      </c>
      <c r="CJ24" s="30" t="str">
        <f>IF($G24="","",$G24*(IF(ADRYr1!$AI24=CA$4,ADRYr1!$AJ24,IF(ADRYr1!$AK24=CA$4,ADRYr1!$AL24,IF(ADRYr1!$AM24=CA$4,ADRYr1!$AN24,0))))*(INDEX(avoidedcosttbl,$H24,CJ$2)+(($H24-ROUNDDOWN($H24,0))*(INDEX(avoidedcosttbl,ROUNDUP($H24,0),CJ$2)-(INDEX(avoidedcosttbl,ROUNDDOWN($H24,0),CJ$2)))))*ADRYr1!P24*ADRYr1!Q24*ADRYr1!U24)</f>
        <v/>
      </c>
      <c r="CK24" s="30" t="str">
        <f>IF($G24="","",$G24*(IF(ADRYr1!$AI24=CB$4,ADRYr1!$AJ24,IF(ADRYr1!$AK24=CB$4,ADRYr1!$AL24,IF(ADRYr1!$AM24=CB$4,ADRYr1!$AN24,0))))*(INDEX(avoidedcosttbl,$H24,CK$2)+(($H24-ROUNDDOWN($H24,0))*(INDEX(avoidedcosttbl,ROUNDUP($H24,0),CK$2)-(INDEX(avoidedcosttbl,ROUNDDOWN($H24,0),CK$2)))))*ADRYr1!P24*ADRYr1!Q24*ADRYr1!U24)</f>
        <v/>
      </c>
      <c r="CL24" s="30" t="str">
        <f>IF($G24="","",$G24*(IF(ADRYr1!$AI24=CC$4,ADRYr1!$AJ24,IF(ADRYr1!$AK24=CC$4,ADRYr1!$AL24,IF(ADRYr1!$AM24=CC$4,ADRYr1!$AN24,0))))*(INDEX(avoidedcosttbl,$H24,CL$2)+(($H24-ROUNDDOWN($H24,0))*(INDEX(avoidedcosttbl,ROUNDUP($H24,0),CL$2)-(INDEX(avoidedcosttbl,ROUNDDOWN($H24,0),CL$2)))))*ADRYr1!P24*ADRYr1!Q24*ADRYr1!U24)</f>
        <v/>
      </c>
      <c r="CM24" s="30" t="str">
        <f>IF($G24="","",$G24*(IF(ADRYr1!$AI24=CD$4,ADRYr1!$AJ24,IF(ADRYr1!$AK24=CD$4,ADRYr1!$AL24,IF(ADRYr1!$AM24=CD$4,ADRYr1!$AN24,0))))*(INDEX(avoidedcosttbl,$H24,CM$2)+(($H24-ROUNDDOWN($H24,0))*(INDEX(avoidedcosttbl,ROUNDUP($H24,0),CM$2)-(INDEX(avoidedcosttbl,ROUNDDOWN($H24,0),CM$2)))))*ADRYr1!P24*ADRYr1!Q24*ADRYr1!U24)</f>
        <v/>
      </c>
      <c r="CN24" s="30" t="str">
        <f>IF($G24="","",$G24*(IF(ADRYr1!$AI24=CE$4,ADRYr1!$AJ24,IF(ADRYr1!$AK24=CE$4,ADRYr1!$AL24,IF(ADRYr1!$AM24=CE$4,ADRYr1!$AN24,0))))*(INDEX(avoidedcosttbl,$H24,CN$2)+(($H24-ROUNDDOWN($H24,0))*(INDEX(avoidedcosttbl,ROUNDUP($H24,0),CN$2)-(INDEX(avoidedcosttbl,ROUNDDOWN($H24,0),CN$2)))))*ADRYr1!P24*ADRYr1!Q24*ADRYr1!U24)</f>
        <v/>
      </c>
      <c r="CO24" s="220" t="str">
        <f t="shared" si="40"/>
        <v/>
      </c>
      <c r="CP24" s="220" t="str">
        <f t="shared" si="41"/>
        <v/>
      </c>
      <c r="CQ24" s="157" t="str">
        <f>IF($G24="","",$G24*(IF(ADRYr1!$AI24=CQ$4,ADRYr1!$AJ24,IF(ADRYr1!$AK24=CQ$4,ADRYr1!$AL24,IF(ADRYr1!$AM24=CQ$4,ADRYr1!$AN24,0))))*(INDEX(avoidedcosttbl,$H24,CQ$2)+(($H24-ROUNDDOWN($H24,0))*(INDEX(avoidedcosttbl,ROUNDUP($H24,0),CQ$2)-(INDEX(avoidedcosttbl,ROUNDDOWN($H24,0),CQ$2)))))*ADRYr1!$P24*ADRYr1!$Q24*ADRYr1!$U24)</f>
        <v/>
      </c>
      <c r="CR24" s="28" t="str">
        <f>IF($G24="","",G24*(IF(ADRYr1!$AI24=CR$4,ADRYr1!$AJ24,IF(ADRYr1!$AK24=CR$4,ADRYr1!$AL24,IF(ADRYr1!$AM24=CR$4,ADRYr1!$AN24,0))))*(INDEX(avoidedcosttbl,$H24,CR$2)+(($H24-ROUNDDOWN($H24,0))*(INDEX(avoidedcosttbl,ROUNDUP($H24,0),CR$2)-(INDEX(avoidedcosttbl,ROUNDDOWN($H24,0),CR$2)))))*ADRYr1!$P24*ADRYr1!$Q24*ADRYr1!$U24)</f>
        <v/>
      </c>
      <c r="CS24" s="28" t="str">
        <f>IF($G24="","",G24*(IF(ADRYr1!$AI24=CS$4,ADRYr1!$AJ24,IF(ADRYr1!$AK24=CS$4,ADRYr1!$AL24,IF(ADRYr1!$AM24=CS$4,ADRYr1!$AN24,0))))*(INDEX(avoidedcosttbl,$H24,CS$2)+(($H24-ROUNDDOWN($H24,0))*(INDEX(avoidedcosttbl,ROUNDUP($H24,0),CS$2)-(INDEX(avoidedcosttbl,ROUNDDOWN($H24,0),CS$2)))))*ADRYr1!$P24*ADRYr1!$Q24*ADRYr1!$U24)</f>
        <v/>
      </c>
      <c r="CT24" s="28" t="str">
        <f t="shared" si="12"/>
        <v/>
      </c>
      <c r="CU24" s="28" t="str">
        <f>IF($G24="","",G24*(IF(ADRYr1!$AI24=CU$4,ADRYr1!$AJ24,IF(ADRYr1!$AK24=CU$4,ADRYr1!$AL24,IF(ADRYr1!$AM24=CU$4,ADRYr1!$AN24,0))))*(INDEX(avoidedcosttbl,$H24,CU$2)+(($H24-ROUNDDOWN($H24,0))*(INDEX(avoidedcosttbl,ROUNDUP($H24,0),CU$2)-(INDEX(avoidedcosttbl,ROUNDDOWN($H24,0),CU$2)))))*ADRYr1!$P24*ADRYr1!$Q24*ADRYr1!$U24)</f>
        <v/>
      </c>
      <c r="CV24" s="28" t="str">
        <f>IF($G24="","",G24*(IF(ADRYr1!$AI24=CV$4,ADRYr1!$AJ24,IF(ADRYr1!$AK24=CV$4,ADRYr1!$AL24,IF(ADRYr1!$AM24=CV$4,ADRYr1!$AN24,0))))*(INDEX(avoidedcosttbl,$H24,CV$2)+(($H24-ROUNDDOWN($H24,0))*(INDEX(avoidedcosttbl,ROUNDUP($H24,0),CV$2)-(INDEX(avoidedcosttbl,ROUNDDOWN($H24,0),CV$2)))))*ADRYr1!$P24*ADRYr1!$Q24*ADRYr1!$U24)</f>
        <v/>
      </c>
      <c r="CW24" s="28" t="str">
        <f>IF($G24="","",G24*(IF(ADRYr1!$AI24=CW$4,ADRYr1!$AJ24,IF(ADRYr1!$AK24=CW$4,ADRYr1!$AL24,IF(ADRYr1!$AM24=CW$4,ADRYr1!$AN24,0))))*(INDEX(avoidedcosttbl,$H24,CW$2)+(($H24-ROUNDDOWN($H24,0))*(INDEX(avoidedcosttbl,ROUNDUP($H24,0),CW$2)-(INDEX(avoidedcosttbl,ROUNDDOWN($H24,0),CW$2)))))*ADRYr1!$P24*ADRYr1!$Q24*ADRYr1!$U24)</f>
        <v/>
      </c>
      <c r="CX24" s="28" t="str">
        <f>IF($G24="","",G24*(IF(ADRYr1!$AI24=CX$4,ADRYr1!$AJ24,IF(ADRYr1!$AK24=CX$4,ADRYr1!$AL24,IF(ADRYr1!$AM24=CX$4,ADRYr1!$AN24,0))))*(INDEX(avoidedcosttbl,$H24,CX$2)+(($H24-ROUNDDOWN($H24,0))*(INDEX(avoidedcosttbl,ROUNDUP($H24,0),CX$2)-(INDEX(avoidedcosttbl,ROUNDDOWN($H24,0),CX$2)))))*ADRYr1!$P24*ADRYr1!$Q24*ADRYr1!$U24)</f>
        <v/>
      </c>
      <c r="CY24" s="28" t="str">
        <f t="shared" si="13"/>
        <v/>
      </c>
      <c r="CZ24" s="32" t="str">
        <f t="shared" si="14"/>
        <v/>
      </c>
      <c r="DA24" s="84" t="str">
        <f t="shared" si="42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15"/>
        <v/>
      </c>
      <c r="DD24" s="166" t="str">
        <f t="shared" si="16"/>
        <v/>
      </c>
      <c r="DE24" s="82">
        <f t="shared" si="43"/>
        <v>0</v>
      </c>
      <c r="DF24" s="760" t="str">
        <f>IF($G24="","",(1+WntPeakEnergyLL)*(INDEX(avoidedcosttbl,$H24,DF$2)+(($H24-ROUNDDOWN($H24,0))*(INDEX(avoidedcosttbl,ROUNDUP($H24,0),DF$2)-(INDEX(avoidedcosttbl,ROUNDDOWN($H24,0),DF$2)))))*$P24*1000*ADRYr1!Z24)</f>
        <v/>
      </c>
      <c r="DG24" s="760" t="str">
        <f>IF($G24="","",(1+WntOffPeakEnergyLL)*(INDEX(avoidedcosttbl,$H24,DG$2)+(($H24-ROUNDDOWN($H24,0))*(INDEX(avoidedcosttbl,ROUNDUP($H24,0),DG$2)-(INDEX(avoidedcosttbl,ROUNDDOWN($H24,0),DG$2)))))*$P24*1000*ADRYr1!AA24)</f>
        <v/>
      </c>
      <c r="DH24" s="760" t="str">
        <f>IF($G24="","",(1+SumPeakEnergyLL)*(INDEX(avoidedcosttbl,$H24,DH$2)+(($H24-ROUNDDOWN($H24,0))*(INDEX(avoidedcosttbl,ROUNDUP($H24,0),DH$2)-(INDEX(avoidedcosttbl,ROUNDDOWN($H24,0),DH$2)))))*$P24*1000*ADRYr1!AB24)</f>
        <v/>
      </c>
      <c r="DI24" s="760" t="str">
        <f>IF($G24="","",(1+SumOffPeakEnergyLL)*(INDEX(avoidedcosttbl,$H24,DI$2)+(($H24-ROUNDDOWN($H24,0))*(INDEX(avoidedcosttbl,ROUNDUP($H24,0),DI$2)-(INDEX(avoidedcosttbl,ROUNDDOWN($H24,0),DI$2)))))*$P24*1000*ADRYr1!AC24)</f>
        <v/>
      </c>
      <c r="DJ24" s="29" t="str">
        <f t="shared" si="44"/>
        <v/>
      </c>
      <c r="DK24" s="161" t="str">
        <f t="shared" si="45"/>
        <v/>
      </c>
      <c r="DL24" s="1375" t="str">
        <f t="shared" si="46"/>
        <v/>
      </c>
      <c r="DM24" s="1375" t="str">
        <f t="shared" si="47"/>
        <v/>
      </c>
      <c r="DN24" s="43" t="str">
        <f t="shared" si="48"/>
        <v/>
      </c>
      <c r="DO24" s="1131" t="str">
        <f>IF($G24="","",ADRYr1!AQ24)</f>
        <v/>
      </c>
      <c r="DP24" s="1133" t="str">
        <f>IF($G24="","",ADRYr1!AR24)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17"/>
        <v/>
      </c>
      <c r="DU24" s="1135" t="str">
        <f>IF($G24="","",ADRYr1!AS24)</f>
        <v/>
      </c>
      <c r="DV24" s="1136" t="str">
        <f>IF($G24="","",ADRYr1!AT24)</f>
        <v/>
      </c>
      <c r="DW24" s="1344" t="str">
        <f>IF($G24="","",INDEX(AvoidedEnergy!$H$4:$H$10,MATCH($DO24,AvoidedEnergy!$A$4:$A$10,0)))</f>
        <v/>
      </c>
    </row>
    <row r="25" spans="1:127">
      <c r="A25" s="160" t="str">
        <f>IF(ADRYr1!$B25=0,"",ADRYr1!A25)</f>
        <v>B - Low-Income</v>
      </c>
      <c r="B25" s="9" t="str">
        <f>IF(ADRYr1!$B25=0,"",ADRYr1!B25)</f>
        <v>Home Energy Assistance</v>
      </c>
      <c r="C25" s="9" t="str">
        <f>IF(ADRYr1!$B25=0,"",ADRYr1!C25)</f>
        <v>Res Demand Response</v>
      </c>
      <c r="D25" s="9" t="str">
        <f>IF(ADRYr1!$B25=0,"",ADRYr1!D25)</f>
        <v>Storage Targeted Dispatch P4P (savings) Winter</v>
      </c>
      <c r="E25" s="9">
        <f>IF(ADRYr1!$B25=0,"",ADRYr1!E25)</f>
        <v>0</v>
      </c>
      <c r="F25" s="11" t="str">
        <f>IF(ADRYr1!$B25=0,"",ADRYr1!F25)</f>
        <v>Behavior</v>
      </c>
      <c r="G25" s="12" t="str">
        <f>IF(ADRYr1!$G25&lt;&gt;0,ADRYr1!G25,"")</f>
        <v/>
      </c>
      <c r="H25" s="1125" t="str">
        <f>IF($G25="","",ROUND(ADRYr1!H25,0))</f>
        <v/>
      </c>
      <c r="I25" s="47" t="str">
        <f>IF($G25="","",ADRYr1!I25*ADRYr1!P25*G25)</f>
        <v/>
      </c>
      <c r="J25" s="47" t="str">
        <f>IF($G25="","",ADRYr1!J25*G25)</f>
        <v/>
      </c>
      <c r="K25" s="47" t="str">
        <f t="shared" si="18"/>
        <v/>
      </c>
      <c r="L25" s="27" t="str">
        <f>IF($G25="","",ADRYr1!V25*G25/1000)</f>
        <v/>
      </c>
      <c r="M25" s="27" t="str">
        <f>IF($G25="","",L25*ADRYr1!$Q25*ADRYr1!$R25)</f>
        <v/>
      </c>
      <c r="N25" s="27" t="str">
        <f t="shared" si="19"/>
        <v/>
      </c>
      <c r="O25" s="27" t="str">
        <f t="shared" si="20"/>
        <v/>
      </c>
      <c r="P25" s="27" t="str">
        <f>IF($G25="","",M25*ADRYr1!P25)</f>
        <v/>
      </c>
      <c r="Q25" s="27" t="str">
        <f t="shared" si="21"/>
        <v/>
      </c>
      <c r="R25" s="27" t="str">
        <f>IF($G25="","",$Q25*ADRYr1!Z25)</f>
        <v/>
      </c>
      <c r="S25" s="27" t="str">
        <f>IF($G25="","",$Q25*ADRYr1!AA25)</f>
        <v/>
      </c>
      <c r="T25" s="27" t="str">
        <f>IF($G25="","",$Q25*ADRYr1!AB25)</f>
        <v/>
      </c>
      <c r="U25" s="27" t="str">
        <f>IF($G25="","",$Q25*ADRYr1!AC25)</f>
        <v/>
      </c>
      <c r="V25" s="27" t="str">
        <f>IF($G25="","",G25*ADRYr1!$AD25*ADRYr1!$P25*ADRYr1!$Q25)</f>
        <v/>
      </c>
      <c r="W25" s="27" t="str">
        <f>IF($G25="","",$G25*ADRYr1!$AD25*ADRYr1!$AF25*ADRYr1!Q25*ADRYr1!$S25)</f>
        <v/>
      </c>
      <c r="X25" s="27" t="str">
        <f>IF($G25="","",$G25*ADRYr1!$AD25*ADRYr1!$AF25*ADRYr1!P25*ADRYr1!Q25*ADRYr1!$S25)</f>
        <v/>
      </c>
      <c r="Y25" s="27" t="str">
        <f>IF($G25="","",$G25*ADRYr1!$AD25*ADRYr1!$AE25*ADRYr1!Q25*ADRYr1!$T25)</f>
        <v/>
      </c>
      <c r="Z25" s="27" t="str">
        <f>IF($G25="","",$G25*ADRYr1!$AD25*ADRYr1!$AE25*ADRYr1!P25*ADRYr1!Q25*ADRYr1!$T25)</f>
        <v/>
      </c>
      <c r="AA25" s="45" t="str">
        <f>IF($G25="","",$G25*ADRYr1!$Q25*ADRYr1!$U25*(IF(IFERROR(SEARCH("NG", ADRYr1!$AI25),0),ADRYr1!$AJ25,0)+IF(IFERROR(SEARCH("NG", ADRYr1!$AK25),0),ADRYr1!$AL25,0)+IF(IFERROR(SEARCH("NG", ADRYr1!$AM25),0),ADRYr1!$AN25,0)))</f>
        <v/>
      </c>
      <c r="AB25" s="45" t="str">
        <f t="shared" si="22"/>
        <v/>
      </c>
      <c r="AC25" s="45">
        <f>IF($G25="",0,AA25*ADRYr1!$P25)</f>
        <v>0</v>
      </c>
      <c r="AD25" s="45" t="str">
        <f t="shared" si="23"/>
        <v/>
      </c>
      <c r="AE25" s="45" t="str">
        <f>IF($G25="","",$G25*ADRYr1!$Q25*ADRYr1!$U25*(IF(IFERROR(SEARCH("Oil", ADRYr1!$AI25), 0),ADRYr1!$AJ25,0)+IF(IFERROR(SEARCH("Oil", ADRYr1!$AK25), 0),ADRYr1!$AL25,0)+IF(IFERROR(SEARCH("Oil", ADRYr1!$AM25), 0),ADRYr1!$AN25,0)))</f>
        <v/>
      </c>
      <c r="AF25" s="45" t="str">
        <f t="shared" si="24"/>
        <v/>
      </c>
      <c r="AG25" s="45">
        <f>IF($G25="",0,AE25*ADRYr1!$P25)</f>
        <v>0</v>
      </c>
      <c r="AH25" s="45" t="str">
        <f t="shared" si="25"/>
        <v/>
      </c>
      <c r="AI25" s="45" t="str">
        <f>IF($G25="","",$G25*ADRYr1!$Q25*ADRYr1!$U25*(IF(ADRYr1!$AI25=Lookups!$E$114,ADRYr1!$AJ25,IF(ADRYr1!$AK25=Lookups!$E$114,ADRYr1!$AL25,IF(ADRYr1!$AM25=Lookups!$E$114,ADRYr1!$AN25,0)))))</f>
        <v/>
      </c>
      <c r="AJ25" s="45" t="str">
        <f t="shared" si="26"/>
        <v/>
      </c>
      <c r="AK25" s="45">
        <f>IF($G25="",0,AI25*ADRYr1!$P25)</f>
        <v>0</v>
      </c>
      <c r="AL25" s="45" t="str">
        <f t="shared" si="27"/>
        <v/>
      </c>
      <c r="AM25" s="45" t="str">
        <f>IF($G25="","",$G25*ADRYr1!$Q25*ADRYr1!$U25*(IF(ADRYr1!$AI25=Lookups!$E$113,ADRYr1!$AJ25,IF(ADRYr1!$AK25=Lookups!$E$113,ADRYr1!$AL25,IF(ADRYr1!$AM25=Lookups!$E$113,ADRYr1!$AN25,0)))))</f>
        <v/>
      </c>
      <c r="AN25" s="45" t="str">
        <f t="shared" si="28"/>
        <v/>
      </c>
      <c r="AO25" s="45">
        <f>IF($G25="",0,AM25*ADRYr1!$P25)</f>
        <v>0</v>
      </c>
      <c r="AP25" s="45" t="str">
        <f t="shared" si="29"/>
        <v/>
      </c>
      <c r="AQ25" s="45" t="str">
        <f>IF($G25="","",$G25*ADRYr1!$Q25*ADRYr1!$U25*(IF(ADRYr1!$AI25=Lookups!$E$115,ADRYr1!$AJ25,IF(ADRYr1!$AK25=Lookups!$E$115,ADRYr1!$AL25,IF(ADRYr1!$AM25=Lookups!$E$115,ADRYr1!$AN25,0)))))</f>
        <v/>
      </c>
      <c r="AR25" s="45" t="str">
        <f t="shared" si="30"/>
        <v/>
      </c>
      <c r="AS25" s="45" t="str">
        <f>IF($G25="","",AQ25*ADRYr1!$P25)</f>
        <v/>
      </c>
      <c r="AT25" s="45" t="str">
        <f t="shared" si="31"/>
        <v/>
      </c>
      <c r="AU25" s="45" t="str">
        <f>IF($G25="","",$G25*ADRYr1!$Q25*ADRYr1!$U25*(IF(ADRYr1!$AI25=Lookups!$E$116,ADRYr1!$AJ25,IF(ADRYr1!$AK25=Lookups!$E$116,ADRYr1!$AL25,IF(ADRYr1!$AM25=Lookups!$E$116,ADRYr1!$AN25,0)))))</f>
        <v/>
      </c>
      <c r="AV25" s="45" t="str">
        <f t="shared" si="32"/>
        <v/>
      </c>
      <c r="AW25" s="45" t="str">
        <f>IF($G25="","",AU25*ADRYr1!$P25)</f>
        <v/>
      </c>
      <c r="AX25" s="45" t="str">
        <f t="shared" si="33"/>
        <v/>
      </c>
      <c r="AY25" s="45">
        <f t="shared" si="49"/>
        <v>0</v>
      </c>
      <c r="AZ25" s="45">
        <f t="shared" si="49"/>
        <v>0</v>
      </c>
      <c r="BA25" s="101" t="str">
        <f>IF($G25="","",$G25*ADRYr1!$P25*ADRYr1!$Q25*ADRYr1!$U25*ADRYr1!AO25)</f>
        <v/>
      </c>
      <c r="BB25" s="102" t="str">
        <f>IF($G25="","",$G25*ADRYr1!$P25*ADRYr1!$Q25*ADRYr1!$U25*ADRYr1!AP25)</f>
        <v/>
      </c>
      <c r="BC25" s="100" t="str">
        <f t="shared" si="35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5"/>
        <v/>
      </c>
      <c r="BO25" s="31" t="str">
        <f t="shared" si="36"/>
        <v/>
      </c>
      <c r="BP25" s="1129" t="str">
        <f t="shared" si="6"/>
        <v/>
      </c>
      <c r="BQ25" s="28" t="str">
        <f t="shared" si="7"/>
        <v/>
      </c>
      <c r="BR25" s="1129" t="str">
        <f t="shared" si="8"/>
        <v/>
      </c>
      <c r="BS25" s="1129" t="str">
        <f t="shared" si="9"/>
        <v/>
      </c>
      <c r="BT25" s="28" t="str">
        <f t="shared" ref="BT25:BV44" si="50">IF($G25="","",(INDEX(avoidedcosttbl,$H25,BT$2)+(($H25-ROUNDDOWN($H25,0))*(INDEX(avoidedcosttbl,ROUNDUP($H25,0),BT$2)-(INDEX(avoidedcosttbl,ROUNDDOWN($H25,0),BT$2)))))*$Z25)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7"/>
        <v/>
      </c>
      <c r="BX25" s="29" t="str">
        <f t="shared" si="38"/>
        <v/>
      </c>
      <c r="BY25" s="28" t="str">
        <f>IF($G25="","",$G25*(IF(ADRYr1!$AI25=BY$4,ADRYr1!$AJ25,IF(ADRYr1!$AK25=BY$4,ADRYr1!$AL25,IF(ADRYr1!$AM25=BY$4,ADRYr1!$AN25,0))))*(INDEX(avoidedcosttbl,$H25,BY$2)+(($H25-ROUNDDOWN($H25,0))*(INDEX(avoidedcosttbl,ROUNDUP($H25,0),BY$2)-(INDEX(avoidedcosttbl,ROUNDDOWN($H25,0),BY$2)))))*ADRYr1!P25*ADRYr1!Q25*ADRYr1!U25)</f>
        <v/>
      </c>
      <c r="BZ25" s="28" t="str">
        <f>IF($G25="","",$G25*(IF(ADRYr1!$AI25=BZ$4,ADRYr1!$AJ25,IF(ADRYr1!$AK25=BZ$4,ADRYr1!$AL25,IF(ADRYr1!$AM25=BZ$4,ADRYr1!$AN25,0))))*(INDEX(avoidedcosttbl,$H25,BZ$2)+(($H25-ROUNDDOWN($H25,0))*(INDEX(avoidedcosttbl,ROUNDUP($H25,0),BZ$2)-(INDEX(avoidedcosttbl,ROUNDDOWN($H25,0),BZ$2)))))*ADRYr1!P25*ADRYr1!Q25*ADRYr1!U25)</f>
        <v/>
      </c>
      <c r="CA25" s="28" t="str">
        <f>IF($G25="","",$G25*(IF(ADRYr1!$AI25=CA$4,ADRYr1!$AJ25,IF(ADRYr1!$AK25=CA$4,ADRYr1!$AL25,IF(ADRYr1!$AM25=CA$4,ADRYr1!$AN25,0))))*(INDEX(avoidedcosttbl,$H25,CA$2)+(($H25-ROUNDDOWN($H25,0))*(INDEX(avoidedcosttbl,ROUNDUP($H25,0),CA$2)-(INDEX(avoidedcosttbl,ROUNDDOWN($H25,0),CA$2)))))*ADRYr1!P25*ADRYr1!Q25*ADRYr1!U25)</f>
        <v/>
      </c>
      <c r="CB25" s="28" t="str">
        <f>IF($G25="","",$G25*(IF(ADRYr1!$AI25=CB$4,ADRYr1!$AJ25,IF(ADRYr1!$AK25=CB$4,ADRYr1!$AL25,IF(ADRYr1!$AM25=CB$4,ADRYr1!$AN25,0))))*(INDEX(avoidedcosttbl,$H25,CB$2)+(($H25-ROUNDDOWN($H25,0))*(INDEX(avoidedcosttbl,ROUNDUP($H25,0),CB$2)-(INDEX(avoidedcosttbl,ROUNDDOWN($H25,0),CB$2)))))*ADRYr1!P25*ADRYr1!Q25*ADRYr1!U25)</f>
        <v/>
      </c>
      <c r="CC25" s="28" t="str">
        <f>IF($G25="","",$G25*(IF(ADRYr1!$AI25=CC$4,ADRYr1!$AJ25,IF(ADRYr1!$AK25=CC$4,ADRYr1!$AL25,IF(ADRYr1!$AM25=CC$4,ADRYr1!$AN25,0))))*(INDEX(avoidedcosttbl,$H25,CC$2)+(($H25-ROUNDDOWN($H25,0))*(INDEX(avoidedcosttbl,ROUNDUP($H25,0),CC$2)-(INDEX(avoidedcosttbl,ROUNDDOWN($H25,0),CC$2)))))*ADRYr1!P25*ADRYr1!Q25*ADRYr1!U25)</f>
        <v/>
      </c>
      <c r="CD25" s="28" t="str">
        <f>IF($G25="","",$G25*(IF(ADRYr1!$AI25=CD$4,ADRYr1!$AJ25,IF(ADRYr1!$AK25=CD$4,ADRYr1!$AL25,IF(ADRYr1!$AM25=CD$4,ADRYr1!$AN25,0))))*(INDEX(avoidedcosttbl,$H25,CD$2)+(($H25-ROUNDDOWN($H25,0))*(INDEX(avoidedcosttbl,ROUNDUP($H25,0),CD$2)-(INDEX(avoidedcosttbl,ROUNDDOWN($H25,0),CD$2)))))*ADRYr1!P25*ADRYr1!Q25*ADRYr1!U25)</f>
        <v/>
      </c>
      <c r="CE25" s="28" t="str">
        <f>IF($G25="","",$G25*(IF(ADRYr1!$AI25=CE$4,ADRYr1!$AJ25,IF(ADRYr1!$AK25=CE$4,ADRYr1!$AL25,IF(ADRYr1!$AM25=CE$4,ADRYr1!$AN25,0))))*(INDEX(avoidedcosttbl,$H25,CE$2)+(($H25-ROUNDDOWN($H25,0))*(INDEX(avoidedcosttbl,ROUNDUP($H25,0),CE$2)-(INDEX(avoidedcosttbl,ROUNDDOWN($H25,0),CE$2)))))*ADRYr1!P25*ADRYr1!Q25*ADRYr1!U25)</f>
        <v/>
      </c>
      <c r="CF25" s="41" t="str">
        <f t="shared" si="39"/>
        <v/>
      </c>
      <c r="CG25" s="30" t="str">
        <f t="shared" si="11"/>
        <v/>
      </c>
      <c r="CH25" s="30" t="str">
        <f>IF($G25="","",$G25*(IF(ADRYr1!$AI25=BY$4,ADRYr1!$AJ25,IF(ADRYr1!$AK25=BY$4,ADRYr1!$AL25,IF(ADRYr1!$AM25=BY$4,ADRYr1!$AN25,0))))*(INDEX(avoidedcosttbl,$H25,CH$2)+(($H25-ROUNDDOWN($H25,0))*(INDEX(avoidedcosttbl,ROUNDUP($H25,0),CH$2)-(INDEX(avoidedcosttbl,ROUNDDOWN($H25,0),CH$2)))))*ADRYr1!P25*ADRYr1!Q25*ADRYr1!U25)</f>
        <v/>
      </c>
      <c r="CI25" s="30" t="str">
        <f>IF($G25="","",$G25*(IF(ADRYr1!$AI25=BZ$4,ADRYr1!$AJ25,IF(ADRYr1!$AK25=BZ$4,ADRYr1!$AL25,IF(ADRYr1!$AM25=BZ$4,ADRYr1!$AN25,0))))*(INDEX(avoidedcosttbl,$H25,CI$2)+(($H25-ROUNDDOWN($H25,0))*(INDEX(avoidedcosttbl,ROUNDUP($H25,0),CI$2)-(INDEX(avoidedcosttbl,ROUNDDOWN($H25,0),CI$2)))))*ADRYr1!P25*ADRYr1!Q25*ADRYr1!U25)</f>
        <v/>
      </c>
      <c r="CJ25" s="30" t="str">
        <f>IF($G25="","",$G25*(IF(ADRYr1!$AI25=CA$4,ADRYr1!$AJ25,IF(ADRYr1!$AK25=CA$4,ADRYr1!$AL25,IF(ADRYr1!$AM25=CA$4,ADRYr1!$AN25,0))))*(INDEX(avoidedcosttbl,$H25,CJ$2)+(($H25-ROUNDDOWN($H25,0))*(INDEX(avoidedcosttbl,ROUNDUP($H25,0),CJ$2)-(INDEX(avoidedcosttbl,ROUNDDOWN($H25,0),CJ$2)))))*ADRYr1!P25*ADRYr1!Q25*ADRYr1!U25)</f>
        <v/>
      </c>
      <c r="CK25" s="30" t="str">
        <f>IF($G25="","",$G25*(IF(ADRYr1!$AI25=CB$4,ADRYr1!$AJ25,IF(ADRYr1!$AK25=CB$4,ADRYr1!$AL25,IF(ADRYr1!$AM25=CB$4,ADRYr1!$AN25,0))))*(INDEX(avoidedcosttbl,$H25,CK$2)+(($H25-ROUNDDOWN($H25,0))*(INDEX(avoidedcosttbl,ROUNDUP($H25,0),CK$2)-(INDEX(avoidedcosttbl,ROUNDDOWN($H25,0),CK$2)))))*ADRYr1!P25*ADRYr1!Q25*ADRYr1!U25)</f>
        <v/>
      </c>
      <c r="CL25" s="30" t="str">
        <f>IF($G25="","",$G25*(IF(ADRYr1!$AI25=CC$4,ADRYr1!$AJ25,IF(ADRYr1!$AK25=CC$4,ADRYr1!$AL25,IF(ADRYr1!$AM25=CC$4,ADRYr1!$AN25,0))))*(INDEX(avoidedcosttbl,$H25,CL$2)+(($H25-ROUNDDOWN($H25,0))*(INDEX(avoidedcosttbl,ROUNDUP($H25,0),CL$2)-(INDEX(avoidedcosttbl,ROUNDDOWN($H25,0),CL$2)))))*ADRYr1!P25*ADRYr1!Q25*ADRYr1!U25)</f>
        <v/>
      </c>
      <c r="CM25" s="30" t="str">
        <f>IF($G25="","",$G25*(IF(ADRYr1!$AI25=CD$4,ADRYr1!$AJ25,IF(ADRYr1!$AK25=CD$4,ADRYr1!$AL25,IF(ADRYr1!$AM25=CD$4,ADRYr1!$AN25,0))))*(INDEX(avoidedcosttbl,$H25,CM$2)+(($H25-ROUNDDOWN($H25,0))*(INDEX(avoidedcosttbl,ROUNDUP($H25,0),CM$2)-(INDEX(avoidedcosttbl,ROUNDDOWN($H25,0),CM$2)))))*ADRYr1!P25*ADRYr1!Q25*ADRYr1!U25)</f>
        <v/>
      </c>
      <c r="CN25" s="30" t="str">
        <f>IF($G25="","",$G25*(IF(ADRYr1!$AI25=CE$4,ADRYr1!$AJ25,IF(ADRYr1!$AK25=CE$4,ADRYr1!$AL25,IF(ADRYr1!$AM25=CE$4,ADRYr1!$AN25,0))))*(INDEX(avoidedcosttbl,$H25,CN$2)+(($H25-ROUNDDOWN($H25,0))*(INDEX(avoidedcosttbl,ROUNDUP($H25,0),CN$2)-(INDEX(avoidedcosttbl,ROUNDDOWN($H25,0),CN$2)))))*ADRYr1!P25*ADRYr1!Q25*ADRYr1!U25)</f>
        <v/>
      </c>
      <c r="CO25" s="220" t="str">
        <f t="shared" si="40"/>
        <v/>
      </c>
      <c r="CP25" s="220" t="str">
        <f t="shared" si="41"/>
        <v/>
      </c>
      <c r="CQ25" s="157" t="str">
        <f>IF($G25="","",$G25*(IF(ADRYr1!$AI25=CQ$4,ADRYr1!$AJ25,IF(ADRYr1!$AK25=CQ$4,ADRYr1!$AL25,IF(ADRYr1!$AM25=CQ$4,ADRYr1!$AN25,0))))*(INDEX(avoidedcosttbl,$H25,CQ$2)+(($H25-ROUNDDOWN($H25,0))*(INDEX(avoidedcosttbl,ROUNDUP($H25,0),CQ$2)-(INDEX(avoidedcosttbl,ROUNDDOWN($H25,0),CQ$2)))))*ADRYr1!$P25*ADRYr1!$Q25*ADRYr1!$U25)</f>
        <v/>
      </c>
      <c r="CR25" s="28" t="str">
        <f>IF($G25="","",G25*(IF(ADRYr1!$AI25=CR$4,ADRYr1!$AJ25,IF(ADRYr1!$AK25=CR$4,ADRYr1!$AL25,IF(ADRYr1!$AM25=CR$4,ADRYr1!$AN25,0))))*(INDEX(avoidedcosttbl,$H25,CR$2)+(($H25-ROUNDDOWN($H25,0))*(INDEX(avoidedcosttbl,ROUNDUP($H25,0),CR$2)-(INDEX(avoidedcosttbl,ROUNDDOWN($H25,0),CR$2)))))*ADRYr1!$P25*ADRYr1!$Q25*ADRYr1!$U25)</f>
        <v/>
      </c>
      <c r="CS25" s="28" t="str">
        <f>IF($G25="","",G25*(IF(ADRYr1!$AI25=CS$4,ADRYr1!$AJ25,IF(ADRYr1!$AK25=CS$4,ADRYr1!$AL25,IF(ADRYr1!$AM25=CS$4,ADRYr1!$AN25,0))))*(INDEX(avoidedcosttbl,$H25,CS$2)+(($H25-ROUNDDOWN($H25,0))*(INDEX(avoidedcosttbl,ROUNDUP($H25,0),CS$2)-(INDEX(avoidedcosttbl,ROUNDDOWN($H25,0),CS$2)))))*ADRYr1!$P25*ADRYr1!$Q25*ADRYr1!$U25)</f>
        <v/>
      </c>
      <c r="CT25" s="28" t="str">
        <f t="shared" si="12"/>
        <v/>
      </c>
      <c r="CU25" s="28" t="str">
        <f>IF($G25="","",G25*(IF(ADRYr1!$AI25=CU$4,ADRYr1!$AJ25,IF(ADRYr1!$AK25=CU$4,ADRYr1!$AL25,IF(ADRYr1!$AM25=CU$4,ADRYr1!$AN25,0))))*(INDEX(avoidedcosttbl,$H25,CU$2)+(($H25-ROUNDDOWN($H25,0))*(INDEX(avoidedcosttbl,ROUNDUP($H25,0),CU$2)-(INDEX(avoidedcosttbl,ROUNDDOWN($H25,0),CU$2)))))*ADRYr1!$P25*ADRYr1!$Q25*ADRYr1!$U25)</f>
        <v/>
      </c>
      <c r="CV25" s="28" t="str">
        <f>IF($G25="","",G25*(IF(ADRYr1!$AI25=CV$4,ADRYr1!$AJ25,IF(ADRYr1!$AK25=CV$4,ADRYr1!$AL25,IF(ADRYr1!$AM25=CV$4,ADRYr1!$AN25,0))))*(INDEX(avoidedcosttbl,$H25,CV$2)+(($H25-ROUNDDOWN($H25,0))*(INDEX(avoidedcosttbl,ROUNDUP($H25,0),CV$2)-(INDEX(avoidedcosttbl,ROUNDDOWN($H25,0),CV$2)))))*ADRYr1!$P25*ADRYr1!$Q25*ADRYr1!$U25)</f>
        <v/>
      </c>
      <c r="CW25" s="28" t="str">
        <f>IF($G25="","",G25*(IF(ADRYr1!$AI25=CW$4,ADRYr1!$AJ25,IF(ADRYr1!$AK25=CW$4,ADRYr1!$AL25,IF(ADRYr1!$AM25=CW$4,ADRYr1!$AN25,0))))*(INDEX(avoidedcosttbl,$H25,CW$2)+(($H25-ROUNDDOWN($H25,0))*(INDEX(avoidedcosttbl,ROUNDUP($H25,0),CW$2)-(INDEX(avoidedcosttbl,ROUNDDOWN($H25,0),CW$2)))))*ADRYr1!$P25*ADRYr1!$Q25*ADRYr1!$U25)</f>
        <v/>
      </c>
      <c r="CX25" s="28" t="str">
        <f>IF($G25="","",G25*(IF(ADRYr1!$AI25=CX$4,ADRYr1!$AJ25,IF(ADRYr1!$AK25=CX$4,ADRYr1!$AL25,IF(ADRYr1!$AM25=CX$4,ADRYr1!$AN25,0))))*(INDEX(avoidedcosttbl,$H25,CX$2)+(($H25-ROUNDDOWN($H25,0))*(INDEX(avoidedcosttbl,ROUNDUP($H25,0),CX$2)-(INDEX(avoidedcosttbl,ROUNDDOWN($H25,0),CX$2)))))*ADRYr1!$P25*ADRYr1!$Q25*ADRYr1!$U25)</f>
        <v/>
      </c>
      <c r="CY25" s="28" t="str">
        <f t="shared" si="13"/>
        <v/>
      </c>
      <c r="CZ25" s="32" t="str">
        <f t="shared" si="14"/>
        <v/>
      </c>
      <c r="DA25" s="84" t="str">
        <f t="shared" si="42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15"/>
        <v/>
      </c>
      <c r="DD25" s="166" t="str">
        <f t="shared" si="16"/>
        <v/>
      </c>
      <c r="DE25" s="82">
        <f t="shared" si="43"/>
        <v>0</v>
      </c>
      <c r="DF25" s="760" t="str">
        <f>IF($G25="","",(1+WntPeakEnergyLL)*(INDEX(avoidedcosttbl,$H25,DF$2)+(($H25-ROUNDDOWN($H25,0))*(INDEX(avoidedcosttbl,ROUNDUP($H25,0),DF$2)-(INDEX(avoidedcosttbl,ROUNDDOWN($H25,0),DF$2)))))*$P25*1000*ADRYr1!Z25)</f>
        <v/>
      </c>
      <c r="DG25" s="760" t="str">
        <f>IF($G25="","",(1+WntOffPeakEnergyLL)*(INDEX(avoidedcosttbl,$H25,DG$2)+(($H25-ROUNDDOWN($H25,0))*(INDEX(avoidedcosttbl,ROUNDUP($H25,0),DG$2)-(INDEX(avoidedcosttbl,ROUNDDOWN($H25,0),DG$2)))))*$P25*1000*ADRYr1!AA25)</f>
        <v/>
      </c>
      <c r="DH25" s="760" t="str">
        <f>IF($G25="","",(1+SumPeakEnergyLL)*(INDEX(avoidedcosttbl,$H25,DH$2)+(($H25-ROUNDDOWN($H25,0))*(INDEX(avoidedcosttbl,ROUNDUP($H25,0),DH$2)-(INDEX(avoidedcosttbl,ROUNDDOWN($H25,0),DH$2)))))*$P25*1000*ADRYr1!AB25)</f>
        <v/>
      </c>
      <c r="DI25" s="760" t="str">
        <f>IF($G25="","",(1+SumOffPeakEnergyLL)*(INDEX(avoidedcosttbl,$H25,DI$2)+(($H25-ROUNDDOWN($H25,0))*(INDEX(avoidedcosttbl,ROUNDUP($H25,0),DI$2)-(INDEX(avoidedcosttbl,ROUNDDOWN($H25,0),DI$2)))))*$P25*1000*ADRYr1!AC25)</f>
        <v/>
      </c>
      <c r="DJ25" s="29" t="str">
        <f t="shared" si="44"/>
        <v/>
      </c>
      <c r="DK25" s="161" t="str">
        <f t="shared" si="45"/>
        <v/>
      </c>
      <c r="DL25" s="1375" t="str">
        <f t="shared" si="46"/>
        <v/>
      </c>
      <c r="DM25" s="1375" t="str">
        <f t="shared" si="47"/>
        <v/>
      </c>
      <c r="DN25" s="43" t="str">
        <f t="shared" si="48"/>
        <v/>
      </c>
      <c r="DO25" s="1131" t="str">
        <f>IF($G25="","",ADRYr1!AQ25)</f>
        <v/>
      </c>
      <c r="DP25" s="1133" t="str">
        <f>IF($G25="","",ADRYr1!AR25)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17"/>
        <v/>
      </c>
      <c r="DU25" s="1135" t="str">
        <f>IF($G25="","",ADRYr1!AS25)</f>
        <v/>
      </c>
      <c r="DV25" s="1136" t="str">
        <f>IF($G25="","",ADRYr1!AT25)</f>
        <v/>
      </c>
      <c r="DW25" s="1344" t="str">
        <f>IF($G25="","",INDEX(AvoidedEnergy!$H$4:$H$10,MATCH($DO25,AvoidedEnergy!$A$4:$A$10,0)))</f>
        <v/>
      </c>
    </row>
    <row r="26" spans="1:127">
      <c r="A26" s="160" t="str">
        <f>IF(ADRYr1!$B26=0,"",ADRYr1!A26)</f>
        <v>B - Low-Income</v>
      </c>
      <c r="B26" s="9" t="str">
        <f>IF(ADRYr1!$B26=0,"",ADRYr1!B26)</f>
        <v>Home Energy Assistance</v>
      </c>
      <c r="C26" s="9" t="str">
        <f>IF(ADRYr1!$B26=0,"",ADRYr1!C26)</f>
        <v>Res Demand Response</v>
      </c>
      <c r="D26" s="9" t="str">
        <f>IF(ADRYr1!$B26=0,"",ADRYr1!D26)</f>
        <v>Storage Targeted Dispatch P4P (consumption) Winter</v>
      </c>
      <c r="E26" s="9">
        <f>IF(ADRYr1!$B26=0,"",ADRYr1!E26)</f>
        <v>0</v>
      </c>
      <c r="F26" s="11" t="str">
        <f>IF(ADRYr1!$B26=0,"",ADRYr1!F26)</f>
        <v>Behavior</v>
      </c>
      <c r="G26" s="12" t="str">
        <f>IF(ADRYr1!$G26&lt;&gt;0,ADRYr1!G26,"")</f>
        <v/>
      </c>
      <c r="H26" s="1125" t="str">
        <f>IF($G26="","",ROUND(ADRYr1!H26,0))</f>
        <v/>
      </c>
      <c r="I26" s="47" t="str">
        <f>IF($G26="","",ADRYr1!I26*ADRYr1!P26*G26)</f>
        <v/>
      </c>
      <c r="J26" s="47" t="str">
        <f>IF($G26="","",ADRYr1!J26*G26)</f>
        <v/>
      </c>
      <c r="K26" s="47" t="str">
        <f t="shared" si="18"/>
        <v/>
      </c>
      <c r="L26" s="27" t="str">
        <f>IF($G26="","",ADRYr1!V26*G26/1000)</f>
        <v/>
      </c>
      <c r="M26" s="27" t="str">
        <f>IF($G26="","",L26*ADRYr1!$Q26*ADRYr1!$R26)</f>
        <v/>
      </c>
      <c r="N26" s="27" t="str">
        <f t="shared" si="19"/>
        <v/>
      </c>
      <c r="O26" s="27" t="str">
        <f t="shared" si="20"/>
        <v/>
      </c>
      <c r="P26" s="27" t="str">
        <f>IF($G26="","",M26*ADRYr1!P26)</f>
        <v/>
      </c>
      <c r="Q26" s="27" t="str">
        <f t="shared" si="21"/>
        <v/>
      </c>
      <c r="R26" s="27" t="str">
        <f>IF($G26="","",$Q26*ADRYr1!Z26)</f>
        <v/>
      </c>
      <c r="S26" s="27" t="str">
        <f>IF($G26="","",$Q26*ADRYr1!AA26)</f>
        <v/>
      </c>
      <c r="T26" s="27" t="str">
        <f>IF($G26="","",$Q26*ADRYr1!AB26)</f>
        <v/>
      </c>
      <c r="U26" s="27" t="str">
        <f>IF($G26="","",$Q26*ADRYr1!AC26)</f>
        <v/>
      </c>
      <c r="V26" s="27" t="str">
        <f>IF($G26="","",G26*ADRYr1!$AD26*ADRYr1!$P26*ADRYr1!$Q26)</f>
        <v/>
      </c>
      <c r="W26" s="27" t="str">
        <f>IF($G26="","",$G26*ADRYr1!$AD26*ADRYr1!$AF26*ADRYr1!Q26*ADRYr1!$S26)</f>
        <v/>
      </c>
      <c r="X26" s="27" t="str">
        <f>IF($G26="","",$G26*ADRYr1!$AD26*ADRYr1!$AF26*ADRYr1!P26*ADRYr1!Q26*ADRYr1!$S26)</f>
        <v/>
      </c>
      <c r="Y26" s="27" t="str">
        <f>IF($G26="","",$G26*ADRYr1!$AD26*ADRYr1!$AE26*ADRYr1!Q26*ADRYr1!$T26)</f>
        <v/>
      </c>
      <c r="Z26" s="27" t="str">
        <f>IF($G26="","",$G26*ADRYr1!$AD26*ADRYr1!$AE26*ADRYr1!P26*ADRYr1!Q26*ADRYr1!$T26)</f>
        <v/>
      </c>
      <c r="AA26" s="45" t="str">
        <f>IF($G26="","",$G26*ADRYr1!$Q26*ADRYr1!$U26*(IF(IFERROR(SEARCH("NG", ADRYr1!$AI26),0),ADRYr1!$AJ26,0)+IF(IFERROR(SEARCH("NG", ADRYr1!$AK26),0),ADRYr1!$AL26,0)+IF(IFERROR(SEARCH("NG", ADRYr1!$AM26),0),ADRYr1!$AN26,0)))</f>
        <v/>
      </c>
      <c r="AB26" s="45" t="str">
        <f t="shared" si="22"/>
        <v/>
      </c>
      <c r="AC26" s="45">
        <f>IF($G26="",0,AA26*ADRYr1!$P26)</f>
        <v>0</v>
      </c>
      <c r="AD26" s="45" t="str">
        <f t="shared" si="23"/>
        <v/>
      </c>
      <c r="AE26" s="45" t="str">
        <f>IF($G26="","",$G26*ADRYr1!$Q26*ADRYr1!$U26*(IF(IFERROR(SEARCH("Oil", ADRYr1!$AI26), 0),ADRYr1!$AJ26,0)+IF(IFERROR(SEARCH("Oil", ADRYr1!$AK26), 0),ADRYr1!$AL26,0)+IF(IFERROR(SEARCH("Oil", ADRYr1!$AM26), 0),ADRYr1!$AN26,0)))</f>
        <v/>
      </c>
      <c r="AF26" s="45" t="str">
        <f t="shared" si="24"/>
        <v/>
      </c>
      <c r="AG26" s="45">
        <f>IF($G26="",0,AE26*ADRYr1!$P26)</f>
        <v>0</v>
      </c>
      <c r="AH26" s="45" t="str">
        <f t="shared" si="25"/>
        <v/>
      </c>
      <c r="AI26" s="45" t="str">
        <f>IF($G26="","",$G26*ADRYr1!$Q26*ADRYr1!$U26*(IF(ADRYr1!$AI26=Lookups!$E$114,ADRYr1!$AJ26,IF(ADRYr1!$AK26=Lookups!$E$114,ADRYr1!$AL26,IF(ADRYr1!$AM26=Lookups!$E$114,ADRYr1!$AN26,0)))))</f>
        <v/>
      </c>
      <c r="AJ26" s="45" t="str">
        <f t="shared" si="26"/>
        <v/>
      </c>
      <c r="AK26" s="45">
        <f>IF($G26="",0,AI26*ADRYr1!$P26)</f>
        <v>0</v>
      </c>
      <c r="AL26" s="45" t="str">
        <f t="shared" si="27"/>
        <v/>
      </c>
      <c r="AM26" s="45" t="str">
        <f>IF($G26="","",$G26*ADRYr1!$Q26*ADRYr1!$U26*(IF(ADRYr1!$AI26=Lookups!$E$113,ADRYr1!$AJ26,IF(ADRYr1!$AK26=Lookups!$E$113,ADRYr1!$AL26,IF(ADRYr1!$AM26=Lookups!$E$113,ADRYr1!$AN26,0)))))</f>
        <v/>
      </c>
      <c r="AN26" s="45" t="str">
        <f t="shared" si="28"/>
        <v/>
      </c>
      <c r="AO26" s="45">
        <f>IF($G26="",0,AM26*ADRYr1!$P26)</f>
        <v>0</v>
      </c>
      <c r="AP26" s="45" t="str">
        <f t="shared" si="29"/>
        <v/>
      </c>
      <c r="AQ26" s="45" t="str">
        <f>IF($G26="","",$G26*ADRYr1!$Q26*ADRYr1!$U26*(IF(ADRYr1!$AI26=Lookups!$E$115,ADRYr1!$AJ26,IF(ADRYr1!$AK26=Lookups!$E$115,ADRYr1!$AL26,IF(ADRYr1!$AM26=Lookups!$E$115,ADRYr1!$AN26,0)))))</f>
        <v/>
      </c>
      <c r="AR26" s="45" t="str">
        <f t="shared" si="30"/>
        <v/>
      </c>
      <c r="AS26" s="45" t="str">
        <f>IF($G26="","",AQ26*ADRYr1!$P26)</f>
        <v/>
      </c>
      <c r="AT26" s="45" t="str">
        <f t="shared" si="31"/>
        <v/>
      </c>
      <c r="AU26" s="45" t="str">
        <f>IF($G26="","",$G26*ADRYr1!$Q26*ADRYr1!$U26*(IF(ADRYr1!$AI26=Lookups!$E$116,ADRYr1!$AJ26,IF(ADRYr1!$AK26=Lookups!$E$116,ADRYr1!$AL26,IF(ADRYr1!$AM26=Lookups!$E$116,ADRYr1!$AN26,0)))))</f>
        <v/>
      </c>
      <c r="AV26" s="45" t="str">
        <f t="shared" si="32"/>
        <v/>
      </c>
      <c r="AW26" s="45" t="str">
        <f>IF($G26="","",AU26*ADRYr1!$P26)</f>
        <v/>
      </c>
      <c r="AX26" s="45" t="str">
        <f t="shared" si="33"/>
        <v/>
      </c>
      <c r="AY26" s="45">
        <f t="shared" si="49"/>
        <v>0</v>
      </c>
      <c r="AZ26" s="45">
        <f t="shared" si="49"/>
        <v>0</v>
      </c>
      <c r="BA26" s="101" t="str">
        <f>IF($G26="","",$G26*ADRYr1!$P26*ADRYr1!$Q26*ADRYr1!$U26*ADRYr1!AO26)</f>
        <v/>
      </c>
      <c r="BB26" s="102" t="str">
        <f>IF($G26="","",$G26*ADRYr1!$P26*ADRYr1!$Q26*ADRYr1!$U26*ADRYr1!AP26)</f>
        <v/>
      </c>
      <c r="BC26" s="100" t="str">
        <f t="shared" si="35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5"/>
        <v/>
      </c>
      <c r="BO26" s="31" t="str">
        <f t="shared" si="36"/>
        <v/>
      </c>
      <c r="BP26" s="1129" t="str">
        <f t="shared" si="6"/>
        <v/>
      </c>
      <c r="BQ26" s="28" t="str">
        <f t="shared" si="7"/>
        <v/>
      </c>
      <c r="BR26" s="1129" t="str">
        <f t="shared" si="8"/>
        <v/>
      </c>
      <c r="BS26" s="1129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7"/>
        <v/>
      </c>
      <c r="BX26" s="29" t="str">
        <f t="shared" si="38"/>
        <v/>
      </c>
      <c r="BY26" s="28" t="str">
        <f>IF($G26="","",$G26*(IF(ADRYr1!$AI26=BY$4,ADRYr1!$AJ26,IF(ADRYr1!$AK26=BY$4,ADRYr1!$AL26,IF(ADRYr1!$AM26=BY$4,ADRYr1!$AN26,0))))*(INDEX(avoidedcosttbl,$H26,BY$2)+(($H26-ROUNDDOWN($H26,0))*(INDEX(avoidedcosttbl,ROUNDUP($H26,0),BY$2)-(INDEX(avoidedcosttbl,ROUNDDOWN($H26,0),BY$2)))))*ADRYr1!P26*ADRYr1!Q26*ADRYr1!U26)</f>
        <v/>
      </c>
      <c r="BZ26" s="28" t="str">
        <f>IF($G26="","",$G26*(IF(ADRYr1!$AI26=BZ$4,ADRYr1!$AJ26,IF(ADRYr1!$AK26=BZ$4,ADRYr1!$AL26,IF(ADRYr1!$AM26=BZ$4,ADRYr1!$AN26,0))))*(INDEX(avoidedcosttbl,$H26,BZ$2)+(($H26-ROUNDDOWN($H26,0))*(INDEX(avoidedcosttbl,ROUNDUP($H26,0),BZ$2)-(INDEX(avoidedcosttbl,ROUNDDOWN($H26,0),BZ$2)))))*ADRYr1!P26*ADRYr1!Q26*ADRYr1!U26)</f>
        <v/>
      </c>
      <c r="CA26" s="28" t="str">
        <f>IF($G26="","",$G26*(IF(ADRYr1!$AI26=CA$4,ADRYr1!$AJ26,IF(ADRYr1!$AK26=CA$4,ADRYr1!$AL26,IF(ADRYr1!$AM26=CA$4,ADRYr1!$AN26,0))))*(INDEX(avoidedcosttbl,$H26,CA$2)+(($H26-ROUNDDOWN($H26,0))*(INDEX(avoidedcosttbl,ROUNDUP($H26,0),CA$2)-(INDEX(avoidedcosttbl,ROUNDDOWN($H26,0),CA$2)))))*ADRYr1!P26*ADRYr1!Q26*ADRYr1!U26)</f>
        <v/>
      </c>
      <c r="CB26" s="28" t="str">
        <f>IF($G26="","",$G26*(IF(ADRYr1!$AI26=CB$4,ADRYr1!$AJ26,IF(ADRYr1!$AK26=CB$4,ADRYr1!$AL26,IF(ADRYr1!$AM26=CB$4,ADRYr1!$AN26,0))))*(INDEX(avoidedcosttbl,$H26,CB$2)+(($H26-ROUNDDOWN($H26,0))*(INDEX(avoidedcosttbl,ROUNDUP($H26,0),CB$2)-(INDEX(avoidedcosttbl,ROUNDDOWN($H26,0),CB$2)))))*ADRYr1!P26*ADRYr1!Q26*ADRYr1!U26)</f>
        <v/>
      </c>
      <c r="CC26" s="28" t="str">
        <f>IF($G26="","",$G26*(IF(ADRYr1!$AI26=CC$4,ADRYr1!$AJ26,IF(ADRYr1!$AK26=CC$4,ADRYr1!$AL26,IF(ADRYr1!$AM26=CC$4,ADRYr1!$AN26,0))))*(INDEX(avoidedcosttbl,$H26,CC$2)+(($H26-ROUNDDOWN($H26,0))*(INDEX(avoidedcosttbl,ROUNDUP($H26,0),CC$2)-(INDEX(avoidedcosttbl,ROUNDDOWN($H26,0),CC$2)))))*ADRYr1!P26*ADRYr1!Q26*ADRYr1!U26)</f>
        <v/>
      </c>
      <c r="CD26" s="28" t="str">
        <f>IF($G26="","",$G26*(IF(ADRYr1!$AI26=CD$4,ADRYr1!$AJ26,IF(ADRYr1!$AK26=CD$4,ADRYr1!$AL26,IF(ADRYr1!$AM26=CD$4,ADRYr1!$AN26,0))))*(INDEX(avoidedcosttbl,$H26,CD$2)+(($H26-ROUNDDOWN($H26,0))*(INDEX(avoidedcosttbl,ROUNDUP($H26,0),CD$2)-(INDEX(avoidedcosttbl,ROUNDDOWN($H26,0),CD$2)))))*ADRYr1!P26*ADRYr1!Q26*ADRYr1!U26)</f>
        <v/>
      </c>
      <c r="CE26" s="28" t="str">
        <f>IF($G26="","",$G26*(IF(ADRYr1!$AI26=CE$4,ADRYr1!$AJ26,IF(ADRYr1!$AK26=CE$4,ADRYr1!$AL26,IF(ADRYr1!$AM26=CE$4,ADRYr1!$AN26,0))))*(INDEX(avoidedcosttbl,$H26,CE$2)+(($H26-ROUNDDOWN($H26,0))*(INDEX(avoidedcosttbl,ROUNDUP($H26,0),CE$2)-(INDEX(avoidedcosttbl,ROUNDDOWN($H26,0),CE$2)))))*ADRYr1!P26*ADRYr1!Q26*ADRYr1!U26)</f>
        <v/>
      </c>
      <c r="CF26" s="41" t="str">
        <f t="shared" si="39"/>
        <v/>
      </c>
      <c r="CG26" s="30" t="str">
        <f t="shared" si="11"/>
        <v/>
      </c>
      <c r="CH26" s="30" t="str">
        <f>IF($G26="","",$G26*(IF(ADRYr1!$AI26=BY$4,ADRYr1!$AJ26,IF(ADRYr1!$AK26=BY$4,ADRYr1!$AL26,IF(ADRYr1!$AM26=BY$4,ADRYr1!$AN26,0))))*(INDEX(avoidedcosttbl,$H26,CH$2)+(($H26-ROUNDDOWN($H26,0))*(INDEX(avoidedcosttbl,ROUNDUP($H26,0),CH$2)-(INDEX(avoidedcosttbl,ROUNDDOWN($H26,0),CH$2)))))*ADRYr1!P26*ADRYr1!Q26*ADRYr1!U26)</f>
        <v/>
      </c>
      <c r="CI26" s="30" t="str">
        <f>IF($G26="","",$G26*(IF(ADRYr1!$AI26=BZ$4,ADRYr1!$AJ26,IF(ADRYr1!$AK26=BZ$4,ADRYr1!$AL26,IF(ADRYr1!$AM26=BZ$4,ADRYr1!$AN26,0))))*(INDEX(avoidedcosttbl,$H26,CI$2)+(($H26-ROUNDDOWN($H26,0))*(INDEX(avoidedcosttbl,ROUNDUP($H26,0),CI$2)-(INDEX(avoidedcosttbl,ROUNDDOWN($H26,0),CI$2)))))*ADRYr1!P26*ADRYr1!Q26*ADRYr1!U26)</f>
        <v/>
      </c>
      <c r="CJ26" s="30" t="str">
        <f>IF($G26="","",$G26*(IF(ADRYr1!$AI26=CA$4,ADRYr1!$AJ26,IF(ADRYr1!$AK26=CA$4,ADRYr1!$AL26,IF(ADRYr1!$AM26=CA$4,ADRYr1!$AN26,0))))*(INDEX(avoidedcosttbl,$H26,CJ$2)+(($H26-ROUNDDOWN($H26,0))*(INDEX(avoidedcosttbl,ROUNDUP($H26,0),CJ$2)-(INDEX(avoidedcosttbl,ROUNDDOWN($H26,0),CJ$2)))))*ADRYr1!P26*ADRYr1!Q26*ADRYr1!U26)</f>
        <v/>
      </c>
      <c r="CK26" s="30" t="str">
        <f>IF($G26="","",$G26*(IF(ADRYr1!$AI26=CB$4,ADRYr1!$AJ26,IF(ADRYr1!$AK26=CB$4,ADRYr1!$AL26,IF(ADRYr1!$AM26=CB$4,ADRYr1!$AN26,0))))*(INDEX(avoidedcosttbl,$H26,CK$2)+(($H26-ROUNDDOWN($H26,0))*(INDEX(avoidedcosttbl,ROUNDUP($H26,0),CK$2)-(INDEX(avoidedcosttbl,ROUNDDOWN($H26,0),CK$2)))))*ADRYr1!P26*ADRYr1!Q26*ADRYr1!U26)</f>
        <v/>
      </c>
      <c r="CL26" s="30" t="str">
        <f>IF($G26="","",$G26*(IF(ADRYr1!$AI26=CC$4,ADRYr1!$AJ26,IF(ADRYr1!$AK26=CC$4,ADRYr1!$AL26,IF(ADRYr1!$AM26=CC$4,ADRYr1!$AN26,0))))*(INDEX(avoidedcosttbl,$H26,CL$2)+(($H26-ROUNDDOWN($H26,0))*(INDEX(avoidedcosttbl,ROUNDUP($H26,0),CL$2)-(INDEX(avoidedcosttbl,ROUNDDOWN($H26,0),CL$2)))))*ADRYr1!P26*ADRYr1!Q26*ADRYr1!U26)</f>
        <v/>
      </c>
      <c r="CM26" s="30" t="str">
        <f>IF($G26="","",$G26*(IF(ADRYr1!$AI26=CD$4,ADRYr1!$AJ26,IF(ADRYr1!$AK26=CD$4,ADRYr1!$AL26,IF(ADRYr1!$AM26=CD$4,ADRYr1!$AN26,0))))*(INDEX(avoidedcosttbl,$H26,CM$2)+(($H26-ROUNDDOWN($H26,0))*(INDEX(avoidedcosttbl,ROUNDUP($H26,0),CM$2)-(INDEX(avoidedcosttbl,ROUNDDOWN($H26,0),CM$2)))))*ADRYr1!P26*ADRYr1!Q26*ADRYr1!U26)</f>
        <v/>
      </c>
      <c r="CN26" s="30" t="str">
        <f>IF($G26="","",$G26*(IF(ADRYr1!$AI26=CE$4,ADRYr1!$AJ26,IF(ADRYr1!$AK26=CE$4,ADRYr1!$AL26,IF(ADRYr1!$AM26=CE$4,ADRYr1!$AN26,0))))*(INDEX(avoidedcosttbl,$H26,CN$2)+(($H26-ROUNDDOWN($H26,0))*(INDEX(avoidedcosttbl,ROUNDUP($H26,0),CN$2)-(INDEX(avoidedcosttbl,ROUNDDOWN($H26,0),CN$2)))))*ADRYr1!P26*ADRYr1!Q26*ADRYr1!U26)</f>
        <v/>
      </c>
      <c r="CO26" s="220" t="str">
        <f t="shared" si="40"/>
        <v/>
      </c>
      <c r="CP26" s="220" t="str">
        <f t="shared" si="41"/>
        <v/>
      </c>
      <c r="CQ26" s="157" t="str">
        <f>IF($G26="","",$G26*(IF(ADRYr1!$AI26=CQ$4,ADRYr1!$AJ26,IF(ADRYr1!$AK26=CQ$4,ADRYr1!$AL26,IF(ADRYr1!$AM26=CQ$4,ADRYr1!$AN26,0))))*(INDEX(avoidedcosttbl,$H26,CQ$2)+(($H26-ROUNDDOWN($H26,0))*(INDEX(avoidedcosttbl,ROUNDUP($H26,0),CQ$2)-(INDEX(avoidedcosttbl,ROUNDDOWN($H26,0),CQ$2)))))*ADRYr1!$P26*ADRYr1!$Q26*ADRYr1!$U26)</f>
        <v/>
      </c>
      <c r="CR26" s="28" t="str">
        <f>IF($G26="","",G26*(IF(ADRYr1!$AI26=CR$4,ADRYr1!$AJ26,IF(ADRYr1!$AK26=CR$4,ADRYr1!$AL26,IF(ADRYr1!$AM26=CR$4,ADRYr1!$AN26,0))))*(INDEX(avoidedcosttbl,$H26,CR$2)+(($H26-ROUNDDOWN($H26,0))*(INDEX(avoidedcosttbl,ROUNDUP($H26,0),CR$2)-(INDEX(avoidedcosttbl,ROUNDDOWN($H26,0),CR$2)))))*ADRYr1!$P26*ADRYr1!$Q26*ADRYr1!$U26)</f>
        <v/>
      </c>
      <c r="CS26" s="28" t="str">
        <f>IF($G26="","",G26*(IF(ADRYr1!$AI26=CS$4,ADRYr1!$AJ26,IF(ADRYr1!$AK26=CS$4,ADRYr1!$AL26,IF(ADRYr1!$AM26=CS$4,ADRYr1!$AN26,0))))*(INDEX(avoidedcosttbl,$H26,CS$2)+(($H26-ROUNDDOWN($H26,0))*(INDEX(avoidedcosttbl,ROUNDUP($H26,0),CS$2)-(INDEX(avoidedcosttbl,ROUNDDOWN($H26,0),CS$2)))))*ADRYr1!$P26*ADRYr1!$Q26*ADRYr1!$U26)</f>
        <v/>
      </c>
      <c r="CT26" s="28" t="str">
        <f t="shared" si="12"/>
        <v/>
      </c>
      <c r="CU26" s="28" t="str">
        <f>IF($G26="","",G26*(IF(ADRYr1!$AI26=CU$4,ADRYr1!$AJ26,IF(ADRYr1!$AK26=CU$4,ADRYr1!$AL26,IF(ADRYr1!$AM26=CU$4,ADRYr1!$AN26,0))))*(INDEX(avoidedcosttbl,$H26,CU$2)+(($H26-ROUNDDOWN($H26,0))*(INDEX(avoidedcosttbl,ROUNDUP($H26,0),CU$2)-(INDEX(avoidedcosttbl,ROUNDDOWN($H26,0),CU$2)))))*ADRYr1!$P26*ADRYr1!$Q26*ADRYr1!$U26)</f>
        <v/>
      </c>
      <c r="CV26" s="28" t="str">
        <f>IF($G26="","",G26*(IF(ADRYr1!$AI26=CV$4,ADRYr1!$AJ26,IF(ADRYr1!$AK26=CV$4,ADRYr1!$AL26,IF(ADRYr1!$AM26=CV$4,ADRYr1!$AN26,0))))*(INDEX(avoidedcosttbl,$H26,CV$2)+(($H26-ROUNDDOWN($H26,0))*(INDEX(avoidedcosttbl,ROUNDUP($H26,0),CV$2)-(INDEX(avoidedcosttbl,ROUNDDOWN($H26,0),CV$2)))))*ADRYr1!$P26*ADRYr1!$Q26*ADRYr1!$U26)</f>
        <v/>
      </c>
      <c r="CW26" s="28" t="str">
        <f>IF($G26="","",G26*(IF(ADRYr1!$AI26=CW$4,ADRYr1!$AJ26,IF(ADRYr1!$AK26=CW$4,ADRYr1!$AL26,IF(ADRYr1!$AM26=CW$4,ADRYr1!$AN26,0))))*(INDEX(avoidedcosttbl,$H26,CW$2)+(($H26-ROUNDDOWN($H26,0))*(INDEX(avoidedcosttbl,ROUNDUP($H26,0),CW$2)-(INDEX(avoidedcosttbl,ROUNDDOWN($H26,0),CW$2)))))*ADRYr1!$P26*ADRYr1!$Q26*ADRYr1!$U26)</f>
        <v/>
      </c>
      <c r="CX26" s="28" t="str">
        <f>IF($G26="","",G26*(IF(ADRYr1!$AI26=CX$4,ADRYr1!$AJ26,IF(ADRYr1!$AK26=CX$4,ADRYr1!$AL26,IF(ADRYr1!$AM26=CX$4,ADRYr1!$AN26,0))))*(INDEX(avoidedcosttbl,$H26,CX$2)+(($H26-ROUNDDOWN($H26,0))*(INDEX(avoidedcosttbl,ROUNDUP($H26,0),CX$2)-(INDEX(avoidedcosttbl,ROUNDDOWN($H26,0),CX$2)))))*ADRYr1!$P26*ADRYr1!$Q26*ADRYr1!$U26)</f>
        <v/>
      </c>
      <c r="CY26" s="28" t="str">
        <f t="shared" si="13"/>
        <v/>
      </c>
      <c r="CZ26" s="32" t="str">
        <f t="shared" si="14"/>
        <v/>
      </c>
      <c r="DA26" s="84" t="str">
        <f t="shared" si="42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15"/>
        <v/>
      </c>
      <c r="DD26" s="166" t="str">
        <f t="shared" si="16"/>
        <v/>
      </c>
      <c r="DE26" s="82">
        <f t="shared" si="43"/>
        <v>0</v>
      </c>
      <c r="DF26" s="760" t="str">
        <f>IF($G26="","",(1+WntPeakEnergyLL)*(INDEX(avoidedcosttbl,$H26,DF$2)+(($H26-ROUNDDOWN($H26,0))*(INDEX(avoidedcosttbl,ROUNDUP($H26,0),DF$2)-(INDEX(avoidedcosttbl,ROUNDDOWN($H26,0),DF$2)))))*$P26*1000*ADRYr1!Z26)</f>
        <v/>
      </c>
      <c r="DG26" s="760" t="str">
        <f>IF($G26="","",(1+WntOffPeakEnergyLL)*(INDEX(avoidedcosttbl,$H26,DG$2)+(($H26-ROUNDDOWN($H26,0))*(INDEX(avoidedcosttbl,ROUNDUP($H26,0),DG$2)-(INDEX(avoidedcosttbl,ROUNDDOWN($H26,0),DG$2)))))*$P26*1000*ADRYr1!AA26)</f>
        <v/>
      </c>
      <c r="DH26" s="760" t="str">
        <f>IF($G26="","",(1+SumPeakEnergyLL)*(INDEX(avoidedcosttbl,$H26,DH$2)+(($H26-ROUNDDOWN($H26,0))*(INDEX(avoidedcosttbl,ROUNDUP($H26,0),DH$2)-(INDEX(avoidedcosttbl,ROUNDDOWN($H26,0),DH$2)))))*$P26*1000*ADRYr1!AB26)</f>
        <v/>
      </c>
      <c r="DI26" s="760" t="str">
        <f>IF($G26="","",(1+SumOffPeakEnergyLL)*(INDEX(avoidedcosttbl,$H26,DI$2)+(($H26-ROUNDDOWN($H26,0))*(INDEX(avoidedcosttbl,ROUNDUP($H26,0),DI$2)-(INDEX(avoidedcosttbl,ROUNDDOWN($H26,0),DI$2)))))*$P26*1000*ADRYr1!AC26)</f>
        <v/>
      </c>
      <c r="DJ26" s="29" t="str">
        <f t="shared" si="44"/>
        <v/>
      </c>
      <c r="DK26" s="161" t="str">
        <f t="shared" si="45"/>
        <v/>
      </c>
      <c r="DL26" s="1375" t="str">
        <f t="shared" si="46"/>
        <v/>
      </c>
      <c r="DM26" s="1375" t="str">
        <f t="shared" si="47"/>
        <v/>
      </c>
      <c r="DN26" s="43" t="str">
        <f t="shared" si="48"/>
        <v/>
      </c>
      <c r="DO26" s="1131" t="str">
        <f>IF($G26="","",ADRYr1!AQ26)</f>
        <v/>
      </c>
      <c r="DP26" s="1133" t="str">
        <f>IF($G26="","",ADRYr1!AR26)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17"/>
        <v/>
      </c>
      <c r="DU26" s="1135" t="str">
        <f>IF($G26="","",ADRYr1!AS26)</f>
        <v/>
      </c>
      <c r="DV26" s="1136" t="str">
        <f>IF($G26="","",ADRYr1!AT26)</f>
        <v/>
      </c>
      <c r="DW26" s="1344" t="str">
        <f>IF($G26="","",INDEX(AvoidedEnergy!$H$4:$H$10,MATCH($DO26,AvoidedEnergy!$A$4:$A$10,0)))</f>
        <v/>
      </c>
    </row>
    <row r="27" spans="1:127">
      <c r="A27" s="160" t="str">
        <f>IF(ADRYr1!$B27=0,"",ADRYr1!A27)</f>
        <v>B - Low-Income</v>
      </c>
      <c r="B27" s="9" t="str">
        <f>IF(ADRYr1!$B27=0,"",ADRYr1!B27)</f>
        <v>Home Energy Assistance</v>
      </c>
      <c r="C27" s="9" t="str">
        <f>IF(ADRYr1!$B27=0,"",ADRYr1!C27)</f>
        <v>Res Demand Response</v>
      </c>
      <c r="D27" s="9" t="str">
        <f>IF(ADRYr1!$B27=0,"",ADRYr1!D27)</f>
        <v>EV Load Management Summer</v>
      </c>
      <c r="E27" s="9">
        <f>IF(ADRYr1!$B27=0,"",ADRYr1!E27)</f>
        <v>0</v>
      </c>
      <c r="F27" s="11" t="str">
        <f>IF(ADRYr1!$B27=0,"",ADRYr1!F27)</f>
        <v>Behavior</v>
      </c>
      <c r="G27" s="12" t="str">
        <f>IF(ADRYr1!$G27&lt;&gt;0,ADRYr1!G27,"")</f>
        <v/>
      </c>
      <c r="H27" s="1125" t="str">
        <f>IF($G27="","",ROUND(ADRYr1!H27,0))</f>
        <v/>
      </c>
      <c r="I27" s="47" t="str">
        <f>IF($G27="","",ADRYr1!I27*ADRYr1!P27*G27)</f>
        <v/>
      </c>
      <c r="J27" s="47" t="str">
        <f>IF($G27="","",ADRYr1!J27*G27)</f>
        <v/>
      </c>
      <c r="K27" s="47" t="str">
        <f t="shared" si="18"/>
        <v/>
      </c>
      <c r="L27" s="27" t="str">
        <f>IF($G27="","",ADRYr1!V27*G27/1000)</f>
        <v/>
      </c>
      <c r="M27" s="27" t="str">
        <f>IF($G27="","",L27*ADRYr1!$Q27*ADRYr1!$R27)</f>
        <v/>
      </c>
      <c r="N27" s="27" t="str">
        <f t="shared" si="19"/>
        <v/>
      </c>
      <c r="O27" s="27" t="str">
        <f t="shared" si="20"/>
        <v/>
      </c>
      <c r="P27" s="27" t="str">
        <f>IF($G27="","",M27*ADRYr1!P27)</f>
        <v/>
      </c>
      <c r="Q27" s="27" t="str">
        <f t="shared" si="21"/>
        <v/>
      </c>
      <c r="R27" s="27" t="str">
        <f>IF($G27="","",$Q27*ADRYr1!Z27)</f>
        <v/>
      </c>
      <c r="S27" s="27" t="str">
        <f>IF($G27="","",$Q27*ADRYr1!AA27)</f>
        <v/>
      </c>
      <c r="T27" s="27" t="str">
        <f>IF($G27="","",$Q27*ADRYr1!AB27)</f>
        <v/>
      </c>
      <c r="U27" s="27" t="str">
        <f>IF($G27="","",$Q27*ADRYr1!AC27)</f>
        <v/>
      </c>
      <c r="V27" s="27" t="str">
        <f>IF($G27="","",G27*ADRYr1!$AD27*ADRYr1!$P27*ADRYr1!$Q27)</f>
        <v/>
      </c>
      <c r="W27" s="27" t="str">
        <f>IF($G27="","",$G27*ADRYr1!$AD27*ADRYr1!$AF27*ADRYr1!Q27*ADRYr1!$S27)</f>
        <v/>
      </c>
      <c r="X27" s="27" t="str">
        <f>IF($G27="","",$G27*ADRYr1!$AD27*ADRYr1!$AF27*ADRYr1!P27*ADRYr1!Q27*ADRYr1!$S27)</f>
        <v/>
      </c>
      <c r="Y27" s="27" t="str">
        <f>IF($G27="","",$G27*ADRYr1!$AD27*ADRYr1!$AE27*ADRYr1!Q27*ADRYr1!$T27)</f>
        <v/>
      </c>
      <c r="Z27" s="27" t="str">
        <f>IF($G27="","",$G27*ADRYr1!$AD27*ADRYr1!$AE27*ADRYr1!P27*ADRYr1!Q27*ADRYr1!$T27)</f>
        <v/>
      </c>
      <c r="AA27" s="45" t="str">
        <f>IF($G27="","",$G27*ADRYr1!$Q27*ADRYr1!$U27*(IF(IFERROR(SEARCH("NG", ADRYr1!$AI27),0),ADRYr1!$AJ27,0)+IF(IFERROR(SEARCH("NG", ADRYr1!$AK27),0),ADRYr1!$AL27,0)+IF(IFERROR(SEARCH("NG", ADRYr1!$AM27),0),ADRYr1!$AN27,0)))</f>
        <v/>
      </c>
      <c r="AB27" s="45" t="str">
        <f t="shared" si="22"/>
        <v/>
      </c>
      <c r="AC27" s="45">
        <f>IF($G27="",0,AA27*ADRYr1!$P27)</f>
        <v>0</v>
      </c>
      <c r="AD27" s="45" t="str">
        <f t="shared" si="23"/>
        <v/>
      </c>
      <c r="AE27" s="45" t="str">
        <f>IF($G27="","",$G27*ADRYr1!$Q27*ADRYr1!$U27*(IF(IFERROR(SEARCH("Oil", ADRYr1!$AI27), 0),ADRYr1!$AJ27,0)+IF(IFERROR(SEARCH("Oil", ADRYr1!$AK27), 0),ADRYr1!$AL27,0)+IF(IFERROR(SEARCH("Oil", ADRYr1!$AM27), 0),ADRYr1!$AN27,0)))</f>
        <v/>
      </c>
      <c r="AF27" s="45" t="str">
        <f t="shared" si="24"/>
        <v/>
      </c>
      <c r="AG27" s="45">
        <f>IF($G27="",0,AE27*ADRYr1!$P27)</f>
        <v>0</v>
      </c>
      <c r="AH27" s="45" t="str">
        <f t="shared" si="25"/>
        <v/>
      </c>
      <c r="AI27" s="45" t="str">
        <f>IF($G27="","",$G27*ADRYr1!$Q27*ADRYr1!$U27*(IF(ADRYr1!$AI27=Lookups!$E$114,ADRYr1!$AJ27,IF(ADRYr1!$AK27=Lookups!$E$114,ADRYr1!$AL27,IF(ADRYr1!$AM27=Lookups!$E$114,ADRYr1!$AN27,0)))))</f>
        <v/>
      </c>
      <c r="AJ27" s="45" t="str">
        <f t="shared" si="26"/>
        <v/>
      </c>
      <c r="AK27" s="45">
        <f>IF($G27="",0,AI27*ADRYr1!$P27)</f>
        <v>0</v>
      </c>
      <c r="AL27" s="45" t="str">
        <f t="shared" si="27"/>
        <v/>
      </c>
      <c r="AM27" s="45" t="str">
        <f>IF($G27="","",$G27*ADRYr1!$Q27*ADRYr1!$U27*(IF(ADRYr1!$AI27=Lookups!$E$113,ADRYr1!$AJ27,IF(ADRYr1!$AK27=Lookups!$E$113,ADRYr1!$AL27,IF(ADRYr1!$AM27=Lookups!$E$113,ADRYr1!$AN27,0)))))</f>
        <v/>
      </c>
      <c r="AN27" s="45" t="str">
        <f t="shared" si="28"/>
        <v/>
      </c>
      <c r="AO27" s="45">
        <f>IF($G27="",0,AM27*ADRYr1!$P27)</f>
        <v>0</v>
      </c>
      <c r="AP27" s="45" t="str">
        <f t="shared" si="29"/>
        <v/>
      </c>
      <c r="AQ27" s="45" t="str">
        <f>IF($G27="","",$G27*ADRYr1!$Q27*ADRYr1!$U27*(IF(ADRYr1!$AI27=Lookups!$E$115,ADRYr1!$AJ27,IF(ADRYr1!$AK27=Lookups!$E$115,ADRYr1!$AL27,IF(ADRYr1!$AM27=Lookups!$E$115,ADRYr1!$AN27,0)))))</f>
        <v/>
      </c>
      <c r="AR27" s="45" t="str">
        <f t="shared" si="30"/>
        <v/>
      </c>
      <c r="AS27" s="45" t="str">
        <f>IF($G27="","",AQ27*ADRYr1!$P27)</f>
        <v/>
      </c>
      <c r="AT27" s="45" t="str">
        <f t="shared" si="31"/>
        <v/>
      </c>
      <c r="AU27" s="45" t="str">
        <f>IF($G27="","",$G27*ADRYr1!$Q27*ADRYr1!$U27*(IF(ADRYr1!$AI27=Lookups!$E$116,ADRYr1!$AJ27,IF(ADRYr1!$AK27=Lookups!$E$116,ADRYr1!$AL27,IF(ADRYr1!$AM27=Lookups!$E$116,ADRYr1!$AN27,0)))))</f>
        <v/>
      </c>
      <c r="AV27" s="45" t="str">
        <f t="shared" si="32"/>
        <v/>
      </c>
      <c r="AW27" s="45" t="str">
        <f>IF($G27="","",AU27*ADRYr1!$P27)</f>
        <v/>
      </c>
      <c r="AX27" s="45" t="str">
        <f t="shared" si="33"/>
        <v/>
      </c>
      <c r="AY27" s="45">
        <f t="shared" si="49"/>
        <v>0</v>
      </c>
      <c r="AZ27" s="45">
        <f t="shared" si="49"/>
        <v>0</v>
      </c>
      <c r="BA27" s="101" t="str">
        <f>IF($G27="","",$G27*ADRYr1!$P27*ADRYr1!$Q27*ADRYr1!$U27*ADRYr1!AO27)</f>
        <v/>
      </c>
      <c r="BB27" s="102" t="str">
        <f>IF($G27="","",$G27*ADRYr1!$P27*ADRYr1!$Q27*ADRYr1!$U27*ADRYr1!AP27)</f>
        <v/>
      </c>
      <c r="BC27" s="100" t="str">
        <f t="shared" si="35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5"/>
        <v/>
      </c>
      <c r="BO27" s="31" t="str">
        <f t="shared" si="36"/>
        <v/>
      </c>
      <c r="BP27" s="1129" t="str">
        <f t="shared" si="6"/>
        <v/>
      </c>
      <c r="BQ27" s="28" t="str">
        <f t="shared" si="7"/>
        <v/>
      </c>
      <c r="BR27" s="1129" t="str">
        <f t="shared" si="8"/>
        <v/>
      </c>
      <c r="BS27" s="1129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7"/>
        <v/>
      </c>
      <c r="BX27" s="29" t="str">
        <f t="shared" si="38"/>
        <v/>
      </c>
      <c r="BY27" s="28" t="str">
        <f>IF($G27="","",$G27*(IF(ADRYr1!$AI27=BY$4,ADRYr1!$AJ27,IF(ADRYr1!$AK27=BY$4,ADRYr1!$AL27,IF(ADRYr1!$AM27=BY$4,ADRYr1!$AN27,0))))*(INDEX(avoidedcosttbl,$H27,BY$2)+(($H27-ROUNDDOWN($H27,0))*(INDEX(avoidedcosttbl,ROUNDUP($H27,0),BY$2)-(INDEX(avoidedcosttbl,ROUNDDOWN($H27,0),BY$2)))))*ADRYr1!P27*ADRYr1!Q27*ADRYr1!U27)</f>
        <v/>
      </c>
      <c r="BZ27" s="28" t="str">
        <f>IF($G27="","",$G27*(IF(ADRYr1!$AI27=BZ$4,ADRYr1!$AJ27,IF(ADRYr1!$AK27=BZ$4,ADRYr1!$AL27,IF(ADRYr1!$AM27=BZ$4,ADRYr1!$AN27,0))))*(INDEX(avoidedcosttbl,$H27,BZ$2)+(($H27-ROUNDDOWN($H27,0))*(INDEX(avoidedcosttbl,ROUNDUP($H27,0),BZ$2)-(INDEX(avoidedcosttbl,ROUNDDOWN($H27,0),BZ$2)))))*ADRYr1!P27*ADRYr1!Q27*ADRYr1!U27)</f>
        <v/>
      </c>
      <c r="CA27" s="28" t="str">
        <f>IF($G27="","",$G27*(IF(ADRYr1!$AI27=CA$4,ADRYr1!$AJ27,IF(ADRYr1!$AK27=CA$4,ADRYr1!$AL27,IF(ADRYr1!$AM27=CA$4,ADRYr1!$AN27,0))))*(INDEX(avoidedcosttbl,$H27,CA$2)+(($H27-ROUNDDOWN($H27,0))*(INDEX(avoidedcosttbl,ROUNDUP($H27,0),CA$2)-(INDEX(avoidedcosttbl,ROUNDDOWN($H27,0),CA$2)))))*ADRYr1!P27*ADRYr1!Q27*ADRYr1!U27)</f>
        <v/>
      </c>
      <c r="CB27" s="28" t="str">
        <f>IF($G27="","",$G27*(IF(ADRYr1!$AI27=CB$4,ADRYr1!$AJ27,IF(ADRYr1!$AK27=CB$4,ADRYr1!$AL27,IF(ADRYr1!$AM27=CB$4,ADRYr1!$AN27,0))))*(INDEX(avoidedcosttbl,$H27,CB$2)+(($H27-ROUNDDOWN($H27,0))*(INDEX(avoidedcosttbl,ROUNDUP($H27,0),CB$2)-(INDEX(avoidedcosttbl,ROUNDDOWN($H27,0),CB$2)))))*ADRYr1!P27*ADRYr1!Q27*ADRYr1!U27)</f>
        <v/>
      </c>
      <c r="CC27" s="28" t="str">
        <f>IF($G27="","",$G27*(IF(ADRYr1!$AI27=CC$4,ADRYr1!$AJ27,IF(ADRYr1!$AK27=CC$4,ADRYr1!$AL27,IF(ADRYr1!$AM27=CC$4,ADRYr1!$AN27,0))))*(INDEX(avoidedcosttbl,$H27,CC$2)+(($H27-ROUNDDOWN($H27,0))*(INDEX(avoidedcosttbl,ROUNDUP($H27,0),CC$2)-(INDEX(avoidedcosttbl,ROUNDDOWN($H27,0),CC$2)))))*ADRYr1!P27*ADRYr1!Q27*ADRYr1!U27)</f>
        <v/>
      </c>
      <c r="CD27" s="28" t="str">
        <f>IF($G27="","",$G27*(IF(ADRYr1!$AI27=CD$4,ADRYr1!$AJ27,IF(ADRYr1!$AK27=CD$4,ADRYr1!$AL27,IF(ADRYr1!$AM27=CD$4,ADRYr1!$AN27,0))))*(INDEX(avoidedcosttbl,$H27,CD$2)+(($H27-ROUNDDOWN($H27,0))*(INDEX(avoidedcosttbl,ROUNDUP($H27,0),CD$2)-(INDEX(avoidedcosttbl,ROUNDDOWN($H27,0),CD$2)))))*ADRYr1!P27*ADRYr1!Q27*ADRYr1!U27)</f>
        <v/>
      </c>
      <c r="CE27" s="28" t="str">
        <f>IF($G27="","",$G27*(IF(ADRYr1!$AI27=CE$4,ADRYr1!$AJ27,IF(ADRYr1!$AK27=CE$4,ADRYr1!$AL27,IF(ADRYr1!$AM27=CE$4,ADRYr1!$AN27,0))))*(INDEX(avoidedcosttbl,$H27,CE$2)+(($H27-ROUNDDOWN($H27,0))*(INDEX(avoidedcosttbl,ROUNDUP($H27,0),CE$2)-(INDEX(avoidedcosttbl,ROUNDDOWN($H27,0),CE$2)))))*ADRYr1!P27*ADRYr1!Q27*ADRYr1!U27)</f>
        <v/>
      </c>
      <c r="CF27" s="41" t="str">
        <f t="shared" si="39"/>
        <v/>
      </c>
      <c r="CG27" s="30" t="str">
        <f t="shared" si="11"/>
        <v/>
      </c>
      <c r="CH27" s="30" t="str">
        <f>IF($G27="","",$G27*(IF(ADRYr1!$AI27=BY$4,ADRYr1!$AJ27,IF(ADRYr1!$AK27=BY$4,ADRYr1!$AL27,IF(ADRYr1!$AM27=BY$4,ADRYr1!$AN27,0))))*(INDEX(avoidedcosttbl,$H27,CH$2)+(($H27-ROUNDDOWN($H27,0))*(INDEX(avoidedcosttbl,ROUNDUP($H27,0),CH$2)-(INDEX(avoidedcosttbl,ROUNDDOWN($H27,0),CH$2)))))*ADRYr1!P27*ADRYr1!Q27*ADRYr1!U27)</f>
        <v/>
      </c>
      <c r="CI27" s="30" t="str">
        <f>IF($G27="","",$G27*(IF(ADRYr1!$AI27=BZ$4,ADRYr1!$AJ27,IF(ADRYr1!$AK27=BZ$4,ADRYr1!$AL27,IF(ADRYr1!$AM27=BZ$4,ADRYr1!$AN27,0))))*(INDEX(avoidedcosttbl,$H27,CI$2)+(($H27-ROUNDDOWN($H27,0))*(INDEX(avoidedcosttbl,ROUNDUP($H27,0),CI$2)-(INDEX(avoidedcosttbl,ROUNDDOWN($H27,0),CI$2)))))*ADRYr1!P27*ADRYr1!Q27*ADRYr1!U27)</f>
        <v/>
      </c>
      <c r="CJ27" s="30" t="str">
        <f>IF($G27="","",$G27*(IF(ADRYr1!$AI27=CA$4,ADRYr1!$AJ27,IF(ADRYr1!$AK27=CA$4,ADRYr1!$AL27,IF(ADRYr1!$AM27=CA$4,ADRYr1!$AN27,0))))*(INDEX(avoidedcosttbl,$H27,CJ$2)+(($H27-ROUNDDOWN($H27,0))*(INDEX(avoidedcosttbl,ROUNDUP($H27,0),CJ$2)-(INDEX(avoidedcosttbl,ROUNDDOWN($H27,0),CJ$2)))))*ADRYr1!P27*ADRYr1!Q27*ADRYr1!U27)</f>
        <v/>
      </c>
      <c r="CK27" s="30" t="str">
        <f>IF($G27="","",$G27*(IF(ADRYr1!$AI27=CB$4,ADRYr1!$AJ27,IF(ADRYr1!$AK27=CB$4,ADRYr1!$AL27,IF(ADRYr1!$AM27=CB$4,ADRYr1!$AN27,0))))*(INDEX(avoidedcosttbl,$H27,CK$2)+(($H27-ROUNDDOWN($H27,0))*(INDEX(avoidedcosttbl,ROUNDUP($H27,0),CK$2)-(INDEX(avoidedcosttbl,ROUNDDOWN($H27,0),CK$2)))))*ADRYr1!P27*ADRYr1!Q27*ADRYr1!U27)</f>
        <v/>
      </c>
      <c r="CL27" s="30" t="str">
        <f>IF($G27="","",$G27*(IF(ADRYr1!$AI27=CC$4,ADRYr1!$AJ27,IF(ADRYr1!$AK27=CC$4,ADRYr1!$AL27,IF(ADRYr1!$AM27=CC$4,ADRYr1!$AN27,0))))*(INDEX(avoidedcosttbl,$H27,CL$2)+(($H27-ROUNDDOWN($H27,0))*(INDEX(avoidedcosttbl,ROUNDUP($H27,0),CL$2)-(INDEX(avoidedcosttbl,ROUNDDOWN($H27,0),CL$2)))))*ADRYr1!P27*ADRYr1!Q27*ADRYr1!U27)</f>
        <v/>
      </c>
      <c r="CM27" s="30" t="str">
        <f>IF($G27="","",$G27*(IF(ADRYr1!$AI27=CD$4,ADRYr1!$AJ27,IF(ADRYr1!$AK27=CD$4,ADRYr1!$AL27,IF(ADRYr1!$AM27=CD$4,ADRYr1!$AN27,0))))*(INDEX(avoidedcosttbl,$H27,CM$2)+(($H27-ROUNDDOWN($H27,0))*(INDEX(avoidedcosttbl,ROUNDUP($H27,0),CM$2)-(INDEX(avoidedcosttbl,ROUNDDOWN($H27,0),CM$2)))))*ADRYr1!P27*ADRYr1!Q27*ADRYr1!U27)</f>
        <v/>
      </c>
      <c r="CN27" s="30" t="str">
        <f>IF($G27="","",$G27*(IF(ADRYr1!$AI27=CE$4,ADRYr1!$AJ27,IF(ADRYr1!$AK27=CE$4,ADRYr1!$AL27,IF(ADRYr1!$AM27=CE$4,ADRYr1!$AN27,0))))*(INDEX(avoidedcosttbl,$H27,CN$2)+(($H27-ROUNDDOWN($H27,0))*(INDEX(avoidedcosttbl,ROUNDUP($H27,0),CN$2)-(INDEX(avoidedcosttbl,ROUNDDOWN($H27,0),CN$2)))))*ADRYr1!P27*ADRYr1!Q27*ADRYr1!U27)</f>
        <v/>
      </c>
      <c r="CO27" s="220" t="str">
        <f t="shared" si="40"/>
        <v/>
      </c>
      <c r="CP27" s="220" t="str">
        <f t="shared" si="41"/>
        <v/>
      </c>
      <c r="CQ27" s="157" t="str">
        <f>IF($G27="","",$G27*(IF(ADRYr1!$AI27=CQ$4,ADRYr1!$AJ27,IF(ADRYr1!$AK27=CQ$4,ADRYr1!$AL27,IF(ADRYr1!$AM27=CQ$4,ADRYr1!$AN27,0))))*(INDEX(avoidedcosttbl,$H27,CQ$2)+(($H27-ROUNDDOWN($H27,0))*(INDEX(avoidedcosttbl,ROUNDUP($H27,0),CQ$2)-(INDEX(avoidedcosttbl,ROUNDDOWN($H27,0),CQ$2)))))*ADRYr1!$P27*ADRYr1!$Q27*ADRYr1!$U27)</f>
        <v/>
      </c>
      <c r="CR27" s="28" t="str">
        <f>IF($G27="","",G27*(IF(ADRYr1!$AI27=CR$4,ADRYr1!$AJ27,IF(ADRYr1!$AK27=CR$4,ADRYr1!$AL27,IF(ADRYr1!$AM27=CR$4,ADRYr1!$AN27,0))))*(INDEX(avoidedcosttbl,$H27,CR$2)+(($H27-ROUNDDOWN($H27,0))*(INDEX(avoidedcosttbl,ROUNDUP($H27,0),CR$2)-(INDEX(avoidedcosttbl,ROUNDDOWN($H27,0),CR$2)))))*ADRYr1!$P27*ADRYr1!$Q27*ADRYr1!$U27)</f>
        <v/>
      </c>
      <c r="CS27" s="28" t="str">
        <f>IF($G27="","",G27*(IF(ADRYr1!$AI27=CS$4,ADRYr1!$AJ27,IF(ADRYr1!$AK27=CS$4,ADRYr1!$AL27,IF(ADRYr1!$AM27=CS$4,ADRYr1!$AN27,0))))*(INDEX(avoidedcosttbl,$H27,CS$2)+(($H27-ROUNDDOWN($H27,0))*(INDEX(avoidedcosttbl,ROUNDUP($H27,0),CS$2)-(INDEX(avoidedcosttbl,ROUNDDOWN($H27,0),CS$2)))))*ADRYr1!$P27*ADRYr1!$Q27*ADRYr1!$U27)</f>
        <v/>
      </c>
      <c r="CT27" s="28" t="str">
        <f t="shared" si="12"/>
        <v/>
      </c>
      <c r="CU27" s="28" t="str">
        <f>IF($G27="","",G27*(IF(ADRYr1!$AI27=CU$4,ADRYr1!$AJ27,IF(ADRYr1!$AK27=CU$4,ADRYr1!$AL27,IF(ADRYr1!$AM27=CU$4,ADRYr1!$AN27,0))))*(INDEX(avoidedcosttbl,$H27,CU$2)+(($H27-ROUNDDOWN($H27,0))*(INDEX(avoidedcosttbl,ROUNDUP($H27,0),CU$2)-(INDEX(avoidedcosttbl,ROUNDDOWN($H27,0),CU$2)))))*ADRYr1!$P27*ADRYr1!$Q27*ADRYr1!$U27)</f>
        <v/>
      </c>
      <c r="CV27" s="28" t="str">
        <f>IF($G27="","",G27*(IF(ADRYr1!$AI27=CV$4,ADRYr1!$AJ27,IF(ADRYr1!$AK27=CV$4,ADRYr1!$AL27,IF(ADRYr1!$AM27=CV$4,ADRYr1!$AN27,0))))*(INDEX(avoidedcosttbl,$H27,CV$2)+(($H27-ROUNDDOWN($H27,0))*(INDEX(avoidedcosttbl,ROUNDUP($H27,0),CV$2)-(INDEX(avoidedcosttbl,ROUNDDOWN($H27,0),CV$2)))))*ADRYr1!$P27*ADRYr1!$Q27*ADRYr1!$U27)</f>
        <v/>
      </c>
      <c r="CW27" s="28" t="str">
        <f>IF($G27="","",G27*(IF(ADRYr1!$AI27=CW$4,ADRYr1!$AJ27,IF(ADRYr1!$AK27=CW$4,ADRYr1!$AL27,IF(ADRYr1!$AM27=CW$4,ADRYr1!$AN27,0))))*(INDEX(avoidedcosttbl,$H27,CW$2)+(($H27-ROUNDDOWN($H27,0))*(INDEX(avoidedcosttbl,ROUNDUP($H27,0),CW$2)-(INDEX(avoidedcosttbl,ROUNDDOWN($H27,0),CW$2)))))*ADRYr1!$P27*ADRYr1!$Q27*ADRYr1!$U27)</f>
        <v/>
      </c>
      <c r="CX27" s="28" t="str">
        <f>IF($G27="","",G27*(IF(ADRYr1!$AI27=CX$4,ADRYr1!$AJ27,IF(ADRYr1!$AK27=CX$4,ADRYr1!$AL27,IF(ADRYr1!$AM27=CX$4,ADRYr1!$AN27,0))))*(INDEX(avoidedcosttbl,$H27,CX$2)+(($H27-ROUNDDOWN($H27,0))*(INDEX(avoidedcosttbl,ROUNDUP($H27,0),CX$2)-(INDEX(avoidedcosttbl,ROUNDDOWN($H27,0),CX$2)))))*ADRYr1!$P27*ADRYr1!$Q27*ADRYr1!$U27)</f>
        <v/>
      </c>
      <c r="CY27" s="28" t="str">
        <f t="shared" si="13"/>
        <v/>
      </c>
      <c r="CZ27" s="32" t="str">
        <f t="shared" si="14"/>
        <v/>
      </c>
      <c r="DA27" s="84" t="str">
        <f t="shared" si="42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15"/>
        <v/>
      </c>
      <c r="DD27" s="166" t="str">
        <f t="shared" si="16"/>
        <v/>
      </c>
      <c r="DE27" s="82">
        <f t="shared" si="43"/>
        <v>0</v>
      </c>
      <c r="DF27" s="760" t="str">
        <f>IF($G27="","",(1+WntPeakEnergyLL)*(INDEX(avoidedcosttbl,$H27,DF$2)+(($H27-ROUNDDOWN($H27,0))*(INDEX(avoidedcosttbl,ROUNDUP($H27,0),DF$2)-(INDEX(avoidedcosttbl,ROUNDDOWN($H27,0),DF$2)))))*$P27*1000*ADRYr1!Z27)</f>
        <v/>
      </c>
      <c r="DG27" s="760" t="str">
        <f>IF($G27="","",(1+WntOffPeakEnergyLL)*(INDEX(avoidedcosttbl,$H27,DG$2)+(($H27-ROUNDDOWN($H27,0))*(INDEX(avoidedcosttbl,ROUNDUP($H27,0),DG$2)-(INDEX(avoidedcosttbl,ROUNDDOWN($H27,0),DG$2)))))*$P27*1000*ADRYr1!AA27)</f>
        <v/>
      </c>
      <c r="DH27" s="760" t="str">
        <f>IF($G27="","",(1+SumPeakEnergyLL)*(INDEX(avoidedcosttbl,$H27,DH$2)+(($H27-ROUNDDOWN($H27,0))*(INDEX(avoidedcosttbl,ROUNDUP($H27,0),DH$2)-(INDEX(avoidedcosttbl,ROUNDDOWN($H27,0),DH$2)))))*$P27*1000*ADRYr1!AB27)</f>
        <v/>
      </c>
      <c r="DI27" s="760" t="str">
        <f>IF($G27="","",(1+SumOffPeakEnergyLL)*(INDEX(avoidedcosttbl,$H27,DI$2)+(($H27-ROUNDDOWN($H27,0))*(INDEX(avoidedcosttbl,ROUNDUP($H27,0),DI$2)-(INDEX(avoidedcosttbl,ROUNDDOWN($H27,0),DI$2)))))*$P27*1000*ADRYr1!AC27)</f>
        <v/>
      </c>
      <c r="DJ27" s="29" t="str">
        <f t="shared" si="44"/>
        <v/>
      </c>
      <c r="DK27" s="161" t="str">
        <f t="shared" si="45"/>
        <v/>
      </c>
      <c r="DL27" s="1375" t="str">
        <f t="shared" si="46"/>
        <v/>
      </c>
      <c r="DM27" s="1375" t="str">
        <f t="shared" si="47"/>
        <v/>
      </c>
      <c r="DN27" s="43" t="str">
        <f t="shared" si="48"/>
        <v/>
      </c>
      <c r="DO27" s="1131" t="str">
        <f>IF($G27="","",ADRYr1!AQ27)</f>
        <v/>
      </c>
      <c r="DP27" s="1133" t="str">
        <f>IF($G27="","",ADRYr1!AR27)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17"/>
        <v/>
      </c>
      <c r="DU27" s="1135" t="str">
        <f>IF($G27="","",ADRYr1!AS27)</f>
        <v/>
      </c>
      <c r="DV27" s="1136" t="str">
        <f>IF($G27="","",ADRYr1!AT27)</f>
        <v/>
      </c>
      <c r="DW27" s="1344" t="str">
        <f>IF($G27="","",INDEX(AvoidedEnergy!$H$4:$H$10,MATCH($DO27,AvoidedEnergy!$A$4:$A$10,0)))</f>
        <v/>
      </c>
    </row>
    <row r="28" spans="1:127">
      <c r="A28" s="160" t="str">
        <f>IF(ADRYr1!$B28=0,"",ADRYr1!A28)</f>
        <v>B - Low-Income</v>
      </c>
      <c r="B28" s="9" t="str">
        <f>IF(ADRYr1!$B28=0,"",ADRYr1!B28)</f>
        <v>Home Energy Assistance</v>
      </c>
      <c r="C28" s="9" t="str">
        <f>IF(ADRYr1!$B28=0,"",ADRYr1!C28)</f>
        <v>Res Demand Response</v>
      </c>
      <c r="D28" s="9" t="str">
        <f>IF(ADRYr1!$B28=0,"",ADRYr1!D28)</f>
        <v>EV Load Management Winter</v>
      </c>
      <c r="E28" s="9">
        <f>IF(ADRYr1!$B28=0,"",ADRYr1!E28)</f>
        <v>0</v>
      </c>
      <c r="F28" s="11" t="str">
        <f>IF(ADRYr1!$B28=0,"",ADRYr1!F28)</f>
        <v>Behavior</v>
      </c>
      <c r="G28" s="12" t="str">
        <f>IF(ADRYr1!$G28&lt;&gt;0,ADRYr1!G28,"")</f>
        <v/>
      </c>
      <c r="H28" s="1125" t="str">
        <f>IF($G28="","",ROUND(ADRYr1!H28,0))</f>
        <v/>
      </c>
      <c r="I28" s="47" t="str">
        <f>IF($G28="","",ADRYr1!I28*ADRYr1!P28*G28)</f>
        <v/>
      </c>
      <c r="J28" s="47" t="str">
        <f>IF($G28="","",ADRYr1!J28*G28)</f>
        <v/>
      </c>
      <c r="K28" s="47" t="str">
        <f t="shared" si="18"/>
        <v/>
      </c>
      <c r="L28" s="27" t="str">
        <f>IF($G28="","",ADRYr1!V28*G28/1000)</f>
        <v/>
      </c>
      <c r="M28" s="27" t="str">
        <f>IF($G28="","",L28*ADRYr1!$Q28*ADRYr1!$R28)</f>
        <v/>
      </c>
      <c r="N28" s="27" t="str">
        <f t="shared" si="19"/>
        <v/>
      </c>
      <c r="O28" s="27" t="str">
        <f t="shared" si="20"/>
        <v/>
      </c>
      <c r="P28" s="27" t="str">
        <f>IF($G28="","",M28*ADRYr1!P28)</f>
        <v/>
      </c>
      <c r="Q28" s="27" t="str">
        <f t="shared" si="21"/>
        <v/>
      </c>
      <c r="R28" s="27" t="str">
        <f>IF($G28="","",$Q28*ADRYr1!Z28)</f>
        <v/>
      </c>
      <c r="S28" s="27" t="str">
        <f>IF($G28="","",$Q28*ADRYr1!AA28)</f>
        <v/>
      </c>
      <c r="T28" s="27" t="str">
        <f>IF($G28="","",$Q28*ADRYr1!AB28)</f>
        <v/>
      </c>
      <c r="U28" s="27" t="str">
        <f>IF($G28="","",$Q28*ADRYr1!AC28)</f>
        <v/>
      </c>
      <c r="V28" s="27" t="str">
        <f>IF($G28="","",G28*ADRYr1!$AD28*ADRYr1!$P28*ADRYr1!$Q28)</f>
        <v/>
      </c>
      <c r="W28" s="27" t="str">
        <f>IF($G28="","",$G28*ADRYr1!$AD28*ADRYr1!$AF28*ADRYr1!Q28*ADRYr1!$S28)</f>
        <v/>
      </c>
      <c r="X28" s="27" t="str">
        <f>IF($G28="","",$G28*ADRYr1!$AD28*ADRYr1!$AF28*ADRYr1!P28*ADRYr1!Q28*ADRYr1!$S28)</f>
        <v/>
      </c>
      <c r="Y28" s="27" t="str">
        <f>IF($G28="","",$G28*ADRYr1!$AD28*ADRYr1!$AE28*ADRYr1!Q28*ADRYr1!$T28)</f>
        <v/>
      </c>
      <c r="Z28" s="27" t="str">
        <f>IF($G28="","",$G28*ADRYr1!$AD28*ADRYr1!$AE28*ADRYr1!P28*ADRYr1!Q28*ADRYr1!$T28)</f>
        <v/>
      </c>
      <c r="AA28" s="45" t="str">
        <f>IF($G28="","",$G28*ADRYr1!$Q28*ADRYr1!$U28*(IF(IFERROR(SEARCH("NG", ADRYr1!$AI28),0),ADRYr1!$AJ28,0)+IF(IFERROR(SEARCH("NG", ADRYr1!$AK28),0),ADRYr1!$AL28,0)+IF(IFERROR(SEARCH("NG", ADRYr1!$AM28),0),ADRYr1!$AN28,0)))</f>
        <v/>
      </c>
      <c r="AB28" s="45" t="str">
        <f t="shared" si="22"/>
        <v/>
      </c>
      <c r="AC28" s="45">
        <f>IF($G28="",0,AA28*ADRYr1!$P28)</f>
        <v>0</v>
      </c>
      <c r="AD28" s="45" t="str">
        <f t="shared" si="23"/>
        <v/>
      </c>
      <c r="AE28" s="45" t="str">
        <f>IF($G28="","",$G28*ADRYr1!$Q28*ADRYr1!$U28*(IF(IFERROR(SEARCH("Oil", ADRYr1!$AI28), 0),ADRYr1!$AJ28,0)+IF(IFERROR(SEARCH("Oil", ADRYr1!$AK28), 0),ADRYr1!$AL28,0)+IF(IFERROR(SEARCH("Oil", ADRYr1!$AM28), 0),ADRYr1!$AN28,0)))</f>
        <v/>
      </c>
      <c r="AF28" s="45" t="str">
        <f t="shared" si="24"/>
        <v/>
      </c>
      <c r="AG28" s="45">
        <f>IF($G28="",0,AE28*ADRYr1!$P28)</f>
        <v>0</v>
      </c>
      <c r="AH28" s="45" t="str">
        <f t="shared" si="25"/>
        <v/>
      </c>
      <c r="AI28" s="45" t="str">
        <f>IF($G28="","",$G28*ADRYr1!$Q28*ADRYr1!$U28*(IF(ADRYr1!$AI28=Lookups!$E$114,ADRYr1!$AJ28,IF(ADRYr1!$AK28=Lookups!$E$114,ADRYr1!$AL28,IF(ADRYr1!$AM28=Lookups!$E$114,ADRYr1!$AN28,0)))))</f>
        <v/>
      </c>
      <c r="AJ28" s="45" t="str">
        <f t="shared" si="26"/>
        <v/>
      </c>
      <c r="AK28" s="45">
        <f>IF($G28="",0,AI28*ADRYr1!$P28)</f>
        <v>0</v>
      </c>
      <c r="AL28" s="45" t="str">
        <f t="shared" si="27"/>
        <v/>
      </c>
      <c r="AM28" s="45" t="str">
        <f>IF($G28="","",$G28*ADRYr1!$Q28*ADRYr1!$U28*(IF(ADRYr1!$AI28=Lookups!$E$113,ADRYr1!$AJ28,IF(ADRYr1!$AK28=Lookups!$E$113,ADRYr1!$AL28,IF(ADRYr1!$AM28=Lookups!$E$113,ADRYr1!$AN28,0)))))</f>
        <v/>
      </c>
      <c r="AN28" s="45" t="str">
        <f t="shared" si="28"/>
        <v/>
      </c>
      <c r="AO28" s="45">
        <f>IF($G28="",0,AM28*ADRYr1!$P28)</f>
        <v>0</v>
      </c>
      <c r="AP28" s="45" t="str">
        <f t="shared" si="29"/>
        <v/>
      </c>
      <c r="AQ28" s="45" t="str">
        <f>IF($G28="","",$G28*ADRYr1!$Q28*ADRYr1!$U28*(IF(ADRYr1!$AI28=Lookups!$E$115,ADRYr1!$AJ28,IF(ADRYr1!$AK28=Lookups!$E$115,ADRYr1!$AL28,IF(ADRYr1!$AM28=Lookups!$E$115,ADRYr1!$AN28,0)))))</f>
        <v/>
      </c>
      <c r="AR28" s="45" t="str">
        <f t="shared" si="30"/>
        <v/>
      </c>
      <c r="AS28" s="45" t="str">
        <f>IF($G28="","",AQ28*ADRYr1!$P28)</f>
        <v/>
      </c>
      <c r="AT28" s="45" t="str">
        <f t="shared" si="31"/>
        <v/>
      </c>
      <c r="AU28" s="45" t="str">
        <f>IF($G28="","",$G28*ADRYr1!$Q28*ADRYr1!$U28*(IF(ADRYr1!$AI28=Lookups!$E$116,ADRYr1!$AJ28,IF(ADRYr1!$AK28=Lookups!$E$116,ADRYr1!$AL28,IF(ADRYr1!$AM28=Lookups!$E$116,ADRYr1!$AN28,0)))))</f>
        <v/>
      </c>
      <c r="AV28" s="45" t="str">
        <f t="shared" si="32"/>
        <v/>
      </c>
      <c r="AW28" s="45" t="str">
        <f>IF($G28="","",AU28*ADRYr1!$P28)</f>
        <v/>
      </c>
      <c r="AX28" s="45" t="str">
        <f t="shared" si="33"/>
        <v/>
      </c>
      <c r="AY28" s="45">
        <f t="shared" si="49"/>
        <v>0</v>
      </c>
      <c r="AZ28" s="45">
        <f t="shared" si="49"/>
        <v>0</v>
      </c>
      <c r="BA28" s="101" t="str">
        <f>IF($G28="","",$G28*ADRYr1!$P28*ADRYr1!$Q28*ADRYr1!$U28*ADRYr1!AO28)</f>
        <v/>
      </c>
      <c r="BB28" s="102" t="str">
        <f>IF($G28="","",$G28*ADRYr1!$P28*ADRYr1!$Q28*ADRYr1!$U28*ADRYr1!AP28)</f>
        <v/>
      </c>
      <c r="BC28" s="100" t="str">
        <f t="shared" si="35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5"/>
        <v/>
      </c>
      <c r="BO28" s="31" t="str">
        <f t="shared" si="36"/>
        <v/>
      </c>
      <c r="BP28" s="1129" t="str">
        <f t="shared" si="6"/>
        <v/>
      </c>
      <c r="BQ28" s="28" t="str">
        <f t="shared" si="7"/>
        <v/>
      </c>
      <c r="BR28" s="1129" t="str">
        <f t="shared" si="8"/>
        <v/>
      </c>
      <c r="BS28" s="1129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7"/>
        <v/>
      </c>
      <c r="BX28" s="29" t="str">
        <f t="shared" si="38"/>
        <v/>
      </c>
      <c r="BY28" s="28" t="str">
        <f>IF($G28="","",$G28*(IF(ADRYr1!$AI28=BY$4,ADRYr1!$AJ28,IF(ADRYr1!$AK28=BY$4,ADRYr1!$AL28,IF(ADRYr1!$AM28=BY$4,ADRYr1!$AN28,0))))*(INDEX(avoidedcosttbl,$H28,BY$2)+(($H28-ROUNDDOWN($H28,0))*(INDEX(avoidedcosttbl,ROUNDUP($H28,0),BY$2)-(INDEX(avoidedcosttbl,ROUNDDOWN($H28,0),BY$2)))))*ADRYr1!P28*ADRYr1!Q28*ADRYr1!U28)</f>
        <v/>
      </c>
      <c r="BZ28" s="28" t="str">
        <f>IF($G28="","",$G28*(IF(ADRYr1!$AI28=BZ$4,ADRYr1!$AJ28,IF(ADRYr1!$AK28=BZ$4,ADRYr1!$AL28,IF(ADRYr1!$AM28=BZ$4,ADRYr1!$AN28,0))))*(INDEX(avoidedcosttbl,$H28,BZ$2)+(($H28-ROUNDDOWN($H28,0))*(INDEX(avoidedcosttbl,ROUNDUP($H28,0),BZ$2)-(INDEX(avoidedcosttbl,ROUNDDOWN($H28,0),BZ$2)))))*ADRYr1!P28*ADRYr1!Q28*ADRYr1!U28)</f>
        <v/>
      </c>
      <c r="CA28" s="28" t="str">
        <f>IF($G28="","",$G28*(IF(ADRYr1!$AI28=CA$4,ADRYr1!$AJ28,IF(ADRYr1!$AK28=CA$4,ADRYr1!$AL28,IF(ADRYr1!$AM28=CA$4,ADRYr1!$AN28,0))))*(INDEX(avoidedcosttbl,$H28,CA$2)+(($H28-ROUNDDOWN($H28,0))*(INDEX(avoidedcosttbl,ROUNDUP($H28,0),CA$2)-(INDEX(avoidedcosttbl,ROUNDDOWN($H28,0),CA$2)))))*ADRYr1!P28*ADRYr1!Q28*ADRYr1!U28)</f>
        <v/>
      </c>
      <c r="CB28" s="28" t="str">
        <f>IF($G28="","",$G28*(IF(ADRYr1!$AI28=CB$4,ADRYr1!$AJ28,IF(ADRYr1!$AK28=CB$4,ADRYr1!$AL28,IF(ADRYr1!$AM28=CB$4,ADRYr1!$AN28,0))))*(INDEX(avoidedcosttbl,$H28,CB$2)+(($H28-ROUNDDOWN($H28,0))*(INDEX(avoidedcosttbl,ROUNDUP($H28,0),CB$2)-(INDEX(avoidedcosttbl,ROUNDDOWN($H28,0),CB$2)))))*ADRYr1!P28*ADRYr1!Q28*ADRYr1!U28)</f>
        <v/>
      </c>
      <c r="CC28" s="28" t="str">
        <f>IF($G28="","",$G28*(IF(ADRYr1!$AI28=CC$4,ADRYr1!$AJ28,IF(ADRYr1!$AK28=CC$4,ADRYr1!$AL28,IF(ADRYr1!$AM28=CC$4,ADRYr1!$AN28,0))))*(INDEX(avoidedcosttbl,$H28,CC$2)+(($H28-ROUNDDOWN($H28,0))*(INDEX(avoidedcosttbl,ROUNDUP($H28,0),CC$2)-(INDEX(avoidedcosttbl,ROUNDDOWN($H28,0),CC$2)))))*ADRYr1!P28*ADRYr1!Q28*ADRYr1!U28)</f>
        <v/>
      </c>
      <c r="CD28" s="28" t="str">
        <f>IF($G28="","",$G28*(IF(ADRYr1!$AI28=CD$4,ADRYr1!$AJ28,IF(ADRYr1!$AK28=CD$4,ADRYr1!$AL28,IF(ADRYr1!$AM28=CD$4,ADRYr1!$AN28,0))))*(INDEX(avoidedcosttbl,$H28,CD$2)+(($H28-ROUNDDOWN($H28,0))*(INDEX(avoidedcosttbl,ROUNDUP($H28,0),CD$2)-(INDEX(avoidedcosttbl,ROUNDDOWN($H28,0),CD$2)))))*ADRYr1!P28*ADRYr1!Q28*ADRYr1!U28)</f>
        <v/>
      </c>
      <c r="CE28" s="28" t="str">
        <f>IF($G28="","",$G28*(IF(ADRYr1!$AI28=CE$4,ADRYr1!$AJ28,IF(ADRYr1!$AK28=CE$4,ADRYr1!$AL28,IF(ADRYr1!$AM28=CE$4,ADRYr1!$AN28,0))))*(INDEX(avoidedcosttbl,$H28,CE$2)+(($H28-ROUNDDOWN($H28,0))*(INDEX(avoidedcosttbl,ROUNDUP($H28,0),CE$2)-(INDEX(avoidedcosttbl,ROUNDDOWN($H28,0),CE$2)))))*ADRYr1!P28*ADRYr1!Q28*ADRYr1!U28)</f>
        <v/>
      </c>
      <c r="CF28" s="41" t="str">
        <f t="shared" si="39"/>
        <v/>
      </c>
      <c r="CG28" s="30" t="str">
        <f t="shared" si="11"/>
        <v/>
      </c>
      <c r="CH28" s="30" t="str">
        <f>IF($G28="","",$G28*(IF(ADRYr1!$AI28=BY$4,ADRYr1!$AJ28,IF(ADRYr1!$AK28=BY$4,ADRYr1!$AL28,IF(ADRYr1!$AM28=BY$4,ADRYr1!$AN28,0))))*(INDEX(avoidedcosttbl,$H28,CH$2)+(($H28-ROUNDDOWN($H28,0))*(INDEX(avoidedcosttbl,ROUNDUP($H28,0),CH$2)-(INDEX(avoidedcosttbl,ROUNDDOWN($H28,0),CH$2)))))*ADRYr1!P28*ADRYr1!Q28*ADRYr1!U28)</f>
        <v/>
      </c>
      <c r="CI28" s="30" t="str">
        <f>IF($G28="","",$G28*(IF(ADRYr1!$AI28=BZ$4,ADRYr1!$AJ28,IF(ADRYr1!$AK28=BZ$4,ADRYr1!$AL28,IF(ADRYr1!$AM28=BZ$4,ADRYr1!$AN28,0))))*(INDEX(avoidedcosttbl,$H28,CI$2)+(($H28-ROUNDDOWN($H28,0))*(INDEX(avoidedcosttbl,ROUNDUP($H28,0),CI$2)-(INDEX(avoidedcosttbl,ROUNDDOWN($H28,0),CI$2)))))*ADRYr1!P28*ADRYr1!Q28*ADRYr1!U28)</f>
        <v/>
      </c>
      <c r="CJ28" s="30" t="str">
        <f>IF($G28="","",$G28*(IF(ADRYr1!$AI28=CA$4,ADRYr1!$AJ28,IF(ADRYr1!$AK28=CA$4,ADRYr1!$AL28,IF(ADRYr1!$AM28=CA$4,ADRYr1!$AN28,0))))*(INDEX(avoidedcosttbl,$H28,CJ$2)+(($H28-ROUNDDOWN($H28,0))*(INDEX(avoidedcosttbl,ROUNDUP($H28,0),CJ$2)-(INDEX(avoidedcosttbl,ROUNDDOWN($H28,0),CJ$2)))))*ADRYr1!P28*ADRYr1!Q28*ADRYr1!U28)</f>
        <v/>
      </c>
      <c r="CK28" s="30" t="str">
        <f>IF($G28="","",$G28*(IF(ADRYr1!$AI28=CB$4,ADRYr1!$AJ28,IF(ADRYr1!$AK28=CB$4,ADRYr1!$AL28,IF(ADRYr1!$AM28=CB$4,ADRYr1!$AN28,0))))*(INDEX(avoidedcosttbl,$H28,CK$2)+(($H28-ROUNDDOWN($H28,0))*(INDEX(avoidedcosttbl,ROUNDUP($H28,0),CK$2)-(INDEX(avoidedcosttbl,ROUNDDOWN($H28,0),CK$2)))))*ADRYr1!P28*ADRYr1!Q28*ADRYr1!U28)</f>
        <v/>
      </c>
      <c r="CL28" s="30" t="str">
        <f>IF($G28="","",$G28*(IF(ADRYr1!$AI28=CC$4,ADRYr1!$AJ28,IF(ADRYr1!$AK28=CC$4,ADRYr1!$AL28,IF(ADRYr1!$AM28=CC$4,ADRYr1!$AN28,0))))*(INDEX(avoidedcosttbl,$H28,CL$2)+(($H28-ROUNDDOWN($H28,0))*(INDEX(avoidedcosttbl,ROUNDUP($H28,0),CL$2)-(INDEX(avoidedcosttbl,ROUNDDOWN($H28,0),CL$2)))))*ADRYr1!P28*ADRYr1!Q28*ADRYr1!U28)</f>
        <v/>
      </c>
      <c r="CM28" s="30" t="str">
        <f>IF($G28="","",$G28*(IF(ADRYr1!$AI28=CD$4,ADRYr1!$AJ28,IF(ADRYr1!$AK28=CD$4,ADRYr1!$AL28,IF(ADRYr1!$AM28=CD$4,ADRYr1!$AN28,0))))*(INDEX(avoidedcosttbl,$H28,CM$2)+(($H28-ROUNDDOWN($H28,0))*(INDEX(avoidedcosttbl,ROUNDUP($H28,0),CM$2)-(INDEX(avoidedcosttbl,ROUNDDOWN($H28,0),CM$2)))))*ADRYr1!P28*ADRYr1!Q28*ADRYr1!U28)</f>
        <v/>
      </c>
      <c r="CN28" s="30" t="str">
        <f>IF($G28="","",$G28*(IF(ADRYr1!$AI28=CE$4,ADRYr1!$AJ28,IF(ADRYr1!$AK28=CE$4,ADRYr1!$AL28,IF(ADRYr1!$AM28=CE$4,ADRYr1!$AN28,0))))*(INDEX(avoidedcosttbl,$H28,CN$2)+(($H28-ROUNDDOWN($H28,0))*(INDEX(avoidedcosttbl,ROUNDUP($H28,0),CN$2)-(INDEX(avoidedcosttbl,ROUNDDOWN($H28,0),CN$2)))))*ADRYr1!P28*ADRYr1!Q28*ADRYr1!U28)</f>
        <v/>
      </c>
      <c r="CO28" s="220" t="str">
        <f t="shared" si="40"/>
        <v/>
      </c>
      <c r="CP28" s="220" t="str">
        <f t="shared" si="41"/>
        <v/>
      </c>
      <c r="CQ28" s="157" t="str">
        <f>IF($G28="","",$G28*(IF(ADRYr1!$AI28=CQ$4,ADRYr1!$AJ28,IF(ADRYr1!$AK28=CQ$4,ADRYr1!$AL28,IF(ADRYr1!$AM28=CQ$4,ADRYr1!$AN28,0))))*(INDEX(avoidedcosttbl,$H28,CQ$2)+(($H28-ROUNDDOWN($H28,0))*(INDEX(avoidedcosttbl,ROUNDUP($H28,0),CQ$2)-(INDEX(avoidedcosttbl,ROUNDDOWN($H28,0),CQ$2)))))*ADRYr1!$P28*ADRYr1!$Q28*ADRYr1!$U28)</f>
        <v/>
      </c>
      <c r="CR28" s="28" t="str">
        <f>IF($G28="","",G28*(IF(ADRYr1!$AI28=CR$4,ADRYr1!$AJ28,IF(ADRYr1!$AK28=CR$4,ADRYr1!$AL28,IF(ADRYr1!$AM28=CR$4,ADRYr1!$AN28,0))))*(INDEX(avoidedcosttbl,$H28,CR$2)+(($H28-ROUNDDOWN($H28,0))*(INDEX(avoidedcosttbl,ROUNDUP($H28,0),CR$2)-(INDEX(avoidedcosttbl,ROUNDDOWN($H28,0),CR$2)))))*ADRYr1!$P28*ADRYr1!$Q28*ADRYr1!$U28)</f>
        <v/>
      </c>
      <c r="CS28" s="28" t="str">
        <f>IF($G28="","",G28*(IF(ADRYr1!$AI28=CS$4,ADRYr1!$AJ28,IF(ADRYr1!$AK28=CS$4,ADRYr1!$AL28,IF(ADRYr1!$AM28=CS$4,ADRYr1!$AN28,0))))*(INDEX(avoidedcosttbl,$H28,CS$2)+(($H28-ROUNDDOWN($H28,0))*(INDEX(avoidedcosttbl,ROUNDUP($H28,0),CS$2)-(INDEX(avoidedcosttbl,ROUNDDOWN($H28,0),CS$2)))))*ADRYr1!$P28*ADRYr1!$Q28*ADRYr1!$U28)</f>
        <v/>
      </c>
      <c r="CT28" s="28" t="str">
        <f t="shared" si="12"/>
        <v/>
      </c>
      <c r="CU28" s="28" t="str">
        <f>IF($G28="","",G28*(IF(ADRYr1!$AI28=CU$4,ADRYr1!$AJ28,IF(ADRYr1!$AK28=CU$4,ADRYr1!$AL28,IF(ADRYr1!$AM28=CU$4,ADRYr1!$AN28,0))))*(INDEX(avoidedcosttbl,$H28,CU$2)+(($H28-ROUNDDOWN($H28,0))*(INDEX(avoidedcosttbl,ROUNDUP($H28,0),CU$2)-(INDEX(avoidedcosttbl,ROUNDDOWN($H28,0),CU$2)))))*ADRYr1!$P28*ADRYr1!$Q28*ADRYr1!$U28)</f>
        <v/>
      </c>
      <c r="CV28" s="28" t="str">
        <f>IF($G28="","",G28*(IF(ADRYr1!$AI28=CV$4,ADRYr1!$AJ28,IF(ADRYr1!$AK28=CV$4,ADRYr1!$AL28,IF(ADRYr1!$AM28=CV$4,ADRYr1!$AN28,0))))*(INDEX(avoidedcosttbl,$H28,CV$2)+(($H28-ROUNDDOWN($H28,0))*(INDEX(avoidedcosttbl,ROUNDUP($H28,0),CV$2)-(INDEX(avoidedcosttbl,ROUNDDOWN($H28,0),CV$2)))))*ADRYr1!$P28*ADRYr1!$Q28*ADRYr1!$U28)</f>
        <v/>
      </c>
      <c r="CW28" s="28" t="str">
        <f>IF($G28="","",G28*(IF(ADRYr1!$AI28=CW$4,ADRYr1!$AJ28,IF(ADRYr1!$AK28=CW$4,ADRYr1!$AL28,IF(ADRYr1!$AM28=CW$4,ADRYr1!$AN28,0))))*(INDEX(avoidedcosttbl,$H28,CW$2)+(($H28-ROUNDDOWN($H28,0))*(INDEX(avoidedcosttbl,ROUNDUP($H28,0),CW$2)-(INDEX(avoidedcosttbl,ROUNDDOWN($H28,0),CW$2)))))*ADRYr1!$P28*ADRYr1!$Q28*ADRYr1!$U28)</f>
        <v/>
      </c>
      <c r="CX28" s="28" t="str">
        <f>IF($G28="","",G28*(IF(ADRYr1!$AI28=CX$4,ADRYr1!$AJ28,IF(ADRYr1!$AK28=CX$4,ADRYr1!$AL28,IF(ADRYr1!$AM28=CX$4,ADRYr1!$AN28,0))))*(INDEX(avoidedcosttbl,$H28,CX$2)+(($H28-ROUNDDOWN($H28,0))*(INDEX(avoidedcosttbl,ROUNDUP($H28,0),CX$2)-(INDEX(avoidedcosttbl,ROUNDDOWN($H28,0),CX$2)))))*ADRYr1!$P28*ADRYr1!$Q28*ADRYr1!$U28)</f>
        <v/>
      </c>
      <c r="CY28" s="28" t="str">
        <f t="shared" si="13"/>
        <v/>
      </c>
      <c r="CZ28" s="32" t="str">
        <f t="shared" si="14"/>
        <v/>
      </c>
      <c r="DA28" s="84" t="str">
        <f t="shared" si="42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15"/>
        <v/>
      </c>
      <c r="DD28" s="166" t="str">
        <f t="shared" si="16"/>
        <v/>
      </c>
      <c r="DE28" s="82">
        <f t="shared" si="43"/>
        <v>0</v>
      </c>
      <c r="DF28" s="760" t="str">
        <f>IF($G28="","",(1+WntPeakEnergyLL)*(INDEX(avoidedcosttbl,$H28,DF$2)+(($H28-ROUNDDOWN($H28,0))*(INDEX(avoidedcosttbl,ROUNDUP($H28,0),DF$2)-(INDEX(avoidedcosttbl,ROUNDDOWN($H28,0),DF$2)))))*$P28*1000*ADRYr1!Z28)</f>
        <v/>
      </c>
      <c r="DG28" s="760" t="str">
        <f>IF($G28="","",(1+WntOffPeakEnergyLL)*(INDEX(avoidedcosttbl,$H28,DG$2)+(($H28-ROUNDDOWN($H28,0))*(INDEX(avoidedcosttbl,ROUNDUP($H28,0),DG$2)-(INDEX(avoidedcosttbl,ROUNDDOWN($H28,0),DG$2)))))*$P28*1000*ADRYr1!AA28)</f>
        <v/>
      </c>
      <c r="DH28" s="760" t="str">
        <f>IF($G28="","",(1+SumPeakEnergyLL)*(INDEX(avoidedcosttbl,$H28,DH$2)+(($H28-ROUNDDOWN($H28,0))*(INDEX(avoidedcosttbl,ROUNDUP($H28,0),DH$2)-(INDEX(avoidedcosttbl,ROUNDDOWN($H28,0),DH$2)))))*$P28*1000*ADRYr1!AB28)</f>
        <v/>
      </c>
      <c r="DI28" s="760" t="str">
        <f>IF($G28="","",(1+SumOffPeakEnergyLL)*(INDEX(avoidedcosttbl,$H28,DI$2)+(($H28-ROUNDDOWN($H28,0))*(INDEX(avoidedcosttbl,ROUNDUP($H28,0),DI$2)-(INDEX(avoidedcosttbl,ROUNDDOWN($H28,0),DI$2)))))*$P28*1000*ADRYr1!AC28)</f>
        <v/>
      </c>
      <c r="DJ28" s="29" t="str">
        <f t="shared" si="44"/>
        <v/>
      </c>
      <c r="DK28" s="161" t="str">
        <f t="shared" si="45"/>
        <v/>
      </c>
      <c r="DL28" s="1375" t="str">
        <f t="shared" si="46"/>
        <v/>
      </c>
      <c r="DM28" s="1375" t="str">
        <f t="shared" si="47"/>
        <v/>
      </c>
      <c r="DN28" s="43" t="str">
        <f t="shared" si="48"/>
        <v/>
      </c>
      <c r="DO28" s="1131" t="str">
        <f>IF($G28="","",ADRYr1!AQ28)</f>
        <v/>
      </c>
      <c r="DP28" s="1133" t="str">
        <f>IF($G28="","",ADRYr1!AR28)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17"/>
        <v/>
      </c>
      <c r="DU28" s="1135" t="str">
        <f>IF($G28="","",ADRYr1!AS28)</f>
        <v/>
      </c>
      <c r="DV28" s="1136" t="str">
        <f>IF($G28="","",ADRYr1!AT28)</f>
        <v/>
      </c>
      <c r="DW28" s="1344" t="str">
        <f>IF($G28="","",INDEX(AvoidedEnergy!$H$4:$H$10,MATCH($DO28,AvoidedEnergy!$A$4:$A$10,0)))</f>
        <v/>
      </c>
    </row>
    <row r="29" spans="1:127">
      <c r="A29" s="160" t="str">
        <f>IF(ADRYr1!$B29=0,"",ADRYr1!A29)</f>
        <v>C - Commercial &amp; Industrial</v>
      </c>
      <c r="B29" s="9" t="str">
        <f>IF(ADRYr1!$B29=0,"",ADRYr1!B29)</f>
        <v>C5 - C&amp;I Active Demand Response</v>
      </c>
      <c r="C29" s="9" t="str">
        <f>IF(ADRYr1!$B29=0,"",ADRYr1!C29)</f>
        <v>C5a - C&amp;I Active Demand Response</v>
      </c>
      <c r="D29" s="9" t="str">
        <f>IF(ADRYr1!$B29=0,"",ADRYr1!D29)</f>
        <v>Load Curtailment Targeted Dispatch P4P Summer</v>
      </c>
      <c r="E29" s="9" t="str">
        <f>IF(ADRYr1!$B29=0,"",ADRYr1!E29)</f>
        <v>E21C5a001</v>
      </c>
      <c r="F29" s="11" t="str">
        <f>IF(ADRYr1!$B29=0,"",ADRYr1!F29)</f>
        <v>Behavior</v>
      </c>
      <c r="G29" s="12">
        <f>IF(ADRYr1!$G29&lt;&gt;0,ADRYr1!G29,"")</f>
        <v>18</v>
      </c>
      <c r="H29" s="1125">
        <f>IF($G29="","",ROUND(ADRYr1!H29,0))</f>
        <v>1</v>
      </c>
      <c r="I29" s="47">
        <f>IF($G29="","",ADRYr1!I29*ADRYr1!P29*G29)</f>
        <v>81000</v>
      </c>
      <c r="J29" s="47">
        <f>IF($G29="","",ADRYr1!J29*G29)</f>
        <v>81000</v>
      </c>
      <c r="K29" s="47">
        <f t="shared" si="18"/>
        <v>0</v>
      </c>
      <c r="L29" s="27">
        <f>IF($G29="","",ADRYr1!V29*G29/1000)</f>
        <v>0</v>
      </c>
      <c r="M29" s="27">
        <f>IF($G29="","",L29*ADRYr1!$Q29*ADRYr1!$R29)</f>
        <v>0</v>
      </c>
      <c r="N29" s="27">
        <f t="shared" si="19"/>
        <v>0</v>
      </c>
      <c r="O29" s="27">
        <f t="shared" si="20"/>
        <v>0</v>
      </c>
      <c r="P29" s="27">
        <f>IF($G29="","",M29*ADRYr1!P29)</f>
        <v>0</v>
      </c>
      <c r="Q29" s="27">
        <f t="shared" si="21"/>
        <v>0</v>
      </c>
      <c r="R29" s="27">
        <f>IF($G29="","",$Q29*ADRYr1!Z29)</f>
        <v>0</v>
      </c>
      <c r="S29" s="27">
        <f>IF($G29="","",$Q29*ADRYr1!AA29)</f>
        <v>0</v>
      </c>
      <c r="T29" s="27">
        <f>IF($G29="","",$Q29*ADRYr1!AB29)</f>
        <v>0</v>
      </c>
      <c r="U29" s="27">
        <f>IF($G29="","",$Q29*ADRYr1!AC29)</f>
        <v>0</v>
      </c>
      <c r="V29" s="27">
        <f>IF($G29="","",G29*ADRYr1!$AD29*ADRYr1!$P29*ADRYr1!$Q29)</f>
        <v>1800</v>
      </c>
      <c r="W29" s="27">
        <f>IF($G29="","",$G29*ADRYr1!$AD29*ADRYr1!$AF29*ADRYr1!Q29*ADRYr1!$S29)</f>
        <v>0</v>
      </c>
      <c r="X29" s="27">
        <f>IF($G29="","",$G29*ADRYr1!$AD29*ADRYr1!$AF29*ADRYr1!P29*ADRYr1!Q29*ADRYr1!$S29)</f>
        <v>0</v>
      </c>
      <c r="Y29" s="27">
        <f>IF($G29="","",$G29*ADRYr1!$AD29*ADRYr1!$AE29*ADRYr1!Q29*ADRYr1!$T29)</f>
        <v>1800</v>
      </c>
      <c r="Z29" s="27">
        <f>IF($G29="","",$G29*ADRYr1!$AD29*ADRYr1!$AE29*ADRYr1!P29*ADRYr1!Q29*ADRYr1!$T29)</f>
        <v>1800</v>
      </c>
      <c r="AA29" s="45">
        <f>IF($G29="","",$G29*ADRYr1!$Q29*ADRYr1!$U29*(IF(IFERROR(SEARCH("NG", ADRYr1!$AI29),0),ADRYr1!$AJ29,0)+IF(IFERROR(SEARCH("NG", ADRYr1!$AK29),0),ADRYr1!$AL29,0)+IF(IFERROR(SEARCH("NG", ADRYr1!$AM29),0),ADRYr1!$AN29,0)))</f>
        <v>0</v>
      </c>
      <c r="AB29" s="45">
        <f t="shared" si="22"/>
        <v>0</v>
      </c>
      <c r="AC29" s="45">
        <f>IF($G29="",0,AA29*ADRYr1!$P29)</f>
        <v>0</v>
      </c>
      <c r="AD29" s="45">
        <f t="shared" si="23"/>
        <v>0</v>
      </c>
      <c r="AE29" s="45">
        <f>IF($G29="","",$G29*ADRYr1!$Q29*ADRYr1!$U29*(IF(IFERROR(SEARCH("Oil", ADRYr1!$AI29), 0),ADRYr1!$AJ29,0)+IF(IFERROR(SEARCH("Oil", ADRYr1!$AK29), 0),ADRYr1!$AL29,0)+IF(IFERROR(SEARCH("Oil", ADRYr1!$AM29), 0),ADRYr1!$AN29,0)))</f>
        <v>0</v>
      </c>
      <c r="AF29" s="45">
        <f t="shared" si="24"/>
        <v>0</v>
      </c>
      <c r="AG29" s="45">
        <f>IF($G29="",0,AE29*ADRYr1!$P29)</f>
        <v>0</v>
      </c>
      <c r="AH29" s="45">
        <f t="shared" si="25"/>
        <v>0</v>
      </c>
      <c r="AI29" s="45">
        <f>IF($G29="","",$G29*ADRYr1!$Q29*ADRYr1!$U29*(IF(ADRYr1!$AI29=Lookups!$E$114,ADRYr1!$AJ29,IF(ADRYr1!$AK29=Lookups!$E$114,ADRYr1!$AL29,IF(ADRYr1!$AM29=Lookups!$E$114,ADRYr1!$AN29,0)))))</f>
        <v>0</v>
      </c>
      <c r="AJ29" s="45">
        <f t="shared" si="26"/>
        <v>0</v>
      </c>
      <c r="AK29" s="45">
        <f>IF($G29="",0,AI29*ADRYr1!$P29)</f>
        <v>0</v>
      </c>
      <c r="AL29" s="45">
        <f t="shared" si="27"/>
        <v>0</v>
      </c>
      <c r="AM29" s="45">
        <f>IF($G29="","",$G29*ADRYr1!$Q29*ADRYr1!$U29*(IF(ADRYr1!$AI29=Lookups!$E$113,ADRYr1!$AJ29,IF(ADRYr1!$AK29=Lookups!$E$113,ADRYr1!$AL29,IF(ADRYr1!$AM29=Lookups!$E$113,ADRYr1!$AN29,0)))))</f>
        <v>0</v>
      </c>
      <c r="AN29" s="45">
        <f t="shared" si="28"/>
        <v>0</v>
      </c>
      <c r="AO29" s="45">
        <f>IF($G29="",0,AM29*ADRYr1!$P29)</f>
        <v>0</v>
      </c>
      <c r="AP29" s="45">
        <f t="shared" si="29"/>
        <v>0</v>
      </c>
      <c r="AQ29" s="45">
        <f>IF($G29="","",$G29*ADRYr1!$Q29*ADRYr1!$U29*(IF(ADRYr1!$AI29=Lookups!$E$115,ADRYr1!$AJ29,IF(ADRYr1!$AK29=Lookups!$E$115,ADRYr1!$AL29,IF(ADRYr1!$AM29=Lookups!$E$115,ADRYr1!$AN29,0)))))</f>
        <v>0</v>
      </c>
      <c r="AR29" s="45">
        <f t="shared" si="30"/>
        <v>0</v>
      </c>
      <c r="AS29" s="45">
        <f>IF($G29="","",AQ29*ADRYr1!$P29)</f>
        <v>0</v>
      </c>
      <c r="AT29" s="45">
        <f t="shared" si="31"/>
        <v>0</v>
      </c>
      <c r="AU29" s="45">
        <f>IF($G29="","",$G29*ADRYr1!$Q29*ADRYr1!$U29*(IF(ADRYr1!$AI29=Lookups!$E$116,ADRYr1!$AJ29,IF(ADRYr1!$AK29=Lookups!$E$116,ADRYr1!$AL29,IF(ADRYr1!$AM29=Lookups!$E$116,ADRYr1!$AN29,0)))))</f>
        <v>0</v>
      </c>
      <c r="AV29" s="45">
        <f t="shared" si="32"/>
        <v>0</v>
      </c>
      <c r="AW29" s="45">
        <f>IF($G29="","",AU29*ADRYr1!$P29)</f>
        <v>0</v>
      </c>
      <c r="AX29" s="45">
        <f t="shared" si="33"/>
        <v>0</v>
      </c>
      <c r="AY29" s="45">
        <f t="shared" si="49"/>
        <v>0</v>
      </c>
      <c r="AZ29" s="45">
        <f t="shared" si="49"/>
        <v>0</v>
      </c>
      <c r="BA29" s="101">
        <f>IF($G29="","",$G29*ADRYr1!$P29*ADRYr1!$Q29*ADRYr1!$U29*ADRYr1!AO29)</f>
        <v>0</v>
      </c>
      <c r="BB29" s="102">
        <f>IF($G29="","",$G29*ADRYr1!$P29*ADRYr1!$Q29*ADRYr1!$U29*ADRYr1!AP29)</f>
        <v>0</v>
      </c>
      <c r="BC29" s="100">
        <f t="shared" si="35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5"/>
        <v>0</v>
      </c>
      <c r="BO29" s="31">
        <f t="shared" si="36"/>
        <v>0</v>
      </c>
      <c r="BP29" s="1129">
        <f t="shared" si="6"/>
        <v>19145.397732842623</v>
      </c>
      <c r="BQ29" s="28">
        <f t="shared" si="7"/>
        <v>0</v>
      </c>
      <c r="BR29" s="1129">
        <f t="shared" si="8"/>
        <v>40888.592805316315</v>
      </c>
      <c r="BS29" s="1129">
        <f t="shared" si="9"/>
        <v>0</v>
      </c>
      <c r="BT29" s="28">
        <f t="shared" si="50"/>
        <v>177305.35793163738</v>
      </c>
      <c r="BU29" s="28">
        <f t="shared" si="50"/>
        <v>0</v>
      </c>
      <c r="BV29" s="28">
        <f t="shared" si="50"/>
        <v>153597.63177943224</v>
      </c>
      <c r="BW29" s="29">
        <f t="shared" si="37"/>
        <v>390936.98024922854</v>
      </c>
      <c r="BX29" s="29">
        <f t="shared" si="38"/>
        <v>390936.98024922854</v>
      </c>
      <c r="BY29" s="28">
        <f>IF($G29="","",$G29*(IF(ADRYr1!$AI29=BY$4,ADRYr1!$AJ29,IF(ADRYr1!$AK29=BY$4,ADRYr1!$AL29,IF(ADRYr1!$AM29=BY$4,ADRYr1!$AN29,0))))*(INDEX(avoidedcosttbl,$H29,BY$2)+(($H29-ROUNDDOWN($H29,0))*(INDEX(avoidedcosttbl,ROUNDUP($H29,0),BY$2)-(INDEX(avoidedcosttbl,ROUNDDOWN($H29,0),BY$2)))))*ADRYr1!P29*ADRYr1!Q29*ADRYr1!U29)</f>
        <v>0</v>
      </c>
      <c r="BZ29" s="28">
        <f>IF($G29="","",$G29*(IF(ADRYr1!$AI29=BZ$4,ADRYr1!$AJ29,IF(ADRYr1!$AK29=BZ$4,ADRYr1!$AL29,IF(ADRYr1!$AM29=BZ$4,ADRYr1!$AN29,0))))*(INDEX(avoidedcosttbl,$H29,BZ$2)+(($H29-ROUNDDOWN($H29,0))*(INDEX(avoidedcosttbl,ROUNDUP($H29,0),BZ$2)-(INDEX(avoidedcosttbl,ROUNDDOWN($H29,0),BZ$2)))))*ADRYr1!P29*ADRYr1!Q29*ADRYr1!U29)</f>
        <v>0</v>
      </c>
      <c r="CA29" s="28">
        <f>IF($G29="","",$G29*(IF(ADRYr1!$AI29=CA$4,ADRYr1!$AJ29,IF(ADRYr1!$AK29=CA$4,ADRYr1!$AL29,IF(ADRYr1!$AM29=CA$4,ADRYr1!$AN29,0))))*(INDEX(avoidedcosttbl,$H29,CA$2)+(($H29-ROUNDDOWN($H29,0))*(INDEX(avoidedcosttbl,ROUNDUP($H29,0),CA$2)-(INDEX(avoidedcosttbl,ROUNDDOWN($H29,0),CA$2)))))*ADRYr1!P29*ADRYr1!Q29*ADRYr1!U29)</f>
        <v>0</v>
      </c>
      <c r="CB29" s="28">
        <f>IF($G29="","",$G29*(IF(ADRYr1!$AI29=CB$4,ADRYr1!$AJ29,IF(ADRYr1!$AK29=CB$4,ADRYr1!$AL29,IF(ADRYr1!$AM29=CB$4,ADRYr1!$AN29,0))))*(INDEX(avoidedcosttbl,$H29,CB$2)+(($H29-ROUNDDOWN($H29,0))*(INDEX(avoidedcosttbl,ROUNDUP($H29,0),CB$2)-(INDEX(avoidedcosttbl,ROUNDDOWN($H29,0),CB$2)))))*ADRYr1!P29*ADRYr1!Q29*ADRYr1!U29)</f>
        <v>0</v>
      </c>
      <c r="CC29" s="28">
        <f>IF($G29="","",$G29*(IF(ADRYr1!$AI29=CC$4,ADRYr1!$AJ29,IF(ADRYr1!$AK29=CC$4,ADRYr1!$AL29,IF(ADRYr1!$AM29=CC$4,ADRYr1!$AN29,0))))*(INDEX(avoidedcosttbl,$H29,CC$2)+(($H29-ROUNDDOWN($H29,0))*(INDEX(avoidedcosttbl,ROUNDUP($H29,0),CC$2)-(INDEX(avoidedcosttbl,ROUNDDOWN($H29,0),CC$2)))))*ADRYr1!P29*ADRYr1!Q29*ADRYr1!U29)</f>
        <v>0</v>
      </c>
      <c r="CD29" s="28">
        <f>IF($G29="","",$G29*(IF(ADRYr1!$AI29=CD$4,ADRYr1!$AJ29,IF(ADRYr1!$AK29=CD$4,ADRYr1!$AL29,IF(ADRYr1!$AM29=CD$4,ADRYr1!$AN29,0))))*(INDEX(avoidedcosttbl,$H29,CD$2)+(($H29-ROUNDDOWN($H29,0))*(INDEX(avoidedcosttbl,ROUNDUP($H29,0),CD$2)-(INDEX(avoidedcosttbl,ROUNDDOWN($H29,0),CD$2)))))*ADRYr1!P29*ADRYr1!Q29*ADRYr1!U29)</f>
        <v>0</v>
      </c>
      <c r="CE29" s="28">
        <f>IF($G29="","",$G29*(IF(ADRYr1!$AI29=CE$4,ADRYr1!$AJ29,IF(ADRYr1!$AK29=CE$4,ADRYr1!$AL29,IF(ADRYr1!$AM29=CE$4,ADRYr1!$AN29,0))))*(INDEX(avoidedcosttbl,$H29,CE$2)+(($H29-ROUNDDOWN($H29,0))*(INDEX(avoidedcosttbl,ROUNDUP($H29,0),CE$2)-(INDEX(avoidedcosttbl,ROUNDDOWN($H29,0),CE$2)))))*ADRYr1!P29*ADRYr1!Q29*ADRYr1!U29)</f>
        <v>0</v>
      </c>
      <c r="CF29" s="41">
        <f t="shared" si="39"/>
        <v>0</v>
      </c>
      <c r="CG29" s="30">
        <f t="shared" si="11"/>
        <v>0</v>
      </c>
      <c r="CH29" s="30">
        <f>IF($G29="","",$G29*(IF(ADRYr1!$AI29=BY$4,ADRYr1!$AJ29,IF(ADRYr1!$AK29=BY$4,ADRYr1!$AL29,IF(ADRYr1!$AM29=BY$4,ADRYr1!$AN29,0))))*(INDEX(avoidedcosttbl,$H29,CH$2)+(($H29-ROUNDDOWN($H29,0))*(INDEX(avoidedcosttbl,ROUNDUP($H29,0),CH$2)-(INDEX(avoidedcosttbl,ROUNDDOWN($H29,0),CH$2)))))*ADRYr1!P29*ADRYr1!Q29*ADRYr1!U29)</f>
        <v>0</v>
      </c>
      <c r="CI29" s="30">
        <f>IF($G29="","",$G29*(IF(ADRYr1!$AI29=BZ$4,ADRYr1!$AJ29,IF(ADRYr1!$AK29=BZ$4,ADRYr1!$AL29,IF(ADRYr1!$AM29=BZ$4,ADRYr1!$AN29,0))))*(INDEX(avoidedcosttbl,$H29,CI$2)+(($H29-ROUNDDOWN($H29,0))*(INDEX(avoidedcosttbl,ROUNDUP($H29,0),CI$2)-(INDEX(avoidedcosttbl,ROUNDDOWN($H29,0),CI$2)))))*ADRYr1!P29*ADRYr1!Q29*ADRYr1!U29)</f>
        <v>0</v>
      </c>
      <c r="CJ29" s="30">
        <f>IF($G29="","",$G29*(IF(ADRYr1!$AI29=CA$4,ADRYr1!$AJ29,IF(ADRYr1!$AK29=CA$4,ADRYr1!$AL29,IF(ADRYr1!$AM29=CA$4,ADRYr1!$AN29,0))))*(INDEX(avoidedcosttbl,$H29,CJ$2)+(($H29-ROUNDDOWN($H29,0))*(INDEX(avoidedcosttbl,ROUNDUP($H29,0),CJ$2)-(INDEX(avoidedcosttbl,ROUNDDOWN($H29,0),CJ$2)))))*ADRYr1!P29*ADRYr1!Q29*ADRYr1!U29)</f>
        <v>0</v>
      </c>
      <c r="CK29" s="30">
        <f>IF($G29="","",$G29*(IF(ADRYr1!$AI29=CB$4,ADRYr1!$AJ29,IF(ADRYr1!$AK29=CB$4,ADRYr1!$AL29,IF(ADRYr1!$AM29=CB$4,ADRYr1!$AN29,0))))*(INDEX(avoidedcosttbl,$H29,CK$2)+(($H29-ROUNDDOWN($H29,0))*(INDEX(avoidedcosttbl,ROUNDUP($H29,0),CK$2)-(INDEX(avoidedcosttbl,ROUNDDOWN($H29,0),CK$2)))))*ADRYr1!P29*ADRYr1!Q29*ADRYr1!U29)</f>
        <v>0</v>
      </c>
      <c r="CL29" s="30">
        <f>IF($G29="","",$G29*(IF(ADRYr1!$AI29=CC$4,ADRYr1!$AJ29,IF(ADRYr1!$AK29=CC$4,ADRYr1!$AL29,IF(ADRYr1!$AM29=CC$4,ADRYr1!$AN29,0))))*(INDEX(avoidedcosttbl,$H29,CL$2)+(($H29-ROUNDDOWN($H29,0))*(INDEX(avoidedcosttbl,ROUNDUP($H29,0),CL$2)-(INDEX(avoidedcosttbl,ROUNDDOWN($H29,0),CL$2)))))*ADRYr1!P29*ADRYr1!Q29*ADRYr1!U29)</f>
        <v>0</v>
      </c>
      <c r="CM29" s="30">
        <f>IF($G29="","",$G29*(IF(ADRYr1!$AI29=CD$4,ADRYr1!$AJ29,IF(ADRYr1!$AK29=CD$4,ADRYr1!$AL29,IF(ADRYr1!$AM29=CD$4,ADRYr1!$AN29,0))))*(INDEX(avoidedcosttbl,$H29,CM$2)+(($H29-ROUNDDOWN($H29,0))*(INDEX(avoidedcosttbl,ROUNDUP($H29,0),CM$2)-(INDEX(avoidedcosttbl,ROUNDDOWN($H29,0),CM$2)))))*ADRYr1!P29*ADRYr1!Q29*ADRYr1!U29)</f>
        <v>0</v>
      </c>
      <c r="CN29" s="30">
        <f>IF($G29="","",$G29*(IF(ADRYr1!$AI29=CE$4,ADRYr1!$AJ29,IF(ADRYr1!$AK29=CE$4,ADRYr1!$AL29,IF(ADRYr1!$AM29=CE$4,ADRYr1!$AN29,0))))*(INDEX(avoidedcosttbl,$H29,CN$2)+(($H29-ROUNDDOWN($H29,0))*(INDEX(avoidedcosttbl,ROUNDUP($H29,0),CN$2)-(INDEX(avoidedcosttbl,ROUNDDOWN($H29,0),CN$2)))))*ADRYr1!P29*ADRYr1!Q29*ADRYr1!U29)</f>
        <v>0</v>
      </c>
      <c r="CO29" s="220">
        <f t="shared" si="40"/>
        <v>0</v>
      </c>
      <c r="CP29" s="220">
        <f t="shared" si="41"/>
        <v>0</v>
      </c>
      <c r="CQ29" s="157">
        <f>IF($G29="","",$G29*(IF(ADRYr1!$AI29=CQ$4,ADRYr1!$AJ29,IF(ADRYr1!$AK29=CQ$4,ADRYr1!$AL29,IF(ADRYr1!$AM29=CQ$4,ADRYr1!$AN29,0))))*(INDEX(avoidedcosttbl,$H29,CQ$2)+(($H29-ROUNDDOWN($H29,0))*(INDEX(avoidedcosttbl,ROUNDUP($H29,0),CQ$2)-(INDEX(avoidedcosttbl,ROUNDDOWN($H29,0),CQ$2)))))*ADRYr1!$P29*ADRYr1!$Q29*ADRYr1!$U29)</f>
        <v>0</v>
      </c>
      <c r="CR29" s="28">
        <f>IF($G29="","",G29*(IF(ADRYr1!$AI29=CR$4,ADRYr1!$AJ29,IF(ADRYr1!$AK29=CR$4,ADRYr1!$AL29,IF(ADRYr1!$AM29=CR$4,ADRYr1!$AN29,0))))*(INDEX(avoidedcosttbl,$H29,CR$2)+(($H29-ROUNDDOWN($H29,0))*(INDEX(avoidedcosttbl,ROUNDUP($H29,0),CR$2)-(INDEX(avoidedcosttbl,ROUNDDOWN($H29,0),CR$2)))))*ADRYr1!$P29*ADRYr1!$Q29*ADRYr1!$U29)</f>
        <v>0</v>
      </c>
      <c r="CS29" s="28">
        <f>IF($G29="","",G29*(IF(ADRYr1!$AI29=CS$4,ADRYr1!$AJ29,IF(ADRYr1!$AK29=CS$4,ADRYr1!$AL29,IF(ADRYr1!$AM29=CS$4,ADRYr1!$AN29,0))))*(INDEX(avoidedcosttbl,$H29,CS$2)+(($H29-ROUNDDOWN($H29,0))*(INDEX(avoidedcosttbl,ROUNDUP($H29,0),CS$2)-(INDEX(avoidedcosttbl,ROUNDDOWN($H29,0),CS$2)))))*ADRYr1!$P29*ADRYr1!$Q29*ADRYr1!$U29)</f>
        <v>0</v>
      </c>
      <c r="CT29" s="28">
        <f t="shared" si="12"/>
        <v>0</v>
      </c>
      <c r="CU29" s="28">
        <f>IF($G29="","",G29*(IF(ADRYr1!$AI29=CU$4,ADRYr1!$AJ29,IF(ADRYr1!$AK29=CU$4,ADRYr1!$AL29,IF(ADRYr1!$AM29=CU$4,ADRYr1!$AN29,0))))*(INDEX(avoidedcosttbl,$H29,CU$2)+(($H29-ROUNDDOWN($H29,0))*(INDEX(avoidedcosttbl,ROUNDUP($H29,0),CU$2)-(INDEX(avoidedcosttbl,ROUNDDOWN($H29,0),CU$2)))))*ADRYr1!$P29*ADRYr1!$Q29*ADRYr1!$U29)</f>
        <v>0</v>
      </c>
      <c r="CV29" s="28">
        <f>IF($G29="","",G29*(IF(ADRYr1!$AI29=CV$4,ADRYr1!$AJ29,IF(ADRYr1!$AK29=CV$4,ADRYr1!$AL29,IF(ADRYr1!$AM29=CV$4,ADRYr1!$AN29,0))))*(INDEX(avoidedcosttbl,$H29,CV$2)+(($H29-ROUNDDOWN($H29,0))*(INDEX(avoidedcosttbl,ROUNDUP($H29,0),CV$2)-(INDEX(avoidedcosttbl,ROUNDDOWN($H29,0),CV$2)))))*ADRYr1!$P29*ADRYr1!$Q29*ADRYr1!$U29)</f>
        <v>0</v>
      </c>
      <c r="CW29" s="28">
        <f>IF($G29="","",G29*(IF(ADRYr1!$AI29=CW$4,ADRYr1!$AJ29,IF(ADRYr1!$AK29=CW$4,ADRYr1!$AL29,IF(ADRYr1!$AM29=CW$4,ADRYr1!$AN29,0))))*(INDEX(avoidedcosttbl,$H29,CW$2)+(($H29-ROUNDDOWN($H29,0))*(INDEX(avoidedcosttbl,ROUNDUP($H29,0),CW$2)-(INDEX(avoidedcosttbl,ROUNDDOWN($H29,0),CW$2)))))*ADRYr1!$P29*ADRYr1!$Q29*ADRYr1!$U29)</f>
        <v>0</v>
      </c>
      <c r="CX29" s="28">
        <f>IF($G29="","",G29*(IF(ADRYr1!$AI29=CX$4,ADRYr1!$AJ29,IF(ADRYr1!$AK29=CX$4,ADRYr1!$AL29,IF(ADRYr1!$AM29=CX$4,ADRYr1!$AN29,0))))*(INDEX(avoidedcosttbl,$H29,CX$2)+(($H29-ROUNDDOWN($H29,0))*(INDEX(avoidedcosttbl,ROUNDUP($H29,0),CX$2)-(INDEX(avoidedcosttbl,ROUNDDOWN($H29,0),CX$2)))))*ADRYr1!$P29*ADRYr1!$Q29*ADRYr1!$U29)</f>
        <v>0</v>
      </c>
      <c r="CY29" s="28">
        <f t="shared" si="13"/>
        <v>0</v>
      </c>
      <c r="CZ29" s="32">
        <f t="shared" si="14"/>
        <v>0</v>
      </c>
      <c r="DA29" s="84">
        <f t="shared" si="42"/>
        <v>0</v>
      </c>
      <c r="DB29" s="81">
        <f>IF(NEIadder="Yes",IF($G29="","",INDEX(Lookups!$G$68:$G$70,MATCH($A29,Lookups!$E$68:$E$70,0))*(SUM(CP29:CX29,BX29))),"")</f>
        <v>39093.698024922858</v>
      </c>
      <c r="DC29" s="263" t="str">
        <f t="shared" si="15"/>
        <v/>
      </c>
      <c r="DD29" s="166">
        <f t="shared" si="16"/>
        <v>0</v>
      </c>
      <c r="DE29" s="82">
        <f t="shared" si="43"/>
        <v>39093.698024922858</v>
      </c>
      <c r="DF29" s="760">
        <f>IF($G29="","",(1+WntPeakEnergyLL)*(INDEX(avoidedcosttbl,$H29,DF$2)+(($H29-ROUNDDOWN($H29,0))*(INDEX(avoidedcosttbl,ROUNDUP($H29,0),DF$2)-(INDEX(avoidedcosttbl,ROUNDDOWN($H29,0),DF$2)))))*$P29*1000*ADRYr1!Z29)</f>
        <v>0</v>
      </c>
      <c r="DG29" s="760">
        <f>IF($G29="","",(1+WntOffPeakEnergyLL)*(INDEX(avoidedcosttbl,$H29,DG$2)+(($H29-ROUNDDOWN($H29,0))*(INDEX(avoidedcosttbl,ROUNDUP($H29,0),DG$2)-(INDEX(avoidedcosttbl,ROUNDDOWN($H29,0),DG$2)))))*$P29*1000*ADRYr1!AA29)</f>
        <v>0</v>
      </c>
      <c r="DH29" s="760">
        <f>IF($G29="","",(1+SumPeakEnergyLL)*(INDEX(avoidedcosttbl,$H29,DH$2)+(($H29-ROUNDDOWN($H29,0))*(INDEX(avoidedcosttbl,ROUNDUP($H29,0),DH$2)-(INDEX(avoidedcosttbl,ROUNDDOWN($H29,0),DH$2)))))*$P29*1000*ADRYr1!AB29)</f>
        <v>0</v>
      </c>
      <c r="DI29" s="760">
        <f>IF($G29="","",(1+SumOffPeakEnergyLL)*(INDEX(avoidedcosttbl,$H29,DI$2)+(($H29-ROUNDDOWN($H29,0))*(INDEX(avoidedcosttbl,ROUNDUP($H29,0),DI$2)-(INDEX(avoidedcosttbl,ROUNDDOWN($H29,0),DI$2)))))*$P29*1000*ADRYr1!AC29)</f>
        <v>0</v>
      </c>
      <c r="DJ29" s="29">
        <f t="shared" si="44"/>
        <v>0</v>
      </c>
      <c r="DK29" s="161">
        <f t="shared" si="45"/>
        <v>430030.6782741514</v>
      </c>
      <c r="DL29" s="1375">
        <f t="shared" si="46"/>
        <v>390936.98024922854</v>
      </c>
      <c r="DM29" s="1375">
        <f t="shared" si="47"/>
        <v>390936.98024922854</v>
      </c>
      <c r="DN29" s="43">
        <f t="shared" si="48"/>
        <v>430030.6782741514</v>
      </c>
      <c r="DO29" s="1131" t="str">
        <f>IF($G29="","",ADRYr1!AQ29)</f>
        <v>Top 20 All Hours</v>
      </c>
      <c r="DP29" s="1133" t="str">
        <f>IF($G29="","",ADRYr1!AR29)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17"/>
        <v>2021-Top 20 All Hours-1</v>
      </c>
      <c r="DU29" s="1135" t="str">
        <f>IF($G29="","",ADRYr1!AS29)</f>
        <v>No</v>
      </c>
      <c r="DV29" s="1136">
        <f>IF($G29="","",ADRYr1!AT29)</f>
        <v>0.1</v>
      </c>
      <c r="DW29" s="1344">
        <f>IF($G29="","",INDEX(AvoidedEnergy!$H$4:$H$10,MATCH($DO29,AvoidedEnergy!$A$4:$A$10,0)))</f>
        <v>0.08</v>
      </c>
    </row>
    <row r="30" spans="1:127">
      <c r="A30" s="160" t="str">
        <f>IF(ADRYr1!$B30=0,"",ADRYr1!A30)</f>
        <v>C - Commercial &amp; Industrial</v>
      </c>
      <c r="B30" s="9" t="str">
        <f>IF(ADRYr1!$B30=0,"",ADRYr1!B30)</f>
        <v>C5 - C&amp;I Active Demand Response</v>
      </c>
      <c r="C30" s="9" t="str">
        <f>IF(ADRYr1!$B30=0,"",ADRYr1!C30)</f>
        <v>C5a - C&amp;I Active Demand Response</v>
      </c>
      <c r="D30" s="9" t="str">
        <f>IF(ADRYr1!$B30=0,"",ADRYr1!D30)</f>
        <v>Load Curtailment Targeted Dispatch P4P Winter</v>
      </c>
      <c r="E30" s="9">
        <f>IF(ADRYr1!$B30=0,"",ADRYr1!E30)</f>
        <v>0</v>
      </c>
      <c r="F30" s="11" t="str">
        <f>IF(ADRYr1!$B30=0,"",ADRYr1!F30)</f>
        <v>Behavior</v>
      </c>
      <c r="G30" s="12" t="str">
        <f>IF(ADRYr1!$G30&lt;&gt;0,ADRYr1!G30,"")</f>
        <v/>
      </c>
      <c r="H30" s="1125" t="str">
        <f>IF($G30="","",ROUND(ADRYr1!H30,0))</f>
        <v/>
      </c>
      <c r="I30" s="47" t="str">
        <f>IF($G30="","",ADRYr1!I30*ADRYr1!P30*G30)</f>
        <v/>
      </c>
      <c r="J30" s="47" t="str">
        <f>IF($G30="","",ADRYr1!J30*G30)</f>
        <v/>
      </c>
      <c r="K30" s="47" t="str">
        <f t="shared" si="18"/>
        <v/>
      </c>
      <c r="L30" s="27" t="str">
        <f>IF($G30="","",ADRYr1!V30*G30/1000)</f>
        <v/>
      </c>
      <c r="M30" s="27" t="str">
        <f>IF($G30="","",L30*ADRYr1!$Q30*ADRYr1!$R30)</f>
        <v/>
      </c>
      <c r="N30" s="27" t="str">
        <f t="shared" si="19"/>
        <v/>
      </c>
      <c r="O30" s="27" t="str">
        <f t="shared" si="20"/>
        <v/>
      </c>
      <c r="P30" s="27" t="str">
        <f>IF($G30="","",M30*ADRYr1!P30)</f>
        <v/>
      </c>
      <c r="Q30" s="27" t="str">
        <f t="shared" si="21"/>
        <v/>
      </c>
      <c r="R30" s="27" t="str">
        <f>IF($G30="","",$Q30*ADRYr1!Z30)</f>
        <v/>
      </c>
      <c r="S30" s="27" t="str">
        <f>IF($G30="","",$Q30*ADRYr1!AA30)</f>
        <v/>
      </c>
      <c r="T30" s="27" t="str">
        <f>IF($G30="","",$Q30*ADRYr1!AB30)</f>
        <v/>
      </c>
      <c r="U30" s="27" t="str">
        <f>IF($G30="","",$Q30*ADRYr1!AC30)</f>
        <v/>
      </c>
      <c r="V30" s="27" t="str">
        <f>IF($G30="","",G30*ADRYr1!$AD30*ADRYr1!$P30*ADRYr1!$Q30)</f>
        <v/>
      </c>
      <c r="W30" s="27" t="str">
        <f>IF($G30="","",$G30*ADRYr1!$AD30*ADRYr1!$AF30*ADRYr1!Q30*ADRYr1!$S30)</f>
        <v/>
      </c>
      <c r="X30" s="27" t="str">
        <f>IF($G30="","",$G30*ADRYr1!$AD30*ADRYr1!$AF30*ADRYr1!P30*ADRYr1!Q30*ADRYr1!$S30)</f>
        <v/>
      </c>
      <c r="Y30" s="27" t="str">
        <f>IF($G30="","",$G30*ADRYr1!$AD30*ADRYr1!$AE30*ADRYr1!Q30*ADRYr1!$T30)</f>
        <v/>
      </c>
      <c r="Z30" s="27" t="str">
        <f>IF($G30="","",$G30*ADRYr1!$AD30*ADRYr1!$AE30*ADRYr1!P30*ADRYr1!Q30*ADRYr1!$T30)</f>
        <v/>
      </c>
      <c r="AA30" s="45" t="str">
        <f>IF($G30="","",$G30*ADRYr1!$Q30*ADRYr1!$U30*(IF(IFERROR(SEARCH("NG", ADRYr1!$AI30),0),ADRYr1!$AJ30,0)+IF(IFERROR(SEARCH("NG", ADRYr1!$AK30),0),ADRYr1!$AL30,0)+IF(IFERROR(SEARCH("NG", ADRYr1!$AM30),0),ADRYr1!$AN30,0)))</f>
        <v/>
      </c>
      <c r="AB30" s="45" t="str">
        <f t="shared" si="22"/>
        <v/>
      </c>
      <c r="AC30" s="45">
        <f>IF($G30="",0,AA30*ADRYr1!$P30)</f>
        <v>0</v>
      </c>
      <c r="AD30" s="45" t="str">
        <f t="shared" si="23"/>
        <v/>
      </c>
      <c r="AE30" s="45" t="str">
        <f>IF($G30="","",$G30*ADRYr1!$Q30*ADRYr1!$U30*(IF(IFERROR(SEARCH("Oil", ADRYr1!$AI30), 0),ADRYr1!$AJ30,0)+IF(IFERROR(SEARCH("Oil", ADRYr1!$AK30), 0),ADRYr1!$AL30,0)+IF(IFERROR(SEARCH("Oil", ADRYr1!$AM30), 0),ADRYr1!$AN30,0)))</f>
        <v/>
      </c>
      <c r="AF30" s="45" t="str">
        <f t="shared" si="24"/>
        <v/>
      </c>
      <c r="AG30" s="45">
        <f>IF($G30="",0,AE30*ADRYr1!$P30)</f>
        <v>0</v>
      </c>
      <c r="AH30" s="45" t="str">
        <f t="shared" si="25"/>
        <v/>
      </c>
      <c r="AI30" s="45" t="str">
        <f>IF($G30="","",$G30*ADRYr1!$Q30*ADRYr1!$U30*(IF(ADRYr1!$AI30=Lookups!$E$114,ADRYr1!$AJ30,IF(ADRYr1!$AK30=Lookups!$E$114,ADRYr1!$AL30,IF(ADRYr1!$AM30=Lookups!$E$114,ADRYr1!$AN30,0)))))</f>
        <v/>
      </c>
      <c r="AJ30" s="45" t="str">
        <f t="shared" si="26"/>
        <v/>
      </c>
      <c r="AK30" s="45">
        <f>IF($G30="",0,AI30*ADRYr1!$P30)</f>
        <v>0</v>
      </c>
      <c r="AL30" s="45" t="str">
        <f t="shared" si="27"/>
        <v/>
      </c>
      <c r="AM30" s="45" t="str">
        <f>IF($G30="","",$G30*ADRYr1!$Q30*ADRYr1!$U30*(IF(ADRYr1!$AI30=Lookups!$E$113,ADRYr1!$AJ30,IF(ADRYr1!$AK30=Lookups!$E$113,ADRYr1!$AL30,IF(ADRYr1!$AM30=Lookups!$E$113,ADRYr1!$AN30,0)))))</f>
        <v/>
      </c>
      <c r="AN30" s="45" t="str">
        <f t="shared" si="28"/>
        <v/>
      </c>
      <c r="AO30" s="45">
        <f>IF($G30="",0,AM30*ADRYr1!$P30)</f>
        <v>0</v>
      </c>
      <c r="AP30" s="45" t="str">
        <f t="shared" si="29"/>
        <v/>
      </c>
      <c r="AQ30" s="45" t="str">
        <f>IF($G30="","",$G30*ADRYr1!$Q30*ADRYr1!$U30*(IF(ADRYr1!$AI30=Lookups!$E$115,ADRYr1!$AJ30,IF(ADRYr1!$AK30=Lookups!$E$115,ADRYr1!$AL30,IF(ADRYr1!$AM30=Lookups!$E$115,ADRYr1!$AN30,0)))))</f>
        <v/>
      </c>
      <c r="AR30" s="45" t="str">
        <f t="shared" si="30"/>
        <v/>
      </c>
      <c r="AS30" s="45" t="str">
        <f>IF($G30="","",AQ30*ADRYr1!$P30)</f>
        <v/>
      </c>
      <c r="AT30" s="45" t="str">
        <f t="shared" si="31"/>
        <v/>
      </c>
      <c r="AU30" s="45" t="str">
        <f>IF($G30="","",$G30*ADRYr1!$Q30*ADRYr1!$U30*(IF(ADRYr1!$AI30=Lookups!$E$116,ADRYr1!$AJ30,IF(ADRYr1!$AK30=Lookups!$E$116,ADRYr1!$AL30,IF(ADRYr1!$AM30=Lookups!$E$116,ADRYr1!$AN30,0)))))</f>
        <v/>
      </c>
      <c r="AV30" s="45" t="str">
        <f t="shared" si="32"/>
        <v/>
      </c>
      <c r="AW30" s="45" t="str">
        <f>IF($G30="","",AU30*ADRYr1!$P30)</f>
        <v/>
      </c>
      <c r="AX30" s="45" t="str">
        <f t="shared" si="33"/>
        <v/>
      </c>
      <c r="AY30" s="45">
        <f t="shared" si="49"/>
        <v>0</v>
      </c>
      <c r="AZ30" s="45">
        <f t="shared" si="49"/>
        <v>0</v>
      </c>
      <c r="BA30" s="101" t="str">
        <f>IF($G30="","",$G30*ADRYr1!$P30*ADRYr1!$Q30*ADRYr1!$U30*ADRYr1!AO30)</f>
        <v/>
      </c>
      <c r="BB30" s="102" t="str">
        <f>IF($G30="","",$G30*ADRYr1!$P30*ADRYr1!$Q30*ADRYr1!$U30*ADRYr1!AP30)</f>
        <v/>
      </c>
      <c r="BC30" s="100" t="str">
        <f t="shared" si="35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5"/>
        <v/>
      </c>
      <c r="BO30" s="31" t="str">
        <f t="shared" si="36"/>
        <v/>
      </c>
      <c r="BP30" s="1129" t="str">
        <f t="shared" si="6"/>
        <v/>
      </c>
      <c r="BQ30" s="28" t="str">
        <f t="shared" si="7"/>
        <v/>
      </c>
      <c r="BR30" s="1129" t="str">
        <f t="shared" si="8"/>
        <v/>
      </c>
      <c r="BS30" s="1129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7"/>
        <v/>
      </c>
      <c r="BX30" s="29" t="str">
        <f t="shared" si="38"/>
        <v/>
      </c>
      <c r="BY30" s="28" t="str">
        <f>IF($G30="","",$G30*(IF(ADRYr1!$AI30=BY$4,ADRYr1!$AJ30,IF(ADRYr1!$AK30=BY$4,ADRYr1!$AL30,IF(ADRYr1!$AM30=BY$4,ADRYr1!$AN30,0))))*(INDEX(avoidedcosttbl,$H30,BY$2)+(($H30-ROUNDDOWN($H30,0))*(INDEX(avoidedcosttbl,ROUNDUP($H30,0),BY$2)-(INDEX(avoidedcosttbl,ROUNDDOWN($H30,0),BY$2)))))*ADRYr1!P30*ADRYr1!Q30*ADRYr1!U30)</f>
        <v/>
      </c>
      <c r="BZ30" s="28" t="str">
        <f>IF($G30="","",$G30*(IF(ADRYr1!$AI30=BZ$4,ADRYr1!$AJ30,IF(ADRYr1!$AK30=BZ$4,ADRYr1!$AL30,IF(ADRYr1!$AM30=BZ$4,ADRYr1!$AN30,0))))*(INDEX(avoidedcosttbl,$H30,BZ$2)+(($H30-ROUNDDOWN($H30,0))*(INDEX(avoidedcosttbl,ROUNDUP($H30,0),BZ$2)-(INDEX(avoidedcosttbl,ROUNDDOWN($H30,0),BZ$2)))))*ADRYr1!P30*ADRYr1!Q30*ADRYr1!U30)</f>
        <v/>
      </c>
      <c r="CA30" s="28" t="str">
        <f>IF($G30="","",$G30*(IF(ADRYr1!$AI30=CA$4,ADRYr1!$AJ30,IF(ADRYr1!$AK30=CA$4,ADRYr1!$AL30,IF(ADRYr1!$AM30=CA$4,ADRYr1!$AN30,0))))*(INDEX(avoidedcosttbl,$H30,CA$2)+(($H30-ROUNDDOWN($H30,0))*(INDEX(avoidedcosttbl,ROUNDUP($H30,0),CA$2)-(INDEX(avoidedcosttbl,ROUNDDOWN($H30,0),CA$2)))))*ADRYr1!P30*ADRYr1!Q30*ADRYr1!U30)</f>
        <v/>
      </c>
      <c r="CB30" s="28" t="str">
        <f>IF($G30="","",$G30*(IF(ADRYr1!$AI30=CB$4,ADRYr1!$AJ30,IF(ADRYr1!$AK30=CB$4,ADRYr1!$AL30,IF(ADRYr1!$AM30=CB$4,ADRYr1!$AN30,0))))*(INDEX(avoidedcosttbl,$H30,CB$2)+(($H30-ROUNDDOWN($H30,0))*(INDEX(avoidedcosttbl,ROUNDUP($H30,0),CB$2)-(INDEX(avoidedcosttbl,ROUNDDOWN($H30,0),CB$2)))))*ADRYr1!P30*ADRYr1!Q30*ADRYr1!U30)</f>
        <v/>
      </c>
      <c r="CC30" s="28" t="str">
        <f>IF($G30="","",$G30*(IF(ADRYr1!$AI30=CC$4,ADRYr1!$AJ30,IF(ADRYr1!$AK30=CC$4,ADRYr1!$AL30,IF(ADRYr1!$AM30=CC$4,ADRYr1!$AN30,0))))*(INDEX(avoidedcosttbl,$H30,CC$2)+(($H30-ROUNDDOWN($H30,0))*(INDEX(avoidedcosttbl,ROUNDUP($H30,0),CC$2)-(INDEX(avoidedcosttbl,ROUNDDOWN($H30,0),CC$2)))))*ADRYr1!P30*ADRYr1!Q30*ADRYr1!U30)</f>
        <v/>
      </c>
      <c r="CD30" s="28" t="str">
        <f>IF($G30="","",$G30*(IF(ADRYr1!$AI30=CD$4,ADRYr1!$AJ30,IF(ADRYr1!$AK30=CD$4,ADRYr1!$AL30,IF(ADRYr1!$AM30=CD$4,ADRYr1!$AN30,0))))*(INDEX(avoidedcosttbl,$H30,CD$2)+(($H30-ROUNDDOWN($H30,0))*(INDEX(avoidedcosttbl,ROUNDUP($H30,0),CD$2)-(INDEX(avoidedcosttbl,ROUNDDOWN($H30,0),CD$2)))))*ADRYr1!P30*ADRYr1!Q30*ADRYr1!U30)</f>
        <v/>
      </c>
      <c r="CE30" s="28" t="str">
        <f>IF($G30="","",$G30*(IF(ADRYr1!$AI30=CE$4,ADRYr1!$AJ30,IF(ADRYr1!$AK30=CE$4,ADRYr1!$AL30,IF(ADRYr1!$AM30=CE$4,ADRYr1!$AN30,0))))*(INDEX(avoidedcosttbl,$H30,CE$2)+(($H30-ROUNDDOWN($H30,0))*(INDEX(avoidedcosttbl,ROUNDUP($H30,0),CE$2)-(INDEX(avoidedcosttbl,ROUNDDOWN($H30,0),CE$2)))))*ADRYr1!P30*ADRYr1!Q30*ADRYr1!U30)</f>
        <v/>
      </c>
      <c r="CF30" s="41" t="str">
        <f t="shared" si="39"/>
        <v/>
      </c>
      <c r="CG30" s="30" t="str">
        <f t="shared" si="11"/>
        <v/>
      </c>
      <c r="CH30" s="30" t="str">
        <f>IF($G30="","",$G30*(IF(ADRYr1!$AI30=BY$4,ADRYr1!$AJ30,IF(ADRYr1!$AK30=BY$4,ADRYr1!$AL30,IF(ADRYr1!$AM30=BY$4,ADRYr1!$AN30,0))))*(INDEX(avoidedcosttbl,$H30,CH$2)+(($H30-ROUNDDOWN($H30,0))*(INDEX(avoidedcosttbl,ROUNDUP($H30,0),CH$2)-(INDEX(avoidedcosttbl,ROUNDDOWN($H30,0),CH$2)))))*ADRYr1!P30*ADRYr1!Q30*ADRYr1!U30)</f>
        <v/>
      </c>
      <c r="CI30" s="30" t="str">
        <f>IF($G30="","",$G30*(IF(ADRYr1!$AI30=BZ$4,ADRYr1!$AJ30,IF(ADRYr1!$AK30=BZ$4,ADRYr1!$AL30,IF(ADRYr1!$AM30=BZ$4,ADRYr1!$AN30,0))))*(INDEX(avoidedcosttbl,$H30,CI$2)+(($H30-ROUNDDOWN($H30,0))*(INDEX(avoidedcosttbl,ROUNDUP($H30,0),CI$2)-(INDEX(avoidedcosttbl,ROUNDDOWN($H30,0),CI$2)))))*ADRYr1!P30*ADRYr1!Q30*ADRYr1!U30)</f>
        <v/>
      </c>
      <c r="CJ30" s="30" t="str">
        <f>IF($G30="","",$G30*(IF(ADRYr1!$AI30=CA$4,ADRYr1!$AJ30,IF(ADRYr1!$AK30=CA$4,ADRYr1!$AL30,IF(ADRYr1!$AM30=CA$4,ADRYr1!$AN30,0))))*(INDEX(avoidedcosttbl,$H30,CJ$2)+(($H30-ROUNDDOWN($H30,0))*(INDEX(avoidedcosttbl,ROUNDUP($H30,0),CJ$2)-(INDEX(avoidedcosttbl,ROUNDDOWN($H30,0),CJ$2)))))*ADRYr1!P30*ADRYr1!Q30*ADRYr1!U30)</f>
        <v/>
      </c>
      <c r="CK30" s="30" t="str">
        <f>IF($G30="","",$G30*(IF(ADRYr1!$AI30=CB$4,ADRYr1!$AJ30,IF(ADRYr1!$AK30=CB$4,ADRYr1!$AL30,IF(ADRYr1!$AM30=CB$4,ADRYr1!$AN30,0))))*(INDEX(avoidedcosttbl,$H30,CK$2)+(($H30-ROUNDDOWN($H30,0))*(INDEX(avoidedcosttbl,ROUNDUP($H30,0),CK$2)-(INDEX(avoidedcosttbl,ROUNDDOWN($H30,0),CK$2)))))*ADRYr1!P30*ADRYr1!Q30*ADRYr1!U30)</f>
        <v/>
      </c>
      <c r="CL30" s="30" t="str">
        <f>IF($G30="","",$G30*(IF(ADRYr1!$AI30=CC$4,ADRYr1!$AJ30,IF(ADRYr1!$AK30=CC$4,ADRYr1!$AL30,IF(ADRYr1!$AM30=CC$4,ADRYr1!$AN30,0))))*(INDEX(avoidedcosttbl,$H30,CL$2)+(($H30-ROUNDDOWN($H30,0))*(INDEX(avoidedcosttbl,ROUNDUP($H30,0),CL$2)-(INDEX(avoidedcosttbl,ROUNDDOWN($H30,0),CL$2)))))*ADRYr1!P30*ADRYr1!Q30*ADRYr1!U30)</f>
        <v/>
      </c>
      <c r="CM30" s="30" t="str">
        <f>IF($G30="","",$G30*(IF(ADRYr1!$AI30=CD$4,ADRYr1!$AJ30,IF(ADRYr1!$AK30=CD$4,ADRYr1!$AL30,IF(ADRYr1!$AM30=CD$4,ADRYr1!$AN30,0))))*(INDEX(avoidedcosttbl,$H30,CM$2)+(($H30-ROUNDDOWN($H30,0))*(INDEX(avoidedcosttbl,ROUNDUP($H30,0),CM$2)-(INDEX(avoidedcosttbl,ROUNDDOWN($H30,0),CM$2)))))*ADRYr1!P30*ADRYr1!Q30*ADRYr1!U30)</f>
        <v/>
      </c>
      <c r="CN30" s="30" t="str">
        <f>IF($G30="","",$G30*(IF(ADRYr1!$AI30=CE$4,ADRYr1!$AJ30,IF(ADRYr1!$AK30=CE$4,ADRYr1!$AL30,IF(ADRYr1!$AM30=CE$4,ADRYr1!$AN30,0))))*(INDEX(avoidedcosttbl,$H30,CN$2)+(($H30-ROUNDDOWN($H30,0))*(INDEX(avoidedcosttbl,ROUNDUP($H30,0),CN$2)-(INDEX(avoidedcosttbl,ROUNDDOWN($H30,0),CN$2)))))*ADRYr1!P30*ADRYr1!Q30*ADRYr1!U30)</f>
        <v/>
      </c>
      <c r="CO30" s="220" t="str">
        <f t="shared" si="40"/>
        <v/>
      </c>
      <c r="CP30" s="220" t="str">
        <f t="shared" si="41"/>
        <v/>
      </c>
      <c r="CQ30" s="157" t="str">
        <f>IF($G30="","",$G30*(IF(ADRYr1!$AI30=CQ$4,ADRYr1!$AJ30,IF(ADRYr1!$AK30=CQ$4,ADRYr1!$AL30,IF(ADRYr1!$AM30=CQ$4,ADRYr1!$AN30,0))))*(INDEX(avoidedcosttbl,$H30,CQ$2)+(($H30-ROUNDDOWN($H30,0))*(INDEX(avoidedcosttbl,ROUNDUP($H30,0),CQ$2)-(INDEX(avoidedcosttbl,ROUNDDOWN($H30,0),CQ$2)))))*ADRYr1!$P30*ADRYr1!$Q30*ADRYr1!$U30)</f>
        <v/>
      </c>
      <c r="CR30" s="28" t="str">
        <f>IF($G30="","",G30*(IF(ADRYr1!$AI30=CR$4,ADRYr1!$AJ30,IF(ADRYr1!$AK30=CR$4,ADRYr1!$AL30,IF(ADRYr1!$AM30=CR$4,ADRYr1!$AN30,0))))*(INDEX(avoidedcosttbl,$H30,CR$2)+(($H30-ROUNDDOWN($H30,0))*(INDEX(avoidedcosttbl,ROUNDUP($H30,0),CR$2)-(INDEX(avoidedcosttbl,ROUNDDOWN($H30,0),CR$2)))))*ADRYr1!$P30*ADRYr1!$Q30*ADRYr1!$U30)</f>
        <v/>
      </c>
      <c r="CS30" s="28" t="str">
        <f>IF($G30="","",G30*(IF(ADRYr1!$AI30=CS$4,ADRYr1!$AJ30,IF(ADRYr1!$AK30=CS$4,ADRYr1!$AL30,IF(ADRYr1!$AM30=CS$4,ADRYr1!$AN30,0))))*(INDEX(avoidedcosttbl,$H30,CS$2)+(($H30-ROUNDDOWN($H30,0))*(INDEX(avoidedcosttbl,ROUNDUP($H30,0),CS$2)-(INDEX(avoidedcosttbl,ROUNDDOWN($H30,0),CS$2)))))*ADRYr1!$P30*ADRYr1!$Q30*ADRYr1!$U30)</f>
        <v/>
      </c>
      <c r="CT30" s="28" t="str">
        <f t="shared" si="12"/>
        <v/>
      </c>
      <c r="CU30" s="28" t="str">
        <f>IF($G30="","",G30*(IF(ADRYr1!$AI30=CU$4,ADRYr1!$AJ30,IF(ADRYr1!$AK30=CU$4,ADRYr1!$AL30,IF(ADRYr1!$AM30=CU$4,ADRYr1!$AN30,0))))*(INDEX(avoidedcosttbl,$H30,CU$2)+(($H30-ROUNDDOWN($H30,0))*(INDEX(avoidedcosttbl,ROUNDUP($H30,0),CU$2)-(INDEX(avoidedcosttbl,ROUNDDOWN($H30,0),CU$2)))))*ADRYr1!$P30*ADRYr1!$Q30*ADRYr1!$U30)</f>
        <v/>
      </c>
      <c r="CV30" s="28" t="str">
        <f>IF($G30="","",G30*(IF(ADRYr1!$AI30=CV$4,ADRYr1!$AJ30,IF(ADRYr1!$AK30=CV$4,ADRYr1!$AL30,IF(ADRYr1!$AM30=CV$4,ADRYr1!$AN30,0))))*(INDEX(avoidedcosttbl,$H30,CV$2)+(($H30-ROUNDDOWN($H30,0))*(INDEX(avoidedcosttbl,ROUNDUP($H30,0),CV$2)-(INDEX(avoidedcosttbl,ROUNDDOWN($H30,0),CV$2)))))*ADRYr1!$P30*ADRYr1!$Q30*ADRYr1!$U30)</f>
        <v/>
      </c>
      <c r="CW30" s="28" t="str">
        <f>IF($G30="","",G30*(IF(ADRYr1!$AI30=CW$4,ADRYr1!$AJ30,IF(ADRYr1!$AK30=CW$4,ADRYr1!$AL30,IF(ADRYr1!$AM30=CW$4,ADRYr1!$AN30,0))))*(INDEX(avoidedcosttbl,$H30,CW$2)+(($H30-ROUNDDOWN($H30,0))*(INDEX(avoidedcosttbl,ROUNDUP($H30,0),CW$2)-(INDEX(avoidedcosttbl,ROUNDDOWN($H30,0),CW$2)))))*ADRYr1!$P30*ADRYr1!$Q30*ADRYr1!$U30)</f>
        <v/>
      </c>
      <c r="CX30" s="28" t="str">
        <f>IF($G30="","",G30*(IF(ADRYr1!$AI30=CX$4,ADRYr1!$AJ30,IF(ADRYr1!$AK30=CX$4,ADRYr1!$AL30,IF(ADRYr1!$AM30=CX$4,ADRYr1!$AN30,0))))*(INDEX(avoidedcosttbl,$H30,CX$2)+(($H30-ROUNDDOWN($H30,0))*(INDEX(avoidedcosttbl,ROUNDUP($H30,0),CX$2)-(INDEX(avoidedcosttbl,ROUNDDOWN($H30,0),CX$2)))))*ADRYr1!$P30*ADRYr1!$Q30*ADRYr1!$U30)</f>
        <v/>
      </c>
      <c r="CY30" s="28" t="str">
        <f t="shared" si="13"/>
        <v/>
      </c>
      <c r="CZ30" s="32" t="str">
        <f t="shared" si="14"/>
        <v/>
      </c>
      <c r="DA30" s="84" t="str">
        <f t="shared" si="42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15"/>
        <v/>
      </c>
      <c r="DD30" s="166" t="str">
        <f t="shared" si="16"/>
        <v/>
      </c>
      <c r="DE30" s="82">
        <f t="shared" si="43"/>
        <v>0</v>
      </c>
      <c r="DF30" s="760" t="str">
        <f>IF($G30="","",(1+WntPeakEnergyLL)*(INDEX(avoidedcosttbl,$H30,DF$2)+(($H30-ROUNDDOWN($H30,0))*(INDEX(avoidedcosttbl,ROUNDUP($H30,0),DF$2)-(INDEX(avoidedcosttbl,ROUNDDOWN($H30,0),DF$2)))))*$P30*1000*ADRYr1!Z30)</f>
        <v/>
      </c>
      <c r="DG30" s="760" t="str">
        <f>IF($G30="","",(1+WntOffPeakEnergyLL)*(INDEX(avoidedcosttbl,$H30,DG$2)+(($H30-ROUNDDOWN($H30,0))*(INDEX(avoidedcosttbl,ROUNDUP($H30,0),DG$2)-(INDEX(avoidedcosttbl,ROUNDDOWN($H30,0),DG$2)))))*$P30*1000*ADRYr1!AA30)</f>
        <v/>
      </c>
      <c r="DH30" s="760" t="str">
        <f>IF($G30="","",(1+SumPeakEnergyLL)*(INDEX(avoidedcosttbl,$H30,DH$2)+(($H30-ROUNDDOWN($H30,0))*(INDEX(avoidedcosttbl,ROUNDUP($H30,0),DH$2)-(INDEX(avoidedcosttbl,ROUNDDOWN($H30,0),DH$2)))))*$P30*1000*ADRYr1!AB30)</f>
        <v/>
      </c>
      <c r="DI30" s="760" t="str">
        <f>IF($G30="","",(1+SumOffPeakEnergyLL)*(INDEX(avoidedcosttbl,$H30,DI$2)+(($H30-ROUNDDOWN($H30,0))*(INDEX(avoidedcosttbl,ROUNDUP($H30,0),DI$2)-(INDEX(avoidedcosttbl,ROUNDDOWN($H30,0),DI$2)))))*$P30*1000*ADRYr1!AC30)</f>
        <v/>
      </c>
      <c r="DJ30" s="29" t="str">
        <f t="shared" si="44"/>
        <v/>
      </c>
      <c r="DK30" s="161" t="str">
        <f t="shared" si="45"/>
        <v/>
      </c>
      <c r="DL30" s="1375" t="str">
        <f t="shared" si="46"/>
        <v/>
      </c>
      <c r="DM30" s="1375" t="str">
        <f t="shared" si="47"/>
        <v/>
      </c>
      <c r="DN30" s="43" t="str">
        <f t="shared" si="48"/>
        <v/>
      </c>
      <c r="DO30" s="1131" t="str">
        <f>IF($G30="","",ADRYr1!AQ30)</f>
        <v/>
      </c>
      <c r="DP30" s="1133" t="str">
        <f>IF($G30="","",ADRYr1!AR30)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17"/>
        <v/>
      </c>
      <c r="DU30" s="1135" t="str">
        <f>IF($G30="","",ADRYr1!AS30)</f>
        <v/>
      </c>
      <c r="DV30" s="1136" t="str">
        <f>IF($G30="","",ADRYr1!AT30)</f>
        <v/>
      </c>
      <c r="DW30" s="1344" t="str">
        <f>IF($G30="","",INDEX(AvoidedEnergy!$H$4:$H$10,MATCH($DO30,AvoidedEnergy!$A$4:$A$10,0)))</f>
        <v/>
      </c>
    </row>
    <row r="31" spans="1:127">
      <c r="A31" s="160" t="str">
        <f>IF(ADRYr1!$B31=0,"",ADRYr1!A31)</f>
        <v>C - Commercial &amp; Industrial</v>
      </c>
      <c r="B31" s="9" t="str">
        <f>IF(ADRYr1!$B31=0,"",ADRYr1!B31)</f>
        <v>C5 - C&amp;I Active Demand Response</v>
      </c>
      <c r="C31" s="9" t="str">
        <f>IF(ADRYr1!$B31=0,"",ADRYr1!C31)</f>
        <v>C5a - C&amp;I Active Demand Response</v>
      </c>
      <c r="D31" s="9" t="str">
        <f>IF(ADRYr1!$B31=0,"",ADRYr1!D31)</f>
        <v>Storage Daily Dispatch Upfront Incentive (savings) Summer</v>
      </c>
      <c r="E31" s="9">
        <f>IF(ADRYr1!$B31=0,"",ADRYr1!E31)</f>
        <v>0</v>
      </c>
      <c r="F31" s="11" t="str">
        <f>IF(ADRYr1!$B31=0,"",ADRYr1!F31)</f>
        <v>Behavior</v>
      </c>
      <c r="G31" s="12" t="str">
        <f>IF(ADRYr1!$G31&lt;&gt;0,ADRYr1!G31,"")</f>
        <v/>
      </c>
      <c r="H31" s="1125" t="str">
        <f>IF($G31="","",ROUND(ADRYr1!H31,0))</f>
        <v/>
      </c>
      <c r="I31" s="47" t="str">
        <f>IF($G31="","",ADRYr1!I31*ADRYr1!P31*G31)</f>
        <v/>
      </c>
      <c r="J31" s="47" t="str">
        <f>IF($G31="","",ADRYr1!J31*G31)</f>
        <v/>
      </c>
      <c r="K31" s="47" t="str">
        <f t="shared" si="18"/>
        <v/>
      </c>
      <c r="L31" s="27" t="str">
        <f>IF($G31="","",ADRYr1!V31*G31/1000)</f>
        <v/>
      </c>
      <c r="M31" s="27" t="str">
        <f>IF($G31="","",L31*ADRYr1!$Q31*ADRYr1!$R31)</f>
        <v/>
      </c>
      <c r="N31" s="27" t="str">
        <f t="shared" si="19"/>
        <v/>
      </c>
      <c r="O31" s="27" t="str">
        <f t="shared" si="20"/>
        <v/>
      </c>
      <c r="P31" s="27" t="str">
        <f>IF($G31="","",M31*ADRYr1!P31)</f>
        <v/>
      </c>
      <c r="Q31" s="27" t="str">
        <f t="shared" si="21"/>
        <v/>
      </c>
      <c r="R31" s="27" t="str">
        <f>IF($G31="","",$Q31*ADRYr1!Z31)</f>
        <v/>
      </c>
      <c r="S31" s="27" t="str">
        <f>IF($G31="","",$Q31*ADRYr1!AA31)</f>
        <v/>
      </c>
      <c r="T31" s="27" t="str">
        <f>IF($G31="","",$Q31*ADRYr1!AB31)</f>
        <v/>
      </c>
      <c r="U31" s="27" t="str">
        <f>IF($G31="","",$Q31*ADRYr1!AC31)</f>
        <v/>
      </c>
      <c r="V31" s="27" t="str">
        <f>IF($G31="","",G31*ADRYr1!$AD31*ADRYr1!$P31*ADRYr1!$Q31)</f>
        <v/>
      </c>
      <c r="W31" s="27" t="str">
        <f>IF($G31="","",$G31*ADRYr1!$AD31*ADRYr1!$AF31*ADRYr1!Q31*ADRYr1!$S31)</f>
        <v/>
      </c>
      <c r="X31" s="27" t="str">
        <f>IF($G31="","",$G31*ADRYr1!$AD31*ADRYr1!$AF31*ADRYr1!P31*ADRYr1!Q31*ADRYr1!$S31)</f>
        <v/>
      </c>
      <c r="Y31" s="27" t="str">
        <f>IF($G31="","",$G31*ADRYr1!$AD31*ADRYr1!$AE31*ADRYr1!Q31*ADRYr1!$T31)</f>
        <v/>
      </c>
      <c r="Z31" s="27" t="str">
        <f>IF($G31="","",$G31*ADRYr1!$AD31*ADRYr1!$AE31*ADRYr1!P31*ADRYr1!Q31*ADRYr1!$T31)</f>
        <v/>
      </c>
      <c r="AA31" s="45" t="str">
        <f>IF($G31="","",$G31*ADRYr1!$Q31*ADRYr1!$U31*(IF(IFERROR(SEARCH("NG", ADRYr1!$AI31),0),ADRYr1!$AJ31,0)+IF(IFERROR(SEARCH("NG", ADRYr1!$AK31),0),ADRYr1!$AL31,0)+IF(IFERROR(SEARCH("NG", ADRYr1!$AM31),0),ADRYr1!$AN31,0)))</f>
        <v/>
      </c>
      <c r="AB31" s="45" t="str">
        <f t="shared" si="22"/>
        <v/>
      </c>
      <c r="AC31" s="45">
        <f>IF($G31="",0,AA31*ADRYr1!$P31)</f>
        <v>0</v>
      </c>
      <c r="AD31" s="45" t="str">
        <f t="shared" si="23"/>
        <v/>
      </c>
      <c r="AE31" s="45" t="str">
        <f>IF($G31="","",$G31*ADRYr1!$Q31*ADRYr1!$U31*(IF(IFERROR(SEARCH("Oil", ADRYr1!$AI31), 0),ADRYr1!$AJ31,0)+IF(IFERROR(SEARCH("Oil", ADRYr1!$AK31), 0),ADRYr1!$AL31,0)+IF(IFERROR(SEARCH("Oil", ADRYr1!$AM31), 0),ADRYr1!$AN31,0)))</f>
        <v/>
      </c>
      <c r="AF31" s="45" t="str">
        <f t="shared" si="24"/>
        <v/>
      </c>
      <c r="AG31" s="45">
        <f>IF($G31="",0,AE31*ADRYr1!$P31)</f>
        <v>0</v>
      </c>
      <c r="AH31" s="45" t="str">
        <f t="shared" si="25"/>
        <v/>
      </c>
      <c r="AI31" s="45" t="str">
        <f>IF($G31="","",$G31*ADRYr1!$Q31*ADRYr1!$U31*(IF(ADRYr1!$AI31=Lookups!$E$114,ADRYr1!$AJ31,IF(ADRYr1!$AK31=Lookups!$E$114,ADRYr1!$AL31,IF(ADRYr1!$AM31=Lookups!$E$114,ADRYr1!$AN31,0)))))</f>
        <v/>
      </c>
      <c r="AJ31" s="45" t="str">
        <f t="shared" si="26"/>
        <v/>
      </c>
      <c r="AK31" s="45">
        <f>IF($G31="",0,AI31*ADRYr1!$P31)</f>
        <v>0</v>
      </c>
      <c r="AL31" s="45" t="str">
        <f t="shared" si="27"/>
        <v/>
      </c>
      <c r="AM31" s="45" t="str">
        <f>IF($G31="","",$G31*ADRYr1!$Q31*ADRYr1!$U31*(IF(ADRYr1!$AI31=Lookups!$E$113,ADRYr1!$AJ31,IF(ADRYr1!$AK31=Lookups!$E$113,ADRYr1!$AL31,IF(ADRYr1!$AM31=Lookups!$E$113,ADRYr1!$AN31,0)))))</f>
        <v/>
      </c>
      <c r="AN31" s="45" t="str">
        <f t="shared" si="28"/>
        <v/>
      </c>
      <c r="AO31" s="45">
        <f>IF($G31="",0,AM31*ADRYr1!$P31)</f>
        <v>0</v>
      </c>
      <c r="AP31" s="45" t="str">
        <f t="shared" si="29"/>
        <v/>
      </c>
      <c r="AQ31" s="45" t="str">
        <f>IF($G31="","",$G31*ADRYr1!$Q31*ADRYr1!$U31*(IF(ADRYr1!$AI31=Lookups!$E$115,ADRYr1!$AJ31,IF(ADRYr1!$AK31=Lookups!$E$115,ADRYr1!$AL31,IF(ADRYr1!$AM31=Lookups!$E$115,ADRYr1!$AN31,0)))))</f>
        <v/>
      </c>
      <c r="AR31" s="45" t="str">
        <f t="shared" si="30"/>
        <v/>
      </c>
      <c r="AS31" s="45" t="str">
        <f>IF($G31="","",AQ31*ADRYr1!$P31)</f>
        <v/>
      </c>
      <c r="AT31" s="45" t="str">
        <f t="shared" si="31"/>
        <v/>
      </c>
      <c r="AU31" s="45" t="str">
        <f>IF($G31="","",$G31*ADRYr1!$Q31*ADRYr1!$U31*(IF(ADRYr1!$AI31=Lookups!$E$116,ADRYr1!$AJ31,IF(ADRYr1!$AK31=Lookups!$E$116,ADRYr1!$AL31,IF(ADRYr1!$AM31=Lookups!$E$116,ADRYr1!$AN31,0)))))</f>
        <v/>
      </c>
      <c r="AV31" s="45" t="str">
        <f t="shared" si="32"/>
        <v/>
      </c>
      <c r="AW31" s="45" t="str">
        <f>IF($G31="","",AU31*ADRYr1!$P31)</f>
        <v/>
      </c>
      <c r="AX31" s="45" t="str">
        <f t="shared" si="33"/>
        <v/>
      </c>
      <c r="AY31" s="45">
        <f t="shared" si="49"/>
        <v>0</v>
      </c>
      <c r="AZ31" s="45">
        <f t="shared" si="49"/>
        <v>0</v>
      </c>
      <c r="BA31" s="101" t="str">
        <f>IF($G31="","",$G31*ADRYr1!$P31*ADRYr1!$Q31*ADRYr1!$U31*ADRYr1!AO31)</f>
        <v/>
      </c>
      <c r="BB31" s="102" t="str">
        <f>IF($G31="","",$G31*ADRYr1!$P31*ADRYr1!$Q31*ADRYr1!$U31*ADRYr1!AP31)</f>
        <v/>
      </c>
      <c r="BC31" s="100" t="str">
        <f t="shared" si="35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5"/>
        <v/>
      </c>
      <c r="BO31" s="31" t="str">
        <f t="shared" si="36"/>
        <v/>
      </c>
      <c r="BP31" s="1129" t="str">
        <f t="shared" si="6"/>
        <v/>
      </c>
      <c r="BQ31" s="28" t="str">
        <f t="shared" si="7"/>
        <v/>
      </c>
      <c r="BR31" s="1129" t="str">
        <f t="shared" si="8"/>
        <v/>
      </c>
      <c r="BS31" s="1129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7"/>
        <v/>
      </c>
      <c r="BX31" s="29" t="str">
        <f t="shared" si="38"/>
        <v/>
      </c>
      <c r="BY31" s="28" t="str">
        <f>IF($G31="","",$G31*(IF(ADRYr1!$AI31=BY$4,ADRYr1!$AJ31,IF(ADRYr1!$AK31=BY$4,ADRYr1!$AL31,IF(ADRYr1!$AM31=BY$4,ADRYr1!$AN31,0))))*(INDEX(avoidedcosttbl,$H31,BY$2)+(($H31-ROUNDDOWN($H31,0))*(INDEX(avoidedcosttbl,ROUNDUP($H31,0),BY$2)-(INDEX(avoidedcosttbl,ROUNDDOWN($H31,0),BY$2)))))*ADRYr1!P31*ADRYr1!Q31*ADRYr1!U31)</f>
        <v/>
      </c>
      <c r="BZ31" s="28" t="str">
        <f>IF($G31="","",$G31*(IF(ADRYr1!$AI31=BZ$4,ADRYr1!$AJ31,IF(ADRYr1!$AK31=BZ$4,ADRYr1!$AL31,IF(ADRYr1!$AM31=BZ$4,ADRYr1!$AN31,0))))*(INDEX(avoidedcosttbl,$H31,BZ$2)+(($H31-ROUNDDOWN($H31,0))*(INDEX(avoidedcosttbl,ROUNDUP($H31,0),BZ$2)-(INDEX(avoidedcosttbl,ROUNDDOWN($H31,0),BZ$2)))))*ADRYr1!P31*ADRYr1!Q31*ADRYr1!U31)</f>
        <v/>
      </c>
      <c r="CA31" s="28" t="str">
        <f>IF($G31="","",$G31*(IF(ADRYr1!$AI31=CA$4,ADRYr1!$AJ31,IF(ADRYr1!$AK31=CA$4,ADRYr1!$AL31,IF(ADRYr1!$AM31=CA$4,ADRYr1!$AN31,0))))*(INDEX(avoidedcosttbl,$H31,CA$2)+(($H31-ROUNDDOWN($H31,0))*(INDEX(avoidedcosttbl,ROUNDUP($H31,0),CA$2)-(INDEX(avoidedcosttbl,ROUNDDOWN($H31,0),CA$2)))))*ADRYr1!P31*ADRYr1!Q31*ADRYr1!U31)</f>
        <v/>
      </c>
      <c r="CB31" s="28" t="str">
        <f>IF($G31="","",$G31*(IF(ADRYr1!$AI31=CB$4,ADRYr1!$AJ31,IF(ADRYr1!$AK31=CB$4,ADRYr1!$AL31,IF(ADRYr1!$AM31=CB$4,ADRYr1!$AN31,0))))*(INDEX(avoidedcosttbl,$H31,CB$2)+(($H31-ROUNDDOWN($H31,0))*(INDEX(avoidedcosttbl,ROUNDUP($H31,0),CB$2)-(INDEX(avoidedcosttbl,ROUNDDOWN($H31,0),CB$2)))))*ADRYr1!P31*ADRYr1!Q31*ADRYr1!U31)</f>
        <v/>
      </c>
      <c r="CC31" s="28" t="str">
        <f>IF($G31="","",$G31*(IF(ADRYr1!$AI31=CC$4,ADRYr1!$AJ31,IF(ADRYr1!$AK31=CC$4,ADRYr1!$AL31,IF(ADRYr1!$AM31=CC$4,ADRYr1!$AN31,0))))*(INDEX(avoidedcosttbl,$H31,CC$2)+(($H31-ROUNDDOWN($H31,0))*(INDEX(avoidedcosttbl,ROUNDUP($H31,0),CC$2)-(INDEX(avoidedcosttbl,ROUNDDOWN($H31,0),CC$2)))))*ADRYr1!P31*ADRYr1!Q31*ADRYr1!U31)</f>
        <v/>
      </c>
      <c r="CD31" s="28" t="str">
        <f>IF($G31="","",$G31*(IF(ADRYr1!$AI31=CD$4,ADRYr1!$AJ31,IF(ADRYr1!$AK31=CD$4,ADRYr1!$AL31,IF(ADRYr1!$AM31=CD$4,ADRYr1!$AN31,0))))*(INDEX(avoidedcosttbl,$H31,CD$2)+(($H31-ROUNDDOWN($H31,0))*(INDEX(avoidedcosttbl,ROUNDUP($H31,0),CD$2)-(INDEX(avoidedcosttbl,ROUNDDOWN($H31,0),CD$2)))))*ADRYr1!P31*ADRYr1!Q31*ADRYr1!U31)</f>
        <v/>
      </c>
      <c r="CE31" s="28" t="str">
        <f>IF($G31="","",$G31*(IF(ADRYr1!$AI31=CE$4,ADRYr1!$AJ31,IF(ADRYr1!$AK31=CE$4,ADRYr1!$AL31,IF(ADRYr1!$AM31=CE$4,ADRYr1!$AN31,0))))*(INDEX(avoidedcosttbl,$H31,CE$2)+(($H31-ROUNDDOWN($H31,0))*(INDEX(avoidedcosttbl,ROUNDUP($H31,0),CE$2)-(INDEX(avoidedcosttbl,ROUNDDOWN($H31,0),CE$2)))))*ADRYr1!P31*ADRYr1!Q31*ADRYr1!U31)</f>
        <v/>
      </c>
      <c r="CF31" s="41" t="str">
        <f t="shared" si="39"/>
        <v/>
      </c>
      <c r="CG31" s="30" t="str">
        <f t="shared" si="11"/>
        <v/>
      </c>
      <c r="CH31" s="30" t="str">
        <f>IF($G31="","",$G31*(IF(ADRYr1!$AI31=BY$4,ADRYr1!$AJ31,IF(ADRYr1!$AK31=BY$4,ADRYr1!$AL31,IF(ADRYr1!$AM31=BY$4,ADRYr1!$AN31,0))))*(INDEX(avoidedcosttbl,$H31,CH$2)+(($H31-ROUNDDOWN($H31,0))*(INDEX(avoidedcosttbl,ROUNDUP($H31,0),CH$2)-(INDEX(avoidedcosttbl,ROUNDDOWN($H31,0),CH$2)))))*ADRYr1!P31*ADRYr1!Q31*ADRYr1!U31)</f>
        <v/>
      </c>
      <c r="CI31" s="30" t="str">
        <f>IF($G31="","",$G31*(IF(ADRYr1!$AI31=BZ$4,ADRYr1!$AJ31,IF(ADRYr1!$AK31=BZ$4,ADRYr1!$AL31,IF(ADRYr1!$AM31=BZ$4,ADRYr1!$AN31,0))))*(INDEX(avoidedcosttbl,$H31,CI$2)+(($H31-ROUNDDOWN($H31,0))*(INDEX(avoidedcosttbl,ROUNDUP($H31,0),CI$2)-(INDEX(avoidedcosttbl,ROUNDDOWN($H31,0),CI$2)))))*ADRYr1!P31*ADRYr1!Q31*ADRYr1!U31)</f>
        <v/>
      </c>
      <c r="CJ31" s="30" t="str">
        <f>IF($G31="","",$G31*(IF(ADRYr1!$AI31=CA$4,ADRYr1!$AJ31,IF(ADRYr1!$AK31=CA$4,ADRYr1!$AL31,IF(ADRYr1!$AM31=CA$4,ADRYr1!$AN31,0))))*(INDEX(avoidedcosttbl,$H31,CJ$2)+(($H31-ROUNDDOWN($H31,0))*(INDEX(avoidedcosttbl,ROUNDUP($H31,0),CJ$2)-(INDEX(avoidedcosttbl,ROUNDDOWN($H31,0),CJ$2)))))*ADRYr1!P31*ADRYr1!Q31*ADRYr1!U31)</f>
        <v/>
      </c>
      <c r="CK31" s="30" t="str">
        <f>IF($G31="","",$G31*(IF(ADRYr1!$AI31=CB$4,ADRYr1!$AJ31,IF(ADRYr1!$AK31=CB$4,ADRYr1!$AL31,IF(ADRYr1!$AM31=CB$4,ADRYr1!$AN31,0))))*(INDEX(avoidedcosttbl,$H31,CK$2)+(($H31-ROUNDDOWN($H31,0))*(INDEX(avoidedcosttbl,ROUNDUP($H31,0),CK$2)-(INDEX(avoidedcosttbl,ROUNDDOWN($H31,0),CK$2)))))*ADRYr1!P31*ADRYr1!Q31*ADRYr1!U31)</f>
        <v/>
      </c>
      <c r="CL31" s="30" t="str">
        <f>IF($G31="","",$G31*(IF(ADRYr1!$AI31=CC$4,ADRYr1!$AJ31,IF(ADRYr1!$AK31=CC$4,ADRYr1!$AL31,IF(ADRYr1!$AM31=CC$4,ADRYr1!$AN31,0))))*(INDEX(avoidedcosttbl,$H31,CL$2)+(($H31-ROUNDDOWN($H31,0))*(INDEX(avoidedcosttbl,ROUNDUP($H31,0),CL$2)-(INDEX(avoidedcosttbl,ROUNDDOWN($H31,0),CL$2)))))*ADRYr1!P31*ADRYr1!Q31*ADRYr1!U31)</f>
        <v/>
      </c>
      <c r="CM31" s="30" t="str">
        <f>IF($G31="","",$G31*(IF(ADRYr1!$AI31=CD$4,ADRYr1!$AJ31,IF(ADRYr1!$AK31=CD$4,ADRYr1!$AL31,IF(ADRYr1!$AM31=CD$4,ADRYr1!$AN31,0))))*(INDEX(avoidedcosttbl,$H31,CM$2)+(($H31-ROUNDDOWN($H31,0))*(INDEX(avoidedcosttbl,ROUNDUP($H31,0),CM$2)-(INDEX(avoidedcosttbl,ROUNDDOWN($H31,0),CM$2)))))*ADRYr1!P31*ADRYr1!Q31*ADRYr1!U31)</f>
        <v/>
      </c>
      <c r="CN31" s="30" t="str">
        <f>IF($G31="","",$G31*(IF(ADRYr1!$AI31=CE$4,ADRYr1!$AJ31,IF(ADRYr1!$AK31=CE$4,ADRYr1!$AL31,IF(ADRYr1!$AM31=CE$4,ADRYr1!$AN31,0))))*(INDEX(avoidedcosttbl,$H31,CN$2)+(($H31-ROUNDDOWN($H31,0))*(INDEX(avoidedcosttbl,ROUNDUP($H31,0),CN$2)-(INDEX(avoidedcosttbl,ROUNDDOWN($H31,0),CN$2)))))*ADRYr1!P31*ADRYr1!Q31*ADRYr1!U31)</f>
        <v/>
      </c>
      <c r="CO31" s="220" t="str">
        <f t="shared" si="40"/>
        <v/>
      </c>
      <c r="CP31" s="220" t="str">
        <f t="shared" si="41"/>
        <v/>
      </c>
      <c r="CQ31" s="157" t="str">
        <f>IF($G31="","",$G31*(IF(ADRYr1!$AI31=CQ$4,ADRYr1!$AJ31,IF(ADRYr1!$AK31=CQ$4,ADRYr1!$AL31,IF(ADRYr1!$AM31=CQ$4,ADRYr1!$AN31,0))))*(INDEX(avoidedcosttbl,$H31,CQ$2)+(($H31-ROUNDDOWN($H31,0))*(INDEX(avoidedcosttbl,ROUNDUP($H31,0),CQ$2)-(INDEX(avoidedcosttbl,ROUNDDOWN($H31,0),CQ$2)))))*ADRYr1!$P31*ADRYr1!$Q31*ADRYr1!$U31)</f>
        <v/>
      </c>
      <c r="CR31" s="28" t="str">
        <f>IF($G31="","",G31*(IF(ADRYr1!$AI31=CR$4,ADRYr1!$AJ31,IF(ADRYr1!$AK31=CR$4,ADRYr1!$AL31,IF(ADRYr1!$AM31=CR$4,ADRYr1!$AN31,0))))*(INDEX(avoidedcosttbl,$H31,CR$2)+(($H31-ROUNDDOWN($H31,0))*(INDEX(avoidedcosttbl,ROUNDUP($H31,0),CR$2)-(INDEX(avoidedcosttbl,ROUNDDOWN($H31,0),CR$2)))))*ADRYr1!$P31*ADRYr1!$Q31*ADRYr1!$U31)</f>
        <v/>
      </c>
      <c r="CS31" s="28" t="str">
        <f>IF($G31="","",G31*(IF(ADRYr1!$AI31=CS$4,ADRYr1!$AJ31,IF(ADRYr1!$AK31=CS$4,ADRYr1!$AL31,IF(ADRYr1!$AM31=CS$4,ADRYr1!$AN31,0))))*(INDEX(avoidedcosttbl,$H31,CS$2)+(($H31-ROUNDDOWN($H31,0))*(INDEX(avoidedcosttbl,ROUNDUP($H31,0),CS$2)-(INDEX(avoidedcosttbl,ROUNDDOWN($H31,0),CS$2)))))*ADRYr1!$P31*ADRYr1!$Q31*ADRYr1!$U31)</f>
        <v/>
      </c>
      <c r="CT31" s="28" t="str">
        <f t="shared" si="12"/>
        <v/>
      </c>
      <c r="CU31" s="28" t="str">
        <f>IF($G31="","",G31*(IF(ADRYr1!$AI31=CU$4,ADRYr1!$AJ31,IF(ADRYr1!$AK31=CU$4,ADRYr1!$AL31,IF(ADRYr1!$AM31=CU$4,ADRYr1!$AN31,0))))*(INDEX(avoidedcosttbl,$H31,CU$2)+(($H31-ROUNDDOWN($H31,0))*(INDEX(avoidedcosttbl,ROUNDUP($H31,0),CU$2)-(INDEX(avoidedcosttbl,ROUNDDOWN($H31,0),CU$2)))))*ADRYr1!$P31*ADRYr1!$Q31*ADRYr1!$U31)</f>
        <v/>
      </c>
      <c r="CV31" s="28" t="str">
        <f>IF($G31="","",G31*(IF(ADRYr1!$AI31=CV$4,ADRYr1!$AJ31,IF(ADRYr1!$AK31=CV$4,ADRYr1!$AL31,IF(ADRYr1!$AM31=CV$4,ADRYr1!$AN31,0))))*(INDEX(avoidedcosttbl,$H31,CV$2)+(($H31-ROUNDDOWN($H31,0))*(INDEX(avoidedcosttbl,ROUNDUP($H31,0),CV$2)-(INDEX(avoidedcosttbl,ROUNDDOWN($H31,0),CV$2)))))*ADRYr1!$P31*ADRYr1!$Q31*ADRYr1!$U31)</f>
        <v/>
      </c>
      <c r="CW31" s="28" t="str">
        <f>IF($G31="","",G31*(IF(ADRYr1!$AI31=CW$4,ADRYr1!$AJ31,IF(ADRYr1!$AK31=CW$4,ADRYr1!$AL31,IF(ADRYr1!$AM31=CW$4,ADRYr1!$AN31,0))))*(INDEX(avoidedcosttbl,$H31,CW$2)+(($H31-ROUNDDOWN($H31,0))*(INDEX(avoidedcosttbl,ROUNDUP($H31,0),CW$2)-(INDEX(avoidedcosttbl,ROUNDDOWN($H31,0),CW$2)))))*ADRYr1!$P31*ADRYr1!$Q31*ADRYr1!$U31)</f>
        <v/>
      </c>
      <c r="CX31" s="28" t="str">
        <f>IF($G31="","",G31*(IF(ADRYr1!$AI31=CX$4,ADRYr1!$AJ31,IF(ADRYr1!$AK31=CX$4,ADRYr1!$AL31,IF(ADRYr1!$AM31=CX$4,ADRYr1!$AN31,0))))*(INDEX(avoidedcosttbl,$H31,CX$2)+(($H31-ROUNDDOWN($H31,0))*(INDEX(avoidedcosttbl,ROUNDUP($H31,0),CX$2)-(INDEX(avoidedcosttbl,ROUNDDOWN($H31,0),CX$2)))))*ADRYr1!$P31*ADRYr1!$Q31*ADRYr1!$U31)</f>
        <v/>
      </c>
      <c r="CY31" s="28" t="str">
        <f t="shared" si="13"/>
        <v/>
      </c>
      <c r="CZ31" s="32" t="str">
        <f t="shared" si="14"/>
        <v/>
      </c>
      <c r="DA31" s="84" t="str">
        <f t="shared" si="42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15"/>
        <v/>
      </c>
      <c r="DD31" s="166" t="str">
        <f t="shared" si="16"/>
        <v/>
      </c>
      <c r="DE31" s="82">
        <f t="shared" si="43"/>
        <v>0</v>
      </c>
      <c r="DF31" s="760" t="str">
        <f>IF($G31="","",(1+WntPeakEnergyLL)*(INDEX(avoidedcosttbl,$H31,DF$2)+(($H31-ROUNDDOWN($H31,0))*(INDEX(avoidedcosttbl,ROUNDUP($H31,0),DF$2)-(INDEX(avoidedcosttbl,ROUNDDOWN($H31,0),DF$2)))))*$P31*1000*ADRYr1!Z31)</f>
        <v/>
      </c>
      <c r="DG31" s="760" t="str">
        <f>IF($G31="","",(1+WntOffPeakEnergyLL)*(INDEX(avoidedcosttbl,$H31,DG$2)+(($H31-ROUNDDOWN($H31,0))*(INDEX(avoidedcosttbl,ROUNDUP($H31,0),DG$2)-(INDEX(avoidedcosttbl,ROUNDDOWN($H31,0),DG$2)))))*$P31*1000*ADRYr1!AA31)</f>
        <v/>
      </c>
      <c r="DH31" s="760" t="str">
        <f>IF($G31="","",(1+SumPeakEnergyLL)*(INDEX(avoidedcosttbl,$H31,DH$2)+(($H31-ROUNDDOWN($H31,0))*(INDEX(avoidedcosttbl,ROUNDUP($H31,0),DH$2)-(INDEX(avoidedcosttbl,ROUNDDOWN($H31,0),DH$2)))))*$P31*1000*ADRYr1!AB31)</f>
        <v/>
      </c>
      <c r="DI31" s="760" t="str">
        <f>IF($G31="","",(1+SumOffPeakEnergyLL)*(INDEX(avoidedcosttbl,$H31,DI$2)+(($H31-ROUNDDOWN($H31,0))*(INDEX(avoidedcosttbl,ROUNDUP($H31,0),DI$2)-(INDEX(avoidedcosttbl,ROUNDDOWN($H31,0),DI$2)))))*$P31*1000*ADRYr1!AC31)</f>
        <v/>
      </c>
      <c r="DJ31" s="29" t="str">
        <f t="shared" si="44"/>
        <v/>
      </c>
      <c r="DK31" s="161" t="str">
        <f t="shared" si="45"/>
        <v/>
      </c>
      <c r="DL31" s="1375" t="str">
        <f t="shared" si="46"/>
        <v/>
      </c>
      <c r="DM31" s="1375" t="str">
        <f t="shared" si="47"/>
        <v/>
      </c>
      <c r="DN31" s="43" t="str">
        <f t="shared" si="48"/>
        <v/>
      </c>
      <c r="DO31" s="1131" t="str">
        <f>IF($G31="","",ADRYr1!AQ31)</f>
        <v/>
      </c>
      <c r="DP31" s="1133" t="str">
        <f>IF($G31="","",ADRYr1!AR31)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17"/>
        <v/>
      </c>
      <c r="DU31" s="1135" t="str">
        <f>IF($G31="","",ADRYr1!AS31)</f>
        <v/>
      </c>
      <c r="DV31" s="1136" t="str">
        <f>IF($G31="","",ADRYr1!AT31)</f>
        <v/>
      </c>
      <c r="DW31" s="1344" t="str">
        <f>IF($G31="","",INDEX(AvoidedEnergy!$H$4:$H$10,MATCH($DO31,AvoidedEnergy!$A$4:$A$10,0)))</f>
        <v/>
      </c>
    </row>
    <row r="32" spans="1:127">
      <c r="A32" s="160" t="str">
        <f>IF(ADRYr1!$B32=0,"",ADRYr1!A32)</f>
        <v>C - Commercial &amp; Industrial</v>
      </c>
      <c r="B32" s="9" t="str">
        <f>IF(ADRYr1!$B32=0,"",ADRYr1!B32)</f>
        <v>C5 - C&amp;I Active Demand Response</v>
      </c>
      <c r="C32" s="9" t="str">
        <f>IF(ADRYr1!$B32=0,"",ADRYr1!C32)</f>
        <v>C5a - C&amp;I Active Demand Response</v>
      </c>
      <c r="D32" s="9" t="str">
        <f>IF(ADRYr1!$B32=0,"",ADRYr1!D32)</f>
        <v>Storage Daily Dispatch Upfront Incentive (consumption) Summer</v>
      </c>
      <c r="E32" s="9">
        <f>IF(ADRYr1!$B32=0,"",ADRYr1!E32)</f>
        <v>0</v>
      </c>
      <c r="F32" s="11" t="str">
        <f>IF(ADRYr1!$B32=0,"",ADRYr1!F32)</f>
        <v>Behavior</v>
      </c>
      <c r="G32" s="12" t="str">
        <f>IF(ADRYr1!$G32&lt;&gt;0,ADRYr1!G32,"")</f>
        <v/>
      </c>
      <c r="H32" s="1125" t="str">
        <f>IF($G32="","",ROUND(ADRYr1!H32,0))</f>
        <v/>
      </c>
      <c r="I32" s="47" t="str">
        <f>IF($G32="","",ADRYr1!I32*ADRYr1!P32*G32)</f>
        <v/>
      </c>
      <c r="J32" s="47" t="str">
        <f>IF($G32="","",ADRYr1!J32*G32)</f>
        <v/>
      </c>
      <c r="K32" s="47" t="str">
        <f t="shared" si="18"/>
        <v/>
      </c>
      <c r="L32" s="27" t="str">
        <f>IF($G32="","",ADRYr1!V32*G32/1000)</f>
        <v/>
      </c>
      <c r="M32" s="27" t="str">
        <f>IF($G32="","",L32*ADRYr1!$Q32*ADRYr1!$R32)</f>
        <v/>
      </c>
      <c r="N32" s="27" t="str">
        <f t="shared" si="19"/>
        <v/>
      </c>
      <c r="O32" s="27" t="str">
        <f t="shared" si="20"/>
        <v/>
      </c>
      <c r="P32" s="27" t="str">
        <f>IF($G32="","",M32*ADRYr1!P32)</f>
        <v/>
      </c>
      <c r="Q32" s="27" t="str">
        <f t="shared" si="21"/>
        <v/>
      </c>
      <c r="R32" s="27" t="str">
        <f>IF($G32="","",$Q32*ADRYr1!Z32)</f>
        <v/>
      </c>
      <c r="S32" s="27" t="str">
        <f>IF($G32="","",$Q32*ADRYr1!AA32)</f>
        <v/>
      </c>
      <c r="T32" s="27" t="str">
        <f>IF($G32="","",$Q32*ADRYr1!AB32)</f>
        <v/>
      </c>
      <c r="U32" s="27" t="str">
        <f>IF($G32="","",$Q32*ADRYr1!AC32)</f>
        <v/>
      </c>
      <c r="V32" s="27" t="str">
        <f>IF($G32="","",G32*ADRYr1!$AD32*ADRYr1!$P32*ADRYr1!$Q32)</f>
        <v/>
      </c>
      <c r="W32" s="27" t="str">
        <f>IF($G32="","",$G32*ADRYr1!$AD32*ADRYr1!$AF32*ADRYr1!Q32*ADRYr1!$S32)</f>
        <v/>
      </c>
      <c r="X32" s="27" t="str">
        <f>IF($G32="","",$G32*ADRYr1!$AD32*ADRYr1!$AF32*ADRYr1!P32*ADRYr1!Q32*ADRYr1!$S32)</f>
        <v/>
      </c>
      <c r="Y32" s="27" t="str">
        <f>IF($G32="","",$G32*ADRYr1!$AD32*ADRYr1!$AE32*ADRYr1!Q32*ADRYr1!$T32)</f>
        <v/>
      </c>
      <c r="Z32" s="27" t="str">
        <f>IF($G32="","",$G32*ADRYr1!$AD32*ADRYr1!$AE32*ADRYr1!P32*ADRYr1!Q32*ADRYr1!$T32)</f>
        <v/>
      </c>
      <c r="AA32" s="45" t="str">
        <f>IF($G32="","",$G32*ADRYr1!$Q32*ADRYr1!$U32*(IF(IFERROR(SEARCH("NG", ADRYr1!$AI32),0),ADRYr1!$AJ32,0)+IF(IFERROR(SEARCH("NG", ADRYr1!$AK32),0),ADRYr1!$AL32,0)+IF(IFERROR(SEARCH("NG", ADRYr1!$AM32),0),ADRYr1!$AN32,0)))</f>
        <v/>
      </c>
      <c r="AB32" s="45" t="str">
        <f t="shared" si="22"/>
        <v/>
      </c>
      <c r="AC32" s="45">
        <f>IF($G32="",0,AA32*ADRYr1!$P32)</f>
        <v>0</v>
      </c>
      <c r="AD32" s="45" t="str">
        <f t="shared" si="23"/>
        <v/>
      </c>
      <c r="AE32" s="45" t="str">
        <f>IF($G32="","",$G32*ADRYr1!$Q32*ADRYr1!$U32*(IF(IFERROR(SEARCH("Oil", ADRYr1!$AI32), 0),ADRYr1!$AJ32,0)+IF(IFERROR(SEARCH("Oil", ADRYr1!$AK32), 0),ADRYr1!$AL32,0)+IF(IFERROR(SEARCH("Oil", ADRYr1!$AM32), 0),ADRYr1!$AN32,0)))</f>
        <v/>
      </c>
      <c r="AF32" s="45" t="str">
        <f t="shared" si="24"/>
        <v/>
      </c>
      <c r="AG32" s="45">
        <f>IF($G32="",0,AE32*ADRYr1!$P32)</f>
        <v>0</v>
      </c>
      <c r="AH32" s="45" t="str">
        <f t="shared" si="25"/>
        <v/>
      </c>
      <c r="AI32" s="45" t="str">
        <f>IF($G32="","",$G32*ADRYr1!$Q32*ADRYr1!$U32*(IF(ADRYr1!$AI32=Lookups!$E$114,ADRYr1!$AJ32,IF(ADRYr1!$AK32=Lookups!$E$114,ADRYr1!$AL32,IF(ADRYr1!$AM32=Lookups!$E$114,ADRYr1!$AN32,0)))))</f>
        <v/>
      </c>
      <c r="AJ32" s="45" t="str">
        <f t="shared" si="26"/>
        <v/>
      </c>
      <c r="AK32" s="45">
        <f>IF($G32="",0,AI32*ADRYr1!$P32)</f>
        <v>0</v>
      </c>
      <c r="AL32" s="45" t="str">
        <f t="shared" si="27"/>
        <v/>
      </c>
      <c r="AM32" s="45" t="str">
        <f>IF($G32="","",$G32*ADRYr1!$Q32*ADRYr1!$U32*(IF(ADRYr1!$AI32=Lookups!$E$113,ADRYr1!$AJ32,IF(ADRYr1!$AK32=Lookups!$E$113,ADRYr1!$AL32,IF(ADRYr1!$AM32=Lookups!$E$113,ADRYr1!$AN32,0)))))</f>
        <v/>
      </c>
      <c r="AN32" s="45" t="str">
        <f t="shared" si="28"/>
        <v/>
      </c>
      <c r="AO32" s="45">
        <f>IF($G32="",0,AM32*ADRYr1!$P32)</f>
        <v>0</v>
      </c>
      <c r="AP32" s="45" t="str">
        <f t="shared" si="29"/>
        <v/>
      </c>
      <c r="AQ32" s="45" t="str">
        <f>IF($G32="","",$G32*ADRYr1!$Q32*ADRYr1!$U32*(IF(ADRYr1!$AI32=Lookups!$E$115,ADRYr1!$AJ32,IF(ADRYr1!$AK32=Lookups!$E$115,ADRYr1!$AL32,IF(ADRYr1!$AM32=Lookups!$E$115,ADRYr1!$AN32,0)))))</f>
        <v/>
      </c>
      <c r="AR32" s="45" t="str">
        <f t="shared" si="30"/>
        <v/>
      </c>
      <c r="AS32" s="45" t="str">
        <f>IF($G32="","",AQ32*ADRYr1!$P32)</f>
        <v/>
      </c>
      <c r="AT32" s="45" t="str">
        <f t="shared" si="31"/>
        <v/>
      </c>
      <c r="AU32" s="45" t="str">
        <f>IF($G32="","",$G32*ADRYr1!$Q32*ADRYr1!$U32*(IF(ADRYr1!$AI32=Lookups!$E$116,ADRYr1!$AJ32,IF(ADRYr1!$AK32=Lookups!$E$116,ADRYr1!$AL32,IF(ADRYr1!$AM32=Lookups!$E$116,ADRYr1!$AN32,0)))))</f>
        <v/>
      </c>
      <c r="AV32" s="45" t="str">
        <f t="shared" si="32"/>
        <v/>
      </c>
      <c r="AW32" s="45" t="str">
        <f>IF($G32="","",AU32*ADRYr1!$P32)</f>
        <v/>
      </c>
      <c r="AX32" s="45" t="str">
        <f t="shared" si="33"/>
        <v/>
      </c>
      <c r="AY32" s="45">
        <f t="shared" si="49"/>
        <v>0</v>
      </c>
      <c r="AZ32" s="45">
        <f t="shared" si="49"/>
        <v>0</v>
      </c>
      <c r="BA32" s="101" t="str">
        <f>IF($G32="","",$G32*ADRYr1!$P32*ADRYr1!$Q32*ADRYr1!$U32*ADRYr1!AO32)</f>
        <v/>
      </c>
      <c r="BB32" s="102" t="str">
        <f>IF($G32="","",$G32*ADRYr1!$P32*ADRYr1!$Q32*ADRYr1!$U32*ADRYr1!AP32)</f>
        <v/>
      </c>
      <c r="BC32" s="100" t="str">
        <f t="shared" si="35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5"/>
        <v/>
      </c>
      <c r="BO32" s="31" t="str">
        <f t="shared" si="36"/>
        <v/>
      </c>
      <c r="BP32" s="1129" t="str">
        <f t="shared" si="6"/>
        <v/>
      </c>
      <c r="BQ32" s="28" t="str">
        <f t="shared" si="7"/>
        <v/>
      </c>
      <c r="BR32" s="1129" t="str">
        <f t="shared" si="8"/>
        <v/>
      </c>
      <c r="BS32" s="1129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7"/>
        <v/>
      </c>
      <c r="BX32" s="29" t="str">
        <f t="shared" si="38"/>
        <v/>
      </c>
      <c r="BY32" s="28" t="str">
        <f>IF($G32="","",$G32*(IF(ADRYr1!$AI32=BY$4,ADRYr1!$AJ32,IF(ADRYr1!$AK32=BY$4,ADRYr1!$AL32,IF(ADRYr1!$AM32=BY$4,ADRYr1!$AN32,0))))*(INDEX(avoidedcosttbl,$H32,BY$2)+(($H32-ROUNDDOWN($H32,0))*(INDEX(avoidedcosttbl,ROUNDUP($H32,0),BY$2)-(INDEX(avoidedcosttbl,ROUNDDOWN($H32,0),BY$2)))))*ADRYr1!P32*ADRYr1!Q32*ADRYr1!U32)</f>
        <v/>
      </c>
      <c r="BZ32" s="28" t="str">
        <f>IF($G32="","",$G32*(IF(ADRYr1!$AI32=BZ$4,ADRYr1!$AJ32,IF(ADRYr1!$AK32=BZ$4,ADRYr1!$AL32,IF(ADRYr1!$AM32=BZ$4,ADRYr1!$AN32,0))))*(INDEX(avoidedcosttbl,$H32,BZ$2)+(($H32-ROUNDDOWN($H32,0))*(INDEX(avoidedcosttbl,ROUNDUP($H32,0),BZ$2)-(INDEX(avoidedcosttbl,ROUNDDOWN($H32,0),BZ$2)))))*ADRYr1!P32*ADRYr1!Q32*ADRYr1!U32)</f>
        <v/>
      </c>
      <c r="CA32" s="28" t="str">
        <f>IF($G32="","",$G32*(IF(ADRYr1!$AI32=CA$4,ADRYr1!$AJ32,IF(ADRYr1!$AK32=CA$4,ADRYr1!$AL32,IF(ADRYr1!$AM32=CA$4,ADRYr1!$AN32,0))))*(INDEX(avoidedcosttbl,$H32,CA$2)+(($H32-ROUNDDOWN($H32,0))*(INDEX(avoidedcosttbl,ROUNDUP($H32,0),CA$2)-(INDEX(avoidedcosttbl,ROUNDDOWN($H32,0),CA$2)))))*ADRYr1!P32*ADRYr1!Q32*ADRYr1!U32)</f>
        <v/>
      </c>
      <c r="CB32" s="28" t="str">
        <f>IF($G32="","",$G32*(IF(ADRYr1!$AI32=CB$4,ADRYr1!$AJ32,IF(ADRYr1!$AK32=CB$4,ADRYr1!$AL32,IF(ADRYr1!$AM32=CB$4,ADRYr1!$AN32,0))))*(INDEX(avoidedcosttbl,$H32,CB$2)+(($H32-ROUNDDOWN($H32,0))*(INDEX(avoidedcosttbl,ROUNDUP($H32,0),CB$2)-(INDEX(avoidedcosttbl,ROUNDDOWN($H32,0),CB$2)))))*ADRYr1!P32*ADRYr1!Q32*ADRYr1!U32)</f>
        <v/>
      </c>
      <c r="CC32" s="28" t="str">
        <f>IF($G32="","",$G32*(IF(ADRYr1!$AI32=CC$4,ADRYr1!$AJ32,IF(ADRYr1!$AK32=CC$4,ADRYr1!$AL32,IF(ADRYr1!$AM32=CC$4,ADRYr1!$AN32,0))))*(INDEX(avoidedcosttbl,$H32,CC$2)+(($H32-ROUNDDOWN($H32,0))*(INDEX(avoidedcosttbl,ROUNDUP($H32,0),CC$2)-(INDEX(avoidedcosttbl,ROUNDDOWN($H32,0),CC$2)))))*ADRYr1!P32*ADRYr1!Q32*ADRYr1!U32)</f>
        <v/>
      </c>
      <c r="CD32" s="28" t="str">
        <f>IF($G32="","",$G32*(IF(ADRYr1!$AI32=CD$4,ADRYr1!$AJ32,IF(ADRYr1!$AK32=CD$4,ADRYr1!$AL32,IF(ADRYr1!$AM32=CD$4,ADRYr1!$AN32,0))))*(INDEX(avoidedcosttbl,$H32,CD$2)+(($H32-ROUNDDOWN($H32,0))*(INDEX(avoidedcosttbl,ROUNDUP($H32,0),CD$2)-(INDEX(avoidedcosttbl,ROUNDDOWN($H32,0),CD$2)))))*ADRYr1!P32*ADRYr1!Q32*ADRYr1!U32)</f>
        <v/>
      </c>
      <c r="CE32" s="28" t="str">
        <f>IF($G32="","",$G32*(IF(ADRYr1!$AI32=CE$4,ADRYr1!$AJ32,IF(ADRYr1!$AK32=CE$4,ADRYr1!$AL32,IF(ADRYr1!$AM32=CE$4,ADRYr1!$AN32,0))))*(INDEX(avoidedcosttbl,$H32,CE$2)+(($H32-ROUNDDOWN($H32,0))*(INDEX(avoidedcosttbl,ROUNDUP($H32,0),CE$2)-(INDEX(avoidedcosttbl,ROUNDDOWN($H32,0),CE$2)))))*ADRYr1!P32*ADRYr1!Q32*ADRYr1!U32)</f>
        <v/>
      </c>
      <c r="CF32" s="41" t="str">
        <f t="shared" si="39"/>
        <v/>
      </c>
      <c r="CG32" s="30" t="str">
        <f t="shared" si="11"/>
        <v/>
      </c>
      <c r="CH32" s="30" t="str">
        <f>IF($G32="","",$G32*(IF(ADRYr1!$AI32=BY$4,ADRYr1!$AJ32,IF(ADRYr1!$AK32=BY$4,ADRYr1!$AL32,IF(ADRYr1!$AM32=BY$4,ADRYr1!$AN32,0))))*(INDEX(avoidedcosttbl,$H32,CH$2)+(($H32-ROUNDDOWN($H32,0))*(INDEX(avoidedcosttbl,ROUNDUP($H32,0),CH$2)-(INDEX(avoidedcosttbl,ROUNDDOWN($H32,0),CH$2)))))*ADRYr1!P32*ADRYr1!Q32*ADRYr1!U32)</f>
        <v/>
      </c>
      <c r="CI32" s="30" t="str">
        <f>IF($G32="","",$G32*(IF(ADRYr1!$AI32=BZ$4,ADRYr1!$AJ32,IF(ADRYr1!$AK32=BZ$4,ADRYr1!$AL32,IF(ADRYr1!$AM32=BZ$4,ADRYr1!$AN32,0))))*(INDEX(avoidedcosttbl,$H32,CI$2)+(($H32-ROUNDDOWN($H32,0))*(INDEX(avoidedcosttbl,ROUNDUP($H32,0),CI$2)-(INDEX(avoidedcosttbl,ROUNDDOWN($H32,0),CI$2)))))*ADRYr1!P32*ADRYr1!Q32*ADRYr1!U32)</f>
        <v/>
      </c>
      <c r="CJ32" s="30" t="str">
        <f>IF($G32="","",$G32*(IF(ADRYr1!$AI32=CA$4,ADRYr1!$AJ32,IF(ADRYr1!$AK32=CA$4,ADRYr1!$AL32,IF(ADRYr1!$AM32=CA$4,ADRYr1!$AN32,0))))*(INDEX(avoidedcosttbl,$H32,CJ$2)+(($H32-ROUNDDOWN($H32,0))*(INDEX(avoidedcosttbl,ROUNDUP($H32,0),CJ$2)-(INDEX(avoidedcosttbl,ROUNDDOWN($H32,0),CJ$2)))))*ADRYr1!P32*ADRYr1!Q32*ADRYr1!U32)</f>
        <v/>
      </c>
      <c r="CK32" s="30" t="str">
        <f>IF($G32="","",$G32*(IF(ADRYr1!$AI32=CB$4,ADRYr1!$AJ32,IF(ADRYr1!$AK32=CB$4,ADRYr1!$AL32,IF(ADRYr1!$AM32=CB$4,ADRYr1!$AN32,0))))*(INDEX(avoidedcosttbl,$H32,CK$2)+(($H32-ROUNDDOWN($H32,0))*(INDEX(avoidedcosttbl,ROUNDUP($H32,0),CK$2)-(INDEX(avoidedcosttbl,ROUNDDOWN($H32,0),CK$2)))))*ADRYr1!P32*ADRYr1!Q32*ADRYr1!U32)</f>
        <v/>
      </c>
      <c r="CL32" s="30" t="str">
        <f>IF($G32="","",$G32*(IF(ADRYr1!$AI32=CC$4,ADRYr1!$AJ32,IF(ADRYr1!$AK32=CC$4,ADRYr1!$AL32,IF(ADRYr1!$AM32=CC$4,ADRYr1!$AN32,0))))*(INDEX(avoidedcosttbl,$H32,CL$2)+(($H32-ROUNDDOWN($H32,0))*(INDEX(avoidedcosttbl,ROUNDUP($H32,0),CL$2)-(INDEX(avoidedcosttbl,ROUNDDOWN($H32,0),CL$2)))))*ADRYr1!P32*ADRYr1!Q32*ADRYr1!U32)</f>
        <v/>
      </c>
      <c r="CM32" s="30" t="str">
        <f>IF($G32="","",$G32*(IF(ADRYr1!$AI32=CD$4,ADRYr1!$AJ32,IF(ADRYr1!$AK32=CD$4,ADRYr1!$AL32,IF(ADRYr1!$AM32=CD$4,ADRYr1!$AN32,0))))*(INDEX(avoidedcosttbl,$H32,CM$2)+(($H32-ROUNDDOWN($H32,0))*(INDEX(avoidedcosttbl,ROUNDUP($H32,0),CM$2)-(INDEX(avoidedcosttbl,ROUNDDOWN($H32,0),CM$2)))))*ADRYr1!P32*ADRYr1!Q32*ADRYr1!U32)</f>
        <v/>
      </c>
      <c r="CN32" s="30" t="str">
        <f>IF($G32="","",$G32*(IF(ADRYr1!$AI32=CE$4,ADRYr1!$AJ32,IF(ADRYr1!$AK32=CE$4,ADRYr1!$AL32,IF(ADRYr1!$AM32=CE$4,ADRYr1!$AN32,0))))*(INDEX(avoidedcosttbl,$H32,CN$2)+(($H32-ROUNDDOWN($H32,0))*(INDEX(avoidedcosttbl,ROUNDUP($H32,0),CN$2)-(INDEX(avoidedcosttbl,ROUNDDOWN($H32,0),CN$2)))))*ADRYr1!P32*ADRYr1!Q32*ADRYr1!U32)</f>
        <v/>
      </c>
      <c r="CO32" s="220" t="str">
        <f t="shared" si="40"/>
        <v/>
      </c>
      <c r="CP32" s="220" t="str">
        <f t="shared" si="41"/>
        <v/>
      </c>
      <c r="CQ32" s="157" t="str">
        <f>IF($G32="","",$G32*(IF(ADRYr1!$AI32=CQ$4,ADRYr1!$AJ32,IF(ADRYr1!$AK32=CQ$4,ADRYr1!$AL32,IF(ADRYr1!$AM32=CQ$4,ADRYr1!$AN32,0))))*(INDEX(avoidedcosttbl,$H32,CQ$2)+(($H32-ROUNDDOWN($H32,0))*(INDEX(avoidedcosttbl,ROUNDUP($H32,0),CQ$2)-(INDEX(avoidedcosttbl,ROUNDDOWN($H32,0),CQ$2)))))*ADRYr1!$P32*ADRYr1!$Q32*ADRYr1!$U32)</f>
        <v/>
      </c>
      <c r="CR32" s="28" t="str">
        <f>IF($G32="","",G32*(IF(ADRYr1!$AI32=CR$4,ADRYr1!$AJ32,IF(ADRYr1!$AK32=CR$4,ADRYr1!$AL32,IF(ADRYr1!$AM32=CR$4,ADRYr1!$AN32,0))))*(INDEX(avoidedcosttbl,$H32,CR$2)+(($H32-ROUNDDOWN($H32,0))*(INDEX(avoidedcosttbl,ROUNDUP($H32,0),CR$2)-(INDEX(avoidedcosttbl,ROUNDDOWN($H32,0),CR$2)))))*ADRYr1!$P32*ADRYr1!$Q32*ADRYr1!$U32)</f>
        <v/>
      </c>
      <c r="CS32" s="28" t="str">
        <f>IF($G32="","",G32*(IF(ADRYr1!$AI32=CS$4,ADRYr1!$AJ32,IF(ADRYr1!$AK32=CS$4,ADRYr1!$AL32,IF(ADRYr1!$AM32=CS$4,ADRYr1!$AN32,0))))*(INDEX(avoidedcosttbl,$H32,CS$2)+(($H32-ROUNDDOWN($H32,0))*(INDEX(avoidedcosttbl,ROUNDUP($H32,0),CS$2)-(INDEX(avoidedcosttbl,ROUNDDOWN($H32,0),CS$2)))))*ADRYr1!$P32*ADRYr1!$Q32*ADRYr1!$U32)</f>
        <v/>
      </c>
      <c r="CT32" s="28" t="str">
        <f t="shared" si="12"/>
        <v/>
      </c>
      <c r="CU32" s="28" t="str">
        <f>IF($G32="","",G32*(IF(ADRYr1!$AI32=CU$4,ADRYr1!$AJ32,IF(ADRYr1!$AK32=CU$4,ADRYr1!$AL32,IF(ADRYr1!$AM32=CU$4,ADRYr1!$AN32,0))))*(INDEX(avoidedcosttbl,$H32,CU$2)+(($H32-ROUNDDOWN($H32,0))*(INDEX(avoidedcosttbl,ROUNDUP($H32,0),CU$2)-(INDEX(avoidedcosttbl,ROUNDDOWN($H32,0),CU$2)))))*ADRYr1!$P32*ADRYr1!$Q32*ADRYr1!$U32)</f>
        <v/>
      </c>
      <c r="CV32" s="28" t="str">
        <f>IF($G32="","",G32*(IF(ADRYr1!$AI32=CV$4,ADRYr1!$AJ32,IF(ADRYr1!$AK32=CV$4,ADRYr1!$AL32,IF(ADRYr1!$AM32=CV$4,ADRYr1!$AN32,0))))*(INDEX(avoidedcosttbl,$H32,CV$2)+(($H32-ROUNDDOWN($H32,0))*(INDEX(avoidedcosttbl,ROUNDUP($H32,0),CV$2)-(INDEX(avoidedcosttbl,ROUNDDOWN($H32,0),CV$2)))))*ADRYr1!$P32*ADRYr1!$Q32*ADRYr1!$U32)</f>
        <v/>
      </c>
      <c r="CW32" s="28" t="str">
        <f>IF($G32="","",G32*(IF(ADRYr1!$AI32=CW$4,ADRYr1!$AJ32,IF(ADRYr1!$AK32=CW$4,ADRYr1!$AL32,IF(ADRYr1!$AM32=CW$4,ADRYr1!$AN32,0))))*(INDEX(avoidedcosttbl,$H32,CW$2)+(($H32-ROUNDDOWN($H32,0))*(INDEX(avoidedcosttbl,ROUNDUP($H32,0),CW$2)-(INDEX(avoidedcosttbl,ROUNDDOWN($H32,0),CW$2)))))*ADRYr1!$P32*ADRYr1!$Q32*ADRYr1!$U32)</f>
        <v/>
      </c>
      <c r="CX32" s="28" t="str">
        <f>IF($G32="","",G32*(IF(ADRYr1!$AI32=CX$4,ADRYr1!$AJ32,IF(ADRYr1!$AK32=CX$4,ADRYr1!$AL32,IF(ADRYr1!$AM32=CX$4,ADRYr1!$AN32,0))))*(INDEX(avoidedcosttbl,$H32,CX$2)+(($H32-ROUNDDOWN($H32,0))*(INDEX(avoidedcosttbl,ROUNDUP($H32,0),CX$2)-(INDEX(avoidedcosttbl,ROUNDDOWN($H32,0),CX$2)))))*ADRYr1!$P32*ADRYr1!$Q32*ADRYr1!$U32)</f>
        <v/>
      </c>
      <c r="CY32" s="28" t="str">
        <f t="shared" si="13"/>
        <v/>
      </c>
      <c r="CZ32" s="32" t="str">
        <f t="shared" si="14"/>
        <v/>
      </c>
      <c r="DA32" s="84" t="str">
        <f t="shared" si="42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15"/>
        <v/>
      </c>
      <c r="DD32" s="166" t="str">
        <f t="shared" si="16"/>
        <v/>
      </c>
      <c r="DE32" s="82">
        <f t="shared" si="43"/>
        <v>0</v>
      </c>
      <c r="DF32" s="760" t="str">
        <f>IF($G32="","",(1+WntPeakEnergyLL)*(INDEX(avoidedcosttbl,$H32,DF$2)+(($H32-ROUNDDOWN($H32,0))*(INDEX(avoidedcosttbl,ROUNDUP($H32,0),DF$2)-(INDEX(avoidedcosttbl,ROUNDDOWN($H32,0),DF$2)))))*$P32*1000*ADRYr1!Z32)</f>
        <v/>
      </c>
      <c r="DG32" s="760" t="str">
        <f>IF($G32="","",(1+WntOffPeakEnergyLL)*(INDEX(avoidedcosttbl,$H32,DG$2)+(($H32-ROUNDDOWN($H32,0))*(INDEX(avoidedcosttbl,ROUNDUP($H32,0),DG$2)-(INDEX(avoidedcosttbl,ROUNDDOWN($H32,0),DG$2)))))*$P32*1000*ADRYr1!AA32)</f>
        <v/>
      </c>
      <c r="DH32" s="760" t="str">
        <f>IF($G32="","",(1+SumPeakEnergyLL)*(INDEX(avoidedcosttbl,$H32,DH$2)+(($H32-ROUNDDOWN($H32,0))*(INDEX(avoidedcosttbl,ROUNDUP($H32,0),DH$2)-(INDEX(avoidedcosttbl,ROUNDDOWN($H32,0),DH$2)))))*$P32*1000*ADRYr1!AB32)</f>
        <v/>
      </c>
      <c r="DI32" s="760" t="str">
        <f>IF($G32="","",(1+SumOffPeakEnergyLL)*(INDEX(avoidedcosttbl,$H32,DI$2)+(($H32-ROUNDDOWN($H32,0))*(INDEX(avoidedcosttbl,ROUNDUP($H32,0),DI$2)-(INDEX(avoidedcosttbl,ROUNDDOWN($H32,0),DI$2)))))*$P32*1000*ADRYr1!AC32)</f>
        <v/>
      </c>
      <c r="DJ32" s="29" t="str">
        <f t="shared" si="44"/>
        <v/>
      </c>
      <c r="DK32" s="161" t="str">
        <f t="shared" si="45"/>
        <v/>
      </c>
      <c r="DL32" s="1375" t="str">
        <f t="shared" si="46"/>
        <v/>
      </c>
      <c r="DM32" s="1375" t="str">
        <f t="shared" si="47"/>
        <v/>
      </c>
      <c r="DN32" s="43" t="str">
        <f t="shared" si="48"/>
        <v/>
      </c>
      <c r="DO32" s="1131" t="str">
        <f>IF($G32="","",ADRYr1!AQ32)</f>
        <v/>
      </c>
      <c r="DP32" s="1133" t="str">
        <f>IF($G32="","",ADRYr1!AR32)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17"/>
        <v/>
      </c>
      <c r="DU32" s="1135" t="str">
        <f>IF($G32="","",ADRYr1!AS32)</f>
        <v/>
      </c>
      <c r="DV32" s="1136" t="str">
        <f>IF($G32="","",ADRYr1!AT32)</f>
        <v/>
      </c>
      <c r="DW32" s="1344" t="str">
        <f>IF($G32="","",INDEX(AvoidedEnergy!$H$4:$H$10,MATCH($DO32,AvoidedEnergy!$A$4:$A$10,0)))</f>
        <v/>
      </c>
    </row>
    <row r="33" spans="1:127">
      <c r="A33" s="160" t="str">
        <f>IF(ADRYr1!$B33=0,"",ADRYr1!A33)</f>
        <v>C - Commercial &amp; Industrial</v>
      </c>
      <c r="B33" s="9" t="str">
        <f>IF(ADRYr1!$B33=0,"",ADRYr1!B33)</f>
        <v>C5 - C&amp;I Active Demand Response</v>
      </c>
      <c r="C33" s="9" t="str">
        <f>IF(ADRYr1!$B33=0,"",ADRYr1!C33)</f>
        <v>C5a - C&amp;I Active Demand Response</v>
      </c>
      <c r="D33" s="9" t="str">
        <f>IF(ADRYr1!$B33=0,"",ADRYr1!D33)</f>
        <v>Storage Daily Dispatch Upfront Incentive (savings) Winter</v>
      </c>
      <c r="E33" s="9">
        <f>IF(ADRYr1!$B33=0,"",ADRYr1!E33)</f>
        <v>0</v>
      </c>
      <c r="F33" s="11" t="str">
        <f>IF(ADRYr1!$B33=0,"",ADRYr1!F33)</f>
        <v>Behavior</v>
      </c>
      <c r="G33" s="12" t="str">
        <f>IF(ADRYr1!$G33&lt;&gt;0,ADRYr1!G33,"")</f>
        <v/>
      </c>
      <c r="H33" s="1125" t="str">
        <f>IF($G33="","",ROUND(ADRYr1!H33,0))</f>
        <v/>
      </c>
      <c r="I33" s="47" t="str">
        <f>IF($G33="","",ADRYr1!I33*ADRYr1!P33*G33)</f>
        <v/>
      </c>
      <c r="J33" s="47" t="str">
        <f>IF($G33="","",ADRYr1!J33*G33)</f>
        <v/>
      </c>
      <c r="K33" s="47" t="str">
        <f t="shared" si="18"/>
        <v/>
      </c>
      <c r="L33" s="27" t="str">
        <f>IF($G33="","",ADRYr1!V33*G33/1000)</f>
        <v/>
      </c>
      <c r="M33" s="27" t="str">
        <f>IF($G33="","",L33*ADRYr1!$Q33*ADRYr1!$R33)</f>
        <v/>
      </c>
      <c r="N33" s="27" t="str">
        <f t="shared" si="19"/>
        <v/>
      </c>
      <c r="O33" s="27" t="str">
        <f t="shared" si="20"/>
        <v/>
      </c>
      <c r="P33" s="27" t="str">
        <f>IF($G33="","",M33*ADRYr1!P33)</f>
        <v/>
      </c>
      <c r="Q33" s="27" t="str">
        <f t="shared" si="21"/>
        <v/>
      </c>
      <c r="R33" s="27" t="str">
        <f>IF($G33="","",$Q33*ADRYr1!Z33)</f>
        <v/>
      </c>
      <c r="S33" s="27" t="str">
        <f>IF($G33="","",$Q33*ADRYr1!AA33)</f>
        <v/>
      </c>
      <c r="T33" s="27" t="str">
        <f>IF($G33="","",$Q33*ADRYr1!AB33)</f>
        <v/>
      </c>
      <c r="U33" s="27" t="str">
        <f>IF($G33="","",$Q33*ADRYr1!AC33)</f>
        <v/>
      </c>
      <c r="V33" s="27" t="str">
        <f>IF($G33="","",G33*ADRYr1!$AD33*ADRYr1!$P33*ADRYr1!$Q33)</f>
        <v/>
      </c>
      <c r="W33" s="27" t="str">
        <f>IF($G33="","",$G33*ADRYr1!$AD33*ADRYr1!$AF33*ADRYr1!Q33*ADRYr1!$S33)</f>
        <v/>
      </c>
      <c r="X33" s="27" t="str">
        <f>IF($G33="","",$G33*ADRYr1!$AD33*ADRYr1!$AF33*ADRYr1!P33*ADRYr1!Q33*ADRYr1!$S33)</f>
        <v/>
      </c>
      <c r="Y33" s="27" t="str">
        <f>IF($G33="","",$G33*ADRYr1!$AD33*ADRYr1!$AE33*ADRYr1!Q33*ADRYr1!$T33)</f>
        <v/>
      </c>
      <c r="Z33" s="27" t="str">
        <f>IF($G33="","",$G33*ADRYr1!$AD33*ADRYr1!$AE33*ADRYr1!P33*ADRYr1!Q33*ADRYr1!$T33)</f>
        <v/>
      </c>
      <c r="AA33" s="45" t="str">
        <f>IF($G33="","",$G33*ADRYr1!$Q33*ADRYr1!$U33*(IF(IFERROR(SEARCH("NG", ADRYr1!$AI33),0),ADRYr1!$AJ33,0)+IF(IFERROR(SEARCH("NG", ADRYr1!$AK33),0),ADRYr1!$AL33,0)+IF(IFERROR(SEARCH("NG", ADRYr1!$AM33),0),ADRYr1!$AN33,0)))</f>
        <v/>
      </c>
      <c r="AB33" s="45" t="str">
        <f t="shared" si="22"/>
        <v/>
      </c>
      <c r="AC33" s="45">
        <f>IF($G33="",0,AA33*ADRYr1!$P33)</f>
        <v>0</v>
      </c>
      <c r="AD33" s="45" t="str">
        <f t="shared" si="23"/>
        <v/>
      </c>
      <c r="AE33" s="45" t="str">
        <f>IF($G33="","",$G33*ADRYr1!$Q33*ADRYr1!$U33*(IF(IFERROR(SEARCH("Oil", ADRYr1!$AI33), 0),ADRYr1!$AJ33,0)+IF(IFERROR(SEARCH("Oil", ADRYr1!$AK33), 0),ADRYr1!$AL33,0)+IF(IFERROR(SEARCH("Oil", ADRYr1!$AM33), 0),ADRYr1!$AN33,0)))</f>
        <v/>
      </c>
      <c r="AF33" s="45" t="str">
        <f t="shared" si="24"/>
        <v/>
      </c>
      <c r="AG33" s="45">
        <f>IF($G33="",0,AE33*ADRYr1!$P33)</f>
        <v>0</v>
      </c>
      <c r="AH33" s="45" t="str">
        <f t="shared" si="25"/>
        <v/>
      </c>
      <c r="AI33" s="45" t="str">
        <f>IF($G33="","",$G33*ADRYr1!$Q33*ADRYr1!$U33*(IF(ADRYr1!$AI33=Lookups!$E$114,ADRYr1!$AJ33,IF(ADRYr1!$AK33=Lookups!$E$114,ADRYr1!$AL33,IF(ADRYr1!$AM33=Lookups!$E$114,ADRYr1!$AN33,0)))))</f>
        <v/>
      </c>
      <c r="AJ33" s="45" t="str">
        <f t="shared" si="26"/>
        <v/>
      </c>
      <c r="AK33" s="45">
        <f>IF($G33="",0,AI33*ADRYr1!$P33)</f>
        <v>0</v>
      </c>
      <c r="AL33" s="45" t="str">
        <f t="shared" si="27"/>
        <v/>
      </c>
      <c r="AM33" s="45" t="str">
        <f>IF($G33="","",$G33*ADRYr1!$Q33*ADRYr1!$U33*(IF(ADRYr1!$AI33=Lookups!$E$113,ADRYr1!$AJ33,IF(ADRYr1!$AK33=Lookups!$E$113,ADRYr1!$AL33,IF(ADRYr1!$AM33=Lookups!$E$113,ADRYr1!$AN33,0)))))</f>
        <v/>
      </c>
      <c r="AN33" s="45" t="str">
        <f t="shared" si="28"/>
        <v/>
      </c>
      <c r="AO33" s="45">
        <f>IF($G33="",0,AM33*ADRYr1!$P33)</f>
        <v>0</v>
      </c>
      <c r="AP33" s="45" t="str">
        <f t="shared" si="29"/>
        <v/>
      </c>
      <c r="AQ33" s="45" t="str">
        <f>IF($G33="","",$G33*ADRYr1!$Q33*ADRYr1!$U33*(IF(ADRYr1!$AI33=Lookups!$E$115,ADRYr1!$AJ33,IF(ADRYr1!$AK33=Lookups!$E$115,ADRYr1!$AL33,IF(ADRYr1!$AM33=Lookups!$E$115,ADRYr1!$AN33,0)))))</f>
        <v/>
      </c>
      <c r="AR33" s="45" t="str">
        <f t="shared" si="30"/>
        <v/>
      </c>
      <c r="AS33" s="45" t="str">
        <f>IF($G33="","",AQ33*ADRYr1!$P33)</f>
        <v/>
      </c>
      <c r="AT33" s="45" t="str">
        <f t="shared" si="31"/>
        <v/>
      </c>
      <c r="AU33" s="45" t="str">
        <f>IF($G33="","",$G33*ADRYr1!$Q33*ADRYr1!$U33*(IF(ADRYr1!$AI33=Lookups!$E$116,ADRYr1!$AJ33,IF(ADRYr1!$AK33=Lookups!$E$116,ADRYr1!$AL33,IF(ADRYr1!$AM33=Lookups!$E$116,ADRYr1!$AN33,0)))))</f>
        <v/>
      </c>
      <c r="AV33" s="45" t="str">
        <f t="shared" si="32"/>
        <v/>
      </c>
      <c r="AW33" s="45" t="str">
        <f>IF($G33="","",AU33*ADRYr1!$P33)</f>
        <v/>
      </c>
      <c r="AX33" s="45" t="str">
        <f t="shared" si="33"/>
        <v/>
      </c>
      <c r="AY33" s="45">
        <f t="shared" si="49"/>
        <v>0</v>
      </c>
      <c r="AZ33" s="45">
        <f t="shared" si="49"/>
        <v>0</v>
      </c>
      <c r="BA33" s="101" t="str">
        <f>IF($G33="","",$G33*ADRYr1!$P33*ADRYr1!$Q33*ADRYr1!$U33*ADRYr1!AO33)</f>
        <v/>
      </c>
      <c r="BB33" s="102" t="str">
        <f>IF($G33="","",$G33*ADRYr1!$P33*ADRYr1!$Q33*ADRYr1!$U33*ADRYr1!AP33)</f>
        <v/>
      </c>
      <c r="BC33" s="100" t="str">
        <f t="shared" si="35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5"/>
        <v/>
      </c>
      <c r="BO33" s="31" t="str">
        <f t="shared" si="36"/>
        <v/>
      </c>
      <c r="BP33" s="1129" t="str">
        <f t="shared" si="6"/>
        <v/>
      </c>
      <c r="BQ33" s="28" t="str">
        <f t="shared" si="7"/>
        <v/>
      </c>
      <c r="BR33" s="1129" t="str">
        <f t="shared" si="8"/>
        <v/>
      </c>
      <c r="BS33" s="1129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7"/>
        <v/>
      </c>
      <c r="BX33" s="29" t="str">
        <f t="shared" si="38"/>
        <v/>
      </c>
      <c r="BY33" s="28" t="str">
        <f>IF($G33="","",$G33*(IF(ADRYr1!$AI33=BY$4,ADRYr1!$AJ33,IF(ADRYr1!$AK33=BY$4,ADRYr1!$AL33,IF(ADRYr1!$AM33=BY$4,ADRYr1!$AN33,0))))*(INDEX(avoidedcosttbl,$H33,BY$2)+(($H33-ROUNDDOWN($H33,0))*(INDEX(avoidedcosttbl,ROUNDUP($H33,0),BY$2)-(INDEX(avoidedcosttbl,ROUNDDOWN($H33,0),BY$2)))))*ADRYr1!P33*ADRYr1!Q33*ADRYr1!U33)</f>
        <v/>
      </c>
      <c r="BZ33" s="28" t="str">
        <f>IF($G33="","",$G33*(IF(ADRYr1!$AI33=BZ$4,ADRYr1!$AJ33,IF(ADRYr1!$AK33=BZ$4,ADRYr1!$AL33,IF(ADRYr1!$AM33=BZ$4,ADRYr1!$AN33,0))))*(INDEX(avoidedcosttbl,$H33,BZ$2)+(($H33-ROUNDDOWN($H33,0))*(INDEX(avoidedcosttbl,ROUNDUP($H33,0),BZ$2)-(INDEX(avoidedcosttbl,ROUNDDOWN($H33,0),BZ$2)))))*ADRYr1!P33*ADRYr1!Q33*ADRYr1!U33)</f>
        <v/>
      </c>
      <c r="CA33" s="28" t="str">
        <f>IF($G33="","",$G33*(IF(ADRYr1!$AI33=CA$4,ADRYr1!$AJ33,IF(ADRYr1!$AK33=CA$4,ADRYr1!$AL33,IF(ADRYr1!$AM33=CA$4,ADRYr1!$AN33,0))))*(INDEX(avoidedcosttbl,$H33,CA$2)+(($H33-ROUNDDOWN($H33,0))*(INDEX(avoidedcosttbl,ROUNDUP($H33,0),CA$2)-(INDEX(avoidedcosttbl,ROUNDDOWN($H33,0),CA$2)))))*ADRYr1!P33*ADRYr1!Q33*ADRYr1!U33)</f>
        <v/>
      </c>
      <c r="CB33" s="28" t="str">
        <f>IF($G33="","",$G33*(IF(ADRYr1!$AI33=CB$4,ADRYr1!$AJ33,IF(ADRYr1!$AK33=CB$4,ADRYr1!$AL33,IF(ADRYr1!$AM33=CB$4,ADRYr1!$AN33,0))))*(INDEX(avoidedcosttbl,$H33,CB$2)+(($H33-ROUNDDOWN($H33,0))*(INDEX(avoidedcosttbl,ROUNDUP($H33,0),CB$2)-(INDEX(avoidedcosttbl,ROUNDDOWN($H33,0),CB$2)))))*ADRYr1!P33*ADRYr1!Q33*ADRYr1!U33)</f>
        <v/>
      </c>
      <c r="CC33" s="28" t="str">
        <f>IF($G33="","",$G33*(IF(ADRYr1!$AI33=CC$4,ADRYr1!$AJ33,IF(ADRYr1!$AK33=CC$4,ADRYr1!$AL33,IF(ADRYr1!$AM33=CC$4,ADRYr1!$AN33,0))))*(INDEX(avoidedcosttbl,$H33,CC$2)+(($H33-ROUNDDOWN($H33,0))*(INDEX(avoidedcosttbl,ROUNDUP($H33,0),CC$2)-(INDEX(avoidedcosttbl,ROUNDDOWN($H33,0),CC$2)))))*ADRYr1!P33*ADRYr1!Q33*ADRYr1!U33)</f>
        <v/>
      </c>
      <c r="CD33" s="28" t="str">
        <f>IF($G33="","",$G33*(IF(ADRYr1!$AI33=CD$4,ADRYr1!$AJ33,IF(ADRYr1!$AK33=CD$4,ADRYr1!$AL33,IF(ADRYr1!$AM33=CD$4,ADRYr1!$AN33,0))))*(INDEX(avoidedcosttbl,$H33,CD$2)+(($H33-ROUNDDOWN($H33,0))*(INDEX(avoidedcosttbl,ROUNDUP($H33,0),CD$2)-(INDEX(avoidedcosttbl,ROUNDDOWN($H33,0),CD$2)))))*ADRYr1!P33*ADRYr1!Q33*ADRYr1!U33)</f>
        <v/>
      </c>
      <c r="CE33" s="28" t="str">
        <f>IF($G33="","",$G33*(IF(ADRYr1!$AI33=CE$4,ADRYr1!$AJ33,IF(ADRYr1!$AK33=CE$4,ADRYr1!$AL33,IF(ADRYr1!$AM33=CE$4,ADRYr1!$AN33,0))))*(INDEX(avoidedcosttbl,$H33,CE$2)+(($H33-ROUNDDOWN($H33,0))*(INDEX(avoidedcosttbl,ROUNDUP($H33,0),CE$2)-(INDEX(avoidedcosttbl,ROUNDDOWN($H33,0),CE$2)))))*ADRYr1!P33*ADRYr1!Q33*ADRYr1!U33)</f>
        <v/>
      </c>
      <c r="CF33" s="41" t="str">
        <f t="shared" si="39"/>
        <v/>
      </c>
      <c r="CG33" s="30" t="str">
        <f t="shared" si="11"/>
        <v/>
      </c>
      <c r="CH33" s="30" t="str">
        <f>IF($G33="","",$G33*(IF(ADRYr1!$AI33=BY$4,ADRYr1!$AJ33,IF(ADRYr1!$AK33=BY$4,ADRYr1!$AL33,IF(ADRYr1!$AM33=BY$4,ADRYr1!$AN33,0))))*(INDEX(avoidedcosttbl,$H33,CH$2)+(($H33-ROUNDDOWN($H33,0))*(INDEX(avoidedcosttbl,ROUNDUP($H33,0),CH$2)-(INDEX(avoidedcosttbl,ROUNDDOWN($H33,0),CH$2)))))*ADRYr1!P33*ADRYr1!Q33*ADRYr1!U33)</f>
        <v/>
      </c>
      <c r="CI33" s="30" t="str">
        <f>IF($G33="","",$G33*(IF(ADRYr1!$AI33=BZ$4,ADRYr1!$AJ33,IF(ADRYr1!$AK33=BZ$4,ADRYr1!$AL33,IF(ADRYr1!$AM33=BZ$4,ADRYr1!$AN33,0))))*(INDEX(avoidedcosttbl,$H33,CI$2)+(($H33-ROUNDDOWN($H33,0))*(INDEX(avoidedcosttbl,ROUNDUP($H33,0),CI$2)-(INDEX(avoidedcosttbl,ROUNDDOWN($H33,0),CI$2)))))*ADRYr1!P33*ADRYr1!Q33*ADRYr1!U33)</f>
        <v/>
      </c>
      <c r="CJ33" s="30" t="str">
        <f>IF($G33="","",$G33*(IF(ADRYr1!$AI33=CA$4,ADRYr1!$AJ33,IF(ADRYr1!$AK33=CA$4,ADRYr1!$AL33,IF(ADRYr1!$AM33=CA$4,ADRYr1!$AN33,0))))*(INDEX(avoidedcosttbl,$H33,CJ$2)+(($H33-ROUNDDOWN($H33,0))*(INDEX(avoidedcosttbl,ROUNDUP($H33,0),CJ$2)-(INDEX(avoidedcosttbl,ROUNDDOWN($H33,0),CJ$2)))))*ADRYr1!P33*ADRYr1!Q33*ADRYr1!U33)</f>
        <v/>
      </c>
      <c r="CK33" s="30" t="str">
        <f>IF($G33="","",$G33*(IF(ADRYr1!$AI33=CB$4,ADRYr1!$AJ33,IF(ADRYr1!$AK33=CB$4,ADRYr1!$AL33,IF(ADRYr1!$AM33=CB$4,ADRYr1!$AN33,0))))*(INDEX(avoidedcosttbl,$H33,CK$2)+(($H33-ROUNDDOWN($H33,0))*(INDEX(avoidedcosttbl,ROUNDUP($H33,0),CK$2)-(INDEX(avoidedcosttbl,ROUNDDOWN($H33,0),CK$2)))))*ADRYr1!P33*ADRYr1!Q33*ADRYr1!U33)</f>
        <v/>
      </c>
      <c r="CL33" s="30" t="str">
        <f>IF($G33="","",$G33*(IF(ADRYr1!$AI33=CC$4,ADRYr1!$AJ33,IF(ADRYr1!$AK33=CC$4,ADRYr1!$AL33,IF(ADRYr1!$AM33=CC$4,ADRYr1!$AN33,0))))*(INDEX(avoidedcosttbl,$H33,CL$2)+(($H33-ROUNDDOWN($H33,0))*(INDEX(avoidedcosttbl,ROUNDUP($H33,0),CL$2)-(INDEX(avoidedcosttbl,ROUNDDOWN($H33,0),CL$2)))))*ADRYr1!P33*ADRYr1!Q33*ADRYr1!U33)</f>
        <v/>
      </c>
      <c r="CM33" s="30" t="str">
        <f>IF($G33="","",$G33*(IF(ADRYr1!$AI33=CD$4,ADRYr1!$AJ33,IF(ADRYr1!$AK33=CD$4,ADRYr1!$AL33,IF(ADRYr1!$AM33=CD$4,ADRYr1!$AN33,0))))*(INDEX(avoidedcosttbl,$H33,CM$2)+(($H33-ROUNDDOWN($H33,0))*(INDEX(avoidedcosttbl,ROUNDUP($H33,0),CM$2)-(INDEX(avoidedcosttbl,ROUNDDOWN($H33,0),CM$2)))))*ADRYr1!P33*ADRYr1!Q33*ADRYr1!U33)</f>
        <v/>
      </c>
      <c r="CN33" s="30" t="str">
        <f>IF($G33="","",$G33*(IF(ADRYr1!$AI33=CE$4,ADRYr1!$AJ33,IF(ADRYr1!$AK33=CE$4,ADRYr1!$AL33,IF(ADRYr1!$AM33=CE$4,ADRYr1!$AN33,0))))*(INDEX(avoidedcosttbl,$H33,CN$2)+(($H33-ROUNDDOWN($H33,0))*(INDEX(avoidedcosttbl,ROUNDUP($H33,0),CN$2)-(INDEX(avoidedcosttbl,ROUNDDOWN($H33,0),CN$2)))))*ADRYr1!P33*ADRYr1!Q33*ADRYr1!U33)</f>
        <v/>
      </c>
      <c r="CO33" s="220" t="str">
        <f t="shared" si="40"/>
        <v/>
      </c>
      <c r="CP33" s="220" t="str">
        <f t="shared" si="41"/>
        <v/>
      </c>
      <c r="CQ33" s="157" t="str">
        <f>IF($G33="","",$G33*(IF(ADRYr1!$AI33=CQ$4,ADRYr1!$AJ33,IF(ADRYr1!$AK33=CQ$4,ADRYr1!$AL33,IF(ADRYr1!$AM33=CQ$4,ADRYr1!$AN33,0))))*(INDEX(avoidedcosttbl,$H33,CQ$2)+(($H33-ROUNDDOWN($H33,0))*(INDEX(avoidedcosttbl,ROUNDUP($H33,0),CQ$2)-(INDEX(avoidedcosttbl,ROUNDDOWN($H33,0),CQ$2)))))*ADRYr1!$P33*ADRYr1!$Q33*ADRYr1!$U33)</f>
        <v/>
      </c>
      <c r="CR33" s="28" t="str">
        <f>IF($G33="","",G33*(IF(ADRYr1!$AI33=CR$4,ADRYr1!$AJ33,IF(ADRYr1!$AK33=CR$4,ADRYr1!$AL33,IF(ADRYr1!$AM33=CR$4,ADRYr1!$AN33,0))))*(INDEX(avoidedcosttbl,$H33,CR$2)+(($H33-ROUNDDOWN($H33,0))*(INDEX(avoidedcosttbl,ROUNDUP($H33,0),CR$2)-(INDEX(avoidedcosttbl,ROUNDDOWN($H33,0),CR$2)))))*ADRYr1!$P33*ADRYr1!$Q33*ADRYr1!$U33)</f>
        <v/>
      </c>
      <c r="CS33" s="28" t="str">
        <f>IF($G33="","",G33*(IF(ADRYr1!$AI33=CS$4,ADRYr1!$AJ33,IF(ADRYr1!$AK33=CS$4,ADRYr1!$AL33,IF(ADRYr1!$AM33=CS$4,ADRYr1!$AN33,0))))*(INDEX(avoidedcosttbl,$H33,CS$2)+(($H33-ROUNDDOWN($H33,0))*(INDEX(avoidedcosttbl,ROUNDUP($H33,0),CS$2)-(INDEX(avoidedcosttbl,ROUNDDOWN($H33,0),CS$2)))))*ADRYr1!$P33*ADRYr1!$Q33*ADRYr1!$U33)</f>
        <v/>
      </c>
      <c r="CT33" s="28" t="str">
        <f t="shared" si="12"/>
        <v/>
      </c>
      <c r="CU33" s="28" t="str">
        <f>IF($G33="","",G33*(IF(ADRYr1!$AI33=CU$4,ADRYr1!$AJ33,IF(ADRYr1!$AK33=CU$4,ADRYr1!$AL33,IF(ADRYr1!$AM33=CU$4,ADRYr1!$AN33,0))))*(INDEX(avoidedcosttbl,$H33,CU$2)+(($H33-ROUNDDOWN($H33,0))*(INDEX(avoidedcosttbl,ROUNDUP($H33,0),CU$2)-(INDEX(avoidedcosttbl,ROUNDDOWN($H33,0),CU$2)))))*ADRYr1!$P33*ADRYr1!$Q33*ADRYr1!$U33)</f>
        <v/>
      </c>
      <c r="CV33" s="28" t="str">
        <f>IF($G33="","",G33*(IF(ADRYr1!$AI33=CV$4,ADRYr1!$AJ33,IF(ADRYr1!$AK33=CV$4,ADRYr1!$AL33,IF(ADRYr1!$AM33=CV$4,ADRYr1!$AN33,0))))*(INDEX(avoidedcosttbl,$H33,CV$2)+(($H33-ROUNDDOWN($H33,0))*(INDEX(avoidedcosttbl,ROUNDUP($H33,0),CV$2)-(INDEX(avoidedcosttbl,ROUNDDOWN($H33,0),CV$2)))))*ADRYr1!$P33*ADRYr1!$Q33*ADRYr1!$U33)</f>
        <v/>
      </c>
      <c r="CW33" s="28" t="str">
        <f>IF($G33="","",G33*(IF(ADRYr1!$AI33=CW$4,ADRYr1!$AJ33,IF(ADRYr1!$AK33=CW$4,ADRYr1!$AL33,IF(ADRYr1!$AM33=CW$4,ADRYr1!$AN33,0))))*(INDEX(avoidedcosttbl,$H33,CW$2)+(($H33-ROUNDDOWN($H33,0))*(INDEX(avoidedcosttbl,ROUNDUP($H33,0),CW$2)-(INDEX(avoidedcosttbl,ROUNDDOWN($H33,0),CW$2)))))*ADRYr1!$P33*ADRYr1!$Q33*ADRYr1!$U33)</f>
        <v/>
      </c>
      <c r="CX33" s="28" t="str">
        <f>IF($G33="","",G33*(IF(ADRYr1!$AI33=CX$4,ADRYr1!$AJ33,IF(ADRYr1!$AK33=CX$4,ADRYr1!$AL33,IF(ADRYr1!$AM33=CX$4,ADRYr1!$AN33,0))))*(INDEX(avoidedcosttbl,$H33,CX$2)+(($H33-ROUNDDOWN($H33,0))*(INDEX(avoidedcosttbl,ROUNDUP($H33,0),CX$2)-(INDEX(avoidedcosttbl,ROUNDDOWN($H33,0),CX$2)))))*ADRYr1!$P33*ADRYr1!$Q33*ADRYr1!$U33)</f>
        <v/>
      </c>
      <c r="CY33" s="28" t="str">
        <f t="shared" si="13"/>
        <v/>
      </c>
      <c r="CZ33" s="32" t="str">
        <f t="shared" si="14"/>
        <v/>
      </c>
      <c r="DA33" s="84" t="str">
        <f t="shared" si="42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15"/>
        <v/>
      </c>
      <c r="DD33" s="166" t="str">
        <f t="shared" si="16"/>
        <v/>
      </c>
      <c r="DE33" s="82">
        <f t="shared" si="43"/>
        <v>0</v>
      </c>
      <c r="DF33" s="760" t="str">
        <f>IF($G33="","",(1+WntPeakEnergyLL)*(INDEX(avoidedcosttbl,$H33,DF$2)+(($H33-ROUNDDOWN($H33,0))*(INDEX(avoidedcosttbl,ROUNDUP($H33,0),DF$2)-(INDEX(avoidedcosttbl,ROUNDDOWN($H33,0),DF$2)))))*$P33*1000*ADRYr1!Z33)</f>
        <v/>
      </c>
      <c r="DG33" s="760" t="str">
        <f>IF($G33="","",(1+WntOffPeakEnergyLL)*(INDEX(avoidedcosttbl,$H33,DG$2)+(($H33-ROUNDDOWN($H33,0))*(INDEX(avoidedcosttbl,ROUNDUP($H33,0),DG$2)-(INDEX(avoidedcosttbl,ROUNDDOWN($H33,0),DG$2)))))*$P33*1000*ADRYr1!AA33)</f>
        <v/>
      </c>
      <c r="DH33" s="760" t="str">
        <f>IF($G33="","",(1+SumPeakEnergyLL)*(INDEX(avoidedcosttbl,$H33,DH$2)+(($H33-ROUNDDOWN($H33,0))*(INDEX(avoidedcosttbl,ROUNDUP($H33,0),DH$2)-(INDEX(avoidedcosttbl,ROUNDDOWN($H33,0),DH$2)))))*$P33*1000*ADRYr1!AB33)</f>
        <v/>
      </c>
      <c r="DI33" s="760" t="str">
        <f>IF($G33="","",(1+SumOffPeakEnergyLL)*(INDEX(avoidedcosttbl,$H33,DI$2)+(($H33-ROUNDDOWN($H33,0))*(INDEX(avoidedcosttbl,ROUNDUP($H33,0),DI$2)-(INDEX(avoidedcosttbl,ROUNDDOWN($H33,0),DI$2)))))*$P33*1000*ADRYr1!AC33)</f>
        <v/>
      </c>
      <c r="DJ33" s="29" t="str">
        <f t="shared" si="44"/>
        <v/>
      </c>
      <c r="DK33" s="161" t="str">
        <f t="shared" si="45"/>
        <v/>
      </c>
      <c r="DL33" s="1375" t="str">
        <f t="shared" si="46"/>
        <v/>
      </c>
      <c r="DM33" s="1375" t="str">
        <f t="shared" si="47"/>
        <v/>
      </c>
      <c r="DN33" s="43" t="str">
        <f t="shared" si="48"/>
        <v/>
      </c>
      <c r="DO33" s="1131" t="str">
        <f>IF($G33="","",ADRYr1!AQ33)</f>
        <v/>
      </c>
      <c r="DP33" s="1133" t="str">
        <f>IF($G33="","",ADRYr1!AR33)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17"/>
        <v/>
      </c>
      <c r="DU33" s="1135" t="str">
        <f>IF($G33="","",ADRYr1!AS33)</f>
        <v/>
      </c>
      <c r="DV33" s="1136" t="str">
        <f>IF($G33="","",ADRYr1!AT33)</f>
        <v/>
      </c>
      <c r="DW33" s="1344" t="str">
        <f>IF($G33="","",INDEX(AvoidedEnergy!$H$4:$H$10,MATCH($DO33,AvoidedEnergy!$A$4:$A$10,0)))</f>
        <v/>
      </c>
    </row>
    <row r="34" spans="1:127">
      <c r="A34" s="160" t="str">
        <f>IF(ADRYr1!$B34=0,"",ADRYr1!A34)</f>
        <v>C - Commercial &amp; Industrial</v>
      </c>
      <c r="B34" s="9" t="str">
        <f>IF(ADRYr1!$B34=0,"",ADRYr1!B34)</f>
        <v>C5 - C&amp;I Active Demand Response</v>
      </c>
      <c r="C34" s="9" t="str">
        <f>IF(ADRYr1!$B34=0,"",ADRYr1!C34)</f>
        <v>C5a - C&amp;I Active Demand Response</v>
      </c>
      <c r="D34" s="9" t="str">
        <f>IF(ADRYr1!$B34=0,"",ADRYr1!D34)</f>
        <v>Storage Daily Dispatch Upfront Incentive (consumption) Winter</v>
      </c>
      <c r="E34" s="9">
        <f>IF(ADRYr1!$B34=0,"",ADRYr1!E34)</f>
        <v>0</v>
      </c>
      <c r="F34" s="11" t="str">
        <f>IF(ADRYr1!$B34=0,"",ADRYr1!F34)</f>
        <v>Behavior</v>
      </c>
      <c r="G34" s="12" t="str">
        <f>IF(ADRYr1!$G34&lt;&gt;0,ADRYr1!G34,"")</f>
        <v/>
      </c>
      <c r="H34" s="1125" t="str">
        <f>IF($G34="","",ROUND(ADRYr1!H34,0))</f>
        <v/>
      </c>
      <c r="I34" s="47" t="str">
        <f>IF($G34="","",ADRYr1!I34*ADRYr1!P34*G34)</f>
        <v/>
      </c>
      <c r="J34" s="47" t="str">
        <f>IF($G34="","",ADRYr1!J34*G34)</f>
        <v/>
      </c>
      <c r="K34" s="47" t="str">
        <f t="shared" si="18"/>
        <v/>
      </c>
      <c r="L34" s="27" t="str">
        <f>IF($G34="","",ADRYr1!V34*G34/1000)</f>
        <v/>
      </c>
      <c r="M34" s="27" t="str">
        <f>IF($G34="","",L34*ADRYr1!$Q34*ADRYr1!$R34)</f>
        <v/>
      </c>
      <c r="N34" s="27" t="str">
        <f t="shared" si="19"/>
        <v/>
      </c>
      <c r="O34" s="27" t="str">
        <f t="shared" si="20"/>
        <v/>
      </c>
      <c r="P34" s="27" t="str">
        <f>IF($G34="","",M34*ADRYr1!P34)</f>
        <v/>
      </c>
      <c r="Q34" s="27" t="str">
        <f t="shared" si="21"/>
        <v/>
      </c>
      <c r="R34" s="27" t="str">
        <f>IF($G34="","",$Q34*ADRYr1!Z34)</f>
        <v/>
      </c>
      <c r="S34" s="27" t="str">
        <f>IF($G34="","",$Q34*ADRYr1!AA34)</f>
        <v/>
      </c>
      <c r="T34" s="27" t="str">
        <f>IF($G34="","",$Q34*ADRYr1!AB34)</f>
        <v/>
      </c>
      <c r="U34" s="27" t="str">
        <f>IF($G34="","",$Q34*ADRYr1!AC34)</f>
        <v/>
      </c>
      <c r="V34" s="27" t="str">
        <f>IF($G34="","",G34*ADRYr1!$AD34*ADRYr1!$P34*ADRYr1!$Q34)</f>
        <v/>
      </c>
      <c r="W34" s="27" t="str">
        <f>IF($G34="","",$G34*ADRYr1!$AD34*ADRYr1!$AF34*ADRYr1!Q34*ADRYr1!$S34)</f>
        <v/>
      </c>
      <c r="X34" s="27" t="str">
        <f>IF($G34="","",$G34*ADRYr1!$AD34*ADRYr1!$AF34*ADRYr1!P34*ADRYr1!Q34*ADRYr1!$S34)</f>
        <v/>
      </c>
      <c r="Y34" s="27" t="str">
        <f>IF($G34="","",$G34*ADRYr1!$AD34*ADRYr1!$AE34*ADRYr1!Q34*ADRYr1!$T34)</f>
        <v/>
      </c>
      <c r="Z34" s="27" t="str">
        <f>IF($G34="","",$G34*ADRYr1!$AD34*ADRYr1!$AE34*ADRYr1!P34*ADRYr1!Q34*ADRYr1!$T34)</f>
        <v/>
      </c>
      <c r="AA34" s="45" t="str">
        <f>IF($G34="","",$G34*ADRYr1!$Q34*ADRYr1!$U34*(IF(IFERROR(SEARCH("NG", ADRYr1!$AI34),0),ADRYr1!$AJ34,0)+IF(IFERROR(SEARCH("NG", ADRYr1!$AK34),0),ADRYr1!$AL34,0)+IF(IFERROR(SEARCH("NG", ADRYr1!$AM34),0),ADRYr1!$AN34,0)))</f>
        <v/>
      </c>
      <c r="AB34" s="45" t="str">
        <f t="shared" si="22"/>
        <v/>
      </c>
      <c r="AC34" s="45">
        <f>IF($G34="",0,AA34*ADRYr1!$P34)</f>
        <v>0</v>
      </c>
      <c r="AD34" s="45" t="str">
        <f t="shared" si="23"/>
        <v/>
      </c>
      <c r="AE34" s="45" t="str">
        <f>IF($G34="","",$G34*ADRYr1!$Q34*ADRYr1!$U34*(IF(IFERROR(SEARCH("Oil", ADRYr1!$AI34), 0),ADRYr1!$AJ34,0)+IF(IFERROR(SEARCH("Oil", ADRYr1!$AK34), 0),ADRYr1!$AL34,0)+IF(IFERROR(SEARCH("Oil", ADRYr1!$AM34), 0),ADRYr1!$AN34,0)))</f>
        <v/>
      </c>
      <c r="AF34" s="45" t="str">
        <f t="shared" si="24"/>
        <v/>
      </c>
      <c r="AG34" s="45">
        <f>IF($G34="",0,AE34*ADRYr1!$P34)</f>
        <v>0</v>
      </c>
      <c r="AH34" s="45" t="str">
        <f t="shared" si="25"/>
        <v/>
      </c>
      <c r="AI34" s="45" t="str">
        <f>IF($G34="","",$G34*ADRYr1!$Q34*ADRYr1!$U34*(IF(ADRYr1!$AI34=Lookups!$E$114,ADRYr1!$AJ34,IF(ADRYr1!$AK34=Lookups!$E$114,ADRYr1!$AL34,IF(ADRYr1!$AM34=Lookups!$E$114,ADRYr1!$AN34,0)))))</f>
        <v/>
      </c>
      <c r="AJ34" s="45" t="str">
        <f t="shared" si="26"/>
        <v/>
      </c>
      <c r="AK34" s="45">
        <f>IF($G34="",0,AI34*ADRYr1!$P34)</f>
        <v>0</v>
      </c>
      <c r="AL34" s="45" t="str">
        <f t="shared" si="27"/>
        <v/>
      </c>
      <c r="AM34" s="45" t="str">
        <f>IF($G34="","",$G34*ADRYr1!$Q34*ADRYr1!$U34*(IF(ADRYr1!$AI34=Lookups!$E$113,ADRYr1!$AJ34,IF(ADRYr1!$AK34=Lookups!$E$113,ADRYr1!$AL34,IF(ADRYr1!$AM34=Lookups!$E$113,ADRYr1!$AN34,0)))))</f>
        <v/>
      </c>
      <c r="AN34" s="45" t="str">
        <f t="shared" si="28"/>
        <v/>
      </c>
      <c r="AO34" s="45">
        <f>IF($G34="",0,AM34*ADRYr1!$P34)</f>
        <v>0</v>
      </c>
      <c r="AP34" s="45" t="str">
        <f t="shared" si="29"/>
        <v/>
      </c>
      <c r="AQ34" s="45" t="str">
        <f>IF($G34="","",$G34*ADRYr1!$Q34*ADRYr1!$U34*(IF(ADRYr1!$AI34=Lookups!$E$115,ADRYr1!$AJ34,IF(ADRYr1!$AK34=Lookups!$E$115,ADRYr1!$AL34,IF(ADRYr1!$AM34=Lookups!$E$115,ADRYr1!$AN34,0)))))</f>
        <v/>
      </c>
      <c r="AR34" s="45" t="str">
        <f t="shared" si="30"/>
        <v/>
      </c>
      <c r="AS34" s="45" t="str">
        <f>IF($G34="","",AQ34*ADRYr1!$P34)</f>
        <v/>
      </c>
      <c r="AT34" s="45" t="str">
        <f t="shared" si="31"/>
        <v/>
      </c>
      <c r="AU34" s="45" t="str">
        <f>IF($G34="","",$G34*ADRYr1!$Q34*ADRYr1!$U34*(IF(ADRYr1!$AI34=Lookups!$E$116,ADRYr1!$AJ34,IF(ADRYr1!$AK34=Lookups!$E$116,ADRYr1!$AL34,IF(ADRYr1!$AM34=Lookups!$E$116,ADRYr1!$AN34,0)))))</f>
        <v/>
      </c>
      <c r="AV34" s="45" t="str">
        <f t="shared" si="32"/>
        <v/>
      </c>
      <c r="AW34" s="45" t="str">
        <f>IF($G34="","",AU34*ADRYr1!$P34)</f>
        <v/>
      </c>
      <c r="AX34" s="45" t="str">
        <f t="shared" si="33"/>
        <v/>
      </c>
      <c r="AY34" s="45">
        <f t="shared" si="49"/>
        <v>0</v>
      </c>
      <c r="AZ34" s="45">
        <f t="shared" si="49"/>
        <v>0</v>
      </c>
      <c r="BA34" s="101" t="str">
        <f>IF($G34="","",$G34*ADRYr1!$P34*ADRYr1!$Q34*ADRYr1!$U34*ADRYr1!AO34)</f>
        <v/>
      </c>
      <c r="BB34" s="102" t="str">
        <f>IF($G34="","",$G34*ADRYr1!$P34*ADRYr1!$Q34*ADRYr1!$U34*ADRYr1!AP34)</f>
        <v/>
      </c>
      <c r="BC34" s="100" t="str">
        <f t="shared" si="35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5"/>
        <v/>
      </c>
      <c r="BO34" s="31" t="str">
        <f t="shared" si="36"/>
        <v/>
      </c>
      <c r="BP34" s="1129" t="str">
        <f t="shared" si="6"/>
        <v/>
      </c>
      <c r="BQ34" s="28" t="str">
        <f t="shared" si="7"/>
        <v/>
      </c>
      <c r="BR34" s="1129" t="str">
        <f t="shared" si="8"/>
        <v/>
      </c>
      <c r="BS34" s="1129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7"/>
        <v/>
      </c>
      <c r="BX34" s="29" t="str">
        <f t="shared" si="38"/>
        <v/>
      </c>
      <c r="BY34" s="28" t="str">
        <f>IF($G34="","",$G34*(IF(ADRYr1!$AI34=BY$4,ADRYr1!$AJ34,IF(ADRYr1!$AK34=BY$4,ADRYr1!$AL34,IF(ADRYr1!$AM34=BY$4,ADRYr1!$AN34,0))))*(INDEX(avoidedcosttbl,$H34,BY$2)+(($H34-ROUNDDOWN($H34,0))*(INDEX(avoidedcosttbl,ROUNDUP($H34,0),BY$2)-(INDEX(avoidedcosttbl,ROUNDDOWN($H34,0),BY$2)))))*ADRYr1!P34*ADRYr1!Q34*ADRYr1!U34)</f>
        <v/>
      </c>
      <c r="BZ34" s="28" t="str">
        <f>IF($G34="","",$G34*(IF(ADRYr1!$AI34=BZ$4,ADRYr1!$AJ34,IF(ADRYr1!$AK34=BZ$4,ADRYr1!$AL34,IF(ADRYr1!$AM34=BZ$4,ADRYr1!$AN34,0))))*(INDEX(avoidedcosttbl,$H34,BZ$2)+(($H34-ROUNDDOWN($H34,0))*(INDEX(avoidedcosttbl,ROUNDUP($H34,0),BZ$2)-(INDEX(avoidedcosttbl,ROUNDDOWN($H34,0),BZ$2)))))*ADRYr1!P34*ADRYr1!Q34*ADRYr1!U34)</f>
        <v/>
      </c>
      <c r="CA34" s="28" t="str">
        <f>IF($G34="","",$G34*(IF(ADRYr1!$AI34=CA$4,ADRYr1!$AJ34,IF(ADRYr1!$AK34=CA$4,ADRYr1!$AL34,IF(ADRYr1!$AM34=CA$4,ADRYr1!$AN34,0))))*(INDEX(avoidedcosttbl,$H34,CA$2)+(($H34-ROUNDDOWN($H34,0))*(INDEX(avoidedcosttbl,ROUNDUP($H34,0),CA$2)-(INDEX(avoidedcosttbl,ROUNDDOWN($H34,0),CA$2)))))*ADRYr1!P34*ADRYr1!Q34*ADRYr1!U34)</f>
        <v/>
      </c>
      <c r="CB34" s="28" t="str">
        <f>IF($G34="","",$G34*(IF(ADRYr1!$AI34=CB$4,ADRYr1!$AJ34,IF(ADRYr1!$AK34=CB$4,ADRYr1!$AL34,IF(ADRYr1!$AM34=CB$4,ADRYr1!$AN34,0))))*(INDEX(avoidedcosttbl,$H34,CB$2)+(($H34-ROUNDDOWN($H34,0))*(INDEX(avoidedcosttbl,ROUNDUP($H34,0),CB$2)-(INDEX(avoidedcosttbl,ROUNDDOWN($H34,0),CB$2)))))*ADRYr1!P34*ADRYr1!Q34*ADRYr1!U34)</f>
        <v/>
      </c>
      <c r="CC34" s="28" t="str">
        <f>IF($G34="","",$G34*(IF(ADRYr1!$AI34=CC$4,ADRYr1!$AJ34,IF(ADRYr1!$AK34=CC$4,ADRYr1!$AL34,IF(ADRYr1!$AM34=CC$4,ADRYr1!$AN34,0))))*(INDEX(avoidedcosttbl,$H34,CC$2)+(($H34-ROUNDDOWN($H34,0))*(INDEX(avoidedcosttbl,ROUNDUP($H34,0),CC$2)-(INDEX(avoidedcosttbl,ROUNDDOWN($H34,0),CC$2)))))*ADRYr1!P34*ADRYr1!Q34*ADRYr1!U34)</f>
        <v/>
      </c>
      <c r="CD34" s="28" t="str">
        <f>IF($G34="","",$G34*(IF(ADRYr1!$AI34=CD$4,ADRYr1!$AJ34,IF(ADRYr1!$AK34=CD$4,ADRYr1!$AL34,IF(ADRYr1!$AM34=CD$4,ADRYr1!$AN34,0))))*(INDEX(avoidedcosttbl,$H34,CD$2)+(($H34-ROUNDDOWN($H34,0))*(INDEX(avoidedcosttbl,ROUNDUP($H34,0),CD$2)-(INDEX(avoidedcosttbl,ROUNDDOWN($H34,0),CD$2)))))*ADRYr1!P34*ADRYr1!Q34*ADRYr1!U34)</f>
        <v/>
      </c>
      <c r="CE34" s="28" t="str">
        <f>IF($G34="","",$G34*(IF(ADRYr1!$AI34=CE$4,ADRYr1!$AJ34,IF(ADRYr1!$AK34=CE$4,ADRYr1!$AL34,IF(ADRYr1!$AM34=CE$4,ADRYr1!$AN34,0))))*(INDEX(avoidedcosttbl,$H34,CE$2)+(($H34-ROUNDDOWN($H34,0))*(INDEX(avoidedcosttbl,ROUNDUP($H34,0),CE$2)-(INDEX(avoidedcosttbl,ROUNDDOWN($H34,0),CE$2)))))*ADRYr1!P34*ADRYr1!Q34*ADRYr1!U34)</f>
        <v/>
      </c>
      <c r="CF34" s="41" t="str">
        <f t="shared" si="39"/>
        <v/>
      </c>
      <c r="CG34" s="30" t="str">
        <f t="shared" si="11"/>
        <v/>
      </c>
      <c r="CH34" s="30" t="str">
        <f>IF($G34="","",$G34*(IF(ADRYr1!$AI34=BY$4,ADRYr1!$AJ34,IF(ADRYr1!$AK34=BY$4,ADRYr1!$AL34,IF(ADRYr1!$AM34=BY$4,ADRYr1!$AN34,0))))*(INDEX(avoidedcosttbl,$H34,CH$2)+(($H34-ROUNDDOWN($H34,0))*(INDEX(avoidedcosttbl,ROUNDUP($H34,0),CH$2)-(INDEX(avoidedcosttbl,ROUNDDOWN($H34,0),CH$2)))))*ADRYr1!P34*ADRYr1!Q34*ADRYr1!U34)</f>
        <v/>
      </c>
      <c r="CI34" s="30" t="str">
        <f>IF($G34="","",$G34*(IF(ADRYr1!$AI34=BZ$4,ADRYr1!$AJ34,IF(ADRYr1!$AK34=BZ$4,ADRYr1!$AL34,IF(ADRYr1!$AM34=BZ$4,ADRYr1!$AN34,0))))*(INDEX(avoidedcosttbl,$H34,CI$2)+(($H34-ROUNDDOWN($H34,0))*(INDEX(avoidedcosttbl,ROUNDUP($H34,0),CI$2)-(INDEX(avoidedcosttbl,ROUNDDOWN($H34,0),CI$2)))))*ADRYr1!P34*ADRYr1!Q34*ADRYr1!U34)</f>
        <v/>
      </c>
      <c r="CJ34" s="30" t="str">
        <f>IF($G34="","",$G34*(IF(ADRYr1!$AI34=CA$4,ADRYr1!$AJ34,IF(ADRYr1!$AK34=CA$4,ADRYr1!$AL34,IF(ADRYr1!$AM34=CA$4,ADRYr1!$AN34,0))))*(INDEX(avoidedcosttbl,$H34,CJ$2)+(($H34-ROUNDDOWN($H34,0))*(INDEX(avoidedcosttbl,ROUNDUP($H34,0),CJ$2)-(INDEX(avoidedcosttbl,ROUNDDOWN($H34,0),CJ$2)))))*ADRYr1!P34*ADRYr1!Q34*ADRYr1!U34)</f>
        <v/>
      </c>
      <c r="CK34" s="30" t="str">
        <f>IF($G34="","",$G34*(IF(ADRYr1!$AI34=CB$4,ADRYr1!$AJ34,IF(ADRYr1!$AK34=CB$4,ADRYr1!$AL34,IF(ADRYr1!$AM34=CB$4,ADRYr1!$AN34,0))))*(INDEX(avoidedcosttbl,$H34,CK$2)+(($H34-ROUNDDOWN($H34,0))*(INDEX(avoidedcosttbl,ROUNDUP($H34,0),CK$2)-(INDEX(avoidedcosttbl,ROUNDDOWN($H34,0),CK$2)))))*ADRYr1!P34*ADRYr1!Q34*ADRYr1!U34)</f>
        <v/>
      </c>
      <c r="CL34" s="30" t="str">
        <f>IF($G34="","",$G34*(IF(ADRYr1!$AI34=CC$4,ADRYr1!$AJ34,IF(ADRYr1!$AK34=CC$4,ADRYr1!$AL34,IF(ADRYr1!$AM34=CC$4,ADRYr1!$AN34,0))))*(INDEX(avoidedcosttbl,$H34,CL$2)+(($H34-ROUNDDOWN($H34,0))*(INDEX(avoidedcosttbl,ROUNDUP($H34,0),CL$2)-(INDEX(avoidedcosttbl,ROUNDDOWN($H34,0),CL$2)))))*ADRYr1!P34*ADRYr1!Q34*ADRYr1!U34)</f>
        <v/>
      </c>
      <c r="CM34" s="30" t="str">
        <f>IF($G34="","",$G34*(IF(ADRYr1!$AI34=CD$4,ADRYr1!$AJ34,IF(ADRYr1!$AK34=CD$4,ADRYr1!$AL34,IF(ADRYr1!$AM34=CD$4,ADRYr1!$AN34,0))))*(INDEX(avoidedcosttbl,$H34,CM$2)+(($H34-ROUNDDOWN($H34,0))*(INDEX(avoidedcosttbl,ROUNDUP($H34,0),CM$2)-(INDEX(avoidedcosttbl,ROUNDDOWN($H34,0),CM$2)))))*ADRYr1!P34*ADRYr1!Q34*ADRYr1!U34)</f>
        <v/>
      </c>
      <c r="CN34" s="30" t="str">
        <f>IF($G34="","",$G34*(IF(ADRYr1!$AI34=CE$4,ADRYr1!$AJ34,IF(ADRYr1!$AK34=CE$4,ADRYr1!$AL34,IF(ADRYr1!$AM34=CE$4,ADRYr1!$AN34,0))))*(INDEX(avoidedcosttbl,$H34,CN$2)+(($H34-ROUNDDOWN($H34,0))*(INDEX(avoidedcosttbl,ROUNDUP($H34,0),CN$2)-(INDEX(avoidedcosttbl,ROUNDDOWN($H34,0),CN$2)))))*ADRYr1!P34*ADRYr1!Q34*ADRYr1!U34)</f>
        <v/>
      </c>
      <c r="CO34" s="220" t="str">
        <f t="shared" si="40"/>
        <v/>
      </c>
      <c r="CP34" s="220" t="str">
        <f t="shared" si="41"/>
        <v/>
      </c>
      <c r="CQ34" s="157" t="str">
        <f>IF($G34="","",$G34*(IF(ADRYr1!$AI34=CQ$4,ADRYr1!$AJ34,IF(ADRYr1!$AK34=CQ$4,ADRYr1!$AL34,IF(ADRYr1!$AM34=CQ$4,ADRYr1!$AN34,0))))*(INDEX(avoidedcosttbl,$H34,CQ$2)+(($H34-ROUNDDOWN($H34,0))*(INDEX(avoidedcosttbl,ROUNDUP($H34,0),CQ$2)-(INDEX(avoidedcosttbl,ROUNDDOWN($H34,0),CQ$2)))))*ADRYr1!$P34*ADRYr1!$Q34*ADRYr1!$U34)</f>
        <v/>
      </c>
      <c r="CR34" s="28" t="str">
        <f>IF($G34="","",G34*(IF(ADRYr1!$AI34=CR$4,ADRYr1!$AJ34,IF(ADRYr1!$AK34=CR$4,ADRYr1!$AL34,IF(ADRYr1!$AM34=CR$4,ADRYr1!$AN34,0))))*(INDEX(avoidedcosttbl,$H34,CR$2)+(($H34-ROUNDDOWN($H34,0))*(INDEX(avoidedcosttbl,ROUNDUP($H34,0),CR$2)-(INDEX(avoidedcosttbl,ROUNDDOWN($H34,0),CR$2)))))*ADRYr1!$P34*ADRYr1!$Q34*ADRYr1!$U34)</f>
        <v/>
      </c>
      <c r="CS34" s="28" t="str">
        <f>IF($G34="","",G34*(IF(ADRYr1!$AI34=CS$4,ADRYr1!$AJ34,IF(ADRYr1!$AK34=CS$4,ADRYr1!$AL34,IF(ADRYr1!$AM34=CS$4,ADRYr1!$AN34,0))))*(INDEX(avoidedcosttbl,$H34,CS$2)+(($H34-ROUNDDOWN($H34,0))*(INDEX(avoidedcosttbl,ROUNDUP($H34,0),CS$2)-(INDEX(avoidedcosttbl,ROUNDDOWN($H34,0),CS$2)))))*ADRYr1!$P34*ADRYr1!$Q34*ADRYr1!$U34)</f>
        <v/>
      </c>
      <c r="CT34" s="28" t="str">
        <f t="shared" si="12"/>
        <v/>
      </c>
      <c r="CU34" s="28" t="str">
        <f>IF($G34="","",G34*(IF(ADRYr1!$AI34=CU$4,ADRYr1!$AJ34,IF(ADRYr1!$AK34=CU$4,ADRYr1!$AL34,IF(ADRYr1!$AM34=CU$4,ADRYr1!$AN34,0))))*(INDEX(avoidedcosttbl,$H34,CU$2)+(($H34-ROUNDDOWN($H34,0))*(INDEX(avoidedcosttbl,ROUNDUP($H34,0),CU$2)-(INDEX(avoidedcosttbl,ROUNDDOWN($H34,0),CU$2)))))*ADRYr1!$P34*ADRYr1!$Q34*ADRYr1!$U34)</f>
        <v/>
      </c>
      <c r="CV34" s="28" t="str">
        <f>IF($G34="","",G34*(IF(ADRYr1!$AI34=CV$4,ADRYr1!$AJ34,IF(ADRYr1!$AK34=CV$4,ADRYr1!$AL34,IF(ADRYr1!$AM34=CV$4,ADRYr1!$AN34,0))))*(INDEX(avoidedcosttbl,$H34,CV$2)+(($H34-ROUNDDOWN($H34,0))*(INDEX(avoidedcosttbl,ROUNDUP($H34,0),CV$2)-(INDEX(avoidedcosttbl,ROUNDDOWN($H34,0),CV$2)))))*ADRYr1!$P34*ADRYr1!$Q34*ADRYr1!$U34)</f>
        <v/>
      </c>
      <c r="CW34" s="28" t="str">
        <f>IF($G34="","",G34*(IF(ADRYr1!$AI34=CW$4,ADRYr1!$AJ34,IF(ADRYr1!$AK34=CW$4,ADRYr1!$AL34,IF(ADRYr1!$AM34=CW$4,ADRYr1!$AN34,0))))*(INDEX(avoidedcosttbl,$H34,CW$2)+(($H34-ROUNDDOWN($H34,0))*(INDEX(avoidedcosttbl,ROUNDUP($H34,0),CW$2)-(INDEX(avoidedcosttbl,ROUNDDOWN($H34,0),CW$2)))))*ADRYr1!$P34*ADRYr1!$Q34*ADRYr1!$U34)</f>
        <v/>
      </c>
      <c r="CX34" s="28" t="str">
        <f>IF($G34="","",G34*(IF(ADRYr1!$AI34=CX$4,ADRYr1!$AJ34,IF(ADRYr1!$AK34=CX$4,ADRYr1!$AL34,IF(ADRYr1!$AM34=CX$4,ADRYr1!$AN34,0))))*(INDEX(avoidedcosttbl,$H34,CX$2)+(($H34-ROUNDDOWN($H34,0))*(INDEX(avoidedcosttbl,ROUNDUP($H34,0),CX$2)-(INDEX(avoidedcosttbl,ROUNDDOWN($H34,0),CX$2)))))*ADRYr1!$P34*ADRYr1!$Q34*ADRYr1!$U34)</f>
        <v/>
      </c>
      <c r="CY34" s="28" t="str">
        <f t="shared" si="13"/>
        <v/>
      </c>
      <c r="CZ34" s="32" t="str">
        <f t="shared" si="14"/>
        <v/>
      </c>
      <c r="DA34" s="84" t="str">
        <f t="shared" si="42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15"/>
        <v/>
      </c>
      <c r="DD34" s="166" t="str">
        <f t="shared" si="16"/>
        <v/>
      </c>
      <c r="DE34" s="82">
        <f t="shared" si="43"/>
        <v>0</v>
      </c>
      <c r="DF34" s="760" t="str">
        <f>IF($G34="","",(1+WntPeakEnergyLL)*(INDEX(avoidedcosttbl,$H34,DF$2)+(($H34-ROUNDDOWN($H34,0))*(INDEX(avoidedcosttbl,ROUNDUP($H34,0),DF$2)-(INDEX(avoidedcosttbl,ROUNDDOWN($H34,0),DF$2)))))*$P34*1000*ADRYr1!Z34)</f>
        <v/>
      </c>
      <c r="DG34" s="760" t="str">
        <f>IF($G34="","",(1+WntOffPeakEnergyLL)*(INDEX(avoidedcosttbl,$H34,DG$2)+(($H34-ROUNDDOWN($H34,0))*(INDEX(avoidedcosttbl,ROUNDUP($H34,0),DG$2)-(INDEX(avoidedcosttbl,ROUNDDOWN($H34,0),DG$2)))))*$P34*1000*ADRYr1!AA34)</f>
        <v/>
      </c>
      <c r="DH34" s="760" t="str">
        <f>IF($G34="","",(1+SumPeakEnergyLL)*(INDEX(avoidedcosttbl,$H34,DH$2)+(($H34-ROUNDDOWN($H34,0))*(INDEX(avoidedcosttbl,ROUNDUP($H34,0),DH$2)-(INDEX(avoidedcosttbl,ROUNDDOWN($H34,0),DH$2)))))*$P34*1000*ADRYr1!AB34)</f>
        <v/>
      </c>
      <c r="DI34" s="760" t="str">
        <f>IF($G34="","",(1+SumOffPeakEnergyLL)*(INDEX(avoidedcosttbl,$H34,DI$2)+(($H34-ROUNDDOWN($H34,0))*(INDEX(avoidedcosttbl,ROUNDUP($H34,0),DI$2)-(INDEX(avoidedcosttbl,ROUNDDOWN($H34,0),DI$2)))))*$P34*1000*ADRYr1!AC34)</f>
        <v/>
      </c>
      <c r="DJ34" s="29" t="str">
        <f t="shared" si="44"/>
        <v/>
      </c>
      <c r="DK34" s="161" t="str">
        <f t="shared" si="45"/>
        <v/>
      </c>
      <c r="DL34" s="1375" t="str">
        <f t="shared" si="46"/>
        <v/>
      </c>
      <c r="DM34" s="1375" t="str">
        <f t="shared" si="47"/>
        <v/>
      </c>
      <c r="DN34" s="43" t="str">
        <f t="shared" si="48"/>
        <v/>
      </c>
      <c r="DO34" s="1131" t="str">
        <f>IF($G34="","",ADRYr1!AQ34)</f>
        <v/>
      </c>
      <c r="DP34" s="1133" t="str">
        <f>IF($G34="","",ADRYr1!AR34)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17"/>
        <v/>
      </c>
      <c r="DU34" s="1135" t="str">
        <f>IF($G34="","",ADRYr1!AS34)</f>
        <v/>
      </c>
      <c r="DV34" s="1136" t="str">
        <f>IF($G34="","",ADRYr1!AT34)</f>
        <v/>
      </c>
      <c r="DW34" s="1344" t="str">
        <f>IF($G34="","",INDEX(AvoidedEnergy!$H$4:$H$10,MATCH($DO34,AvoidedEnergy!$A$4:$A$10,0)))</f>
        <v/>
      </c>
    </row>
    <row r="35" spans="1:127">
      <c r="A35" s="160" t="str">
        <f>IF(ADRYr1!$B35=0,"",ADRYr1!A35)</f>
        <v>C - Commercial &amp; Industrial</v>
      </c>
      <c r="B35" s="9" t="str">
        <f>IF(ADRYr1!$B35=0,"",ADRYr1!B35)</f>
        <v>C5 - C&amp;I Active Demand Response</v>
      </c>
      <c r="C35" s="9" t="str">
        <f>IF(ADRYr1!$B35=0,"",ADRYr1!C35)</f>
        <v>C5a - C&amp;I Active Demand Response</v>
      </c>
      <c r="D35" s="9" t="str">
        <f>IF(ADRYr1!$B35=0,"",ADRYr1!D35)</f>
        <v>Storage Daily Dispatch P4P (savings) Summer</v>
      </c>
      <c r="E35" s="9" t="str">
        <f>IF(ADRYr1!$B35=0,"",ADRYr1!E35)</f>
        <v>E21C5a002</v>
      </c>
      <c r="F35" s="11" t="str">
        <f>IF(ADRYr1!$B35=0,"",ADRYr1!F35)</f>
        <v>Behavior</v>
      </c>
      <c r="G35" s="12">
        <f>IF(ADRYr1!$G35&lt;&gt;0,ADRYr1!G35,"")</f>
        <v>1</v>
      </c>
      <c r="H35" s="1125">
        <f>IF($G35="","",ROUND(ADRYr1!H35,0))</f>
        <v>1</v>
      </c>
      <c r="I35" s="47">
        <f>IF($G35="","",ADRYr1!I35*ADRYr1!P35*G35)</f>
        <v>20000</v>
      </c>
      <c r="J35" s="47">
        <f>IF($G35="","",ADRYr1!J35*G35)</f>
        <v>20000</v>
      </c>
      <c r="K35" s="47">
        <f t="shared" si="18"/>
        <v>0</v>
      </c>
      <c r="L35" s="27">
        <f>IF($G35="","",ADRYr1!V35*G35/1000)</f>
        <v>15</v>
      </c>
      <c r="M35" s="27">
        <f>IF($G35="","",L35*ADRYr1!$Q35*ADRYr1!$R35)</f>
        <v>15</v>
      </c>
      <c r="N35" s="27">
        <f t="shared" si="19"/>
        <v>15</v>
      </c>
      <c r="O35" s="27">
        <f t="shared" si="20"/>
        <v>15</v>
      </c>
      <c r="P35" s="27">
        <f>IF($G35="","",M35*ADRYr1!P35)</f>
        <v>15</v>
      </c>
      <c r="Q35" s="27">
        <f t="shared" si="21"/>
        <v>15</v>
      </c>
      <c r="R35" s="27">
        <f>IF($G35="","",$Q35*ADRYr1!Z35)</f>
        <v>0</v>
      </c>
      <c r="S35" s="27">
        <f>IF($G35="","",$Q35*ADRYr1!AA35)</f>
        <v>0</v>
      </c>
      <c r="T35" s="27">
        <f>IF($G35="","",$Q35*ADRYr1!AB35)</f>
        <v>15</v>
      </c>
      <c r="U35" s="27">
        <f>IF($G35="","",$Q35*ADRYr1!AC35)</f>
        <v>0</v>
      </c>
      <c r="V35" s="27">
        <f>IF($G35="","",G35*ADRYr1!$AD35*ADRYr1!$P35*ADRYr1!$Q35)</f>
        <v>100</v>
      </c>
      <c r="W35" s="27">
        <f>IF($G35="","",$G35*ADRYr1!$AD35*ADRYr1!$AF35*ADRYr1!Q35*ADRYr1!$S35)</f>
        <v>0</v>
      </c>
      <c r="X35" s="27">
        <f>IF($G35="","",$G35*ADRYr1!$AD35*ADRYr1!$AF35*ADRYr1!P35*ADRYr1!Q35*ADRYr1!$S35)</f>
        <v>0</v>
      </c>
      <c r="Y35" s="27">
        <f>IF($G35="","",$G35*ADRYr1!$AD35*ADRYr1!$AE35*ADRYr1!Q35*ADRYr1!$T35)</f>
        <v>100</v>
      </c>
      <c r="Z35" s="27">
        <f>IF($G35="","",$G35*ADRYr1!$AD35*ADRYr1!$AE35*ADRYr1!P35*ADRYr1!Q35*ADRYr1!$T35)</f>
        <v>100</v>
      </c>
      <c r="AA35" s="45">
        <f>IF($G35="","",$G35*ADRYr1!$Q35*ADRYr1!$U35*(IF(IFERROR(SEARCH("NG", ADRYr1!$AI35),0),ADRYr1!$AJ35,0)+IF(IFERROR(SEARCH("NG", ADRYr1!$AK35),0),ADRYr1!$AL35,0)+IF(IFERROR(SEARCH("NG", ADRYr1!$AM35),0),ADRYr1!$AN35,0)))</f>
        <v>0</v>
      </c>
      <c r="AB35" s="45">
        <f t="shared" si="22"/>
        <v>0</v>
      </c>
      <c r="AC35" s="45">
        <f>IF($G35="",0,AA35*ADRYr1!$P35)</f>
        <v>0</v>
      </c>
      <c r="AD35" s="45">
        <f t="shared" si="23"/>
        <v>0</v>
      </c>
      <c r="AE35" s="45">
        <f>IF($G35="","",$G35*ADRYr1!$Q35*ADRYr1!$U35*(IF(IFERROR(SEARCH("Oil", ADRYr1!$AI35), 0),ADRYr1!$AJ35,0)+IF(IFERROR(SEARCH("Oil", ADRYr1!$AK35), 0),ADRYr1!$AL35,0)+IF(IFERROR(SEARCH("Oil", ADRYr1!$AM35), 0),ADRYr1!$AN35,0)))</f>
        <v>0</v>
      </c>
      <c r="AF35" s="45">
        <f t="shared" si="24"/>
        <v>0</v>
      </c>
      <c r="AG35" s="45">
        <f>IF($G35="",0,AE35*ADRYr1!$P35)</f>
        <v>0</v>
      </c>
      <c r="AH35" s="45">
        <f t="shared" si="25"/>
        <v>0</v>
      </c>
      <c r="AI35" s="45">
        <f>IF($G35="","",$G35*ADRYr1!$Q35*ADRYr1!$U35*(IF(ADRYr1!$AI35=Lookups!$E$114,ADRYr1!$AJ35,IF(ADRYr1!$AK35=Lookups!$E$114,ADRYr1!$AL35,IF(ADRYr1!$AM35=Lookups!$E$114,ADRYr1!$AN35,0)))))</f>
        <v>0</v>
      </c>
      <c r="AJ35" s="45">
        <f t="shared" si="26"/>
        <v>0</v>
      </c>
      <c r="AK35" s="45">
        <f>IF($G35="",0,AI35*ADRYr1!$P35)</f>
        <v>0</v>
      </c>
      <c r="AL35" s="45">
        <f t="shared" si="27"/>
        <v>0</v>
      </c>
      <c r="AM35" s="45">
        <f>IF($G35="","",$G35*ADRYr1!$Q35*ADRYr1!$U35*(IF(ADRYr1!$AI35=Lookups!$E$113,ADRYr1!$AJ35,IF(ADRYr1!$AK35=Lookups!$E$113,ADRYr1!$AL35,IF(ADRYr1!$AM35=Lookups!$E$113,ADRYr1!$AN35,0)))))</f>
        <v>0</v>
      </c>
      <c r="AN35" s="45">
        <f t="shared" si="28"/>
        <v>0</v>
      </c>
      <c r="AO35" s="45">
        <f>IF($G35="",0,AM35*ADRYr1!$P35)</f>
        <v>0</v>
      </c>
      <c r="AP35" s="45">
        <f t="shared" si="29"/>
        <v>0</v>
      </c>
      <c r="AQ35" s="45">
        <f>IF($G35="","",$G35*ADRYr1!$Q35*ADRYr1!$U35*(IF(ADRYr1!$AI35=Lookups!$E$115,ADRYr1!$AJ35,IF(ADRYr1!$AK35=Lookups!$E$115,ADRYr1!$AL35,IF(ADRYr1!$AM35=Lookups!$E$115,ADRYr1!$AN35,0)))))</f>
        <v>0</v>
      </c>
      <c r="AR35" s="45">
        <f t="shared" si="30"/>
        <v>0</v>
      </c>
      <c r="AS35" s="45">
        <f>IF($G35="","",AQ35*ADRYr1!$P35)</f>
        <v>0</v>
      </c>
      <c r="AT35" s="45">
        <f t="shared" si="31"/>
        <v>0</v>
      </c>
      <c r="AU35" s="45">
        <f>IF($G35="","",$G35*ADRYr1!$Q35*ADRYr1!$U35*(IF(ADRYr1!$AI35=Lookups!$E$116,ADRYr1!$AJ35,IF(ADRYr1!$AK35=Lookups!$E$116,ADRYr1!$AL35,IF(ADRYr1!$AM35=Lookups!$E$116,ADRYr1!$AN35,0)))))</f>
        <v>0</v>
      </c>
      <c r="AV35" s="45">
        <f t="shared" si="32"/>
        <v>0</v>
      </c>
      <c r="AW35" s="45">
        <f>IF($G35="","",AU35*ADRYr1!$P35)</f>
        <v>0</v>
      </c>
      <c r="AX35" s="45">
        <f t="shared" si="33"/>
        <v>0</v>
      </c>
      <c r="AY35" s="45">
        <f t="shared" si="49"/>
        <v>0</v>
      </c>
      <c r="AZ35" s="45">
        <f t="shared" si="49"/>
        <v>0</v>
      </c>
      <c r="BA35" s="101">
        <f>IF($G35="","",$G35*ADRYr1!$P35*ADRYr1!$Q35*ADRYr1!$U35*ADRYr1!AO35)</f>
        <v>0</v>
      </c>
      <c r="BB35" s="102">
        <f>IF($G35="","",$G35*ADRYr1!$P35*ADRYr1!$Q35*ADRYr1!$U35*ADRYr1!AP35)</f>
        <v>0</v>
      </c>
      <c r="BC35" s="100">
        <f t="shared" si="35"/>
        <v>0</v>
      </c>
      <c r="BD35" s="1126"/>
      <c r="BE35" s="1126"/>
      <c r="BF35" s="1126"/>
      <c r="BG35" s="1126"/>
      <c r="BH35" s="1127">
        <f t="shared" si="3"/>
        <v>1042.0773503814676</v>
      </c>
      <c r="BI35" s="1126"/>
      <c r="BJ35" s="1126"/>
      <c r="BK35" s="1126"/>
      <c r="BL35" s="1126"/>
      <c r="BM35" s="30">
        <f t="shared" si="4"/>
        <v>27.485835790899394</v>
      </c>
      <c r="BN35" s="1128">
        <f t="shared" si="5"/>
        <v>27.485835790899394</v>
      </c>
      <c r="BO35" s="31">
        <f t="shared" si="36"/>
        <v>1069.5631861723671</v>
      </c>
      <c r="BP35" s="1129">
        <f t="shared" si="6"/>
        <v>10636.332073801455</v>
      </c>
      <c r="BQ35" s="28">
        <f t="shared" si="7"/>
        <v>0</v>
      </c>
      <c r="BR35" s="1129">
        <f t="shared" si="8"/>
        <v>22715.884891842394</v>
      </c>
      <c r="BS35" s="1129">
        <f t="shared" si="9"/>
        <v>0</v>
      </c>
      <c r="BT35" s="28">
        <f t="shared" si="50"/>
        <v>9850.2976628687429</v>
      </c>
      <c r="BU35" s="28">
        <f t="shared" si="50"/>
        <v>0</v>
      </c>
      <c r="BV35" s="28">
        <f t="shared" si="50"/>
        <v>8533.2017655240143</v>
      </c>
      <c r="BW35" s="29">
        <f t="shared" si="37"/>
        <v>51735.716394036608</v>
      </c>
      <c r="BX35" s="29">
        <f t="shared" si="38"/>
        <v>52805.279580208975</v>
      </c>
      <c r="BY35" s="28">
        <f>IF($G35="","",$G35*(IF(ADRYr1!$AI35=BY$4,ADRYr1!$AJ35,IF(ADRYr1!$AK35=BY$4,ADRYr1!$AL35,IF(ADRYr1!$AM35=BY$4,ADRYr1!$AN35,0))))*(INDEX(avoidedcosttbl,$H35,BY$2)+(($H35-ROUNDDOWN($H35,0))*(INDEX(avoidedcosttbl,ROUNDUP($H35,0),BY$2)-(INDEX(avoidedcosttbl,ROUNDDOWN($H35,0),BY$2)))))*ADRYr1!P35*ADRYr1!Q35*ADRYr1!U35)</f>
        <v>0</v>
      </c>
      <c r="BZ35" s="28">
        <f>IF($G35="","",$G35*(IF(ADRYr1!$AI35=BZ$4,ADRYr1!$AJ35,IF(ADRYr1!$AK35=BZ$4,ADRYr1!$AL35,IF(ADRYr1!$AM35=BZ$4,ADRYr1!$AN35,0))))*(INDEX(avoidedcosttbl,$H35,BZ$2)+(($H35-ROUNDDOWN($H35,0))*(INDEX(avoidedcosttbl,ROUNDUP($H35,0),BZ$2)-(INDEX(avoidedcosttbl,ROUNDDOWN($H35,0),BZ$2)))))*ADRYr1!P35*ADRYr1!Q35*ADRYr1!U35)</f>
        <v>0</v>
      </c>
      <c r="CA35" s="28">
        <f>IF($G35="","",$G35*(IF(ADRYr1!$AI35=CA$4,ADRYr1!$AJ35,IF(ADRYr1!$AK35=CA$4,ADRYr1!$AL35,IF(ADRYr1!$AM35=CA$4,ADRYr1!$AN35,0))))*(INDEX(avoidedcosttbl,$H35,CA$2)+(($H35-ROUNDDOWN($H35,0))*(INDEX(avoidedcosttbl,ROUNDUP($H35,0),CA$2)-(INDEX(avoidedcosttbl,ROUNDDOWN($H35,0),CA$2)))))*ADRYr1!P35*ADRYr1!Q35*ADRYr1!U35)</f>
        <v>0</v>
      </c>
      <c r="CB35" s="28">
        <f>IF($G35="","",$G35*(IF(ADRYr1!$AI35=CB$4,ADRYr1!$AJ35,IF(ADRYr1!$AK35=CB$4,ADRYr1!$AL35,IF(ADRYr1!$AM35=CB$4,ADRYr1!$AN35,0))))*(INDEX(avoidedcosttbl,$H35,CB$2)+(($H35-ROUNDDOWN($H35,0))*(INDEX(avoidedcosttbl,ROUNDUP($H35,0),CB$2)-(INDEX(avoidedcosttbl,ROUNDDOWN($H35,0),CB$2)))))*ADRYr1!P35*ADRYr1!Q35*ADRYr1!U35)</f>
        <v>0</v>
      </c>
      <c r="CC35" s="28">
        <f>IF($G35="","",$G35*(IF(ADRYr1!$AI35=CC$4,ADRYr1!$AJ35,IF(ADRYr1!$AK35=CC$4,ADRYr1!$AL35,IF(ADRYr1!$AM35=CC$4,ADRYr1!$AN35,0))))*(INDEX(avoidedcosttbl,$H35,CC$2)+(($H35-ROUNDDOWN($H35,0))*(INDEX(avoidedcosttbl,ROUNDUP($H35,0),CC$2)-(INDEX(avoidedcosttbl,ROUNDDOWN($H35,0),CC$2)))))*ADRYr1!P35*ADRYr1!Q35*ADRYr1!U35)</f>
        <v>0</v>
      </c>
      <c r="CD35" s="28">
        <f>IF($G35="","",$G35*(IF(ADRYr1!$AI35=CD$4,ADRYr1!$AJ35,IF(ADRYr1!$AK35=CD$4,ADRYr1!$AL35,IF(ADRYr1!$AM35=CD$4,ADRYr1!$AN35,0))))*(INDEX(avoidedcosttbl,$H35,CD$2)+(($H35-ROUNDDOWN($H35,0))*(INDEX(avoidedcosttbl,ROUNDUP($H35,0),CD$2)-(INDEX(avoidedcosttbl,ROUNDDOWN($H35,0),CD$2)))))*ADRYr1!P35*ADRYr1!Q35*ADRYr1!U35)</f>
        <v>0</v>
      </c>
      <c r="CE35" s="28">
        <f>IF($G35="","",$G35*(IF(ADRYr1!$AI35=CE$4,ADRYr1!$AJ35,IF(ADRYr1!$AK35=CE$4,ADRYr1!$AL35,IF(ADRYr1!$AM35=CE$4,ADRYr1!$AN35,0))))*(INDEX(avoidedcosttbl,$H35,CE$2)+(($H35-ROUNDDOWN($H35,0))*(INDEX(avoidedcosttbl,ROUNDUP($H35,0),CE$2)-(INDEX(avoidedcosttbl,ROUNDDOWN($H35,0),CE$2)))))*ADRYr1!P35*ADRYr1!Q35*ADRYr1!U35)</f>
        <v>0</v>
      </c>
      <c r="CF35" s="41">
        <f t="shared" si="39"/>
        <v>0</v>
      </c>
      <c r="CG35" s="30">
        <f t="shared" si="11"/>
        <v>0</v>
      </c>
      <c r="CH35" s="30">
        <f>IF($G35="","",$G35*(IF(ADRYr1!$AI35=BY$4,ADRYr1!$AJ35,IF(ADRYr1!$AK35=BY$4,ADRYr1!$AL35,IF(ADRYr1!$AM35=BY$4,ADRYr1!$AN35,0))))*(INDEX(avoidedcosttbl,$H35,CH$2)+(($H35-ROUNDDOWN($H35,0))*(INDEX(avoidedcosttbl,ROUNDUP($H35,0),CH$2)-(INDEX(avoidedcosttbl,ROUNDDOWN($H35,0),CH$2)))))*ADRYr1!P35*ADRYr1!Q35*ADRYr1!U35)</f>
        <v>0</v>
      </c>
      <c r="CI35" s="30">
        <f>IF($G35="","",$G35*(IF(ADRYr1!$AI35=BZ$4,ADRYr1!$AJ35,IF(ADRYr1!$AK35=BZ$4,ADRYr1!$AL35,IF(ADRYr1!$AM35=BZ$4,ADRYr1!$AN35,0))))*(INDEX(avoidedcosttbl,$H35,CI$2)+(($H35-ROUNDDOWN($H35,0))*(INDEX(avoidedcosttbl,ROUNDUP($H35,0),CI$2)-(INDEX(avoidedcosttbl,ROUNDDOWN($H35,0),CI$2)))))*ADRYr1!P35*ADRYr1!Q35*ADRYr1!U35)</f>
        <v>0</v>
      </c>
      <c r="CJ35" s="30">
        <f>IF($G35="","",$G35*(IF(ADRYr1!$AI35=CA$4,ADRYr1!$AJ35,IF(ADRYr1!$AK35=CA$4,ADRYr1!$AL35,IF(ADRYr1!$AM35=CA$4,ADRYr1!$AN35,0))))*(INDEX(avoidedcosttbl,$H35,CJ$2)+(($H35-ROUNDDOWN($H35,0))*(INDEX(avoidedcosttbl,ROUNDUP($H35,0),CJ$2)-(INDEX(avoidedcosttbl,ROUNDDOWN($H35,0),CJ$2)))))*ADRYr1!P35*ADRYr1!Q35*ADRYr1!U35)</f>
        <v>0</v>
      </c>
      <c r="CK35" s="30">
        <f>IF($G35="","",$G35*(IF(ADRYr1!$AI35=CB$4,ADRYr1!$AJ35,IF(ADRYr1!$AK35=CB$4,ADRYr1!$AL35,IF(ADRYr1!$AM35=CB$4,ADRYr1!$AN35,0))))*(INDEX(avoidedcosttbl,$H35,CK$2)+(($H35-ROUNDDOWN($H35,0))*(INDEX(avoidedcosttbl,ROUNDUP($H35,0),CK$2)-(INDEX(avoidedcosttbl,ROUNDDOWN($H35,0),CK$2)))))*ADRYr1!P35*ADRYr1!Q35*ADRYr1!U35)</f>
        <v>0</v>
      </c>
      <c r="CL35" s="30">
        <f>IF($G35="","",$G35*(IF(ADRYr1!$AI35=CC$4,ADRYr1!$AJ35,IF(ADRYr1!$AK35=CC$4,ADRYr1!$AL35,IF(ADRYr1!$AM35=CC$4,ADRYr1!$AN35,0))))*(INDEX(avoidedcosttbl,$H35,CL$2)+(($H35-ROUNDDOWN($H35,0))*(INDEX(avoidedcosttbl,ROUNDUP($H35,0),CL$2)-(INDEX(avoidedcosttbl,ROUNDDOWN($H35,0),CL$2)))))*ADRYr1!P35*ADRYr1!Q35*ADRYr1!U35)</f>
        <v>0</v>
      </c>
      <c r="CM35" s="30">
        <f>IF($G35="","",$G35*(IF(ADRYr1!$AI35=CD$4,ADRYr1!$AJ35,IF(ADRYr1!$AK35=CD$4,ADRYr1!$AL35,IF(ADRYr1!$AM35=CD$4,ADRYr1!$AN35,0))))*(INDEX(avoidedcosttbl,$H35,CM$2)+(($H35-ROUNDDOWN($H35,0))*(INDEX(avoidedcosttbl,ROUNDUP($H35,0),CM$2)-(INDEX(avoidedcosttbl,ROUNDDOWN($H35,0),CM$2)))))*ADRYr1!P35*ADRYr1!Q35*ADRYr1!U35)</f>
        <v>0</v>
      </c>
      <c r="CN35" s="30">
        <f>IF($G35="","",$G35*(IF(ADRYr1!$AI35=CE$4,ADRYr1!$AJ35,IF(ADRYr1!$AK35=CE$4,ADRYr1!$AL35,IF(ADRYr1!$AM35=CE$4,ADRYr1!$AN35,0))))*(INDEX(avoidedcosttbl,$H35,CN$2)+(($H35-ROUNDDOWN($H35,0))*(INDEX(avoidedcosttbl,ROUNDUP($H35,0),CN$2)-(INDEX(avoidedcosttbl,ROUNDDOWN($H35,0),CN$2)))))*ADRYr1!P35*ADRYr1!Q35*ADRYr1!U35)</f>
        <v>0</v>
      </c>
      <c r="CO35" s="220">
        <f t="shared" si="40"/>
        <v>0</v>
      </c>
      <c r="CP35" s="220">
        <f t="shared" si="41"/>
        <v>0</v>
      </c>
      <c r="CQ35" s="157">
        <f>IF($G35="","",$G35*(IF(ADRYr1!$AI35=CQ$4,ADRYr1!$AJ35,IF(ADRYr1!$AK35=CQ$4,ADRYr1!$AL35,IF(ADRYr1!$AM35=CQ$4,ADRYr1!$AN35,0))))*(INDEX(avoidedcosttbl,$H35,CQ$2)+(($H35-ROUNDDOWN($H35,0))*(INDEX(avoidedcosttbl,ROUNDUP($H35,0),CQ$2)-(INDEX(avoidedcosttbl,ROUNDDOWN($H35,0),CQ$2)))))*ADRYr1!$P35*ADRYr1!$Q35*ADRYr1!$U35)</f>
        <v>0</v>
      </c>
      <c r="CR35" s="28">
        <f>IF($G35="","",G35*(IF(ADRYr1!$AI35=CR$4,ADRYr1!$AJ35,IF(ADRYr1!$AK35=CR$4,ADRYr1!$AL35,IF(ADRYr1!$AM35=CR$4,ADRYr1!$AN35,0))))*(INDEX(avoidedcosttbl,$H35,CR$2)+(($H35-ROUNDDOWN($H35,0))*(INDEX(avoidedcosttbl,ROUNDUP($H35,0),CR$2)-(INDEX(avoidedcosttbl,ROUNDDOWN($H35,0),CR$2)))))*ADRYr1!$P35*ADRYr1!$Q35*ADRYr1!$U35)</f>
        <v>0</v>
      </c>
      <c r="CS35" s="28">
        <f>IF($G35="","",G35*(IF(ADRYr1!$AI35=CS$4,ADRYr1!$AJ35,IF(ADRYr1!$AK35=CS$4,ADRYr1!$AL35,IF(ADRYr1!$AM35=CS$4,ADRYr1!$AN35,0))))*(INDEX(avoidedcosttbl,$H35,CS$2)+(($H35-ROUNDDOWN($H35,0))*(INDEX(avoidedcosttbl,ROUNDUP($H35,0),CS$2)-(INDEX(avoidedcosttbl,ROUNDDOWN($H35,0),CS$2)))))*ADRYr1!$P35*ADRYr1!$Q35*ADRYr1!$U35)</f>
        <v>0</v>
      </c>
      <c r="CT35" s="28">
        <f t="shared" si="12"/>
        <v>0</v>
      </c>
      <c r="CU35" s="28">
        <f>IF($G35="","",G35*(IF(ADRYr1!$AI35=CU$4,ADRYr1!$AJ35,IF(ADRYr1!$AK35=CU$4,ADRYr1!$AL35,IF(ADRYr1!$AM35=CU$4,ADRYr1!$AN35,0))))*(INDEX(avoidedcosttbl,$H35,CU$2)+(($H35-ROUNDDOWN($H35,0))*(INDEX(avoidedcosttbl,ROUNDUP($H35,0),CU$2)-(INDEX(avoidedcosttbl,ROUNDDOWN($H35,0),CU$2)))))*ADRYr1!$P35*ADRYr1!$Q35*ADRYr1!$U35)</f>
        <v>0</v>
      </c>
      <c r="CV35" s="28">
        <f>IF($G35="","",G35*(IF(ADRYr1!$AI35=CV$4,ADRYr1!$AJ35,IF(ADRYr1!$AK35=CV$4,ADRYr1!$AL35,IF(ADRYr1!$AM35=CV$4,ADRYr1!$AN35,0))))*(INDEX(avoidedcosttbl,$H35,CV$2)+(($H35-ROUNDDOWN($H35,0))*(INDEX(avoidedcosttbl,ROUNDUP($H35,0),CV$2)-(INDEX(avoidedcosttbl,ROUNDDOWN($H35,0),CV$2)))))*ADRYr1!$P35*ADRYr1!$Q35*ADRYr1!$U35)</f>
        <v>0</v>
      </c>
      <c r="CW35" s="28">
        <f>IF($G35="","",G35*(IF(ADRYr1!$AI35=CW$4,ADRYr1!$AJ35,IF(ADRYr1!$AK35=CW$4,ADRYr1!$AL35,IF(ADRYr1!$AM35=CW$4,ADRYr1!$AN35,0))))*(INDEX(avoidedcosttbl,$H35,CW$2)+(($H35-ROUNDDOWN($H35,0))*(INDEX(avoidedcosttbl,ROUNDUP($H35,0),CW$2)-(INDEX(avoidedcosttbl,ROUNDDOWN($H35,0),CW$2)))))*ADRYr1!$P35*ADRYr1!$Q35*ADRYr1!$U35)</f>
        <v>0</v>
      </c>
      <c r="CX35" s="28">
        <f>IF($G35="","",G35*(IF(ADRYr1!$AI35=CX$4,ADRYr1!$AJ35,IF(ADRYr1!$AK35=CX$4,ADRYr1!$AL35,IF(ADRYr1!$AM35=CX$4,ADRYr1!$AN35,0))))*(INDEX(avoidedcosttbl,$H35,CX$2)+(($H35-ROUNDDOWN($H35,0))*(INDEX(avoidedcosttbl,ROUNDUP($H35,0),CX$2)-(INDEX(avoidedcosttbl,ROUNDDOWN($H35,0),CX$2)))))*ADRYr1!$P35*ADRYr1!$Q35*ADRYr1!$U35)</f>
        <v>0</v>
      </c>
      <c r="CY35" s="28">
        <f t="shared" si="13"/>
        <v>0</v>
      </c>
      <c r="CZ35" s="32">
        <f t="shared" si="14"/>
        <v>0</v>
      </c>
      <c r="DA35" s="84">
        <f t="shared" si="42"/>
        <v>0</v>
      </c>
      <c r="DB35" s="81">
        <f>IF(NEIadder="Yes",IF($G35="","",INDEX(Lookups!$G$68:$G$70,MATCH($A35,Lookups!$E$68:$E$70,0))*(SUM(CP35:CX35,BX35))),"")</f>
        <v>5280.527958020898</v>
      </c>
      <c r="DC35" s="263" t="str">
        <f t="shared" si="15"/>
        <v/>
      </c>
      <c r="DD35" s="166">
        <f t="shared" si="16"/>
        <v>0</v>
      </c>
      <c r="DE35" s="82">
        <f t="shared" si="43"/>
        <v>5280.527958020898</v>
      </c>
      <c r="DF35" s="760">
        <f>IF($G35="","",(1+WntPeakEnergyLL)*(INDEX(avoidedcosttbl,$H35,DF$2)+(($H35-ROUNDDOWN($H35,0))*(INDEX(avoidedcosttbl,ROUNDUP($H35,0),DF$2)-(INDEX(avoidedcosttbl,ROUNDDOWN($H35,0),DF$2)))))*$P35*1000*ADRYr1!Z35)</f>
        <v>0</v>
      </c>
      <c r="DG35" s="760">
        <f>IF($G35="","",(1+WntOffPeakEnergyLL)*(INDEX(avoidedcosttbl,$H35,DG$2)+(($H35-ROUNDDOWN($H35,0))*(INDEX(avoidedcosttbl,ROUNDUP($H35,0),DG$2)-(INDEX(avoidedcosttbl,ROUNDDOWN($H35,0),DG$2)))))*$P35*1000*ADRYr1!AA35)</f>
        <v>0</v>
      </c>
      <c r="DH35" s="760">
        <f>IF($G35="","",(1+SumPeakEnergyLL)*(INDEX(avoidedcosttbl,$H35,DH$2)+(($H35-ROUNDDOWN($H35,0))*(INDEX(avoidedcosttbl,ROUNDUP($H35,0),DH$2)-(INDEX(avoidedcosttbl,ROUNDDOWN($H35,0),DH$2)))))*$P35*1000*ADRYr1!AB35)</f>
        <v>714.53620908791652</v>
      </c>
      <c r="DI35" s="760">
        <f>IF($G35="","",(1+SumOffPeakEnergyLL)*(INDEX(avoidedcosttbl,$H35,DI$2)+(($H35-ROUNDDOWN($H35,0))*(INDEX(avoidedcosttbl,ROUNDUP($H35,0),DI$2)-(INDEX(avoidedcosttbl,ROUNDDOWN($H35,0),DI$2)))))*$P35*1000*ADRYr1!AC35)</f>
        <v>0</v>
      </c>
      <c r="DJ35" s="29">
        <f t="shared" si="44"/>
        <v>714.53620908791652</v>
      </c>
      <c r="DK35" s="161">
        <f t="shared" si="45"/>
        <v>58085.80753822987</v>
      </c>
      <c r="DL35" s="1375">
        <f t="shared" si="46"/>
        <v>52805.279580208975</v>
      </c>
      <c r="DM35" s="1375">
        <f t="shared" si="47"/>
        <v>52805.279580208975</v>
      </c>
      <c r="DN35" s="43">
        <f t="shared" si="48"/>
        <v>58800.343747317784</v>
      </c>
      <c r="DO35" s="1131" t="str">
        <f>IF($G35="","",ADRYr1!AQ35)</f>
        <v>Summer Daily Discharge</v>
      </c>
      <c r="DP35" s="1133" t="str">
        <f>IF($G35="","",ADRYr1!AR35)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17"/>
        <v>2021-Summer Daily Discharge-1</v>
      </c>
      <c r="DU35" s="1135" t="str">
        <f>IF($G35="","",ADRYr1!AS35)</f>
        <v>No</v>
      </c>
      <c r="DV35" s="1136">
        <f>IF($G35="","",ADRYr1!AT35)</f>
        <v>1</v>
      </c>
      <c r="DW35" s="1344">
        <f>IF($G35="","",INDEX(AvoidedEnergy!$H$4:$H$10,MATCH($DO35,AvoidedEnergy!$A$4:$A$10,0)))</f>
        <v>0.08</v>
      </c>
    </row>
    <row r="36" spans="1:127">
      <c r="A36" s="160" t="str">
        <f>IF(ADRYr1!$B36=0,"",ADRYr1!A36)</f>
        <v>C - Commercial &amp; Industrial</v>
      </c>
      <c r="B36" s="9" t="str">
        <f>IF(ADRYr1!$B36=0,"",ADRYr1!B36)</f>
        <v>C5 - C&amp;I Active Demand Response</v>
      </c>
      <c r="C36" s="9" t="str">
        <f>IF(ADRYr1!$B36=0,"",ADRYr1!C36)</f>
        <v>C5a - C&amp;I Active Demand Response</v>
      </c>
      <c r="D36" s="9" t="str">
        <f>IF(ADRYr1!$B36=0,"",ADRYr1!D36)</f>
        <v>Storage Daily Dispatch P4P (consumption) Summer</v>
      </c>
      <c r="E36" s="9" t="str">
        <f>IF(ADRYr1!$B36=0,"",ADRYr1!E36)</f>
        <v>E21C5a003</v>
      </c>
      <c r="F36" s="11" t="str">
        <f>IF(ADRYr1!$B36=0,"",ADRYr1!F36)</f>
        <v>Behavior</v>
      </c>
      <c r="G36" s="12">
        <f>IF(ADRYr1!$G36&lt;&gt;0,ADRYr1!G36,"")</f>
        <v>1</v>
      </c>
      <c r="H36" s="1125">
        <f>IF($G36="","",ROUND(ADRYr1!H36,0))</f>
        <v>1</v>
      </c>
      <c r="I36" s="47">
        <f>IF($G36="","",ADRYr1!I36*ADRYr1!P36*G36)</f>
        <v>0</v>
      </c>
      <c r="J36" s="47">
        <f>IF($G36="","",ADRYr1!J36*G36)</f>
        <v>0</v>
      </c>
      <c r="K36" s="47">
        <f t="shared" si="18"/>
        <v>0</v>
      </c>
      <c r="L36" s="27">
        <f>IF($G36="","",ADRYr1!V36*G36/1000)</f>
        <v>-17.647058823529413</v>
      </c>
      <c r="M36" s="27">
        <f>IF($G36="","",L36*ADRYr1!$Q36*ADRYr1!$R36)</f>
        <v>-17.647058823529413</v>
      </c>
      <c r="N36" s="27">
        <f t="shared" si="19"/>
        <v>-17.647058823529413</v>
      </c>
      <c r="O36" s="27">
        <f t="shared" si="20"/>
        <v>-17.647058823529413</v>
      </c>
      <c r="P36" s="27">
        <f>IF($G36="","",M36*ADRYr1!P36)</f>
        <v>-17.647058823529413</v>
      </c>
      <c r="Q36" s="27">
        <f t="shared" si="21"/>
        <v>-17.647058823529413</v>
      </c>
      <c r="R36" s="27">
        <f>IF($G36="","",$Q36*ADRYr1!Z36)</f>
        <v>0</v>
      </c>
      <c r="S36" s="27">
        <f>IF($G36="","",$Q36*ADRYr1!AA36)</f>
        <v>0</v>
      </c>
      <c r="T36" s="27">
        <f>IF($G36="","",$Q36*ADRYr1!AB36)</f>
        <v>0</v>
      </c>
      <c r="U36" s="27">
        <f>IF($G36="","",$Q36*ADRYr1!AC36)</f>
        <v>-17.647058823529413</v>
      </c>
      <c r="V36" s="27">
        <f>IF($G36="","",G36*ADRYr1!$AD36*ADRYr1!$P36*ADRYr1!$Q36)</f>
        <v>0</v>
      </c>
      <c r="W36" s="27">
        <f>IF($G36="","",$G36*ADRYr1!$AD36*ADRYr1!$AF36*ADRYr1!Q36*ADRYr1!$S36)</f>
        <v>0</v>
      </c>
      <c r="X36" s="27">
        <f>IF($G36="","",$G36*ADRYr1!$AD36*ADRYr1!$AF36*ADRYr1!P36*ADRYr1!Q36*ADRYr1!$S36)</f>
        <v>0</v>
      </c>
      <c r="Y36" s="27">
        <f>IF($G36="","",$G36*ADRYr1!$AD36*ADRYr1!$AE36*ADRYr1!Q36*ADRYr1!$T36)</f>
        <v>0</v>
      </c>
      <c r="Z36" s="27">
        <f>IF($G36="","",$G36*ADRYr1!$AD36*ADRYr1!$AE36*ADRYr1!P36*ADRYr1!Q36*ADRYr1!$T36)</f>
        <v>0</v>
      </c>
      <c r="AA36" s="45">
        <f>IF($G36="","",$G36*ADRYr1!$Q36*ADRYr1!$U36*(IF(IFERROR(SEARCH("NG", ADRYr1!$AI36),0),ADRYr1!$AJ36,0)+IF(IFERROR(SEARCH("NG", ADRYr1!$AK36),0),ADRYr1!$AL36,0)+IF(IFERROR(SEARCH("NG", ADRYr1!$AM36),0),ADRYr1!$AN36,0)))</f>
        <v>0</v>
      </c>
      <c r="AB36" s="45">
        <f t="shared" si="22"/>
        <v>0</v>
      </c>
      <c r="AC36" s="45">
        <f>IF($G36="",0,AA36*ADRYr1!$P36)</f>
        <v>0</v>
      </c>
      <c r="AD36" s="45">
        <f t="shared" si="23"/>
        <v>0</v>
      </c>
      <c r="AE36" s="45">
        <f>IF($G36="","",$G36*ADRYr1!$Q36*ADRYr1!$U36*(IF(IFERROR(SEARCH("Oil", ADRYr1!$AI36), 0),ADRYr1!$AJ36,0)+IF(IFERROR(SEARCH("Oil", ADRYr1!$AK36), 0),ADRYr1!$AL36,0)+IF(IFERROR(SEARCH("Oil", ADRYr1!$AM36), 0),ADRYr1!$AN36,0)))</f>
        <v>0</v>
      </c>
      <c r="AF36" s="45">
        <f t="shared" si="24"/>
        <v>0</v>
      </c>
      <c r="AG36" s="45">
        <f>IF($G36="",0,AE36*ADRYr1!$P36)</f>
        <v>0</v>
      </c>
      <c r="AH36" s="45">
        <f t="shared" si="25"/>
        <v>0</v>
      </c>
      <c r="AI36" s="45">
        <f>IF($G36="","",$G36*ADRYr1!$Q36*ADRYr1!$U36*(IF(ADRYr1!$AI36=Lookups!$E$114,ADRYr1!$AJ36,IF(ADRYr1!$AK36=Lookups!$E$114,ADRYr1!$AL36,IF(ADRYr1!$AM36=Lookups!$E$114,ADRYr1!$AN36,0)))))</f>
        <v>0</v>
      </c>
      <c r="AJ36" s="45">
        <f t="shared" si="26"/>
        <v>0</v>
      </c>
      <c r="AK36" s="45">
        <f>IF($G36="",0,AI36*ADRYr1!$P36)</f>
        <v>0</v>
      </c>
      <c r="AL36" s="45">
        <f t="shared" si="27"/>
        <v>0</v>
      </c>
      <c r="AM36" s="45">
        <f>IF($G36="","",$G36*ADRYr1!$Q36*ADRYr1!$U36*(IF(ADRYr1!$AI36=Lookups!$E$113,ADRYr1!$AJ36,IF(ADRYr1!$AK36=Lookups!$E$113,ADRYr1!$AL36,IF(ADRYr1!$AM36=Lookups!$E$113,ADRYr1!$AN36,0)))))</f>
        <v>0</v>
      </c>
      <c r="AN36" s="45">
        <f t="shared" si="28"/>
        <v>0</v>
      </c>
      <c r="AO36" s="45">
        <f>IF($G36="",0,AM36*ADRYr1!$P36)</f>
        <v>0</v>
      </c>
      <c r="AP36" s="45">
        <f t="shared" si="29"/>
        <v>0</v>
      </c>
      <c r="AQ36" s="45">
        <f>IF($G36="","",$G36*ADRYr1!$Q36*ADRYr1!$U36*(IF(ADRYr1!$AI36=Lookups!$E$115,ADRYr1!$AJ36,IF(ADRYr1!$AK36=Lookups!$E$115,ADRYr1!$AL36,IF(ADRYr1!$AM36=Lookups!$E$115,ADRYr1!$AN36,0)))))</f>
        <v>0</v>
      </c>
      <c r="AR36" s="45">
        <f t="shared" si="30"/>
        <v>0</v>
      </c>
      <c r="AS36" s="45">
        <f>IF($G36="","",AQ36*ADRYr1!$P36)</f>
        <v>0</v>
      </c>
      <c r="AT36" s="45">
        <f t="shared" si="31"/>
        <v>0</v>
      </c>
      <c r="AU36" s="45">
        <f>IF($G36="","",$G36*ADRYr1!$Q36*ADRYr1!$U36*(IF(ADRYr1!$AI36=Lookups!$E$116,ADRYr1!$AJ36,IF(ADRYr1!$AK36=Lookups!$E$116,ADRYr1!$AL36,IF(ADRYr1!$AM36=Lookups!$E$116,ADRYr1!$AN36,0)))))</f>
        <v>0</v>
      </c>
      <c r="AV36" s="45">
        <f t="shared" si="32"/>
        <v>0</v>
      </c>
      <c r="AW36" s="45">
        <f>IF($G36="","",AU36*ADRYr1!$P36)</f>
        <v>0</v>
      </c>
      <c r="AX36" s="45">
        <f t="shared" si="33"/>
        <v>0</v>
      </c>
      <c r="AY36" s="45">
        <f t="shared" si="49"/>
        <v>0</v>
      </c>
      <c r="AZ36" s="45">
        <f t="shared" si="49"/>
        <v>0</v>
      </c>
      <c r="BA36" s="101">
        <f>IF($G36="","",$G36*ADRYr1!$P36*ADRYr1!$Q36*ADRYr1!$U36*ADRYr1!AO36)</f>
        <v>0</v>
      </c>
      <c r="BB36" s="102">
        <f>IF($G36="","",$G36*ADRYr1!$P36*ADRYr1!$Q36*ADRYr1!$U36*ADRYr1!AP36)</f>
        <v>0</v>
      </c>
      <c r="BC36" s="100">
        <f t="shared" si="35"/>
        <v>0</v>
      </c>
      <c r="BD36" s="1126"/>
      <c r="BE36" s="1126"/>
      <c r="BF36" s="1126"/>
      <c r="BG36" s="1126"/>
      <c r="BH36" s="1127">
        <f t="shared" si="3"/>
        <v>-838.90962531777586</v>
      </c>
      <c r="BI36" s="1126"/>
      <c r="BJ36" s="1126"/>
      <c r="BK36" s="1126"/>
      <c r="BL36" s="1126"/>
      <c r="BM36" s="30">
        <f t="shared" si="4"/>
        <v>-32.336277401058112</v>
      </c>
      <c r="BN36" s="1128">
        <f t="shared" si="5"/>
        <v>-32.336277401058112</v>
      </c>
      <c r="BO36" s="31">
        <f t="shared" si="36"/>
        <v>-871.24590271883403</v>
      </c>
      <c r="BP36" s="1129">
        <f t="shared" si="6"/>
        <v>0</v>
      </c>
      <c r="BQ36" s="28">
        <f t="shared" si="7"/>
        <v>0</v>
      </c>
      <c r="BR36" s="1129">
        <f t="shared" si="8"/>
        <v>0</v>
      </c>
      <c r="BS36" s="1129">
        <f t="shared" si="9"/>
        <v>0</v>
      </c>
      <c r="BT36" s="28">
        <f t="shared" si="50"/>
        <v>0</v>
      </c>
      <c r="BU36" s="28">
        <f t="shared" si="50"/>
        <v>0</v>
      </c>
      <c r="BV36" s="28">
        <f t="shared" si="50"/>
        <v>0</v>
      </c>
      <c r="BW36" s="29">
        <f t="shared" si="37"/>
        <v>0</v>
      </c>
      <c r="BX36" s="29">
        <f t="shared" si="38"/>
        <v>-871.24590271883403</v>
      </c>
      <c r="BY36" s="28">
        <f>IF($G36="","",$G36*(IF(ADRYr1!$AI36=BY$4,ADRYr1!$AJ36,IF(ADRYr1!$AK36=BY$4,ADRYr1!$AL36,IF(ADRYr1!$AM36=BY$4,ADRYr1!$AN36,0))))*(INDEX(avoidedcosttbl,$H36,BY$2)+(($H36-ROUNDDOWN($H36,0))*(INDEX(avoidedcosttbl,ROUNDUP($H36,0),BY$2)-(INDEX(avoidedcosttbl,ROUNDDOWN($H36,0),BY$2)))))*ADRYr1!P36*ADRYr1!Q36*ADRYr1!U36)</f>
        <v>0</v>
      </c>
      <c r="BZ36" s="28">
        <f>IF($G36="","",$G36*(IF(ADRYr1!$AI36=BZ$4,ADRYr1!$AJ36,IF(ADRYr1!$AK36=BZ$4,ADRYr1!$AL36,IF(ADRYr1!$AM36=BZ$4,ADRYr1!$AN36,0))))*(INDEX(avoidedcosttbl,$H36,BZ$2)+(($H36-ROUNDDOWN($H36,0))*(INDEX(avoidedcosttbl,ROUNDUP($H36,0),BZ$2)-(INDEX(avoidedcosttbl,ROUNDDOWN($H36,0),BZ$2)))))*ADRYr1!P36*ADRYr1!Q36*ADRYr1!U36)</f>
        <v>0</v>
      </c>
      <c r="CA36" s="28">
        <f>IF($G36="","",$G36*(IF(ADRYr1!$AI36=CA$4,ADRYr1!$AJ36,IF(ADRYr1!$AK36=CA$4,ADRYr1!$AL36,IF(ADRYr1!$AM36=CA$4,ADRYr1!$AN36,0))))*(INDEX(avoidedcosttbl,$H36,CA$2)+(($H36-ROUNDDOWN($H36,0))*(INDEX(avoidedcosttbl,ROUNDUP($H36,0),CA$2)-(INDEX(avoidedcosttbl,ROUNDDOWN($H36,0),CA$2)))))*ADRYr1!P36*ADRYr1!Q36*ADRYr1!U36)</f>
        <v>0</v>
      </c>
      <c r="CB36" s="28">
        <f>IF($G36="","",$G36*(IF(ADRYr1!$AI36=CB$4,ADRYr1!$AJ36,IF(ADRYr1!$AK36=CB$4,ADRYr1!$AL36,IF(ADRYr1!$AM36=CB$4,ADRYr1!$AN36,0))))*(INDEX(avoidedcosttbl,$H36,CB$2)+(($H36-ROUNDDOWN($H36,0))*(INDEX(avoidedcosttbl,ROUNDUP($H36,0),CB$2)-(INDEX(avoidedcosttbl,ROUNDDOWN($H36,0),CB$2)))))*ADRYr1!P36*ADRYr1!Q36*ADRYr1!U36)</f>
        <v>0</v>
      </c>
      <c r="CC36" s="28">
        <f>IF($G36="","",$G36*(IF(ADRYr1!$AI36=CC$4,ADRYr1!$AJ36,IF(ADRYr1!$AK36=CC$4,ADRYr1!$AL36,IF(ADRYr1!$AM36=CC$4,ADRYr1!$AN36,0))))*(INDEX(avoidedcosttbl,$H36,CC$2)+(($H36-ROUNDDOWN($H36,0))*(INDEX(avoidedcosttbl,ROUNDUP($H36,0),CC$2)-(INDEX(avoidedcosttbl,ROUNDDOWN($H36,0),CC$2)))))*ADRYr1!P36*ADRYr1!Q36*ADRYr1!U36)</f>
        <v>0</v>
      </c>
      <c r="CD36" s="28">
        <f>IF($G36="","",$G36*(IF(ADRYr1!$AI36=CD$4,ADRYr1!$AJ36,IF(ADRYr1!$AK36=CD$4,ADRYr1!$AL36,IF(ADRYr1!$AM36=CD$4,ADRYr1!$AN36,0))))*(INDEX(avoidedcosttbl,$H36,CD$2)+(($H36-ROUNDDOWN($H36,0))*(INDEX(avoidedcosttbl,ROUNDUP($H36,0),CD$2)-(INDEX(avoidedcosttbl,ROUNDDOWN($H36,0),CD$2)))))*ADRYr1!P36*ADRYr1!Q36*ADRYr1!U36)</f>
        <v>0</v>
      </c>
      <c r="CE36" s="28">
        <f>IF($G36="","",$G36*(IF(ADRYr1!$AI36=CE$4,ADRYr1!$AJ36,IF(ADRYr1!$AK36=CE$4,ADRYr1!$AL36,IF(ADRYr1!$AM36=CE$4,ADRYr1!$AN36,0))))*(INDEX(avoidedcosttbl,$H36,CE$2)+(($H36-ROUNDDOWN($H36,0))*(INDEX(avoidedcosttbl,ROUNDUP($H36,0),CE$2)-(INDEX(avoidedcosttbl,ROUNDDOWN($H36,0),CE$2)))))*ADRYr1!P36*ADRYr1!Q36*ADRYr1!U36)</f>
        <v>0</v>
      </c>
      <c r="CF36" s="41">
        <f t="shared" si="39"/>
        <v>0</v>
      </c>
      <c r="CG36" s="30">
        <f t="shared" si="11"/>
        <v>0</v>
      </c>
      <c r="CH36" s="30">
        <f>IF($G36="","",$G36*(IF(ADRYr1!$AI36=BY$4,ADRYr1!$AJ36,IF(ADRYr1!$AK36=BY$4,ADRYr1!$AL36,IF(ADRYr1!$AM36=BY$4,ADRYr1!$AN36,0))))*(INDEX(avoidedcosttbl,$H36,CH$2)+(($H36-ROUNDDOWN($H36,0))*(INDEX(avoidedcosttbl,ROUNDUP($H36,0),CH$2)-(INDEX(avoidedcosttbl,ROUNDDOWN($H36,0),CH$2)))))*ADRYr1!P36*ADRYr1!Q36*ADRYr1!U36)</f>
        <v>0</v>
      </c>
      <c r="CI36" s="30">
        <f>IF($G36="","",$G36*(IF(ADRYr1!$AI36=BZ$4,ADRYr1!$AJ36,IF(ADRYr1!$AK36=BZ$4,ADRYr1!$AL36,IF(ADRYr1!$AM36=BZ$4,ADRYr1!$AN36,0))))*(INDEX(avoidedcosttbl,$H36,CI$2)+(($H36-ROUNDDOWN($H36,0))*(INDEX(avoidedcosttbl,ROUNDUP($H36,0),CI$2)-(INDEX(avoidedcosttbl,ROUNDDOWN($H36,0),CI$2)))))*ADRYr1!P36*ADRYr1!Q36*ADRYr1!U36)</f>
        <v>0</v>
      </c>
      <c r="CJ36" s="30">
        <f>IF($G36="","",$G36*(IF(ADRYr1!$AI36=CA$4,ADRYr1!$AJ36,IF(ADRYr1!$AK36=CA$4,ADRYr1!$AL36,IF(ADRYr1!$AM36=CA$4,ADRYr1!$AN36,0))))*(INDEX(avoidedcosttbl,$H36,CJ$2)+(($H36-ROUNDDOWN($H36,0))*(INDEX(avoidedcosttbl,ROUNDUP($H36,0),CJ$2)-(INDEX(avoidedcosttbl,ROUNDDOWN($H36,0),CJ$2)))))*ADRYr1!P36*ADRYr1!Q36*ADRYr1!U36)</f>
        <v>0</v>
      </c>
      <c r="CK36" s="30">
        <f>IF($G36="","",$G36*(IF(ADRYr1!$AI36=CB$4,ADRYr1!$AJ36,IF(ADRYr1!$AK36=CB$4,ADRYr1!$AL36,IF(ADRYr1!$AM36=CB$4,ADRYr1!$AN36,0))))*(INDEX(avoidedcosttbl,$H36,CK$2)+(($H36-ROUNDDOWN($H36,0))*(INDEX(avoidedcosttbl,ROUNDUP($H36,0),CK$2)-(INDEX(avoidedcosttbl,ROUNDDOWN($H36,0),CK$2)))))*ADRYr1!P36*ADRYr1!Q36*ADRYr1!U36)</f>
        <v>0</v>
      </c>
      <c r="CL36" s="30">
        <f>IF($G36="","",$G36*(IF(ADRYr1!$AI36=CC$4,ADRYr1!$AJ36,IF(ADRYr1!$AK36=CC$4,ADRYr1!$AL36,IF(ADRYr1!$AM36=CC$4,ADRYr1!$AN36,0))))*(INDEX(avoidedcosttbl,$H36,CL$2)+(($H36-ROUNDDOWN($H36,0))*(INDEX(avoidedcosttbl,ROUNDUP($H36,0),CL$2)-(INDEX(avoidedcosttbl,ROUNDDOWN($H36,0),CL$2)))))*ADRYr1!P36*ADRYr1!Q36*ADRYr1!U36)</f>
        <v>0</v>
      </c>
      <c r="CM36" s="30">
        <f>IF($G36="","",$G36*(IF(ADRYr1!$AI36=CD$4,ADRYr1!$AJ36,IF(ADRYr1!$AK36=CD$4,ADRYr1!$AL36,IF(ADRYr1!$AM36=CD$4,ADRYr1!$AN36,0))))*(INDEX(avoidedcosttbl,$H36,CM$2)+(($H36-ROUNDDOWN($H36,0))*(INDEX(avoidedcosttbl,ROUNDUP($H36,0),CM$2)-(INDEX(avoidedcosttbl,ROUNDDOWN($H36,0),CM$2)))))*ADRYr1!P36*ADRYr1!Q36*ADRYr1!U36)</f>
        <v>0</v>
      </c>
      <c r="CN36" s="30">
        <f>IF($G36="","",$G36*(IF(ADRYr1!$AI36=CE$4,ADRYr1!$AJ36,IF(ADRYr1!$AK36=CE$4,ADRYr1!$AL36,IF(ADRYr1!$AM36=CE$4,ADRYr1!$AN36,0))))*(INDEX(avoidedcosttbl,$H36,CN$2)+(($H36-ROUNDDOWN($H36,0))*(INDEX(avoidedcosttbl,ROUNDUP($H36,0),CN$2)-(INDEX(avoidedcosttbl,ROUNDDOWN($H36,0),CN$2)))))*ADRYr1!P36*ADRYr1!Q36*ADRYr1!U36)</f>
        <v>0</v>
      </c>
      <c r="CO36" s="220">
        <f t="shared" si="40"/>
        <v>0</v>
      </c>
      <c r="CP36" s="220">
        <f t="shared" si="41"/>
        <v>0</v>
      </c>
      <c r="CQ36" s="157">
        <f>IF($G36="","",$G36*(IF(ADRYr1!$AI36=CQ$4,ADRYr1!$AJ36,IF(ADRYr1!$AK36=CQ$4,ADRYr1!$AL36,IF(ADRYr1!$AM36=CQ$4,ADRYr1!$AN36,0))))*(INDEX(avoidedcosttbl,$H36,CQ$2)+(($H36-ROUNDDOWN($H36,0))*(INDEX(avoidedcosttbl,ROUNDUP($H36,0),CQ$2)-(INDEX(avoidedcosttbl,ROUNDDOWN($H36,0),CQ$2)))))*ADRYr1!$P36*ADRYr1!$Q36*ADRYr1!$U36)</f>
        <v>0</v>
      </c>
      <c r="CR36" s="28">
        <f>IF($G36="","",G36*(IF(ADRYr1!$AI36=CR$4,ADRYr1!$AJ36,IF(ADRYr1!$AK36=CR$4,ADRYr1!$AL36,IF(ADRYr1!$AM36=CR$4,ADRYr1!$AN36,0))))*(INDEX(avoidedcosttbl,$H36,CR$2)+(($H36-ROUNDDOWN($H36,0))*(INDEX(avoidedcosttbl,ROUNDUP($H36,0),CR$2)-(INDEX(avoidedcosttbl,ROUNDDOWN($H36,0),CR$2)))))*ADRYr1!$P36*ADRYr1!$Q36*ADRYr1!$U36)</f>
        <v>0</v>
      </c>
      <c r="CS36" s="28">
        <f>IF($G36="","",G36*(IF(ADRYr1!$AI36=CS$4,ADRYr1!$AJ36,IF(ADRYr1!$AK36=CS$4,ADRYr1!$AL36,IF(ADRYr1!$AM36=CS$4,ADRYr1!$AN36,0))))*(INDEX(avoidedcosttbl,$H36,CS$2)+(($H36-ROUNDDOWN($H36,0))*(INDEX(avoidedcosttbl,ROUNDUP($H36,0),CS$2)-(INDEX(avoidedcosttbl,ROUNDDOWN($H36,0),CS$2)))))*ADRYr1!$P36*ADRYr1!$Q36*ADRYr1!$U36)</f>
        <v>0</v>
      </c>
      <c r="CT36" s="28">
        <f t="shared" si="12"/>
        <v>0</v>
      </c>
      <c r="CU36" s="28">
        <f>IF($G36="","",G36*(IF(ADRYr1!$AI36=CU$4,ADRYr1!$AJ36,IF(ADRYr1!$AK36=CU$4,ADRYr1!$AL36,IF(ADRYr1!$AM36=CU$4,ADRYr1!$AN36,0))))*(INDEX(avoidedcosttbl,$H36,CU$2)+(($H36-ROUNDDOWN($H36,0))*(INDEX(avoidedcosttbl,ROUNDUP($H36,0),CU$2)-(INDEX(avoidedcosttbl,ROUNDDOWN($H36,0),CU$2)))))*ADRYr1!$P36*ADRYr1!$Q36*ADRYr1!$U36)</f>
        <v>0</v>
      </c>
      <c r="CV36" s="28">
        <f>IF($G36="","",G36*(IF(ADRYr1!$AI36=CV$4,ADRYr1!$AJ36,IF(ADRYr1!$AK36=CV$4,ADRYr1!$AL36,IF(ADRYr1!$AM36=CV$4,ADRYr1!$AN36,0))))*(INDEX(avoidedcosttbl,$H36,CV$2)+(($H36-ROUNDDOWN($H36,0))*(INDEX(avoidedcosttbl,ROUNDUP($H36,0),CV$2)-(INDEX(avoidedcosttbl,ROUNDDOWN($H36,0),CV$2)))))*ADRYr1!$P36*ADRYr1!$Q36*ADRYr1!$U36)</f>
        <v>0</v>
      </c>
      <c r="CW36" s="28">
        <f>IF($G36="","",G36*(IF(ADRYr1!$AI36=CW$4,ADRYr1!$AJ36,IF(ADRYr1!$AK36=CW$4,ADRYr1!$AL36,IF(ADRYr1!$AM36=CW$4,ADRYr1!$AN36,0))))*(INDEX(avoidedcosttbl,$H36,CW$2)+(($H36-ROUNDDOWN($H36,0))*(INDEX(avoidedcosttbl,ROUNDUP($H36,0),CW$2)-(INDEX(avoidedcosttbl,ROUNDDOWN($H36,0),CW$2)))))*ADRYr1!$P36*ADRYr1!$Q36*ADRYr1!$U36)</f>
        <v>0</v>
      </c>
      <c r="CX36" s="28">
        <f>IF($G36="","",G36*(IF(ADRYr1!$AI36=CX$4,ADRYr1!$AJ36,IF(ADRYr1!$AK36=CX$4,ADRYr1!$AL36,IF(ADRYr1!$AM36=CX$4,ADRYr1!$AN36,0))))*(INDEX(avoidedcosttbl,$H36,CX$2)+(($H36-ROUNDDOWN($H36,0))*(INDEX(avoidedcosttbl,ROUNDUP($H36,0),CX$2)-(INDEX(avoidedcosttbl,ROUNDDOWN($H36,0),CX$2)))))*ADRYr1!$P36*ADRYr1!$Q36*ADRYr1!$U36)</f>
        <v>0</v>
      </c>
      <c r="CY36" s="28">
        <f t="shared" si="13"/>
        <v>0</v>
      </c>
      <c r="CZ36" s="32">
        <f t="shared" si="14"/>
        <v>0</v>
      </c>
      <c r="DA36" s="84">
        <f t="shared" si="42"/>
        <v>0</v>
      </c>
      <c r="DB36" s="81">
        <f>IF(NEIadder="Yes",IF($G36="","",INDEX(Lookups!$G$68:$G$70,MATCH($A36,Lookups!$E$68:$E$70,0))*(SUM(CP36:CX36,BX36))),"")</f>
        <v>-87.124590271883406</v>
      </c>
      <c r="DC36" s="263" t="str">
        <f t="shared" si="15"/>
        <v/>
      </c>
      <c r="DD36" s="166">
        <f t="shared" si="16"/>
        <v>0</v>
      </c>
      <c r="DE36" s="82">
        <f t="shared" si="43"/>
        <v>-87.124590271883406</v>
      </c>
      <c r="DF36" s="760">
        <f>IF($G36="","",(1+WntPeakEnergyLL)*(INDEX(avoidedcosttbl,$H36,DF$2)+(($H36-ROUNDDOWN($H36,0))*(INDEX(avoidedcosttbl,ROUNDUP($H36,0),DF$2)-(INDEX(avoidedcosttbl,ROUNDDOWN($H36,0),DF$2)))))*$P36*1000*ADRYr1!Z36)</f>
        <v>0</v>
      </c>
      <c r="DG36" s="760">
        <f>IF($G36="","",(1+WntOffPeakEnergyLL)*(INDEX(avoidedcosttbl,$H36,DG$2)+(($H36-ROUNDDOWN($H36,0))*(INDEX(avoidedcosttbl,ROUNDUP($H36,0),DG$2)-(INDEX(avoidedcosttbl,ROUNDDOWN($H36,0),DG$2)))))*$P36*1000*ADRYr1!AA36)</f>
        <v>0</v>
      </c>
      <c r="DH36" s="760">
        <f>IF($G36="","",(1+SumPeakEnergyLL)*(INDEX(avoidedcosttbl,$H36,DH$2)+(($H36-ROUNDDOWN($H36,0))*(INDEX(avoidedcosttbl,ROUNDUP($H36,0),DH$2)-(INDEX(avoidedcosttbl,ROUNDDOWN($H36,0),DH$2)))))*$P36*1000*ADRYr1!AB36)</f>
        <v>0</v>
      </c>
      <c r="DI36" s="760">
        <f>IF($G36="","",(1+SumOffPeakEnergyLL)*(INDEX(avoidedcosttbl,$H36,DI$2)+(($H36-ROUNDDOWN($H36,0))*(INDEX(avoidedcosttbl,ROUNDUP($H36,0),DI$2)-(INDEX(avoidedcosttbl,ROUNDDOWN($H36,0),DI$2)))))*$P36*1000*ADRYr1!AC36)</f>
        <v>-845.97263565348555</v>
      </c>
      <c r="DJ36" s="29">
        <f t="shared" si="44"/>
        <v>-845.97263565348555</v>
      </c>
      <c r="DK36" s="161">
        <f t="shared" si="45"/>
        <v>-958.37049299071748</v>
      </c>
      <c r="DL36" s="1375">
        <f t="shared" si="46"/>
        <v>-871.24590271883403</v>
      </c>
      <c r="DM36" s="1375">
        <f t="shared" si="47"/>
        <v>-871.24590271883403</v>
      </c>
      <c r="DN36" s="43">
        <f t="shared" si="48"/>
        <v>-1804.343128644203</v>
      </c>
      <c r="DO36" s="1131" t="str">
        <f>IF($G36="","",ADRYr1!AQ36)</f>
        <v>Summer Daily Charge</v>
      </c>
      <c r="DP36" s="1133" t="str">
        <f>IF($G36="","",ADRYr1!AR36)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17"/>
        <v>2021-Summer Daily Charge-1</v>
      </c>
      <c r="DU36" s="1135" t="str">
        <f>IF($G36="","",ADRYr1!AS36)</f>
        <v>No</v>
      </c>
      <c r="DV36" s="1136">
        <f>IF($G36="","",ADRYr1!AT36)</f>
        <v>1</v>
      </c>
      <c r="DW36" s="1344">
        <f>IF($G36="","",INDEX(AvoidedEnergy!$H$4:$H$10,MATCH($DO36,AvoidedEnergy!$A$4:$A$10,0)))</f>
        <v>0.08</v>
      </c>
    </row>
    <row r="37" spans="1:127">
      <c r="A37" s="160" t="str">
        <f>IF(ADRYr1!$B37=0,"",ADRYr1!A37)</f>
        <v>C - Commercial &amp; Industrial</v>
      </c>
      <c r="B37" s="9" t="str">
        <f>IF(ADRYr1!$B37=0,"",ADRYr1!B37)</f>
        <v>C5 - C&amp;I Active Demand Response</v>
      </c>
      <c r="C37" s="9" t="str">
        <f>IF(ADRYr1!$B37=0,"",ADRYr1!C37)</f>
        <v>C5a - C&amp;I Active Demand Response</v>
      </c>
      <c r="D37" s="9" t="str">
        <f>IF(ADRYr1!$B37=0,"",ADRYr1!D37)</f>
        <v>Storage Targeted Dispatch P4P (savings) Summer</v>
      </c>
      <c r="E37" s="9" t="str">
        <f>IF(ADRYr1!$B37=0,"",ADRYr1!E37)</f>
        <v>E21C5a004</v>
      </c>
      <c r="F37" s="11" t="str">
        <f>IF(ADRYr1!$B37=0,"",ADRYr1!F37)</f>
        <v>Behavior</v>
      </c>
      <c r="G37" s="12" t="str">
        <f>IF(ADRYr1!$G37&lt;&gt;0,ADRYr1!G37,"")</f>
        <v/>
      </c>
      <c r="H37" s="1125" t="str">
        <f>IF($G37="","",ROUND(ADRYr1!H37,0))</f>
        <v/>
      </c>
      <c r="I37" s="47" t="str">
        <f>IF($G37="","",ADRYr1!I37*ADRYr1!P37*G37)</f>
        <v/>
      </c>
      <c r="J37" s="47" t="str">
        <f>IF($G37="","",ADRYr1!J37*G37)</f>
        <v/>
      </c>
      <c r="K37" s="47" t="str">
        <f t="shared" si="18"/>
        <v/>
      </c>
      <c r="L37" s="27" t="str">
        <f>IF($G37="","",ADRYr1!V37*G37/1000)</f>
        <v/>
      </c>
      <c r="M37" s="27" t="str">
        <f>IF($G37="","",L37*ADRYr1!$Q37*ADRYr1!$R37)</f>
        <v/>
      </c>
      <c r="N37" s="27" t="str">
        <f t="shared" si="19"/>
        <v/>
      </c>
      <c r="O37" s="27" t="str">
        <f t="shared" si="20"/>
        <v/>
      </c>
      <c r="P37" s="27" t="str">
        <f>IF($G37="","",M37*ADRYr1!P37)</f>
        <v/>
      </c>
      <c r="Q37" s="27" t="str">
        <f t="shared" si="21"/>
        <v/>
      </c>
      <c r="R37" s="27" t="str">
        <f>IF($G37="","",$Q37*ADRYr1!Z37)</f>
        <v/>
      </c>
      <c r="S37" s="27" t="str">
        <f>IF($G37="","",$Q37*ADRYr1!AA37)</f>
        <v/>
      </c>
      <c r="T37" s="27" t="str">
        <f>IF($G37="","",$Q37*ADRYr1!AB37)</f>
        <v/>
      </c>
      <c r="U37" s="27" t="str">
        <f>IF($G37="","",$Q37*ADRYr1!AC37)</f>
        <v/>
      </c>
      <c r="V37" s="27" t="str">
        <f>IF($G37="","",G37*ADRYr1!$AD37*ADRYr1!$P37*ADRYr1!$Q37)</f>
        <v/>
      </c>
      <c r="W37" s="27" t="str">
        <f>IF($G37="","",$G37*ADRYr1!$AD37*ADRYr1!$AF37*ADRYr1!Q37*ADRYr1!$S37)</f>
        <v/>
      </c>
      <c r="X37" s="27" t="str">
        <f>IF($G37="","",$G37*ADRYr1!$AD37*ADRYr1!$AF37*ADRYr1!P37*ADRYr1!Q37*ADRYr1!$S37)</f>
        <v/>
      </c>
      <c r="Y37" s="27" t="str">
        <f>IF($G37="","",$G37*ADRYr1!$AD37*ADRYr1!$AE37*ADRYr1!Q37*ADRYr1!$T37)</f>
        <v/>
      </c>
      <c r="Z37" s="27" t="str">
        <f>IF($G37="","",$G37*ADRYr1!$AD37*ADRYr1!$AE37*ADRYr1!P37*ADRYr1!Q37*ADRYr1!$T37)</f>
        <v/>
      </c>
      <c r="AA37" s="45" t="str">
        <f>IF($G37="","",$G37*ADRYr1!$Q37*ADRYr1!$U37*(IF(IFERROR(SEARCH("NG", ADRYr1!$AI37),0),ADRYr1!$AJ37,0)+IF(IFERROR(SEARCH("NG", ADRYr1!$AK37),0),ADRYr1!$AL37,0)+IF(IFERROR(SEARCH("NG", ADRYr1!$AM37),0),ADRYr1!$AN37,0)))</f>
        <v/>
      </c>
      <c r="AB37" s="45" t="str">
        <f t="shared" si="22"/>
        <v/>
      </c>
      <c r="AC37" s="45">
        <f>IF($G37="",0,AA37*ADRYr1!$P37)</f>
        <v>0</v>
      </c>
      <c r="AD37" s="45" t="str">
        <f t="shared" si="23"/>
        <v/>
      </c>
      <c r="AE37" s="45" t="str">
        <f>IF($G37="","",$G37*ADRYr1!$Q37*ADRYr1!$U37*(IF(IFERROR(SEARCH("Oil", ADRYr1!$AI37), 0),ADRYr1!$AJ37,0)+IF(IFERROR(SEARCH("Oil", ADRYr1!$AK37), 0),ADRYr1!$AL37,0)+IF(IFERROR(SEARCH("Oil", ADRYr1!$AM37), 0),ADRYr1!$AN37,0)))</f>
        <v/>
      </c>
      <c r="AF37" s="45" t="str">
        <f t="shared" si="24"/>
        <v/>
      </c>
      <c r="AG37" s="45">
        <f>IF($G37="",0,AE37*ADRYr1!$P37)</f>
        <v>0</v>
      </c>
      <c r="AH37" s="45" t="str">
        <f t="shared" si="25"/>
        <v/>
      </c>
      <c r="AI37" s="45" t="str">
        <f>IF($G37="","",$G37*ADRYr1!$Q37*ADRYr1!$U37*(IF(ADRYr1!$AI37=Lookups!$E$114,ADRYr1!$AJ37,IF(ADRYr1!$AK37=Lookups!$E$114,ADRYr1!$AL37,IF(ADRYr1!$AM37=Lookups!$E$114,ADRYr1!$AN37,0)))))</f>
        <v/>
      </c>
      <c r="AJ37" s="45" t="str">
        <f t="shared" si="26"/>
        <v/>
      </c>
      <c r="AK37" s="45">
        <f>IF($G37="",0,AI37*ADRYr1!$P37)</f>
        <v>0</v>
      </c>
      <c r="AL37" s="45" t="str">
        <f t="shared" si="27"/>
        <v/>
      </c>
      <c r="AM37" s="45" t="str">
        <f>IF($G37="","",$G37*ADRYr1!$Q37*ADRYr1!$U37*(IF(ADRYr1!$AI37=Lookups!$E$113,ADRYr1!$AJ37,IF(ADRYr1!$AK37=Lookups!$E$113,ADRYr1!$AL37,IF(ADRYr1!$AM37=Lookups!$E$113,ADRYr1!$AN37,0)))))</f>
        <v/>
      </c>
      <c r="AN37" s="45" t="str">
        <f t="shared" si="28"/>
        <v/>
      </c>
      <c r="AO37" s="45">
        <f>IF($G37="",0,AM37*ADRYr1!$P37)</f>
        <v>0</v>
      </c>
      <c r="AP37" s="45" t="str">
        <f t="shared" si="29"/>
        <v/>
      </c>
      <c r="AQ37" s="45" t="str">
        <f>IF($G37="","",$G37*ADRYr1!$Q37*ADRYr1!$U37*(IF(ADRYr1!$AI37=Lookups!$E$115,ADRYr1!$AJ37,IF(ADRYr1!$AK37=Lookups!$E$115,ADRYr1!$AL37,IF(ADRYr1!$AM37=Lookups!$E$115,ADRYr1!$AN37,0)))))</f>
        <v/>
      </c>
      <c r="AR37" s="45" t="str">
        <f t="shared" si="30"/>
        <v/>
      </c>
      <c r="AS37" s="45" t="str">
        <f>IF($G37="","",AQ37*ADRYr1!$P37)</f>
        <v/>
      </c>
      <c r="AT37" s="45" t="str">
        <f t="shared" si="31"/>
        <v/>
      </c>
      <c r="AU37" s="45" t="str">
        <f>IF($G37="","",$G37*ADRYr1!$Q37*ADRYr1!$U37*(IF(ADRYr1!$AI37=Lookups!$E$116,ADRYr1!$AJ37,IF(ADRYr1!$AK37=Lookups!$E$116,ADRYr1!$AL37,IF(ADRYr1!$AM37=Lookups!$E$116,ADRYr1!$AN37,0)))))</f>
        <v/>
      </c>
      <c r="AV37" s="45" t="str">
        <f t="shared" si="32"/>
        <v/>
      </c>
      <c r="AW37" s="45" t="str">
        <f>IF($G37="","",AU37*ADRYr1!$P37)</f>
        <v/>
      </c>
      <c r="AX37" s="45" t="str">
        <f t="shared" si="33"/>
        <v/>
      </c>
      <c r="AY37" s="45">
        <f t="shared" si="49"/>
        <v>0</v>
      </c>
      <c r="AZ37" s="45">
        <f t="shared" si="49"/>
        <v>0</v>
      </c>
      <c r="BA37" s="101" t="str">
        <f>IF($G37="","",$G37*ADRYr1!$P37*ADRYr1!$Q37*ADRYr1!$U37*ADRYr1!AO37)</f>
        <v/>
      </c>
      <c r="BB37" s="102" t="str">
        <f>IF($G37="","",$G37*ADRYr1!$P37*ADRYr1!$Q37*ADRYr1!$U37*ADRYr1!AP37)</f>
        <v/>
      </c>
      <c r="BC37" s="100" t="str">
        <f t="shared" si="35"/>
        <v/>
      </c>
      <c r="BD37" s="1126"/>
      <c r="BE37" s="1126"/>
      <c r="BF37" s="1126"/>
      <c r="BG37" s="1126"/>
      <c r="BH37" s="1127" t="str">
        <f t="shared" si="3"/>
        <v/>
      </c>
      <c r="BI37" s="1126"/>
      <c r="BJ37" s="1126"/>
      <c r="BK37" s="1126"/>
      <c r="BL37" s="1126"/>
      <c r="BM37" s="30" t="str">
        <f t="shared" si="4"/>
        <v/>
      </c>
      <c r="BN37" s="1128" t="str">
        <f t="shared" si="5"/>
        <v/>
      </c>
      <c r="BO37" s="31" t="str">
        <f t="shared" si="36"/>
        <v/>
      </c>
      <c r="BP37" s="1129" t="str">
        <f t="shared" si="6"/>
        <v/>
      </c>
      <c r="BQ37" s="28" t="str">
        <f t="shared" si="7"/>
        <v/>
      </c>
      <c r="BR37" s="1129" t="str">
        <f t="shared" si="8"/>
        <v/>
      </c>
      <c r="BS37" s="1129" t="str">
        <f t="shared" si="9"/>
        <v/>
      </c>
      <c r="BT37" s="28" t="str">
        <f t="shared" si="50"/>
        <v/>
      </c>
      <c r="BU37" s="28" t="str">
        <f t="shared" si="50"/>
        <v/>
      </c>
      <c r="BV37" s="28" t="str">
        <f t="shared" si="50"/>
        <v/>
      </c>
      <c r="BW37" s="29" t="str">
        <f t="shared" si="37"/>
        <v/>
      </c>
      <c r="BX37" s="29" t="str">
        <f t="shared" si="38"/>
        <v/>
      </c>
      <c r="BY37" s="28" t="str">
        <f>IF($G37="","",$G37*(IF(ADRYr1!$AI37=BY$4,ADRYr1!$AJ37,IF(ADRYr1!$AK37=BY$4,ADRYr1!$AL37,IF(ADRYr1!$AM37=BY$4,ADRYr1!$AN37,0))))*(INDEX(avoidedcosttbl,$H37,BY$2)+(($H37-ROUNDDOWN($H37,0))*(INDEX(avoidedcosttbl,ROUNDUP($H37,0),BY$2)-(INDEX(avoidedcosttbl,ROUNDDOWN($H37,0),BY$2)))))*ADRYr1!P37*ADRYr1!Q37*ADRYr1!U37)</f>
        <v/>
      </c>
      <c r="BZ37" s="28" t="str">
        <f>IF($G37="","",$G37*(IF(ADRYr1!$AI37=BZ$4,ADRYr1!$AJ37,IF(ADRYr1!$AK37=BZ$4,ADRYr1!$AL37,IF(ADRYr1!$AM37=BZ$4,ADRYr1!$AN37,0))))*(INDEX(avoidedcosttbl,$H37,BZ$2)+(($H37-ROUNDDOWN($H37,0))*(INDEX(avoidedcosttbl,ROUNDUP($H37,0),BZ$2)-(INDEX(avoidedcosttbl,ROUNDDOWN($H37,0),BZ$2)))))*ADRYr1!P37*ADRYr1!Q37*ADRYr1!U37)</f>
        <v/>
      </c>
      <c r="CA37" s="28" t="str">
        <f>IF($G37="","",$G37*(IF(ADRYr1!$AI37=CA$4,ADRYr1!$AJ37,IF(ADRYr1!$AK37=CA$4,ADRYr1!$AL37,IF(ADRYr1!$AM37=CA$4,ADRYr1!$AN37,0))))*(INDEX(avoidedcosttbl,$H37,CA$2)+(($H37-ROUNDDOWN($H37,0))*(INDEX(avoidedcosttbl,ROUNDUP($H37,0),CA$2)-(INDEX(avoidedcosttbl,ROUNDDOWN($H37,0),CA$2)))))*ADRYr1!P37*ADRYr1!Q37*ADRYr1!U37)</f>
        <v/>
      </c>
      <c r="CB37" s="28" t="str">
        <f>IF($G37="","",$G37*(IF(ADRYr1!$AI37=CB$4,ADRYr1!$AJ37,IF(ADRYr1!$AK37=CB$4,ADRYr1!$AL37,IF(ADRYr1!$AM37=CB$4,ADRYr1!$AN37,0))))*(INDEX(avoidedcosttbl,$H37,CB$2)+(($H37-ROUNDDOWN($H37,0))*(INDEX(avoidedcosttbl,ROUNDUP($H37,0),CB$2)-(INDEX(avoidedcosttbl,ROUNDDOWN($H37,0),CB$2)))))*ADRYr1!P37*ADRYr1!Q37*ADRYr1!U37)</f>
        <v/>
      </c>
      <c r="CC37" s="28" t="str">
        <f>IF($G37="","",$G37*(IF(ADRYr1!$AI37=CC$4,ADRYr1!$AJ37,IF(ADRYr1!$AK37=CC$4,ADRYr1!$AL37,IF(ADRYr1!$AM37=CC$4,ADRYr1!$AN37,0))))*(INDEX(avoidedcosttbl,$H37,CC$2)+(($H37-ROUNDDOWN($H37,0))*(INDEX(avoidedcosttbl,ROUNDUP($H37,0),CC$2)-(INDEX(avoidedcosttbl,ROUNDDOWN($H37,0),CC$2)))))*ADRYr1!P37*ADRYr1!Q37*ADRYr1!U37)</f>
        <v/>
      </c>
      <c r="CD37" s="28" t="str">
        <f>IF($G37="","",$G37*(IF(ADRYr1!$AI37=CD$4,ADRYr1!$AJ37,IF(ADRYr1!$AK37=CD$4,ADRYr1!$AL37,IF(ADRYr1!$AM37=CD$4,ADRYr1!$AN37,0))))*(INDEX(avoidedcosttbl,$H37,CD$2)+(($H37-ROUNDDOWN($H37,0))*(INDEX(avoidedcosttbl,ROUNDUP($H37,0),CD$2)-(INDEX(avoidedcosttbl,ROUNDDOWN($H37,0),CD$2)))))*ADRYr1!P37*ADRYr1!Q37*ADRYr1!U37)</f>
        <v/>
      </c>
      <c r="CE37" s="28" t="str">
        <f>IF($G37="","",$G37*(IF(ADRYr1!$AI37=CE$4,ADRYr1!$AJ37,IF(ADRYr1!$AK37=CE$4,ADRYr1!$AL37,IF(ADRYr1!$AM37=CE$4,ADRYr1!$AN37,0))))*(INDEX(avoidedcosttbl,$H37,CE$2)+(($H37-ROUNDDOWN($H37,0))*(INDEX(avoidedcosttbl,ROUNDUP($H37,0),CE$2)-(INDEX(avoidedcosttbl,ROUNDDOWN($H37,0),CE$2)))))*ADRYr1!P37*ADRYr1!Q37*ADRYr1!U37)</f>
        <v/>
      </c>
      <c r="CF37" s="41" t="str">
        <f t="shared" si="39"/>
        <v/>
      </c>
      <c r="CG37" s="30" t="str">
        <f t="shared" si="11"/>
        <v/>
      </c>
      <c r="CH37" s="30" t="str">
        <f>IF($G37="","",$G37*(IF(ADRYr1!$AI37=BY$4,ADRYr1!$AJ37,IF(ADRYr1!$AK37=BY$4,ADRYr1!$AL37,IF(ADRYr1!$AM37=BY$4,ADRYr1!$AN37,0))))*(INDEX(avoidedcosttbl,$H37,CH$2)+(($H37-ROUNDDOWN($H37,0))*(INDEX(avoidedcosttbl,ROUNDUP($H37,0),CH$2)-(INDEX(avoidedcosttbl,ROUNDDOWN($H37,0),CH$2)))))*ADRYr1!P37*ADRYr1!Q37*ADRYr1!U37)</f>
        <v/>
      </c>
      <c r="CI37" s="30" t="str">
        <f>IF($G37="","",$G37*(IF(ADRYr1!$AI37=BZ$4,ADRYr1!$AJ37,IF(ADRYr1!$AK37=BZ$4,ADRYr1!$AL37,IF(ADRYr1!$AM37=BZ$4,ADRYr1!$AN37,0))))*(INDEX(avoidedcosttbl,$H37,CI$2)+(($H37-ROUNDDOWN($H37,0))*(INDEX(avoidedcosttbl,ROUNDUP($H37,0),CI$2)-(INDEX(avoidedcosttbl,ROUNDDOWN($H37,0),CI$2)))))*ADRYr1!P37*ADRYr1!Q37*ADRYr1!U37)</f>
        <v/>
      </c>
      <c r="CJ37" s="30" t="str">
        <f>IF($G37="","",$G37*(IF(ADRYr1!$AI37=CA$4,ADRYr1!$AJ37,IF(ADRYr1!$AK37=CA$4,ADRYr1!$AL37,IF(ADRYr1!$AM37=CA$4,ADRYr1!$AN37,0))))*(INDEX(avoidedcosttbl,$H37,CJ$2)+(($H37-ROUNDDOWN($H37,0))*(INDEX(avoidedcosttbl,ROUNDUP($H37,0),CJ$2)-(INDEX(avoidedcosttbl,ROUNDDOWN($H37,0),CJ$2)))))*ADRYr1!P37*ADRYr1!Q37*ADRYr1!U37)</f>
        <v/>
      </c>
      <c r="CK37" s="30" t="str">
        <f>IF($G37="","",$G37*(IF(ADRYr1!$AI37=CB$4,ADRYr1!$AJ37,IF(ADRYr1!$AK37=CB$4,ADRYr1!$AL37,IF(ADRYr1!$AM37=CB$4,ADRYr1!$AN37,0))))*(INDEX(avoidedcosttbl,$H37,CK$2)+(($H37-ROUNDDOWN($H37,0))*(INDEX(avoidedcosttbl,ROUNDUP($H37,0),CK$2)-(INDEX(avoidedcosttbl,ROUNDDOWN($H37,0),CK$2)))))*ADRYr1!P37*ADRYr1!Q37*ADRYr1!U37)</f>
        <v/>
      </c>
      <c r="CL37" s="30" t="str">
        <f>IF($G37="","",$G37*(IF(ADRYr1!$AI37=CC$4,ADRYr1!$AJ37,IF(ADRYr1!$AK37=CC$4,ADRYr1!$AL37,IF(ADRYr1!$AM37=CC$4,ADRYr1!$AN37,0))))*(INDEX(avoidedcosttbl,$H37,CL$2)+(($H37-ROUNDDOWN($H37,0))*(INDEX(avoidedcosttbl,ROUNDUP($H37,0),CL$2)-(INDEX(avoidedcosttbl,ROUNDDOWN($H37,0),CL$2)))))*ADRYr1!P37*ADRYr1!Q37*ADRYr1!U37)</f>
        <v/>
      </c>
      <c r="CM37" s="30" t="str">
        <f>IF($G37="","",$G37*(IF(ADRYr1!$AI37=CD$4,ADRYr1!$AJ37,IF(ADRYr1!$AK37=CD$4,ADRYr1!$AL37,IF(ADRYr1!$AM37=CD$4,ADRYr1!$AN37,0))))*(INDEX(avoidedcosttbl,$H37,CM$2)+(($H37-ROUNDDOWN($H37,0))*(INDEX(avoidedcosttbl,ROUNDUP($H37,0),CM$2)-(INDEX(avoidedcosttbl,ROUNDDOWN($H37,0),CM$2)))))*ADRYr1!P37*ADRYr1!Q37*ADRYr1!U37)</f>
        <v/>
      </c>
      <c r="CN37" s="30" t="str">
        <f>IF($G37="","",$G37*(IF(ADRYr1!$AI37=CE$4,ADRYr1!$AJ37,IF(ADRYr1!$AK37=CE$4,ADRYr1!$AL37,IF(ADRYr1!$AM37=CE$4,ADRYr1!$AN37,0))))*(INDEX(avoidedcosttbl,$H37,CN$2)+(($H37-ROUNDDOWN($H37,0))*(INDEX(avoidedcosttbl,ROUNDUP($H37,0),CN$2)-(INDEX(avoidedcosttbl,ROUNDDOWN($H37,0),CN$2)))))*ADRYr1!P37*ADRYr1!Q37*ADRYr1!U37)</f>
        <v/>
      </c>
      <c r="CO37" s="220" t="str">
        <f t="shared" si="40"/>
        <v/>
      </c>
      <c r="CP37" s="220" t="str">
        <f t="shared" si="41"/>
        <v/>
      </c>
      <c r="CQ37" s="157" t="str">
        <f>IF($G37="","",$G37*(IF(ADRYr1!$AI37=CQ$4,ADRYr1!$AJ37,IF(ADRYr1!$AK37=CQ$4,ADRYr1!$AL37,IF(ADRYr1!$AM37=CQ$4,ADRYr1!$AN37,0))))*(INDEX(avoidedcosttbl,$H37,CQ$2)+(($H37-ROUNDDOWN($H37,0))*(INDEX(avoidedcosttbl,ROUNDUP($H37,0),CQ$2)-(INDEX(avoidedcosttbl,ROUNDDOWN($H37,0),CQ$2)))))*ADRYr1!$P37*ADRYr1!$Q37*ADRYr1!$U37)</f>
        <v/>
      </c>
      <c r="CR37" s="28" t="str">
        <f>IF($G37="","",G37*(IF(ADRYr1!$AI37=CR$4,ADRYr1!$AJ37,IF(ADRYr1!$AK37=CR$4,ADRYr1!$AL37,IF(ADRYr1!$AM37=CR$4,ADRYr1!$AN37,0))))*(INDEX(avoidedcosttbl,$H37,CR$2)+(($H37-ROUNDDOWN($H37,0))*(INDEX(avoidedcosttbl,ROUNDUP($H37,0),CR$2)-(INDEX(avoidedcosttbl,ROUNDDOWN($H37,0),CR$2)))))*ADRYr1!$P37*ADRYr1!$Q37*ADRYr1!$U37)</f>
        <v/>
      </c>
      <c r="CS37" s="28" t="str">
        <f>IF($G37="","",G37*(IF(ADRYr1!$AI37=CS$4,ADRYr1!$AJ37,IF(ADRYr1!$AK37=CS$4,ADRYr1!$AL37,IF(ADRYr1!$AM37=CS$4,ADRYr1!$AN37,0))))*(INDEX(avoidedcosttbl,$H37,CS$2)+(($H37-ROUNDDOWN($H37,0))*(INDEX(avoidedcosttbl,ROUNDUP($H37,0),CS$2)-(INDEX(avoidedcosttbl,ROUNDDOWN($H37,0),CS$2)))))*ADRYr1!$P37*ADRYr1!$Q37*ADRYr1!$U37)</f>
        <v/>
      </c>
      <c r="CT37" s="28" t="str">
        <f t="shared" si="12"/>
        <v/>
      </c>
      <c r="CU37" s="28" t="str">
        <f>IF($G37="","",G37*(IF(ADRYr1!$AI37=CU$4,ADRYr1!$AJ37,IF(ADRYr1!$AK37=CU$4,ADRYr1!$AL37,IF(ADRYr1!$AM37=CU$4,ADRYr1!$AN37,0))))*(INDEX(avoidedcosttbl,$H37,CU$2)+(($H37-ROUNDDOWN($H37,0))*(INDEX(avoidedcosttbl,ROUNDUP($H37,0),CU$2)-(INDEX(avoidedcosttbl,ROUNDDOWN($H37,0),CU$2)))))*ADRYr1!$P37*ADRYr1!$Q37*ADRYr1!$U37)</f>
        <v/>
      </c>
      <c r="CV37" s="28" t="str">
        <f>IF($G37="","",G37*(IF(ADRYr1!$AI37=CV$4,ADRYr1!$AJ37,IF(ADRYr1!$AK37=CV$4,ADRYr1!$AL37,IF(ADRYr1!$AM37=CV$4,ADRYr1!$AN37,0))))*(INDEX(avoidedcosttbl,$H37,CV$2)+(($H37-ROUNDDOWN($H37,0))*(INDEX(avoidedcosttbl,ROUNDUP($H37,0),CV$2)-(INDEX(avoidedcosttbl,ROUNDDOWN($H37,0),CV$2)))))*ADRYr1!$P37*ADRYr1!$Q37*ADRYr1!$U37)</f>
        <v/>
      </c>
      <c r="CW37" s="28" t="str">
        <f>IF($G37="","",G37*(IF(ADRYr1!$AI37=CW$4,ADRYr1!$AJ37,IF(ADRYr1!$AK37=CW$4,ADRYr1!$AL37,IF(ADRYr1!$AM37=CW$4,ADRYr1!$AN37,0))))*(INDEX(avoidedcosttbl,$H37,CW$2)+(($H37-ROUNDDOWN($H37,0))*(INDEX(avoidedcosttbl,ROUNDUP($H37,0),CW$2)-(INDEX(avoidedcosttbl,ROUNDDOWN($H37,0),CW$2)))))*ADRYr1!$P37*ADRYr1!$Q37*ADRYr1!$U37)</f>
        <v/>
      </c>
      <c r="CX37" s="28" t="str">
        <f>IF($G37="","",G37*(IF(ADRYr1!$AI37=CX$4,ADRYr1!$AJ37,IF(ADRYr1!$AK37=CX$4,ADRYr1!$AL37,IF(ADRYr1!$AM37=CX$4,ADRYr1!$AN37,0))))*(INDEX(avoidedcosttbl,$H37,CX$2)+(($H37-ROUNDDOWN($H37,0))*(INDEX(avoidedcosttbl,ROUNDUP($H37,0),CX$2)-(INDEX(avoidedcosttbl,ROUNDDOWN($H37,0),CX$2)))))*ADRYr1!$P37*ADRYr1!$Q37*ADRYr1!$U37)</f>
        <v/>
      </c>
      <c r="CY37" s="28" t="str">
        <f t="shared" si="13"/>
        <v/>
      </c>
      <c r="CZ37" s="32" t="str">
        <f t="shared" si="14"/>
        <v/>
      </c>
      <c r="DA37" s="84" t="str">
        <f t="shared" si="42"/>
        <v/>
      </c>
      <c r="DB37" s="81" t="str">
        <f>IF(NEIadder="Yes",IF($G37="","",INDEX(Lookups!$G$68:$G$70,MATCH($A37,Lookups!$E$68:$E$70,0))*(SUM(CP37:CX37,BX37))),"")</f>
        <v/>
      </c>
      <c r="DC37" s="263" t="str">
        <f t="shared" si="15"/>
        <v/>
      </c>
      <c r="DD37" s="166" t="str">
        <f t="shared" si="16"/>
        <v/>
      </c>
      <c r="DE37" s="82">
        <f t="shared" si="43"/>
        <v>0</v>
      </c>
      <c r="DF37" s="760" t="str">
        <f>IF($G37="","",(1+WntPeakEnergyLL)*(INDEX(avoidedcosttbl,$H37,DF$2)+(($H37-ROUNDDOWN($H37,0))*(INDEX(avoidedcosttbl,ROUNDUP($H37,0),DF$2)-(INDEX(avoidedcosttbl,ROUNDDOWN($H37,0),DF$2)))))*$P37*1000*ADRYr1!Z37)</f>
        <v/>
      </c>
      <c r="DG37" s="760" t="str">
        <f>IF($G37="","",(1+WntOffPeakEnergyLL)*(INDEX(avoidedcosttbl,$H37,DG$2)+(($H37-ROUNDDOWN($H37,0))*(INDEX(avoidedcosttbl,ROUNDUP($H37,0),DG$2)-(INDEX(avoidedcosttbl,ROUNDDOWN($H37,0),DG$2)))))*$P37*1000*ADRYr1!AA37)</f>
        <v/>
      </c>
      <c r="DH37" s="760" t="str">
        <f>IF($G37="","",(1+SumPeakEnergyLL)*(INDEX(avoidedcosttbl,$H37,DH$2)+(($H37-ROUNDDOWN($H37,0))*(INDEX(avoidedcosttbl,ROUNDUP($H37,0),DH$2)-(INDEX(avoidedcosttbl,ROUNDDOWN($H37,0),DH$2)))))*$P37*1000*ADRYr1!AB37)</f>
        <v/>
      </c>
      <c r="DI37" s="760" t="str">
        <f>IF($G37="","",(1+SumOffPeakEnergyLL)*(INDEX(avoidedcosttbl,$H37,DI$2)+(($H37-ROUNDDOWN($H37,0))*(INDEX(avoidedcosttbl,ROUNDUP($H37,0),DI$2)-(INDEX(avoidedcosttbl,ROUNDDOWN($H37,0),DI$2)))))*$P37*1000*ADRYr1!AC37)</f>
        <v/>
      </c>
      <c r="DJ37" s="29" t="str">
        <f t="shared" si="44"/>
        <v/>
      </c>
      <c r="DK37" s="161" t="str">
        <f t="shared" si="45"/>
        <v/>
      </c>
      <c r="DL37" s="1375" t="str">
        <f t="shared" si="46"/>
        <v/>
      </c>
      <c r="DM37" s="1375" t="str">
        <f t="shared" si="47"/>
        <v/>
      </c>
      <c r="DN37" s="43" t="str">
        <f t="shared" si="48"/>
        <v/>
      </c>
      <c r="DO37" s="1131" t="str">
        <f>IF($G37="","",ADRYr1!AQ37)</f>
        <v/>
      </c>
      <c r="DP37" s="1133" t="str">
        <f>IF($G37="","",ADRYr1!AR37)</f>
        <v/>
      </c>
      <c r="DQ37" s="1135" t="str">
        <f>IF($G37="","",IF($DP37="Yes",COLUMN(AESC!$L$10),IF($DP37="No","Using AvoidedDemand tab",IF($DP37="Mixed",COLUMN(AESC!$N$10)))))</f>
        <v/>
      </c>
      <c r="DR37" s="1135" t="str">
        <f>IF($G37="","",IF($DP37="Yes",COLUMN(AESC!$P$10),IF($DP37="No","Using AvoidedDemand tab",IF($DP37="Mixed",COLUMN(AESC!$R$10)))))</f>
        <v/>
      </c>
      <c r="DS37" s="1135" t="str">
        <f>IF($G37="","",IF($DP37="Yes",COLUMN(AESC!$S$10),IF($DP37="No",COLUMN(AESC!$T$10),IF($DP37="Mixed",COLUMN(AESC!$U$10)))))</f>
        <v/>
      </c>
      <c r="DT37" s="1135" t="str">
        <f t="shared" si="17"/>
        <v/>
      </c>
      <c r="DU37" s="1135" t="str">
        <f>IF($G37="","",ADRYr1!AS37)</f>
        <v/>
      </c>
      <c r="DV37" s="1136" t="str">
        <f>IF($G37="","",ADRYr1!AT37)</f>
        <v/>
      </c>
      <c r="DW37" s="1344" t="str">
        <f>IF($G37="","",INDEX(AvoidedEnergy!$H$4:$H$10,MATCH($DO37,AvoidedEnergy!$A$4:$A$10,0)))</f>
        <v/>
      </c>
    </row>
    <row r="38" spans="1:127">
      <c r="A38" s="160" t="str">
        <f>IF(ADRYr1!$B38=0,"",ADRYr1!A38)</f>
        <v>C - Commercial &amp; Industrial</v>
      </c>
      <c r="B38" s="9" t="str">
        <f>IF(ADRYr1!$B38=0,"",ADRYr1!B38)</f>
        <v>C5 - C&amp;I Active Demand Response</v>
      </c>
      <c r="C38" s="9" t="str">
        <f>IF(ADRYr1!$B38=0,"",ADRYr1!C38)</f>
        <v>C5a - C&amp;I Active Demand Response</v>
      </c>
      <c r="D38" s="9" t="str">
        <f>IF(ADRYr1!$B38=0,"",ADRYr1!D38)</f>
        <v>Storage Targeted Dispatch P4P (consumption) Summer</v>
      </c>
      <c r="E38" s="9" t="str">
        <f>IF(ADRYr1!$B38=0,"",ADRYr1!E38)</f>
        <v>E21C5a005</v>
      </c>
      <c r="F38" s="11" t="str">
        <f>IF(ADRYr1!$B38=0,"",ADRYr1!F38)</f>
        <v>Behavior</v>
      </c>
      <c r="G38" s="12" t="str">
        <f>IF(ADRYr1!$G38&lt;&gt;0,ADRYr1!G38,"")</f>
        <v/>
      </c>
      <c r="H38" s="1125" t="str">
        <f>IF($G38="","",ROUND(ADRYr1!H38,0))</f>
        <v/>
      </c>
      <c r="I38" s="47" t="str">
        <f>IF($G38="","",ADRYr1!I38*ADRYr1!P38*G38)</f>
        <v/>
      </c>
      <c r="J38" s="47" t="str">
        <f>IF($G38="","",ADRYr1!J38*G38)</f>
        <v/>
      </c>
      <c r="K38" s="47" t="str">
        <f t="shared" si="18"/>
        <v/>
      </c>
      <c r="L38" s="27" t="str">
        <f>IF($G38="","",ADRYr1!V38*G38/1000)</f>
        <v/>
      </c>
      <c r="M38" s="27" t="str">
        <f>IF($G38="","",L38*ADRYr1!$Q38*ADRYr1!$R38)</f>
        <v/>
      </c>
      <c r="N38" s="27" t="str">
        <f t="shared" si="19"/>
        <v/>
      </c>
      <c r="O38" s="27" t="str">
        <f t="shared" si="20"/>
        <v/>
      </c>
      <c r="P38" s="27" t="str">
        <f>IF($G38="","",M38*ADRYr1!P38)</f>
        <v/>
      </c>
      <c r="Q38" s="27" t="str">
        <f t="shared" si="21"/>
        <v/>
      </c>
      <c r="R38" s="27" t="str">
        <f>IF($G38="","",$Q38*ADRYr1!Z38)</f>
        <v/>
      </c>
      <c r="S38" s="27" t="str">
        <f>IF($G38="","",$Q38*ADRYr1!AA38)</f>
        <v/>
      </c>
      <c r="T38" s="27" t="str">
        <f>IF($G38="","",$Q38*ADRYr1!AB38)</f>
        <v/>
      </c>
      <c r="U38" s="27" t="str">
        <f>IF($G38="","",$Q38*ADRYr1!AC38)</f>
        <v/>
      </c>
      <c r="V38" s="27" t="str">
        <f>IF($G38="","",G38*ADRYr1!$AD38*ADRYr1!$P38*ADRYr1!$Q38)</f>
        <v/>
      </c>
      <c r="W38" s="27" t="str">
        <f>IF($G38="","",$G38*ADRYr1!$AD38*ADRYr1!$AF38*ADRYr1!Q38*ADRYr1!$S38)</f>
        <v/>
      </c>
      <c r="X38" s="27" t="str">
        <f>IF($G38="","",$G38*ADRYr1!$AD38*ADRYr1!$AF38*ADRYr1!P38*ADRYr1!Q38*ADRYr1!$S38)</f>
        <v/>
      </c>
      <c r="Y38" s="27" t="str">
        <f>IF($G38="","",$G38*ADRYr1!$AD38*ADRYr1!$AE38*ADRYr1!Q38*ADRYr1!$T38)</f>
        <v/>
      </c>
      <c r="Z38" s="27" t="str">
        <f>IF($G38="","",$G38*ADRYr1!$AD38*ADRYr1!$AE38*ADRYr1!P38*ADRYr1!Q38*ADRYr1!$T38)</f>
        <v/>
      </c>
      <c r="AA38" s="45" t="str">
        <f>IF($G38="","",$G38*ADRYr1!$Q38*ADRYr1!$U38*(IF(IFERROR(SEARCH("NG", ADRYr1!$AI38),0),ADRYr1!$AJ38,0)+IF(IFERROR(SEARCH("NG", ADRYr1!$AK38),0),ADRYr1!$AL38,0)+IF(IFERROR(SEARCH("NG", ADRYr1!$AM38),0),ADRYr1!$AN38,0)))</f>
        <v/>
      </c>
      <c r="AB38" s="45" t="str">
        <f t="shared" si="22"/>
        <v/>
      </c>
      <c r="AC38" s="45">
        <f>IF($G38="",0,AA38*ADRYr1!$P38)</f>
        <v>0</v>
      </c>
      <c r="AD38" s="45" t="str">
        <f t="shared" si="23"/>
        <v/>
      </c>
      <c r="AE38" s="45" t="str">
        <f>IF($G38="","",$G38*ADRYr1!$Q38*ADRYr1!$U38*(IF(IFERROR(SEARCH("Oil", ADRYr1!$AI38), 0),ADRYr1!$AJ38,0)+IF(IFERROR(SEARCH("Oil", ADRYr1!$AK38), 0),ADRYr1!$AL38,0)+IF(IFERROR(SEARCH("Oil", ADRYr1!$AM38), 0),ADRYr1!$AN38,0)))</f>
        <v/>
      </c>
      <c r="AF38" s="45" t="str">
        <f t="shared" si="24"/>
        <v/>
      </c>
      <c r="AG38" s="45">
        <f>IF($G38="",0,AE38*ADRYr1!$P38)</f>
        <v>0</v>
      </c>
      <c r="AH38" s="45" t="str">
        <f t="shared" si="25"/>
        <v/>
      </c>
      <c r="AI38" s="45" t="str">
        <f>IF($G38="","",$G38*ADRYr1!$Q38*ADRYr1!$U38*(IF(ADRYr1!$AI38=Lookups!$E$114,ADRYr1!$AJ38,IF(ADRYr1!$AK38=Lookups!$E$114,ADRYr1!$AL38,IF(ADRYr1!$AM38=Lookups!$E$114,ADRYr1!$AN38,0)))))</f>
        <v/>
      </c>
      <c r="AJ38" s="45" t="str">
        <f t="shared" si="26"/>
        <v/>
      </c>
      <c r="AK38" s="45">
        <f>IF($G38="",0,AI38*ADRYr1!$P38)</f>
        <v>0</v>
      </c>
      <c r="AL38" s="45" t="str">
        <f t="shared" si="27"/>
        <v/>
      </c>
      <c r="AM38" s="45" t="str">
        <f>IF($G38="","",$G38*ADRYr1!$Q38*ADRYr1!$U38*(IF(ADRYr1!$AI38=Lookups!$E$113,ADRYr1!$AJ38,IF(ADRYr1!$AK38=Lookups!$E$113,ADRYr1!$AL38,IF(ADRYr1!$AM38=Lookups!$E$113,ADRYr1!$AN38,0)))))</f>
        <v/>
      </c>
      <c r="AN38" s="45" t="str">
        <f t="shared" si="28"/>
        <v/>
      </c>
      <c r="AO38" s="45">
        <f>IF($G38="",0,AM38*ADRYr1!$P38)</f>
        <v>0</v>
      </c>
      <c r="AP38" s="45" t="str">
        <f t="shared" si="29"/>
        <v/>
      </c>
      <c r="AQ38" s="45" t="str">
        <f>IF($G38="","",$G38*ADRYr1!$Q38*ADRYr1!$U38*(IF(ADRYr1!$AI38=Lookups!$E$115,ADRYr1!$AJ38,IF(ADRYr1!$AK38=Lookups!$E$115,ADRYr1!$AL38,IF(ADRYr1!$AM38=Lookups!$E$115,ADRYr1!$AN38,0)))))</f>
        <v/>
      </c>
      <c r="AR38" s="45" t="str">
        <f t="shared" si="30"/>
        <v/>
      </c>
      <c r="AS38" s="45" t="str">
        <f>IF($G38="","",AQ38*ADRYr1!$P38)</f>
        <v/>
      </c>
      <c r="AT38" s="45" t="str">
        <f t="shared" si="31"/>
        <v/>
      </c>
      <c r="AU38" s="45" t="str">
        <f>IF($G38="","",$G38*ADRYr1!$Q38*ADRYr1!$U38*(IF(ADRYr1!$AI38=Lookups!$E$116,ADRYr1!$AJ38,IF(ADRYr1!$AK38=Lookups!$E$116,ADRYr1!$AL38,IF(ADRYr1!$AM38=Lookups!$E$116,ADRYr1!$AN38,0)))))</f>
        <v/>
      </c>
      <c r="AV38" s="45" t="str">
        <f t="shared" si="32"/>
        <v/>
      </c>
      <c r="AW38" s="45" t="str">
        <f>IF($G38="","",AU38*ADRYr1!$P38)</f>
        <v/>
      </c>
      <c r="AX38" s="45" t="str">
        <f t="shared" si="33"/>
        <v/>
      </c>
      <c r="AY38" s="45">
        <f t="shared" si="49"/>
        <v>0</v>
      </c>
      <c r="AZ38" s="45">
        <f t="shared" si="49"/>
        <v>0</v>
      </c>
      <c r="BA38" s="101" t="str">
        <f>IF($G38="","",$G38*ADRYr1!$P38*ADRYr1!$Q38*ADRYr1!$U38*ADRYr1!AO38)</f>
        <v/>
      </c>
      <c r="BB38" s="102" t="str">
        <f>IF($G38="","",$G38*ADRYr1!$P38*ADRYr1!$Q38*ADRYr1!$U38*ADRYr1!AP38)</f>
        <v/>
      </c>
      <c r="BC38" s="100" t="str">
        <f t="shared" si="35"/>
        <v/>
      </c>
      <c r="BD38" s="1126"/>
      <c r="BE38" s="1126"/>
      <c r="BF38" s="1126"/>
      <c r="BG38" s="1126"/>
      <c r="BH38" s="1127" t="str">
        <f t="shared" si="3"/>
        <v/>
      </c>
      <c r="BI38" s="1126"/>
      <c r="BJ38" s="1126"/>
      <c r="BK38" s="1126"/>
      <c r="BL38" s="1126"/>
      <c r="BM38" s="30" t="str">
        <f t="shared" si="4"/>
        <v/>
      </c>
      <c r="BN38" s="1128" t="str">
        <f t="shared" si="5"/>
        <v/>
      </c>
      <c r="BO38" s="31" t="str">
        <f t="shared" si="36"/>
        <v/>
      </c>
      <c r="BP38" s="1129" t="str">
        <f t="shared" si="6"/>
        <v/>
      </c>
      <c r="BQ38" s="28" t="str">
        <f t="shared" si="7"/>
        <v/>
      </c>
      <c r="BR38" s="1129" t="str">
        <f t="shared" si="8"/>
        <v/>
      </c>
      <c r="BS38" s="1129" t="str">
        <f t="shared" si="9"/>
        <v/>
      </c>
      <c r="BT38" s="28" t="str">
        <f t="shared" si="50"/>
        <v/>
      </c>
      <c r="BU38" s="28" t="str">
        <f t="shared" si="50"/>
        <v/>
      </c>
      <c r="BV38" s="28" t="str">
        <f t="shared" si="50"/>
        <v/>
      </c>
      <c r="BW38" s="29" t="str">
        <f t="shared" si="37"/>
        <v/>
      </c>
      <c r="BX38" s="29" t="str">
        <f t="shared" si="38"/>
        <v/>
      </c>
      <c r="BY38" s="28" t="str">
        <f>IF($G38="","",$G38*(IF(ADRYr1!$AI38=BY$4,ADRYr1!$AJ38,IF(ADRYr1!$AK38=BY$4,ADRYr1!$AL38,IF(ADRYr1!$AM38=BY$4,ADRYr1!$AN38,0))))*(INDEX(avoidedcosttbl,$H38,BY$2)+(($H38-ROUNDDOWN($H38,0))*(INDEX(avoidedcosttbl,ROUNDUP($H38,0),BY$2)-(INDEX(avoidedcosttbl,ROUNDDOWN($H38,0),BY$2)))))*ADRYr1!P38*ADRYr1!Q38*ADRYr1!U38)</f>
        <v/>
      </c>
      <c r="BZ38" s="28" t="str">
        <f>IF($G38="","",$G38*(IF(ADRYr1!$AI38=BZ$4,ADRYr1!$AJ38,IF(ADRYr1!$AK38=BZ$4,ADRYr1!$AL38,IF(ADRYr1!$AM38=BZ$4,ADRYr1!$AN38,0))))*(INDEX(avoidedcosttbl,$H38,BZ$2)+(($H38-ROUNDDOWN($H38,0))*(INDEX(avoidedcosttbl,ROUNDUP($H38,0),BZ$2)-(INDEX(avoidedcosttbl,ROUNDDOWN($H38,0),BZ$2)))))*ADRYr1!P38*ADRYr1!Q38*ADRYr1!U38)</f>
        <v/>
      </c>
      <c r="CA38" s="28" t="str">
        <f>IF($G38="","",$G38*(IF(ADRYr1!$AI38=CA$4,ADRYr1!$AJ38,IF(ADRYr1!$AK38=CA$4,ADRYr1!$AL38,IF(ADRYr1!$AM38=CA$4,ADRYr1!$AN38,0))))*(INDEX(avoidedcosttbl,$H38,CA$2)+(($H38-ROUNDDOWN($H38,0))*(INDEX(avoidedcosttbl,ROUNDUP($H38,0),CA$2)-(INDEX(avoidedcosttbl,ROUNDDOWN($H38,0),CA$2)))))*ADRYr1!P38*ADRYr1!Q38*ADRYr1!U38)</f>
        <v/>
      </c>
      <c r="CB38" s="28" t="str">
        <f>IF($G38="","",$G38*(IF(ADRYr1!$AI38=CB$4,ADRYr1!$AJ38,IF(ADRYr1!$AK38=CB$4,ADRYr1!$AL38,IF(ADRYr1!$AM38=CB$4,ADRYr1!$AN38,0))))*(INDEX(avoidedcosttbl,$H38,CB$2)+(($H38-ROUNDDOWN($H38,0))*(INDEX(avoidedcosttbl,ROUNDUP($H38,0),CB$2)-(INDEX(avoidedcosttbl,ROUNDDOWN($H38,0),CB$2)))))*ADRYr1!P38*ADRYr1!Q38*ADRYr1!U38)</f>
        <v/>
      </c>
      <c r="CC38" s="28" t="str">
        <f>IF($G38="","",$G38*(IF(ADRYr1!$AI38=CC$4,ADRYr1!$AJ38,IF(ADRYr1!$AK38=CC$4,ADRYr1!$AL38,IF(ADRYr1!$AM38=CC$4,ADRYr1!$AN38,0))))*(INDEX(avoidedcosttbl,$H38,CC$2)+(($H38-ROUNDDOWN($H38,0))*(INDEX(avoidedcosttbl,ROUNDUP($H38,0),CC$2)-(INDEX(avoidedcosttbl,ROUNDDOWN($H38,0),CC$2)))))*ADRYr1!P38*ADRYr1!Q38*ADRYr1!U38)</f>
        <v/>
      </c>
      <c r="CD38" s="28" t="str">
        <f>IF($G38="","",$G38*(IF(ADRYr1!$AI38=CD$4,ADRYr1!$AJ38,IF(ADRYr1!$AK38=CD$4,ADRYr1!$AL38,IF(ADRYr1!$AM38=CD$4,ADRYr1!$AN38,0))))*(INDEX(avoidedcosttbl,$H38,CD$2)+(($H38-ROUNDDOWN($H38,0))*(INDEX(avoidedcosttbl,ROUNDUP($H38,0),CD$2)-(INDEX(avoidedcosttbl,ROUNDDOWN($H38,0),CD$2)))))*ADRYr1!P38*ADRYr1!Q38*ADRYr1!U38)</f>
        <v/>
      </c>
      <c r="CE38" s="28" t="str">
        <f>IF($G38="","",$G38*(IF(ADRYr1!$AI38=CE$4,ADRYr1!$AJ38,IF(ADRYr1!$AK38=CE$4,ADRYr1!$AL38,IF(ADRYr1!$AM38=CE$4,ADRYr1!$AN38,0))))*(INDEX(avoidedcosttbl,$H38,CE$2)+(($H38-ROUNDDOWN($H38,0))*(INDEX(avoidedcosttbl,ROUNDUP($H38,0),CE$2)-(INDEX(avoidedcosttbl,ROUNDDOWN($H38,0),CE$2)))))*ADRYr1!P38*ADRYr1!Q38*ADRYr1!U38)</f>
        <v/>
      </c>
      <c r="CF38" s="41" t="str">
        <f t="shared" si="39"/>
        <v/>
      </c>
      <c r="CG38" s="30" t="str">
        <f t="shared" si="11"/>
        <v/>
      </c>
      <c r="CH38" s="30" t="str">
        <f>IF($G38="","",$G38*(IF(ADRYr1!$AI38=BY$4,ADRYr1!$AJ38,IF(ADRYr1!$AK38=BY$4,ADRYr1!$AL38,IF(ADRYr1!$AM38=BY$4,ADRYr1!$AN38,0))))*(INDEX(avoidedcosttbl,$H38,CH$2)+(($H38-ROUNDDOWN($H38,0))*(INDEX(avoidedcosttbl,ROUNDUP($H38,0),CH$2)-(INDEX(avoidedcosttbl,ROUNDDOWN($H38,0),CH$2)))))*ADRYr1!P38*ADRYr1!Q38*ADRYr1!U38)</f>
        <v/>
      </c>
      <c r="CI38" s="30" t="str">
        <f>IF($G38="","",$G38*(IF(ADRYr1!$AI38=BZ$4,ADRYr1!$AJ38,IF(ADRYr1!$AK38=BZ$4,ADRYr1!$AL38,IF(ADRYr1!$AM38=BZ$4,ADRYr1!$AN38,0))))*(INDEX(avoidedcosttbl,$H38,CI$2)+(($H38-ROUNDDOWN($H38,0))*(INDEX(avoidedcosttbl,ROUNDUP($H38,0),CI$2)-(INDEX(avoidedcosttbl,ROUNDDOWN($H38,0),CI$2)))))*ADRYr1!P38*ADRYr1!Q38*ADRYr1!U38)</f>
        <v/>
      </c>
      <c r="CJ38" s="30" t="str">
        <f>IF($G38="","",$G38*(IF(ADRYr1!$AI38=CA$4,ADRYr1!$AJ38,IF(ADRYr1!$AK38=CA$4,ADRYr1!$AL38,IF(ADRYr1!$AM38=CA$4,ADRYr1!$AN38,0))))*(INDEX(avoidedcosttbl,$H38,CJ$2)+(($H38-ROUNDDOWN($H38,0))*(INDEX(avoidedcosttbl,ROUNDUP($H38,0),CJ$2)-(INDEX(avoidedcosttbl,ROUNDDOWN($H38,0),CJ$2)))))*ADRYr1!P38*ADRYr1!Q38*ADRYr1!U38)</f>
        <v/>
      </c>
      <c r="CK38" s="30" t="str">
        <f>IF($G38="","",$G38*(IF(ADRYr1!$AI38=CB$4,ADRYr1!$AJ38,IF(ADRYr1!$AK38=CB$4,ADRYr1!$AL38,IF(ADRYr1!$AM38=CB$4,ADRYr1!$AN38,0))))*(INDEX(avoidedcosttbl,$H38,CK$2)+(($H38-ROUNDDOWN($H38,0))*(INDEX(avoidedcosttbl,ROUNDUP($H38,0),CK$2)-(INDEX(avoidedcosttbl,ROUNDDOWN($H38,0),CK$2)))))*ADRYr1!P38*ADRYr1!Q38*ADRYr1!U38)</f>
        <v/>
      </c>
      <c r="CL38" s="30" t="str">
        <f>IF($G38="","",$G38*(IF(ADRYr1!$AI38=CC$4,ADRYr1!$AJ38,IF(ADRYr1!$AK38=CC$4,ADRYr1!$AL38,IF(ADRYr1!$AM38=CC$4,ADRYr1!$AN38,0))))*(INDEX(avoidedcosttbl,$H38,CL$2)+(($H38-ROUNDDOWN($H38,0))*(INDEX(avoidedcosttbl,ROUNDUP($H38,0),CL$2)-(INDEX(avoidedcosttbl,ROUNDDOWN($H38,0),CL$2)))))*ADRYr1!P38*ADRYr1!Q38*ADRYr1!U38)</f>
        <v/>
      </c>
      <c r="CM38" s="30" t="str">
        <f>IF($G38="","",$G38*(IF(ADRYr1!$AI38=CD$4,ADRYr1!$AJ38,IF(ADRYr1!$AK38=CD$4,ADRYr1!$AL38,IF(ADRYr1!$AM38=CD$4,ADRYr1!$AN38,0))))*(INDEX(avoidedcosttbl,$H38,CM$2)+(($H38-ROUNDDOWN($H38,0))*(INDEX(avoidedcosttbl,ROUNDUP($H38,0),CM$2)-(INDEX(avoidedcosttbl,ROUNDDOWN($H38,0),CM$2)))))*ADRYr1!P38*ADRYr1!Q38*ADRYr1!U38)</f>
        <v/>
      </c>
      <c r="CN38" s="30" t="str">
        <f>IF($G38="","",$G38*(IF(ADRYr1!$AI38=CE$4,ADRYr1!$AJ38,IF(ADRYr1!$AK38=CE$4,ADRYr1!$AL38,IF(ADRYr1!$AM38=CE$4,ADRYr1!$AN38,0))))*(INDEX(avoidedcosttbl,$H38,CN$2)+(($H38-ROUNDDOWN($H38,0))*(INDEX(avoidedcosttbl,ROUNDUP($H38,0),CN$2)-(INDEX(avoidedcosttbl,ROUNDDOWN($H38,0),CN$2)))))*ADRYr1!P38*ADRYr1!Q38*ADRYr1!U38)</f>
        <v/>
      </c>
      <c r="CO38" s="220" t="str">
        <f t="shared" si="40"/>
        <v/>
      </c>
      <c r="CP38" s="220" t="str">
        <f t="shared" si="41"/>
        <v/>
      </c>
      <c r="CQ38" s="157" t="str">
        <f>IF($G38="","",$G38*(IF(ADRYr1!$AI38=CQ$4,ADRYr1!$AJ38,IF(ADRYr1!$AK38=CQ$4,ADRYr1!$AL38,IF(ADRYr1!$AM38=CQ$4,ADRYr1!$AN38,0))))*(INDEX(avoidedcosttbl,$H38,CQ$2)+(($H38-ROUNDDOWN($H38,0))*(INDEX(avoidedcosttbl,ROUNDUP($H38,0),CQ$2)-(INDEX(avoidedcosttbl,ROUNDDOWN($H38,0),CQ$2)))))*ADRYr1!$P38*ADRYr1!$Q38*ADRYr1!$U38)</f>
        <v/>
      </c>
      <c r="CR38" s="28" t="str">
        <f>IF($G38="","",G38*(IF(ADRYr1!$AI38=CR$4,ADRYr1!$AJ38,IF(ADRYr1!$AK38=CR$4,ADRYr1!$AL38,IF(ADRYr1!$AM38=CR$4,ADRYr1!$AN38,0))))*(INDEX(avoidedcosttbl,$H38,CR$2)+(($H38-ROUNDDOWN($H38,0))*(INDEX(avoidedcosttbl,ROUNDUP($H38,0),CR$2)-(INDEX(avoidedcosttbl,ROUNDDOWN($H38,0),CR$2)))))*ADRYr1!$P38*ADRYr1!$Q38*ADRYr1!$U38)</f>
        <v/>
      </c>
      <c r="CS38" s="28" t="str">
        <f>IF($G38="","",G38*(IF(ADRYr1!$AI38=CS$4,ADRYr1!$AJ38,IF(ADRYr1!$AK38=CS$4,ADRYr1!$AL38,IF(ADRYr1!$AM38=CS$4,ADRYr1!$AN38,0))))*(INDEX(avoidedcosttbl,$H38,CS$2)+(($H38-ROUNDDOWN($H38,0))*(INDEX(avoidedcosttbl,ROUNDUP($H38,0),CS$2)-(INDEX(avoidedcosttbl,ROUNDDOWN($H38,0),CS$2)))))*ADRYr1!$P38*ADRYr1!$Q38*ADRYr1!$U38)</f>
        <v/>
      </c>
      <c r="CT38" s="28" t="str">
        <f t="shared" si="12"/>
        <v/>
      </c>
      <c r="CU38" s="28" t="str">
        <f>IF($G38="","",G38*(IF(ADRYr1!$AI38=CU$4,ADRYr1!$AJ38,IF(ADRYr1!$AK38=CU$4,ADRYr1!$AL38,IF(ADRYr1!$AM38=CU$4,ADRYr1!$AN38,0))))*(INDEX(avoidedcosttbl,$H38,CU$2)+(($H38-ROUNDDOWN($H38,0))*(INDEX(avoidedcosttbl,ROUNDUP($H38,0),CU$2)-(INDEX(avoidedcosttbl,ROUNDDOWN($H38,0),CU$2)))))*ADRYr1!$P38*ADRYr1!$Q38*ADRYr1!$U38)</f>
        <v/>
      </c>
      <c r="CV38" s="28" t="str">
        <f>IF($G38="","",G38*(IF(ADRYr1!$AI38=CV$4,ADRYr1!$AJ38,IF(ADRYr1!$AK38=CV$4,ADRYr1!$AL38,IF(ADRYr1!$AM38=CV$4,ADRYr1!$AN38,0))))*(INDEX(avoidedcosttbl,$H38,CV$2)+(($H38-ROUNDDOWN($H38,0))*(INDEX(avoidedcosttbl,ROUNDUP($H38,0),CV$2)-(INDEX(avoidedcosttbl,ROUNDDOWN($H38,0),CV$2)))))*ADRYr1!$P38*ADRYr1!$Q38*ADRYr1!$U38)</f>
        <v/>
      </c>
      <c r="CW38" s="28" t="str">
        <f>IF($G38="","",G38*(IF(ADRYr1!$AI38=CW$4,ADRYr1!$AJ38,IF(ADRYr1!$AK38=CW$4,ADRYr1!$AL38,IF(ADRYr1!$AM38=CW$4,ADRYr1!$AN38,0))))*(INDEX(avoidedcosttbl,$H38,CW$2)+(($H38-ROUNDDOWN($H38,0))*(INDEX(avoidedcosttbl,ROUNDUP($H38,0),CW$2)-(INDEX(avoidedcosttbl,ROUNDDOWN($H38,0),CW$2)))))*ADRYr1!$P38*ADRYr1!$Q38*ADRYr1!$U38)</f>
        <v/>
      </c>
      <c r="CX38" s="28" t="str">
        <f>IF($G38="","",G38*(IF(ADRYr1!$AI38=CX$4,ADRYr1!$AJ38,IF(ADRYr1!$AK38=CX$4,ADRYr1!$AL38,IF(ADRYr1!$AM38=CX$4,ADRYr1!$AN38,0))))*(INDEX(avoidedcosttbl,$H38,CX$2)+(($H38-ROUNDDOWN($H38,0))*(INDEX(avoidedcosttbl,ROUNDUP($H38,0),CX$2)-(INDEX(avoidedcosttbl,ROUNDDOWN($H38,0),CX$2)))))*ADRYr1!$P38*ADRYr1!$Q38*ADRYr1!$U38)</f>
        <v/>
      </c>
      <c r="CY38" s="28" t="str">
        <f t="shared" si="13"/>
        <v/>
      </c>
      <c r="CZ38" s="32" t="str">
        <f t="shared" si="14"/>
        <v/>
      </c>
      <c r="DA38" s="84" t="str">
        <f t="shared" si="42"/>
        <v/>
      </c>
      <c r="DB38" s="81" t="str">
        <f>IF(NEIadder="Yes",IF($G38="","",INDEX(Lookups!$G$68:$G$70,MATCH($A38,Lookups!$E$68:$E$70,0))*(SUM(CP38:CX38,BX38))),"")</f>
        <v/>
      </c>
      <c r="DC38" s="263" t="str">
        <f t="shared" si="15"/>
        <v/>
      </c>
      <c r="DD38" s="166" t="str">
        <f t="shared" si="16"/>
        <v/>
      </c>
      <c r="DE38" s="82">
        <f t="shared" si="43"/>
        <v>0</v>
      </c>
      <c r="DF38" s="760" t="str">
        <f>IF($G38="","",(1+WntPeakEnergyLL)*(INDEX(avoidedcosttbl,$H38,DF$2)+(($H38-ROUNDDOWN($H38,0))*(INDEX(avoidedcosttbl,ROUNDUP($H38,0),DF$2)-(INDEX(avoidedcosttbl,ROUNDDOWN($H38,0),DF$2)))))*$P38*1000*ADRYr1!Z38)</f>
        <v/>
      </c>
      <c r="DG38" s="760" t="str">
        <f>IF($G38="","",(1+WntOffPeakEnergyLL)*(INDEX(avoidedcosttbl,$H38,DG$2)+(($H38-ROUNDDOWN($H38,0))*(INDEX(avoidedcosttbl,ROUNDUP($H38,0),DG$2)-(INDEX(avoidedcosttbl,ROUNDDOWN($H38,0),DG$2)))))*$P38*1000*ADRYr1!AA38)</f>
        <v/>
      </c>
      <c r="DH38" s="760" t="str">
        <f>IF($G38="","",(1+SumPeakEnergyLL)*(INDEX(avoidedcosttbl,$H38,DH$2)+(($H38-ROUNDDOWN($H38,0))*(INDEX(avoidedcosttbl,ROUNDUP($H38,0),DH$2)-(INDEX(avoidedcosttbl,ROUNDDOWN($H38,0),DH$2)))))*$P38*1000*ADRYr1!AB38)</f>
        <v/>
      </c>
      <c r="DI38" s="760" t="str">
        <f>IF($G38="","",(1+SumOffPeakEnergyLL)*(INDEX(avoidedcosttbl,$H38,DI$2)+(($H38-ROUNDDOWN($H38,0))*(INDEX(avoidedcosttbl,ROUNDUP($H38,0),DI$2)-(INDEX(avoidedcosttbl,ROUNDDOWN($H38,0),DI$2)))))*$P38*1000*ADRYr1!AC38)</f>
        <v/>
      </c>
      <c r="DJ38" s="29" t="str">
        <f t="shared" si="44"/>
        <v/>
      </c>
      <c r="DK38" s="161" t="str">
        <f t="shared" si="45"/>
        <v/>
      </c>
      <c r="DL38" s="1375" t="str">
        <f t="shared" si="46"/>
        <v/>
      </c>
      <c r="DM38" s="1375" t="str">
        <f t="shared" si="47"/>
        <v/>
      </c>
      <c r="DN38" s="43" t="str">
        <f t="shared" si="48"/>
        <v/>
      </c>
      <c r="DO38" s="1131" t="str">
        <f>IF($G38="","",ADRYr1!AQ38)</f>
        <v/>
      </c>
      <c r="DP38" s="1133" t="str">
        <f>IF($G38="","",ADRYr1!AR38)</f>
        <v/>
      </c>
      <c r="DQ38" s="1135" t="str">
        <f>IF($G38="","",IF($DP38="Yes",COLUMN(AESC!$L$10),IF($DP38="No","Using AvoidedDemand tab",IF($DP38="Mixed",COLUMN(AESC!$N$10)))))</f>
        <v/>
      </c>
      <c r="DR38" s="1135" t="str">
        <f>IF($G38="","",IF($DP38="Yes",COLUMN(AESC!$P$10),IF($DP38="No","Using AvoidedDemand tab",IF($DP38="Mixed",COLUMN(AESC!$R$10)))))</f>
        <v/>
      </c>
      <c r="DS38" s="1135" t="str">
        <f>IF($G38="","",IF($DP38="Yes",COLUMN(AESC!$S$10),IF($DP38="No",COLUMN(AESC!$T$10),IF($DP38="Mixed",COLUMN(AESC!$U$10)))))</f>
        <v/>
      </c>
      <c r="DT38" s="1135" t="str">
        <f t="shared" si="17"/>
        <v/>
      </c>
      <c r="DU38" s="1135" t="str">
        <f>IF($G38="","",ADRYr1!AS38)</f>
        <v/>
      </c>
      <c r="DV38" s="1136" t="str">
        <f>IF($G38="","",ADRYr1!AT38)</f>
        <v/>
      </c>
      <c r="DW38" s="1344" t="str">
        <f>IF($G38="","",INDEX(AvoidedEnergy!$H$4:$H$10,MATCH($DO38,AvoidedEnergy!$A$4:$A$10,0)))</f>
        <v/>
      </c>
    </row>
    <row r="39" spans="1:127">
      <c r="A39" s="160" t="str">
        <f>IF(ADRYr1!$B39=0,"",ADRYr1!A39)</f>
        <v>C - Commercial &amp; Industrial</v>
      </c>
      <c r="B39" s="9" t="str">
        <f>IF(ADRYr1!$B39=0,"",ADRYr1!B39)</f>
        <v>C5 - C&amp;I Active Demand Response</v>
      </c>
      <c r="C39" s="9" t="str">
        <f>IF(ADRYr1!$B39=0,"",ADRYr1!C39)</f>
        <v>C5a - C&amp;I Active Demand Response</v>
      </c>
      <c r="D39" s="9" t="str">
        <f>IF(ADRYr1!$B39=0,"",ADRYr1!D39)</f>
        <v>Storage Targeted Dispatch P4P (savings) Winter</v>
      </c>
      <c r="E39" s="9">
        <f>IF(ADRYr1!$B39=0,"",ADRYr1!E39)</f>
        <v>0</v>
      </c>
      <c r="F39" s="11" t="str">
        <f>IF(ADRYr1!$B39=0,"",ADRYr1!F39)</f>
        <v>Behavior</v>
      </c>
      <c r="G39" s="12" t="str">
        <f>IF(ADRYr1!$G39&lt;&gt;0,ADRYr1!G39,"")</f>
        <v/>
      </c>
      <c r="H39" s="1125" t="str">
        <f>IF($G39="","",ROUND(ADRYr1!H39,0))</f>
        <v/>
      </c>
      <c r="I39" s="47" t="str">
        <f>IF($G39="","",ADRYr1!I39*ADRYr1!P39*G39)</f>
        <v/>
      </c>
      <c r="J39" s="47" t="str">
        <f>IF($G39="","",ADRYr1!J39*G39)</f>
        <v/>
      </c>
      <c r="K39" s="47" t="str">
        <f t="shared" si="18"/>
        <v/>
      </c>
      <c r="L39" s="27" t="str">
        <f>IF($G39="","",ADRYr1!V39*G39/1000)</f>
        <v/>
      </c>
      <c r="M39" s="27" t="str">
        <f>IF($G39="","",L39*ADRYr1!$Q39*ADRYr1!$R39)</f>
        <v/>
      </c>
      <c r="N39" s="27" t="str">
        <f t="shared" si="19"/>
        <v/>
      </c>
      <c r="O39" s="27" t="str">
        <f t="shared" si="20"/>
        <v/>
      </c>
      <c r="P39" s="27" t="str">
        <f>IF($G39="","",M39*ADRYr1!P39)</f>
        <v/>
      </c>
      <c r="Q39" s="27" t="str">
        <f t="shared" si="21"/>
        <v/>
      </c>
      <c r="R39" s="27" t="str">
        <f>IF($G39="","",$Q39*ADRYr1!Z39)</f>
        <v/>
      </c>
      <c r="S39" s="27" t="str">
        <f>IF($G39="","",$Q39*ADRYr1!AA39)</f>
        <v/>
      </c>
      <c r="T39" s="27" t="str">
        <f>IF($G39="","",$Q39*ADRYr1!AB39)</f>
        <v/>
      </c>
      <c r="U39" s="27" t="str">
        <f>IF($G39="","",$Q39*ADRYr1!AC39)</f>
        <v/>
      </c>
      <c r="V39" s="27" t="str">
        <f>IF($G39="","",G39*ADRYr1!$AD39*ADRYr1!$P39*ADRYr1!$Q39)</f>
        <v/>
      </c>
      <c r="W39" s="27" t="str">
        <f>IF($G39="","",$G39*ADRYr1!$AD39*ADRYr1!$AF39*ADRYr1!Q39*ADRYr1!$S39)</f>
        <v/>
      </c>
      <c r="X39" s="27" t="str">
        <f>IF($G39="","",$G39*ADRYr1!$AD39*ADRYr1!$AF39*ADRYr1!P39*ADRYr1!Q39*ADRYr1!$S39)</f>
        <v/>
      </c>
      <c r="Y39" s="27" t="str">
        <f>IF($G39="","",$G39*ADRYr1!$AD39*ADRYr1!$AE39*ADRYr1!Q39*ADRYr1!$T39)</f>
        <v/>
      </c>
      <c r="Z39" s="27" t="str">
        <f>IF($G39="","",$G39*ADRYr1!$AD39*ADRYr1!$AE39*ADRYr1!P39*ADRYr1!Q39*ADRYr1!$T39)</f>
        <v/>
      </c>
      <c r="AA39" s="45" t="str">
        <f>IF($G39="","",$G39*ADRYr1!$Q39*ADRYr1!$U39*(IF(IFERROR(SEARCH("NG", ADRYr1!$AI39),0),ADRYr1!$AJ39,0)+IF(IFERROR(SEARCH("NG", ADRYr1!$AK39),0),ADRYr1!$AL39,0)+IF(IFERROR(SEARCH("NG", ADRYr1!$AM39),0),ADRYr1!$AN39,0)))</f>
        <v/>
      </c>
      <c r="AB39" s="45" t="str">
        <f t="shared" si="22"/>
        <v/>
      </c>
      <c r="AC39" s="45">
        <f>IF($G39="",0,AA39*ADRYr1!$P39)</f>
        <v>0</v>
      </c>
      <c r="AD39" s="45" t="str">
        <f t="shared" si="23"/>
        <v/>
      </c>
      <c r="AE39" s="45" t="str">
        <f>IF($G39="","",$G39*ADRYr1!$Q39*ADRYr1!$U39*(IF(IFERROR(SEARCH("Oil", ADRYr1!$AI39), 0),ADRYr1!$AJ39,0)+IF(IFERROR(SEARCH("Oil", ADRYr1!$AK39), 0),ADRYr1!$AL39,0)+IF(IFERROR(SEARCH("Oil", ADRYr1!$AM39), 0),ADRYr1!$AN39,0)))</f>
        <v/>
      </c>
      <c r="AF39" s="45" t="str">
        <f t="shared" si="24"/>
        <v/>
      </c>
      <c r="AG39" s="45">
        <f>IF($G39="",0,AE39*ADRYr1!$P39)</f>
        <v>0</v>
      </c>
      <c r="AH39" s="45" t="str">
        <f t="shared" si="25"/>
        <v/>
      </c>
      <c r="AI39" s="45" t="str">
        <f>IF($G39="","",$G39*ADRYr1!$Q39*ADRYr1!$U39*(IF(ADRYr1!$AI39=Lookups!$E$114,ADRYr1!$AJ39,IF(ADRYr1!$AK39=Lookups!$E$114,ADRYr1!$AL39,IF(ADRYr1!$AM39=Lookups!$E$114,ADRYr1!$AN39,0)))))</f>
        <v/>
      </c>
      <c r="AJ39" s="45" t="str">
        <f t="shared" si="26"/>
        <v/>
      </c>
      <c r="AK39" s="45">
        <f>IF($G39="",0,AI39*ADRYr1!$P39)</f>
        <v>0</v>
      </c>
      <c r="AL39" s="45" t="str">
        <f t="shared" si="27"/>
        <v/>
      </c>
      <c r="AM39" s="45" t="str">
        <f>IF($G39="","",$G39*ADRYr1!$Q39*ADRYr1!$U39*(IF(ADRYr1!$AI39=Lookups!$E$113,ADRYr1!$AJ39,IF(ADRYr1!$AK39=Lookups!$E$113,ADRYr1!$AL39,IF(ADRYr1!$AM39=Lookups!$E$113,ADRYr1!$AN39,0)))))</f>
        <v/>
      </c>
      <c r="AN39" s="45" t="str">
        <f t="shared" si="28"/>
        <v/>
      </c>
      <c r="AO39" s="45">
        <f>IF($G39="",0,AM39*ADRYr1!$P39)</f>
        <v>0</v>
      </c>
      <c r="AP39" s="45" t="str">
        <f t="shared" si="29"/>
        <v/>
      </c>
      <c r="AQ39" s="45" t="str">
        <f>IF($G39="","",$G39*ADRYr1!$Q39*ADRYr1!$U39*(IF(ADRYr1!$AI39=Lookups!$E$115,ADRYr1!$AJ39,IF(ADRYr1!$AK39=Lookups!$E$115,ADRYr1!$AL39,IF(ADRYr1!$AM39=Lookups!$E$115,ADRYr1!$AN39,0)))))</f>
        <v/>
      </c>
      <c r="AR39" s="45" t="str">
        <f t="shared" si="30"/>
        <v/>
      </c>
      <c r="AS39" s="45" t="str">
        <f>IF($G39="","",AQ39*ADRYr1!$P39)</f>
        <v/>
      </c>
      <c r="AT39" s="45" t="str">
        <f t="shared" si="31"/>
        <v/>
      </c>
      <c r="AU39" s="45" t="str">
        <f>IF($G39="","",$G39*ADRYr1!$Q39*ADRYr1!$U39*(IF(ADRYr1!$AI39=Lookups!$E$116,ADRYr1!$AJ39,IF(ADRYr1!$AK39=Lookups!$E$116,ADRYr1!$AL39,IF(ADRYr1!$AM39=Lookups!$E$116,ADRYr1!$AN39,0)))))</f>
        <v/>
      </c>
      <c r="AV39" s="45" t="str">
        <f t="shared" si="32"/>
        <v/>
      </c>
      <c r="AW39" s="45" t="str">
        <f>IF($G39="","",AU39*ADRYr1!$P39)</f>
        <v/>
      </c>
      <c r="AX39" s="45" t="str">
        <f t="shared" si="33"/>
        <v/>
      </c>
      <c r="AY39" s="45">
        <f t="shared" si="49"/>
        <v>0</v>
      </c>
      <c r="AZ39" s="45">
        <f t="shared" si="49"/>
        <v>0</v>
      </c>
      <c r="BA39" s="101" t="str">
        <f>IF($G39="","",$G39*ADRYr1!$P39*ADRYr1!$Q39*ADRYr1!$U39*ADRYr1!AO39)</f>
        <v/>
      </c>
      <c r="BB39" s="102" t="str">
        <f>IF($G39="","",$G39*ADRYr1!$P39*ADRYr1!$Q39*ADRYr1!$U39*ADRYr1!AP39)</f>
        <v/>
      </c>
      <c r="BC39" s="100" t="str">
        <f t="shared" si="35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5"/>
        <v/>
      </c>
      <c r="BO39" s="31" t="str">
        <f t="shared" si="36"/>
        <v/>
      </c>
      <c r="BP39" s="1129" t="str">
        <f t="shared" si="6"/>
        <v/>
      </c>
      <c r="BQ39" s="28" t="str">
        <f t="shared" si="7"/>
        <v/>
      </c>
      <c r="BR39" s="1129" t="str">
        <f t="shared" si="8"/>
        <v/>
      </c>
      <c r="BS39" s="1129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7"/>
        <v/>
      </c>
      <c r="BX39" s="29" t="str">
        <f t="shared" si="38"/>
        <v/>
      </c>
      <c r="BY39" s="28" t="str">
        <f>IF($G39="","",$G39*(IF(ADRYr1!$AI39=BY$4,ADRYr1!$AJ39,IF(ADRYr1!$AK39=BY$4,ADRYr1!$AL39,IF(ADRYr1!$AM39=BY$4,ADRYr1!$AN39,0))))*(INDEX(avoidedcosttbl,$H39,BY$2)+(($H39-ROUNDDOWN($H39,0))*(INDEX(avoidedcosttbl,ROUNDUP($H39,0),BY$2)-(INDEX(avoidedcosttbl,ROUNDDOWN($H39,0),BY$2)))))*ADRYr1!P39*ADRYr1!Q39*ADRYr1!U39)</f>
        <v/>
      </c>
      <c r="BZ39" s="28" t="str">
        <f>IF($G39="","",$G39*(IF(ADRYr1!$AI39=BZ$4,ADRYr1!$AJ39,IF(ADRYr1!$AK39=BZ$4,ADRYr1!$AL39,IF(ADRYr1!$AM39=BZ$4,ADRYr1!$AN39,0))))*(INDEX(avoidedcosttbl,$H39,BZ$2)+(($H39-ROUNDDOWN($H39,0))*(INDEX(avoidedcosttbl,ROUNDUP($H39,0),BZ$2)-(INDEX(avoidedcosttbl,ROUNDDOWN($H39,0),BZ$2)))))*ADRYr1!P39*ADRYr1!Q39*ADRYr1!U39)</f>
        <v/>
      </c>
      <c r="CA39" s="28" t="str">
        <f>IF($G39="","",$G39*(IF(ADRYr1!$AI39=CA$4,ADRYr1!$AJ39,IF(ADRYr1!$AK39=CA$4,ADRYr1!$AL39,IF(ADRYr1!$AM39=CA$4,ADRYr1!$AN39,0))))*(INDEX(avoidedcosttbl,$H39,CA$2)+(($H39-ROUNDDOWN($H39,0))*(INDEX(avoidedcosttbl,ROUNDUP($H39,0),CA$2)-(INDEX(avoidedcosttbl,ROUNDDOWN($H39,0),CA$2)))))*ADRYr1!P39*ADRYr1!Q39*ADRYr1!U39)</f>
        <v/>
      </c>
      <c r="CB39" s="28" t="str">
        <f>IF($G39="","",$G39*(IF(ADRYr1!$AI39=CB$4,ADRYr1!$AJ39,IF(ADRYr1!$AK39=CB$4,ADRYr1!$AL39,IF(ADRYr1!$AM39=CB$4,ADRYr1!$AN39,0))))*(INDEX(avoidedcosttbl,$H39,CB$2)+(($H39-ROUNDDOWN($H39,0))*(INDEX(avoidedcosttbl,ROUNDUP($H39,0),CB$2)-(INDEX(avoidedcosttbl,ROUNDDOWN($H39,0),CB$2)))))*ADRYr1!P39*ADRYr1!Q39*ADRYr1!U39)</f>
        <v/>
      </c>
      <c r="CC39" s="28" t="str">
        <f>IF($G39="","",$G39*(IF(ADRYr1!$AI39=CC$4,ADRYr1!$AJ39,IF(ADRYr1!$AK39=CC$4,ADRYr1!$AL39,IF(ADRYr1!$AM39=CC$4,ADRYr1!$AN39,0))))*(INDEX(avoidedcosttbl,$H39,CC$2)+(($H39-ROUNDDOWN($H39,0))*(INDEX(avoidedcosttbl,ROUNDUP($H39,0),CC$2)-(INDEX(avoidedcosttbl,ROUNDDOWN($H39,0),CC$2)))))*ADRYr1!P39*ADRYr1!Q39*ADRYr1!U39)</f>
        <v/>
      </c>
      <c r="CD39" s="28" t="str">
        <f>IF($G39="","",$G39*(IF(ADRYr1!$AI39=CD$4,ADRYr1!$AJ39,IF(ADRYr1!$AK39=CD$4,ADRYr1!$AL39,IF(ADRYr1!$AM39=CD$4,ADRYr1!$AN39,0))))*(INDEX(avoidedcosttbl,$H39,CD$2)+(($H39-ROUNDDOWN($H39,0))*(INDEX(avoidedcosttbl,ROUNDUP($H39,0),CD$2)-(INDEX(avoidedcosttbl,ROUNDDOWN($H39,0),CD$2)))))*ADRYr1!P39*ADRYr1!Q39*ADRYr1!U39)</f>
        <v/>
      </c>
      <c r="CE39" s="28" t="str">
        <f>IF($G39="","",$G39*(IF(ADRYr1!$AI39=CE$4,ADRYr1!$AJ39,IF(ADRYr1!$AK39=CE$4,ADRYr1!$AL39,IF(ADRYr1!$AM39=CE$4,ADRYr1!$AN39,0))))*(INDEX(avoidedcosttbl,$H39,CE$2)+(($H39-ROUNDDOWN($H39,0))*(INDEX(avoidedcosttbl,ROUNDUP($H39,0),CE$2)-(INDEX(avoidedcosttbl,ROUNDDOWN($H39,0),CE$2)))))*ADRYr1!P39*ADRYr1!Q39*ADRYr1!U39)</f>
        <v/>
      </c>
      <c r="CF39" s="41" t="str">
        <f t="shared" si="39"/>
        <v/>
      </c>
      <c r="CG39" s="30" t="str">
        <f t="shared" si="11"/>
        <v/>
      </c>
      <c r="CH39" s="30" t="str">
        <f>IF($G39="","",$G39*(IF(ADRYr1!$AI39=BY$4,ADRYr1!$AJ39,IF(ADRYr1!$AK39=BY$4,ADRYr1!$AL39,IF(ADRYr1!$AM39=BY$4,ADRYr1!$AN39,0))))*(INDEX(avoidedcosttbl,$H39,CH$2)+(($H39-ROUNDDOWN($H39,0))*(INDEX(avoidedcosttbl,ROUNDUP($H39,0),CH$2)-(INDEX(avoidedcosttbl,ROUNDDOWN($H39,0),CH$2)))))*ADRYr1!P39*ADRYr1!Q39*ADRYr1!U39)</f>
        <v/>
      </c>
      <c r="CI39" s="30" t="str">
        <f>IF($G39="","",$G39*(IF(ADRYr1!$AI39=BZ$4,ADRYr1!$AJ39,IF(ADRYr1!$AK39=BZ$4,ADRYr1!$AL39,IF(ADRYr1!$AM39=BZ$4,ADRYr1!$AN39,0))))*(INDEX(avoidedcosttbl,$H39,CI$2)+(($H39-ROUNDDOWN($H39,0))*(INDEX(avoidedcosttbl,ROUNDUP($H39,0),CI$2)-(INDEX(avoidedcosttbl,ROUNDDOWN($H39,0),CI$2)))))*ADRYr1!P39*ADRYr1!Q39*ADRYr1!U39)</f>
        <v/>
      </c>
      <c r="CJ39" s="30" t="str">
        <f>IF($G39="","",$G39*(IF(ADRYr1!$AI39=CA$4,ADRYr1!$AJ39,IF(ADRYr1!$AK39=CA$4,ADRYr1!$AL39,IF(ADRYr1!$AM39=CA$4,ADRYr1!$AN39,0))))*(INDEX(avoidedcosttbl,$H39,CJ$2)+(($H39-ROUNDDOWN($H39,0))*(INDEX(avoidedcosttbl,ROUNDUP($H39,0),CJ$2)-(INDEX(avoidedcosttbl,ROUNDDOWN($H39,0),CJ$2)))))*ADRYr1!P39*ADRYr1!Q39*ADRYr1!U39)</f>
        <v/>
      </c>
      <c r="CK39" s="30" t="str">
        <f>IF($G39="","",$G39*(IF(ADRYr1!$AI39=CB$4,ADRYr1!$AJ39,IF(ADRYr1!$AK39=CB$4,ADRYr1!$AL39,IF(ADRYr1!$AM39=CB$4,ADRYr1!$AN39,0))))*(INDEX(avoidedcosttbl,$H39,CK$2)+(($H39-ROUNDDOWN($H39,0))*(INDEX(avoidedcosttbl,ROUNDUP($H39,0),CK$2)-(INDEX(avoidedcosttbl,ROUNDDOWN($H39,0),CK$2)))))*ADRYr1!P39*ADRYr1!Q39*ADRYr1!U39)</f>
        <v/>
      </c>
      <c r="CL39" s="30" t="str">
        <f>IF($G39="","",$G39*(IF(ADRYr1!$AI39=CC$4,ADRYr1!$AJ39,IF(ADRYr1!$AK39=CC$4,ADRYr1!$AL39,IF(ADRYr1!$AM39=CC$4,ADRYr1!$AN39,0))))*(INDEX(avoidedcosttbl,$H39,CL$2)+(($H39-ROUNDDOWN($H39,0))*(INDEX(avoidedcosttbl,ROUNDUP($H39,0),CL$2)-(INDEX(avoidedcosttbl,ROUNDDOWN($H39,0),CL$2)))))*ADRYr1!P39*ADRYr1!Q39*ADRYr1!U39)</f>
        <v/>
      </c>
      <c r="CM39" s="30" t="str">
        <f>IF($G39="","",$G39*(IF(ADRYr1!$AI39=CD$4,ADRYr1!$AJ39,IF(ADRYr1!$AK39=CD$4,ADRYr1!$AL39,IF(ADRYr1!$AM39=CD$4,ADRYr1!$AN39,0))))*(INDEX(avoidedcosttbl,$H39,CM$2)+(($H39-ROUNDDOWN($H39,0))*(INDEX(avoidedcosttbl,ROUNDUP($H39,0),CM$2)-(INDEX(avoidedcosttbl,ROUNDDOWN($H39,0),CM$2)))))*ADRYr1!P39*ADRYr1!Q39*ADRYr1!U39)</f>
        <v/>
      </c>
      <c r="CN39" s="30" t="str">
        <f>IF($G39="","",$G39*(IF(ADRYr1!$AI39=CE$4,ADRYr1!$AJ39,IF(ADRYr1!$AK39=CE$4,ADRYr1!$AL39,IF(ADRYr1!$AM39=CE$4,ADRYr1!$AN39,0))))*(INDEX(avoidedcosttbl,$H39,CN$2)+(($H39-ROUNDDOWN($H39,0))*(INDEX(avoidedcosttbl,ROUNDUP($H39,0),CN$2)-(INDEX(avoidedcosttbl,ROUNDDOWN($H39,0),CN$2)))))*ADRYr1!P39*ADRYr1!Q39*ADRYr1!U39)</f>
        <v/>
      </c>
      <c r="CO39" s="220" t="str">
        <f t="shared" si="40"/>
        <v/>
      </c>
      <c r="CP39" s="220" t="str">
        <f t="shared" si="41"/>
        <v/>
      </c>
      <c r="CQ39" s="157" t="str">
        <f>IF($G39="","",$G39*(IF(ADRYr1!$AI39=CQ$4,ADRYr1!$AJ39,IF(ADRYr1!$AK39=CQ$4,ADRYr1!$AL39,IF(ADRYr1!$AM39=CQ$4,ADRYr1!$AN39,0))))*(INDEX(avoidedcosttbl,$H39,CQ$2)+(($H39-ROUNDDOWN($H39,0))*(INDEX(avoidedcosttbl,ROUNDUP($H39,0),CQ$2)-(INDEX(avoidedcosttbl,ROUNDDOWN($H39,0),CQ$2)))))*ADRYr1!$P39*ADRYr1!$Q39*ADRYr1!$U39)</f>
        <v/>
      </c>
      <c r="CR39" s="28" t="str">
        <f>IF($G39="","",G39*(IF(ADRYr1!$AI39=CR$4,ADRYr1!$AJ39,IF(ADRYr1!$AK39=CR$4,ADRYr1!$AL39,IF(ADRYr1!$AM39=CR$4,ADRYr1!$AN39,0))))*(INDEX(avoidedcosttbl,$H39,CR$2)+(($H39-ROUNDDOWN($H39,0))*(INDEX(avoidedcosttbl,ROUNDUP($H39,0),CR$2)-(INDEX(avoidedcosttbl,ROUNDDOWN($H39,0),CR$2)))))*ADRYr1!$P39*ADRYr1!$Q39*ADRYr1!$U39)</f>
        <v/>
      </c>
      <c r="CS39" s="28" t="str">
        <f>IF($G39="","",G39*(IF(ADRYr1!$AI39=CS$4,ADRYr1!$AJ39,IF(ADRYr1!$AK39=CS$4,ADRYr1!$AL39,IF(ADRYr1!$AM39=CS$4,ADRYr1!$AN39,0))))*(INDEX(avoidedcosttbl,$H39,CS$2)+(($H39-ROUNDDOWN($H39,0))*(INDEX(avoidedcosttbl,ROUNDUP($H39,0),CS$2)-(INDEX(avoidedcosttbl,ROUNDDOWN($H39,0),CS$2)))))*ADRYr1!$P39*ADRYr1!$Q39*ADRYr1!$U39)</f>
        <v/>
      </c>
      <c r="CT39" s="28" t="str">
        <f t="shared" si="12"/>
        <v/>
      </c>
      <c r="CU39" s="28" t="str">
        <f>IF($G39="","",G39*(IF(ADRYr1!$AI39=CU$4,ADRYr1!$AJ39,IF(ADRYr1!$AK39=CU$4,ADRYr1!$AL39,IF(ADRYr1!$AM39=CU$4,ADRYr1!$AN39,0))))*(INDEX(avoidedcosttbl,$H39,CU$2)+(($H39-ROUNDDOWN($H39,0))*(INDEX(avoidedcosttbl,ROUNDUP($H39,0),CU$2)-(INDEX(avoidedcosttbl,ROUNDDOWN($H39,0),CU$2)))))*ADRYr1!$P39*ADRYr1!$Q39*ADRYr1!$U39)</f>
        <v/>
      </c>
      <c r="CV39" s="28" t="str">
        <f>IF($G39="","",G39*(IF(ADRYr1!$AI39=CV$4,ADRYr1!$AJ39,IF(ADRYr1!$AK39=CV$4,ADRYr1!$AL39,IF(ADRYr1!$AM39=CV$4,ADRYr1!$AN39,0))))*(INDEX(avoidedcosttbl,$H39,CV$2)+(($H39-ROUNDDOWN($H39,0))*(INDEX(avoidedcosttbl,ROUNDUP($H39,0),CV$2)-(INDEX(avoidedcosttbl,ROUNDDOWN($H39,0),CV$2)))))*ADRYr1!$P39*ADRYr1!$Q39*ADRYr1!$U39)</f>
        <v/>
      </c>
      <c r="CW39" s="28" t="str">
        <f>IF($G39="","",G39*(IF(ADRYr1!$AI39=CW$4,ADRYr1!$AJ39,IF(ADRYr1!$AK39=CW$4,ADRYr1!$AL39,IF(ADRYr1!$AM39=CW$4,ADRYr1!$AN39,0))))*(INDEX(avoidedcosttbl,$H39,CW$2)+(($H39-ROUNDDOWN($H39,0))*(INDEX(avoidedcosttbl,ROUNDUP($H39,0),CW$2)-(INDEX(avoidedcosttbl,ROUNDDOWN($H39,0),CW$2)))))*ADRYr1!$P39*ADRYr1!$Q39*ADRYr1!$U39)</f>
        <v/>
      </c>
      <c r="CX39" s="28" t="str">
        <f>IF($G39="","",G39*(IF(ADRYr1!$AI39=CX$4,ADRYr1!$AJ39,IF(ADRYr1!$AK39=CX$4,ADRYr1!$AL39,IF(ADRYr1!$AM39=CX$4,ADRYr1!$AN39,0))))*(INDEX(avoidedcosttbl,$H39,CX$2)+(($H39-ROUNDDOWN($H39,0))*(INDEX(avoidedcosttbl,ROUNDUP($H39,0),CX$2)-(INDEX(avoidedcosttbl,ROUNDDOWN($H39,0),CX$2)))))*ADRYr1!$P39*ADRYr1!$Q39*ADRYr1!$U39)</f>
        <v/>
      </c>
      <c r="CY39" s="28" t="str">
        <f t="shared" si="13"/>
        <v/>
      </c>
      <c r="CZ39" s="32" t="str">
        <f t="shared" si="14"/>
        <v/>
      </c>
      <c r="DA39" s="84" t="str">
        <f t="shared" si="42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15"/>
        <v/>
      </c>
      <c r="DD39" s="166" t="str">
        <f t="shared" si="16"/>
        <v/>
      </c>
      <c r="DE39" s="82">
        <f t="shared" si="43"/>
        <v>0</v>
      </c>
      <c r="DF39" s="760" t="str">
        <f>IF($G39="","",(1+WntPeakEnergyLL)*(INDEX(avoidedcosttbl,$H39,DF$2)+(($H39-ROUNDDOWN($H39,0))*(INDEX(avoidedcosttbl,ROUNDUP($H39,0),DF$2)-(INDEX(avoidedcosttbl,ROUNDDOWN($H39,0),DF$2)))))*$P39*1000*ADRYr1!Z39)</f>
        <v/>
      </c>
      <c r="DG39" s="760" t="str">
        <f>IF($G39="","",(1+WntOffPeakEnergyLL)*(INDEX(avoidedcosttbl,$H39,DG$2)+(($H39-ROUNDDOWN($H39,0))*(INDEX(avoidedcosttbl,ROUNDUP($H39,0),DG$2)-(INDEX(avoidedcosttbl,ROUNDDOWN($H39,0),DG$2)))))*$P39*1000*ADRYr1!AA39)</f>
        <v/>
      </c>
      <c r="DH39" s="760" t="str">
        <f>IF($G39="","",(1+SumPeakEnergyLL)*(INDEX(avoidedcosttbl,$H39,DH$2)+(($H39-ROUNDDOWN($H39,0))*(INDEX(avoidedcosttbl,ROUNDUP($H39,0),DH$2)-(INDEX(avoidedcosttbl,ROUNDDOWN($H39,0),DH$2)))))*$P39*1000*ADRYr1!AB39)</f>
        <v/>
      </c>
      <c r="DI39" s="760" t="str">
        <f>IF($G39="","",(1+SumOffPeakEnergyLL)*(INDEX(avoidedcosttbl,$H39,DI$2)+(($H39-ROUNDDOWN($H39,0))*(INDEX(avoidedcosttbl,ROUNDUP($H39,0),DI$2)-(INDEX(avoidedcosttbl,ROUNDDOWN($H39,0),DI$2)))))*$P39*1000*ADRYr1!AC39)</f>
        <v/>
      </c>
      <c r="DJ39" s="29" t="str">
        <f t="shared" si="44"/>
        <v/>
      </c>
      <c r="DK39" s="161" t="str">
        <f t="shared" si="45"/>
        <v/>
      </c>
      <c r="DL39" s="1375" t="str">
        <f t="shared" si="46"/>
        <v/>
      </c>
      <c r="DM39" s="1375" t="str">
        <f t="shared" si="47"/>
        <v/>
      </c>
      <c r="DN39" s="43" t="str">
        <f t="shared" si="48"/>
        <v/>
      </c>
      <c r="DO39" s="1131" t="str">
        <f>IF($G39="","",ADRYr1!AQ39)</f>
        <v/>
      </c>
      <c r="DP39" s="1133" t="str">
        <f>IF($G39="","",ADRYr1!AR39)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17"/>
        <v/>
      </c>
      <c r="DU39" s="1135" t="str">
        <f>IF($G39="","",ADRYr1!AS39)</f>
        <v/>
      </c>
      <c r="DV39" s="1136" t="str">
        <f>IF($G39="","",ADRYr1!AT39)</f>
        <v/>
      </c>
      <c r="DW39" s="1344" t="str">
        <f>IF($G39="","",INDEX(AvoidedEnergy!$H$4:$H$10,MATCH($DO39,AvoidedEnergy!$A$4:$A$10,0)))</f>
        <v/>
      </c>
    </row>
    <row r="40" spans="1:127">
      <c r="A40" s="160" t="str">
        <f>IF(ADRYr1!$B40=0,"",ADRYr1!A40)</f>
        <v>C - Commercial &amp; Industrial</v>
      </c>
      <c r="B40" s="9" t="str">
        <f>IF(ADRYr1!$B40=0,"",ADRYr1!B40)</f>
        <v>C5 - C&amp;I Active Demand Response</v>
      </c>
      <c r="C40" s="9" t="str">
        <f>IF(ADRYr1!$B40=0,"",ADRYr1!C40)</f>
        <v>C5a - C&amp;I Active Demand Response</v>
      </c>
      <c r="D40" s="9" t="str">
        <f>IF(ADRYr1!$B40=0,"",ADRYr1!D40)</f>
        <v>Storage Targeted Dispatch P4P (consumption) Winter</v>
      </c>
      <c r="E40" s="9">
        <f>IF(ADRYr1!$B40=0,"",ADRYr1!E40)</f>
        <v>0</v>
      </c>
      <c r="F40" s="11" t="str">
        <f>IF(ADRYr1!$B40=0,"",ADRYr1!F40)</f>
        <v>Behavior</v>
      </c>
      <c r="G40" s="12" t="str">
        <f>IF(ADRYr1!$G40&lt;&gt;0,ADRYr1!G40,"")</f>
        <v/>
      </c>
      <c r="H40" s="1125" t="str">
        <f>IF($G40="","",ROUND(ADRYr1!H40,0))</f>
        <v/>
      </c>
      <c r="I40" s="47" t="str">
        <f>IF($G40="","",ADRYr1!I40*ADRYr1!P40*G40)</f>
        <v/>
      </c>
      <c r="J40" s="47" t="str">
        <f>IF($G40="","",ADRYr1!J40*G40)</f>
        <v/>
      </c>
      <c r="K40" s="47" t="str">
        <f t="shared" si="18"/>
        <v/>
      </c>
      <c r="L40" s="27" t="str">
        <f>IF($G40="","",ADRYr1!V40*G40/1000)</f>
        <v/>
      </c>
      <c r="M40" s="27" t="str">
        <f>IF($G40="","",L40*ADRYr1!$Q40*ADRYr1!$R40)</f>
        <v/>
      </c>
      <c r="N40" s="27" t="str">
        <f t="shared" si="19"/>
        <v/>
      </c>
      <c r="O40" s="27" t="str">
        <f t="shared" si="20"/>
        <v/>
      </c>
      <c r="P40" s="27" t="str">
        <f>IF($G40="","",M40*ADRYr1!P40)</f>
        <v/>
      </c>
      <c r="Q40" s="27" t="str">
        <f t="shared" si="21"/>
        <v/>
      </c>
      <c r="R40" s="27" t="str">
        <f>IF($G40="","",$Q40*ADRYr1!Z40)</f>
        <v/>
      </c>
      <c r="S40" s="27" t="str">
        <f>IF($G40="","",$Q40*ADRYr1!AA40)</f>
        <v/>
      </c>
      <c r="T40" s="27" t="str">
        <f>IF($G40="","",$Q40*ADRYr1!AB40)</f>
        <v/>
      </c>
      <c r="U40" s="27" t="str">
        <f>IF($G40="","",$Q40*ADRYr1!AC40)</f>
        <v/>
      </c>
      <c r="V40" s="27" t="str">
        <f>IF($G40="","",G40*ADRYr1!$AD40*ADRYr1!$P40*ADRYr1!$Q40)</f>
        <v/>
      </c>
      <c r="W40" s="27" t="str">
        <f>IF($G40="","",$G40*ADRYr1!$AD40*ADRYr1!$AF40*ADRYr1!Q40*ADRYr1!$S40)</f>
        <v/>
      </c>
      <c r="X40" s="27" t="str">
        <f>IF($G40="","",$G40*ADRYr1!$AD40*ADRYr1!$AF40*ADRYr1!P40*ADRYr1!Q40*ADRYr1!$S40)</f>
        <v/>
      </c>
      <c r="Y40" s="27" t="str">
        <f>IF($G40="","",$G40*ADRYr1!$AD40*ADRYr1!$AE40*ADRYr1!Q40*ADRYr1!$T40)</f>
        <v/>
      </c>
      <c r="Z40" s="27" t="str">
        <f>IF($G40="","",$G40*ADRYr1!$AD40*ADRYr1!$AE40*ADRYr1!P40*ADRYr1!Q40*ADRYr1!$T40)</f>
        <v/>
      </c>
      <c r="AA40" s="45" t="str">
        <f>IF($G40="","",$G40*ADRYr1!$Q40*ADRYr1!$U40*(IF(IFERROR(SEARCH("NG", ADRYr1!$AI40),0),ADRYr1!$AJ40,0)+IF(IFERROR(SEARCH("NG", ADRYr1!$AK40),0),ADRYr1!$AL40,0)+IF(IFERROR(SEARCH("NG", ADRYr1!$AM40),0),ADRYr1!$AN40,0)))</f>
        <v/>
      </c>
      <c r="AB40" s="45" t="str">
        <f t="shared" si="22"/>
        <v/>
      </c>
      <c r="AC40" s="45">
        <f>IF($G40="",0,AA40*ADRYr1!$P40)</f>
        <v>0</v>
      </c>
      <c r="AD40" s="45" t="str">
        <f t="shared" si="23"/>
        <v/>
      </c>
      <c r="AE40" s="45" t="str">
        <f>IF($G40="","",$G40*ADRYr1!$Q40*ADRYr1!$U40*(IF(IFERROR(SEARCH("Oil", ADRYr1!$AI40), 0),ADRYr1!$AJ40,0)+IF(IFERROR(SEARCH("Oil", ADRYr1!$AK40), 0),ADRYr1!$AL40,0)+IF(IFERROR(SEARCH("Oil", ADRYr1!$AM40), 0),ADRYr1!$AN40,0)))</f>
        <v/>
      </c>
      <c r="AF40" s="45" t="str">
        <f t="shared" si="24"/>
        <v/>
      </c>
      <c r="AG40" s="45">
        <f>IF($G40="",0,AE40*ADRYr1!$P40)</f>
        <v>0</v>
      </c>
      <c r="AH40" s="45" t="str">
        <f t="shared" si="25"/>
        <v/>
      </c>
      <c r="AI40" s="45" t="str">
        <f>IF($G40="","",$G40*ADRYr1!$Q40*ADRYr1!$U40*(IF(ADRYr1!$AI40=Lookups!$E$114,ADRYr1!$AJ40,IF(ADRYr1!$AK40=Lookups!$E$114,ADRYr1!$AL40,IF(ADRYr1!$AM40=Lookups!$E$114,ADRYr1!$AN40,0)))))</f>
        <v/>
      </c>
      <c r="AJ40" s="45" t="str">
        <f t="shared" si="26"/>
        <v/>
      </c>
      <c r="AK40" s="45">
        <f>IF($G40="",0,AI40*ADRYr1!$P40)</f>
        <v>0</v>
      </c>
      <c r="AL40" s="45" t="str">
        <f t="shared" si="27"/>
        <v/>
      </c>
      <c r="AM40" s="45" t="str">
        <f>IF($G40="","",$G40*ADRYr1!$Q40*ADRYr1!$U40*(IF(ADRYr1!$AI40=Lookups!$E$113,ADRYr1!$AJ40,IF(ADRYr1!$AK40=Lookups!$E$113,ADRYr1!$AL40,IF(ADRYr1!$AM40=Lookups!$E$113,ADRYr1!$AN40,0)))))</f>
        <v/>
      </c>
      <c r="AN40" s="45" t="str">
        <f t="shared" si="28"/>
        <v/>
      </c>
      <c r="AO40" s="45">
        <f>IF($G40="",0,AM40*ADRYr1!$P40)</f>
        <v>0</v>
      </c>
      <c r="AP40" s="45" t="str">
        <f t="shared" si="29"/>
        <v/>
      </c>
      <c r="AQ40" s="45" t="str">
        <f>IF($G40="","",$G40*ADRYr1!$Q40*ADRYr1!$U40*(IF(ADRYr1!$AI40=Lookups!$E$115,ADRYr1!$AJ40,IF(ADRYr1!$AK40=Lookups!$E$115,ADRYr1!$AL40,IF(ADRYr1!$AM40=Lookups!$E$115,ADRYr1!$AN40,0)))))</f>
        <v/>
      </c>
      <c r="AR40" s="45" t="str">
        <f t="shared" si="30"/>
        <v/>
      </c>
      <c r="AS40" s="45" t="str">
        <f>IF($G40="","",AQ40*ADRYr1!$P40)</f>
        <v/>
      </c>
      <c r="AT40" s="45" t="str">
        <f t="shared" si="31"/>
        <v/>
      </c>
      <c r="AU40" s="45" t="str">
        <f>IF($G40="","",$G40*ADRYr1!$Q40*ADRYr1!$U40*(IF(ADRYr1!$AI40=Lookups!$E$116,ADRYr1!$AJ40,IF(ADRYr1!$AK40=Lookups!$E$116,ADRYr1!$AL40,IF(ADRYr1!$AM40=Lookups!$E$116,ADRYr1!$AN40,0)))))</f>
        <v/>
      </c>
      <c r="AV40" s="45" t="str">
        <f t="shared" si="32"/>
        <v/>
      </c>
      <c r="AW40" s="45" t="str">
        <f>IF($G40="","",AU40*ADRYr1!$P40)</f>
        <v/>
      </c>
      <c r="AX40" s="45" t="str">
        <f t="shared" si="33"/>
        <v/>
      </c>
      <c r="AY40" s="45">
        <f t="shared" si="49"/>
        <v>0</v>
      </c>
      <c r="AZ40" s="45">
        <f t="shared" si="49"/>
        <v>0</v>
      </c>
      <c r="BA40" s="101" t="str">
        <f>IF($G40="","",$G40*ADRYr1!$P40*ADRYr1!$Q40*ADRYr1!$U40*ADRYr1!AO40)</f>
        <v/>
      </c>
      <c r="BB40" s="102" t="str">
        <f>IF($G40="","",$G40*ADRYr1!$P40*ADRYr1!$Q40*ADRYr1!$U40*ADRYr1!AP40)</f>
        <v/>
      </c>
      <c r="BC40" s="100" t="str">
        <f t="shared" si="35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5"/>
        <v/>
      </c>
      <c r="BO40" s="31" t="str">
        <f t="shared" si="36"/>
        <v/>
      </c>
      <c r="BP40" s="1129" t="str">
        <f t="shared" si="6"/>
        <v/>
      </c>
      <c r="BQ40" s="28" t="str">
        <f t="shared" si="7"/>
        <v/>
      </c>
      <c r="BR40" s="1129" t="str">
        <f t="shared" si="8"/>
        <v/>
      </c>
      <c r="BS40" s="1129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7"/>
        <v/>
      </c>
      <c r="BX40" s="29" t="str">
        <f t="shared" si="38"/>
        <v/>
      </c>
      <c r="BY40" s="28" t="str">
        <f>IF($G40="","",$G40*(IF(ADRYr1!$AI40=BY$4,ADRYr1!$AJ40,IF(ADRYr1!$AK40=BY$4,ADRYr1!$AL40,IF(ADRYr1!$AM40=BY$4,ADRYr1!$AN40,0))))*(INDEX(avoidedcosttbl,$H40,BY$2)+(($H40-ROUNDDOWN($H40,0))*(INDEX(avoidedcosttbl,ROUNDUP($H40,0),BY$2)-(INDEX(avoidedcosttbl,ROUNDDOWN($H40,0),BY$2)))))*ADRYr1!P40*ADRYr1!Q40*ADRYr1!U40)</f>
        <v/>
      </c>
      <c r="BZ40" s="28" t="str">
        <f>IF($G40="","",$G40*(IF(ADRYr1!$AI40=BZ$4,ADRYr1!$AJ40,IF(ADRYr1!$AK40=BZ$4,ADRYr1!$AL40,IF(ADRYr1!$AM40=BZ$4,ADRYr1!$AN40,0))))*(INDEX(avoidedcosttbl,$H40,BZ$2)+(($H40-ROUNDDOWN($H40,0))*(INDEX(avoidedcosttbl,ROUNDUP($H40,0),BZ$2)-(INDEX(avoidedcosttbl,ROUNDDOWN($H40,0),BZ$2)))))*ADRYr1!P40*ADRYr1!Q40*ADRYr1!U40)</f>
        <v/>
      </c>
      <c r="CA40" s="28" t="str">
        <f>IF($G40="","",$G40*(IF(ADRYr1!$AI40=CA$4,ADRYr1!$AJ40,IF(ADRYr1!$AK40=CA$4,ADRYr1!$AL40,IF(ADRYr1!$AM40=CA$4,ADRYr1!$AN40,0))))*(INDEX(avoidedcosttbl,$H40,CA$2)+(($H40-ROUNDDOWN($H40,0))*(INDEX(avoidedcosttbl,ROUNDUP($H40,0),CA$2)-(INDEX(avoidedcosttbl,ROUNDDOWN($H40,0),CA$2)))))*ADRYr1!P40*ADRYr1!Q40*ADRYr1!U40)</f>
        <v/>
      </c>
      <c r="CB40" s="28" t="str">
        <f>IF($G40="","",$G40*(IF(ADRYr1!$AI40=CB$4,ADRYr1!$AJ40,IF(ADRYr1!$AK40=CB$4,ADRYr1!$AL40,IF(ADRYr1!$AM40=CB$4,ADRYr1!$AN40,0))))*(INDEX(avoidedcosttbl,$H40,CB$2)+(($H40-ROUNDDOWN($H40,0))*(INDEX(avoidedcosttbl,ROUNDUP($H40,0),CB$2)-(INDEX(avoidedcosttbl,ROUNDDOWN($H40,0),CB$2)))))*ADRYr1!P40*ADRYr1!Q40*ADRYr1!U40)</f>
        <v/>
      </c>
      <c r="CC40" s="28" t="str">
        <f>IF($G40="","",$G40*(IF(ADRYr1!$AI40=CC$4,ADRYr1!$AJ40,IF(ADRYr1!$AK40=CC$4,ADRYr1!$AL40,IF(ADRYr1!$AM40=CC$4,ADRYr1!$AN40,0))))*(INDEX(avoidedcosttbl,$H40,CC$2)+(($H40-ROUNDDOWN($H40,0))*(INDEX(avoidedcosttbl,ROUNDUP($H40,0),CC$2)-(INDEX(avoidedcosttbl,ROUNDDOWN($H40,0),CC$2)))))*ADRYr1!P40*ADRYr1!Q40*ADRYr1!U40)</f>
        <v/>
      </c>
      <c r="CD40" s="28" t="str">
        <f>IF($G40="","",$G40*(IF(ADRYr1!$AI40=CD$4,ADRYr1!$AJ40,IF(ADRYr1!$AK40=CD$4,ADRYr1!$AL40,IF(ADRYr1!$AM40=CD$4,ADRYr1!$AN40,0))))*(INDEX(avoidedcosttbl,$H40,CD$2)+(($H40-ROUNDDOWN($H40,0))*(INDEX(avoidedcosttbl,ROUNDUP($H40,0),CD$2)-(INDEX(avoidedcosttbl,ROUNDDOWN($H40,0),CD$2)))))*ADRYr1!P40*ADRYr1!Q40*ADRYr1!U40)</f>
        <v/>
      </c>
      <c r="CE40" s="28" t="str">
        <f>IF($G40="","",$G40*(IF(ADRYr1!$AI40=CE$4,ADRYr1!$AJ40,IF(ADRYr1!$AK40=CE$4,ADRYr1!$AL40,IF(ADRYr1!$AM40=CE$4,ADRYr1!$AN40,0))))*(INDEX(avoidedcosttbl,$H40,CE$2)+(($H40-ROUNDDOWN($H40,0))*(INDEX(avoidedcosttbl,ROUNDUP($H40,0),CE$2)-(INDEX(avoidedcosttbl,ROUNDDOWN($H40,0),CE$2)))))*ADRYr1!P40*ADRYr1!Q40*ADRYr1!U40)</f>
        <v/>
      </c>
      <c r="CF40" s="41" t="str">
        <f t="shared" si="39"/>
        <v/>
      </c>
      <c r="CG40" s="30" t="str">
        <f t="shared" si="11"/>
        <v/>
      </c>
      <c r="CH40" s="30" t="str">
        <f>IF($G40="","",$G40*(IF(ADRYr1!$AI40=BY$4,ADRYr1!$AJ40,IF(ADRYr1!$AK40=BY$4,ADRYr1!$AL40,IF(ADRYr1!$AM40=BY$4,ADRYr1!$AN40,0))))*(INDEX(avoidedcosttbl,$H40,CH$2)+(($H40-ROUNDDOWN($H40,0))*(INDEX(avoidedcosttbl,ROUNDUP($H40,0),CH$2)-(INDEX(avoidedcosttbl,ROUNDDOWN($H40,0),CH$2)))))*ADRYr1!P40*ADRYr1!Q40*ADRYr1!U40)</f>
        <v/>
      </c>
      <c r="CI40" s="30" t="str">
        <f>IF($G40="","",$G40*(IF(ADRYr1!$AI40=BZ$4,ADRYr1!$AJ40,IF(ADRYr1!$AK40=BZ$4,ADRYr1!$AL40,IF(ADRYr1!$AM40=BZ$4,ADRYr1!$AN40,0))))*(INDEX(avoidedcosttbl,$H40,CI$2)+(($H40-ROUNDDOWN($H40,0))*(INDEX(avoidedcosttbl,ROUNDUP($H40,0),CI$2)-(INDEX(avoidedcosttbl,ROUNDDOWN($H40,0),CI$2)))))*ADRYr1!P40*ADRYr1!Q40*ADRYr1!U40)</f>
        <v/>
      </c>
      <c r="CJ40" s="30" t="str">
        <f>IF($G40="","",$G40*(IF(ADRYr1!$AI40=CA$4,ADRYr1!$AJ40,IF(ADRYr1!$AK40=CA$4,ADRYr1!$AL40,IF(ADRYr1!$AM40=CA$4,ADRYr1!$AN40,0))))*(INDEX(avoidedcosttbl,$H40,CJ$2)+(($H40-ROUNDDOWN($H40,0))*(INDEX(avoidedcosttbl,ROUNDUP($H40,0),CJ$2)-(INDEX(avoidedcosttbl,ROUNDDOWN($H40,0),CJ$2)))))*ADRYr1!P40*ADRYr1!Q40*ADRYr1!U40)</f>
        <v/>
      </c>
      <c r="CK40" s="30" t="str">
        <f>IF($G40="","",$G40*(IF(ADRYr1!$AI40=CB$4,ADRYr1!$AJ40,IF(ADRYr1!$AK40=CB$4,ADRYr1!$AL40,IF(ADRYr1!$AM40=CB$4,ADRYr1!$AN40,0))))*(INDEX(avoidedcosttbl,$H40,CK$2)+(($H40-ROUNDDOWN($H40,0))*(INDEX(avoidedcosttbl,ROUNDUP($H40,0),CK$2)-(INDEX(avoidedcosttbl,ROUNDDOWN($H40,0),CK$2)))))*ADRYr1!P40*ADRYr1!Q40*ADRYr1!U40)</f>
        <v/>
      </c>
      <c r="CL40" s="30" t="str">
        <f>IF($G40="","",$G40*(IF(ADRYr1!$AI40=CC$4,ADRYr1!$AJ40,IF(ADRYr1!$AK40=CC$4,ADRYr1!$AL40,IF(ADRYr1!$AM40=CC$4,ADRYr1!$AN40,0))))*(INDEX(avoidedcosttbl,$H40,CL$2)+(($H40-ROUNDDOWN($H40,0))*(INDEX(avoidedcosttbl,ROUNDUP($H40,0),CL$2)-(INDEX(avoidedcosttbl,ROUNDDOWN($H40,0),CL$2)))))*ADRYr1!P40*ADRYr1!Q40*ADRYr1!U40)</f>
        <v/>
      </c>
      <c r="CM40" s="30" t="str">
        <f>IF($G40="","",$G40*(IF(ADRYr1!$AI40=CD$4,ADRYr1!$AJ40,IF(ADRYr1!$AK40=CD$4,ADRYr1!$AL40,IF(ADRYr1!$AM40=CD$4,ADRYr1!$AN40,0))))*(INDEX(avoidedcosttbl,$H40,CM$2)+(($H40-ROUNDDOWN($H40,0))*(INDEX(avoidedcosttbl,ROUNDUP($H40,0),CM$2)-(INDEX(avoidedcosttbl,ROUNDDOWN($H40,0),CM$2)))))*ADRYr1!P40*ADRYr1!Q40*ADRYr1!U40)</f>
        <v/>
      </c>
      <c r="CN40" s="30" t="str">
        <f>IF($G40="","",$G40*(IF(ADRYr1!$AI40=CE$4,ADRYr1!$AJ40,IF(ADRYr1!$AK40=CE$4,ADRYr1!$AL40,IF(ADRYr1!$AM40=CE$4,ADRYr1!$AN40,0))))*(INDEX(avoidedcosttbl,$H40,CN$2)+(($H40-ROUNDDOWN($H40,0))*(INDEX(avoidedcosttbl,ROUNDUP($H40,0),CN$2)-(INDEX(avoidedcosttbl,ROUNDDOWN($H40,0),CN$2)))))*ADRYr1!P40*ADRYr1!Q40*ADRYr1!U40)</f>
        <v/>
      </c>
      <c r="CO40" s="220" t="str">
        <f t="shared" si="40"/>
        <v/>
      </c>
      <c r="CP40" s="220" t="str">
        <f t="shared" si="41"/>
        <v/>
      </c>
      <c r="CQ40" s="157" t="str">
        <f>IF($G40="","",$G40*(IF(ADRYr1!$AI40=CQ$4,ADRYr1!$AJ40,IF(ADRYr1!$AK40=CQ$4,ADRYr1!$AL40,IF(ADRYr1!$AM40=CQ$4,ADRYr1!$AN40,0))))*(INDEX(avoidedcosttbl,$H40,CQ$2)+(($H40-ROUNDDOWN($H40,0))*(INDEX(avoidedcosttbl,ROUNDUP($H40,0),CQ$2)-(INDEX(avoidedcosttbl,ROUNDDOWN($H40,0),CQ$2)))))*ADRYr1!$P40*ADRYr1!$Q40*ADRYr1!$U40)</f>
        <v/>
      </c>
      <c r="CR40" s="28" t="str">
        <f>IF($G40="","",G40*(IF(ADRYr1!$AI40=CR$4,ADRYr1!$AJ40,IF(ADRYr1!$AK40=CR$4,ADRYr1!$AL40,IF(ADRYr1!$AM40=CR$4,ADRYr1!$AN40,0))))*(INDEX(avoidedcosttbl,$H40,CR$2)+(($H40-ROUNDDOWN($H40,0))*(INDEX(avoidedcosttbl,ROUNDUP($H40,0),CR$2)-(INDEX(avoidedcosttbl,ROUNDDOWN($H40,0),CR$2)))))*ADRYr1!$P40*ADRYr1!$Q40*ADRYr1!$U40)</f>
        <v/>
      </c>
      <c r="CS40" s="28" t="str">
        <f>IF($G40="","",G40*(IF(ADRYr1!$AI40=CS$4,ADRYr1!$AJ40,IF(ADRYr1!$AK40=CS$4,ADRYr1!$AL40,IF(ADRYr1!$AM40=CS$4,ADRYr1!$AN40,0))))*(INDEX(avoidedcosttbl,$H40,CS$2)+(($H40-ROUNDDOWN($H40,0))*(INDEX(avoidedcosttbl,ROUNDUP($H40,0),CS$2)-(INDEX(avoidedcosttbl,ROUNDDOWN($H40,0),CS$2)))))*ADRYr1!$P40*ADRYr1!$Q40*ADRYr1!$U40)</f>
        <v/>
      </c>
      <c r="CT40" s="28" t="str">
        <f t="shared" si="12"/>
        <v/>
      </c>
      <c r="CU40" s="28" t="str">
        <f>IF($G40="","",G40*(IF(ADRYr1!$AI40=CU$4,ADRYr1!$AJ40,IF(ADRYr1!$AK40=CU$4,ADRYr1!$AL40,IF(ADRYr1!$AM40=CU$4,ADRYr1!$AN40,0))))*(INDEX(avoidedcosttbl,$H40,CU$2)+(($H40-ROUNDDOWN($H40,0))*(INDEX(avoidedcosttbl,ROUNDUP($H40,0),CU$2)-(INDEX(avoidedcosttbl,ROUNDDOWN($H40,0),CU$2)))))*ADRYr1!$P40*ADRYr1!$Q40*ADRYr1!$U40)</f>
        <v/>
      </c>
      <c r="CV40" s="28" t="str">
        <f>IF($G40="","",G40*(IF(ADRYr1!$AI40=CV$4,ADRYr1!$AJ40,IF(ADRYr1!$AK40=CV$4,ADRYr1!$AL40,IF(ADRYr1!$AM40=CV$4,ADRYr1!$AN40,0))))*(INDEX(avoidedcosttbl,$H40,CV$2)+(($H40-ROUNDDOWN($H40,0))*(INDEX(avoidedcosttbl,ROUNDUP($H40,0),CV$2)-(INDEX(avoidedcosttbl,ROUNDDOWN($H40,0),CV$2)))))*ADRYr1!$P40*ADRYr1!$Q40*ADRYr1!$U40)</f>
        <v/>
      </c>
      <c r="CW40" s="28" t="str">
        <f>IF($G40="","",G40*(IF(ADRYr1!$AI40=CW$4,ADRYr1!$AJ40,IF(ADRYr1!$AK40=CW$4,ADRYr1!$AL40,IF(ADRYr1!$AM40=CW$4,ADRYr1!$AN40,0))))*(INDEX(avoidedcosttbl,$H40,CW$2)+(($H40-ROUNDDOWN($H40,0))*(INDEX(avoidedcosttbl,ROUNDUP($H40,0),CW$2)-(INDEX(avoidedcosttbl,ROUNDDOWN($H40,0),CW$2)))))*ADRYr1!$P40*ADRYr1!$Q40*ADRYr1!$U40)</f>
        <v/>
      </c>
      <c r="CX40" s="28" t="str">
        <f>IF($G40="","",G40*(IF(ADRYr1!$AI40=CX$4,ADRYr1!$AJ40,IF(ADRYr1!$AK40=CX$4,ADRYr1!$AL40,IF(ADRYr1!$AM40=CX$4,ADRYr1!$AN40,0))))*(INDEX(avoidedcosttbl,$H40,CX$2)+(($H40-ROUNDDOWN($H40,0))*(INDEX(avoidedcosttbl,ROUNDUP($H40,0),CX$2)-(INDEX(avoidedcosttbl,ROUNDDOWN($H40,0),CX$2)))))*ADRYr1!$P40*ADRYr1!$Q40*ADRYr1!$U40)</f>
        <v/>
      </c>
      <c r="CY40" s="28" t="str">
        <f t="shared" si="13"/>
        <v/>
      </c>
      <c r="CZ40" s="32" t="str">
        <f t="shared" si="14"/>
        <v/>
      </c>
      <c r="DA40" s="84" t="str">
        <f t="shared" si="42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15"/>
        <v/>
      </c>
      <c r="DD40" s="166" t="str">
        <f t="shared" si="16"/>
        <v/>
      </c>
      <c r="DE40" s="82">
        <f t="shared" si="43"/>
        <v>0</v>
      </c>
      <c r="DF40" s="760" t="str">
        <f>IF($G40="","",(1+WntPeakEnergyLL)*(INDEX(avoidedcosttbl,$H40,DF$2)+(($H40-ROUNDDOWN($H40,0))*(INDEX(avoidedcosttbl,ROUNDUP($H40,0),DF$2)-(INDEX(avoidedcosttbl,ROUNDDOWN($H40,0),DF$2)))))*$P40*1000*ADRYr1!Z40)</f>
        <v/>
      </c>
      <c r="DG40" s="760" t="str">
        <f>IF($G40="","",(1+WntOffPeakEnergyLL)*(INDEX(avoidedcosttbl,$H40,DG$2)+(($H40-ROUNDDOWN($H40,0))*(INDEX(avoidedcosttbl,ROUNDUP($H40,0),DG$2)-(INDEX(avoidedcosttbl,ROUNDDOWN($H40,0),DG$2)))))*$P40*1000*ADRYr1!AA40)</f>
        <v/>
      </c>
      <c r="DH40" s="760" t="str">
        <f>IF($G40="","",(1+SumPeakEnergyLL)*(INDEX(avoidedcosttbl,$H40,DH$2)+(($H40-ROUNDDOWN($H40,0))*(INDEX(avoidedcosttbl,ROUNDUP($H40,0),DH$2)-(INDEX(avoidedcosttbl,ROUNDDOWN($H40,0),DH$2)))))*$P40*1000*ADRYr1!AB40)</f>
        <v/>
      </c>
      <c r="DI40" s="760" t="str">
        <f>IF($G40="","",(1+SumOffPeakEnergyLL)*(INDEX(avoidedcosttbl,$H40,DI$2)+(($H40-ROUNDDOWN($H40,0))*(INDEX(avoidedcosttbl,ROUNDUP($H40,0),DI$2)-(INDEX(avoidedcosttbl,ROUNDDOWN($H40,0),DI$2)))))*$P40*1000*ADRYr1!AC40)</f>
        <v/>
      </c>
      <c r="DJ40" s="29" t="str">
        <f t="shared" si="44"/>
        <v/>
      </c>
      <c r="DK40" s="161" t="str">
        <f t="shared" si="45"/>
        <v/>
      </c>
      <c r="DL40" s="1375" t="str">
        <f t="shared" si="46"/>
        <v/>
      </c>
      <c r="DM40" s="1375" t="str">
        <f t="shared" si="47"/>
        <v/>
      </c>
      <c r="DN40" s="43" t="str">
        <f t="shared" si="48"/>
        <v/>
      </c>
      <c r="DO40" s="1131" t="str">
        <f>IF($G40="","",ADRYr1!AQ40)</f>
        <v/>
      </c>
      <c r="DP40" s="1133" t="str">
        <f>IF($G40="","",ADRYr1!AR40)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17"/>
        <v/>
      </c>
      <c r="DU40" s="1135" t="str">
        <f>IF($G40="","",ADRYr1!AS40)</f>
        <v/>
      </c>
      <c r="DV40" s="1136" t="str">
        <f>IF($G40="","",ADRYr1!AT40)</f>
        <v/>
      </c>
      <c r="DW40" s="1344" t="str">
        <f>IF($G40="","",INDEX(AvoidedEnergy!$H$4:$H$10,MATCH($DO40,AvoidedEnergy!$A$4:$A$10,0)))</f>
        <v/>
      </c>
    </row>
    <row r="41" spans="1:127">
      <c r="A41" s="160" t="str">
        <f>IF(ADRYr1!$B41=0,"",ADRYr1!A41)</f>
        <v>C - Commercial &amp; Industrial</v>
      </c>
      <c r="B41" s="9" t="str">
        <f>IF(ADRYr1!$B41=0,"",ADRYr1!B41)</f>
        <v>C5 - C&amp;I Active Demand Response</v>
      </c>
      <c r="C41" s="9" t="str">
        <f>IF(ADRYr1!$B41=0,"",ADRYr1!C41)</f>
        <v>C5a - C&amp;I Active Demand Response</v>
      </c>
      <c r="D41" s="9" t="str">
        <f>IF(ADRYr1!$B41=0,"",ADRYr1!D41)</f>
        <v>Custom</v>
      </c>
      <c r="E41" s="9">
        <f>IF(ADRYr1!$B41=0,"",ADRYr1!E41)</f>
        <v>0</v>
      </c>
      <c r="F41" s="11" t="str">
        <f>IF(ADRYr1!$B41=0,"",ADRYr1!F41)</f>
        <v>Behavior</v>
      </c>
      <c r="G41" s="12" t="str">
        <f>IF(ADRYr1!$G41&lt;&gt;0,ADRYr1!G41,"")</f>
        <v/>
      </c>
      <c r="H41" s="1125" t="str">
        <f>IF($G41="","",ROUND(ADRYr1!H41,0))</f>
        <v/>
      </c>
      <c r="I41" s="47" t="str">
        <f>IF($G41="","",ADRYr1!I41*ADRYr1!P41*G41)</f>
        <v/>
      </c>
      <c r="J41" s="47" t="str">
        <f>IF($G41="","",ADRYr1!J41*G41)</f>
        <v/>
      </c>
      <c r="K41" s="47" t="str">
        <f t="shared" si="18"/>
        <v/>
      </c>
      <c r="L41" s="27" t="str">
        <f>IF($G41="","",ADRYr1!V41*G41/1000)</f>
        <v/>
      </c>
      <c r="M41" s="27" t="str">
        <f>IF($G41="","",L41*ADRYr1!$Q41*ADRYr1!$R41)</f>
        <v/>
      </c>
      <c r="N41" s="27" t="str">
        <f t="shared" si="19"/>
        <v/>
      </c>
      <c r="O41" s="27" t="str">
        <f t="shared" si="20"/>
        <v/>
      </c>
      <c r="P41" s="27" t="str">
        <f>IF($G41="","",M41*ADRYr1!P41)</f>
        <v/>
      </c>
      <c r="Q41" s="27" t="str">
        <f t="shared" si="21"/>
        <v/>
      </c>
      <c r="R41" s="27" t="str">
        <f>IF($G41="","",$Q41*ADRYr1!Z41)</f>
        <v/>
      </c>
      <c r="S41" s="27" t="str">
        <f>IF($G41="","",$Q41*ADRYr1!AA41)</f>
        <v/>
      </c>
      <c r="T41" s="27" t="str">
        <f>IF($G41="","",$Q41*ADRYr1!AB41)</f>
        <v/>
      </c>
      <c r="U41" s="27" t="str">
        <f>IF($G41="","",$Q41*ADRYr1!AC41)</f>
        <v/>
      </c>
      <c r="V41" s="27" t="str">
        <f>IF($G41="","",G41*ADRYr1!$AD41*ADRYr1!$P41*ADRYr1!$Q41)</f>
        <v/>
      </c>
      <c r="W41" s="27" t="str">
        <f>IF($G41="","",$G41*ADRYr1!$AD41*ADRYr1!$AF41*ADRYr1!Q41*ADRYr1!$S41)</f>
        <v/>
      </c>
      <c r="X41" s="27" t="str">
        <f>IF($G41="","",$G41*ADRYr1!$AD41*ADRYr1!$AF41*ADRYr1!P41*ADRYr1!Q41*ADRYr1!$S41)</f>
        <v/>
      </c>
      <c r="Y41" s="27" t="str">
        <f>IF($G41="","",$G41*ADRYr1!$AD41*ADRYr1!$AE41*ADRYr1!Q41*ADRYr1!$T41)</f>
        <v/>
      </c>
      <c r="Z41" s="27" t="str">
        <f>IF($G41="","",$G41*ADRYr1!$AD41*ADRYr1!$AE41*ADRYr1!P41*ADRYr1!Q41*ADRYr1!$T41)</f>
        <v/>
      </c>
      <c r="AA41" s="45" t="str">
        <f>IF($G41="","",$G41*ADRYr1!$Q41*ADRYr1!$U41*(IF(IFERROR(SEARCH("NG", ADRYr1!$AI41),0),ADRYr1!$AJ41,0)+IF(IFERROR(SEARCH("NG", ADRYr1!$AK41),0),ADRYr1!$AL41,0)+IF(IFERROR(SEARCH("NG", ADRYr1!$AM41),0),ADRYr1!$AN41,0)))</f>
        <v/>
      </c>
      <c r="AB41" s="45" t="str">
        <f t="shared" si="22"/>
        <v/>
      </c>
      <c r="AC41" s="45">
        <f>IF($G41="",0,AA41*ADRYr1!$P41)</f>
        <v>0</v>
      </c>
      <c r="AD41" s="45" t="str">
        <f t="shared" si="23"/>
        <v/>
      </c>
      <c r="AE41" s="45" t="str">
        <f>IF($G41="","",$G41*ADRYr1!$Q41*ADRYr1!$U41*(IF(IFERROR(SEARCH("Oil", ADRYr1!$AI41), 0),ADRYr1!$AJ41,0)+IF(IFERROR(SEARCH("Oil", ADRYr1!$AK41), 0),ADRYr1!$AL41,0)+IF(IFERROR(SEARCH("Oil", ADRYr1!$AM41), 0),ADRYr1!$AN41,0)))</f>
        <v/>
      </c>
      <c r="AF41" s="45" t="str">
        <f t="shared" si="24"/>
        <v/>
      </c>
      <c r="AG41" s="45">
        <f>IF($G41="",0,AE41*ADRYr1!$P41)</f>
        <v>0</v>
      </c>
      <c r="AH41" s="45" t="str">
        <f t="shared" si="25"/>
        <v/>
      </c>
      <c r="AI41" s="45" t="str">
        <f>IF($G41="","",$G41*ADRYr1!$Q41*ADRYr1!$U41*(IF(ADRYr1!$AI41=Lookups!$E$114,ADRYr1!$AJ41,IF(ADRYr1!$AK41=Lookups!$E$114,ADRYr1!$AL41,IF(ADRYr1!$AM41=Lookups!$E$114,ADRYr1!$AN41,0)))))</f>
        <v/>
      </c>
      <c r="AJ41" s="45" t="str">
        <f t="shared" si="26"/>
        <v/>
      </c>
      <c r="AK41" s="45">
        <f>IF($G41="",0,AI41*ADRYr1!$P41)</f>
        <v>0</v>
      </c>
      <c r="AL41" s="45" t="str">
        <f t="shared" si="27"/>
        <v/>
      </c>
      <c r="AM41" s="45" t="str">
        <f>IF($G41="","",$G41*ADRYr1!$Q41*ADRYr1!$U41*(IF(ADRYr1!$AI41=Lookups!$E$113,ADRYr1!$AJ41,IF(ADRYr1!$AK41=Lookups!$E$113,ADRYr1!$AL41,IF(ADRYr1!$AM41=Lookups!$E$113,ADRYr1!$AN41,0)))))</f>
        <v/>
      </c>
      <c r="AN41" s="45" t="str">
        <f t="shared" si="28"/>
        <v/>
      </c>
      <c r="AO41" s="45">
        <f>IF($G41="",0,AM41*ADRYr1!$P41)</f>
        <v>0</v>
      </c>
      <c r="AP41" s="45" t="str">
        <f t="shared" si="29"/>
        <v/>
      </c>
      <c r="AQ41" s="45" t="str">
        <f>IF($G41="","",$G41*ADRYr1!$Q41*ADRYr1!$U41*(IF(ADRYr1!$AI41=Lookups!$E$115,ADRYr1!$AJ41,IF(ADRYr1!$AK41=Lookups!$E$115,ADRYr1!$AL41,IF(ADRYr1!$AM41=Lookups!$E$115,ADRYr1!$AN41,0)))))</f>
        <v/>
      </c>
      <c r="AR41" s="45" t="str">
        <f t="shared" si="30"/>
        <v/>
      </c>
      <c r="AS41" s="45" t="str">
        <f>IF($G41="","",AQ41*ADRYr1!$P41)</f>
        <v/>
      </c>
      <c r="AT41" s="45" t="str">
        <f t="shared" si="31"/>
        <v/>
      </c>
      <c r="AU41" s="45" t="str">
        <f>IF($G41="","",$G41*ADRYr1!$Q41*ADRYr1!$U41*(IF(ADRYr1!$AI41=Lookups!$E$116,ADRYr1!$AJ41,IF(ADRYr1!$AK41=Lookups!$E$116,ADRYr1!$AL41,IF(ADRYr1!$AM41=Lookups!$E$116,ADRYr1!$AN41,0)))))</f>
        <v/>
      </c>
      <c r="AV41" s="45" t="str">
        <f t="shared" si="32"/>
        <v/>
      </c>
      <c r="AW41" s="45" t="str">
        <f>IF($G41="","",AU41*ADRYr1!$P41)</f>
        <v/>
      </c>
      <c r="AX41" s="45" t="str">
        <f t="shared" si="33"/>
        <v/>
      </c>
      <c r="AY41" s="45">
        <f t="shared" si="49"/>
        <v>0</v>
      </c>
      <c r="AZ41" s="45">
        <f t="shared" si="49"/>
        <v>0</v>
      </c>
      <c r="BA41" s="101" t="str">
        <f>IF($G41="","",$G41*ADRYr1!$P41*ADRYr1!$Q41*ADRYr1!$U41*ADRYr1!AO41)</f>
        <v/>
      </c>
      <c r="BB41" s="102" t="str">
        <f>IF($G41="","",$G41*ADRYr1!$P41*ADRYr1!$Q41*ADRYr1!$U41*ADRYr1!AP41)</f>
        <v/>
      </c>
      <c r="BC41" s="100" t="str">
        <f t="shared" si="35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5"/>
        <v/>
      </c>
      <c r="BO41" s="31" t="str">
        <f t="shared" si="36"/>
        <v/>
      </c>
      <c r="BP41" s="1129" t="str">
        <f t="shared" si="6"/>
        <v/>
      </c>
      <c r="BQ41" s="28" t="str">
        <f t="shared" si="7"/>
        <v/>
      </c>
      <c r="BR41" s="1129" t="str">
        <f t="shared" si="8"/>
        <v/>
      </c>
      <c r="BS41" s="1129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7"/>
        <v/>
      </c>
      <c r="BX41" s="29" t="str">
        <f t="shared" si="38"/>
        <v/>
      </c>
      <c r="BY41" s="28" t="str">
        <f>IF($G41="","",$G41*(IF(ADRYr1!$AI41=BY$4,ADRYr1!$AJ41,IF(ADRYr1!$AK41=BY$4,ADRYr1!$AL41,IF(ADRYr1!$AM41=BY$4,ADRYr1!$AN41,0))))*(INDEX(avoidedcosttbl,$H41,BY$2)+(($H41-ROUNDDOWN($H41,0))*(INDEX(avoidedcosttbl,ROUNDUP($H41,0),BY$2)-(INDEX(avoidedcosttbl,ROUNDDOWN($H41,0),BY$2)))))*ADRYr1!P41*ADRYr1!Q41*ADRYr1!U41)</f>
        <v/>
      </c>
      <c r="BZ41" s="28" t="str">
        <f>IF($G41="","",$G41*(IF(ADRYr1!$AI41=BZ$4,ADRYr1!$AJ41,IF(ADRYr1!$AK41=BZ$4,ADRYr1!$AL41,IF(ADRYr1!$AM41=BZ$4,ADRYr1!$AN41,0))))*(INDEX(avoidedcosttbl,$H41,BZ$2)+(($H41-ROUNDDOWN($H41,0))*(INDEX(avoidedcosttbl,ROUNDUP($H41,0),BZ$2)-(INDEX(avoidedcosttbl,ROUNDDOWN($H41,0),BZ$2)))))*ADRYr1!P41*ADRYr1!Q41*ADRYr1!U41)</f>
        <v/>
      </c>
      <c r="CA41" s="28" t="str">
        <f>IF($G41="","",$G41*(IF(ADRYr1!$AI41=CA$4,ADRYr1!$AJ41,IF(ADRYr1!$AK41=CA$4,ADRYr1!$AL41,IF(ADRYr1!$AM41=CA$4,ADRYr1!$AN41,0))))*(INDEX(avoidedcosttbl,$H41,CA$2)+(($H41-ROUNDDOWN($H41,0))*(INDEX(avoidedcosttbl,ROUNDUP($H41,0),CA$2)-(INDEX(avoidedcosttbl,ROUNDDOWN($H41,0),CA$2)))))*ADRYr1!P41*ADRYr1!Q41*ADRYr1!U41)</f>
        <v/>
      </c>
      <c r="CB41" s="28" t="str">
        <f>IF($G41="","",$G41*(IF(ADRYr1!$AI41=CB$4,ADRYr1!$AJ41,IF(ADRYr1!$AK41=CB$4,ADRYr1!$AL41,IF(ADRYr1!$AM41=CB$4,ADRYr1!$AN41,0))))*(INDEX(avoidedcosttbl,$H41,CB$2)+(($H41-ROUNDDOWN($H41,0))*(INDEX(avoidedcosttbl,ROUNDUP($H41,0),CB$2)-(INDEX(avoidedcosttbl,ROUNDDOWN($H41,0),CB$2)))))*ADRYr1!P41*ADRYr1!Q41*ADRYr1!U41)</f>
        <v/>
      </c>
      <c r="CC41" s="28" t="str">
        <f>IF($G41="","",$G41*(IF(ADRYr1!$AI41=CC$4,ADRYr1!$AJ41,IF(ADRYr1!$AK41=CC$4,ADRYr1!$AL41,IF(ADRYr1!$AM41=CC$4,ADRYr1!$AN41,0))))*(INDEX(avoidedcosttbl,$H41,CC$2)+(($H41-ROUNDDOWN($H41,0))*(INDEX(avoidedcosttbl,ROUNDUP($H41,0),CC$2)-(INDEX(avoidedcosttbl,ROUNDDOWN($H41,0),CC$2)))))*ADRYr1!P41*ADRYr1!Q41*ADRYr1!U41)</f>
        <v/>
      </c>
      <c r="CD41" s="28" t="str">
        <f>IF($G41="","",$G41*(IF(ADRYr1!$AI41=CD$4,ADRYr1!$AJ41,IF(ADRYr1!$AK41=CD$4,ADRYr1!$AL41,IF(ADRYr1!$AM41=CD$4,ADRYr1!$AN41,0))))*(INDEX(avoidedcosttbl,$H41,CD$2)+(($H41-ROUNDDOWN($H41,0))*(INDEX(avoidedcosttbl,ROUNDUP($H41,0),CD$2)-(INDEX(avoidedcosttbl,ROUNDDOWN($H41,0),CD$2)))))*ADRYr1!P41*ADRYr1!Q41*ADRYr1!U41)</f>
        <v/>
      </c>
      <c r="CE41" s="28" t="str">
        <f>IF($G41="","",$G41*(IF(ADRYr1!$AI41=CE$4,ADRYr1!$AJ41,IF(ADRYr1!$AK41=CE$4,ADRYr1!$AL41,IF(ADRYr1!$AM41=CE$4,ADRYr1!$AN41,0))))*(INDEX(avoidedcosttbl,$H41,CE$2)+(($H41-ROUNDDOWN($H41,0))*(INDEX(avoidedcosttbl,ROUNDUP($H41,0),CE$2)-(INDEX(avoidedcosttbl,ROUNDDOWN($H41,0),CE$2)))))*ADRYr1!P41*ADRYr1!Q41*ADRYr1!U41)</f>
        <v/>
      </c>
      <c r="CF41" s="41" t="str">
        <f t="shared" si="39"/>
        <v/>
      </c>
      <c r="CG41" s="30" t="str">
        <f t="shared" si="11"/>
        <v/>
      </c>
      <c r="CH41" s="30" t="str">
        <f>IF($G41="","",$G41*(IF(ADRYr1!$AI41=BY$4,ADRYr1!$AJ41,IF(ADRYr1!$AK41=BY$4,ADRYr1!$AL41,IF(ADRYr1!$AM41=BY$4,ADRYr1!$AN41,0))))*(INDEX(avoidedcosttbl,$H41,CH$2)+(($H41-ROUNDDOWN($H41,0))*(INDEX(avoidedcosttbl,ROUNDUP($H41,0),CH$2)-(INDEX(avoidedcosttbl,ROUNDDOWN($H41,0),CH$2)))))*ADRYr1!P41*ADRYr1!Q41*ADRYr1!U41)</f>
        <v/>
      </c>
      <c r="CI41" s="30" t="str">
        <f>IF($G41="","",$G41*(IF(ADRYr1!$AI41=BZ$4,ADRYr1!$AJ41,IF(ADRYr1!$AK41=BZ$4,ADRYr1!$AL41,IF(ADRYr1!$AM41=BZ$4,ADRYr1!$AN41,0))))*(INDEX(avoidedcosttbl,$H41,CI$2)+(($H41-ROUNDDOWN($H41,0))*(INDEX(avoidedcosttbl,ROUNDUP($H41,0),CI$2)-(INDEX(avoidedcosttbl,ROUNDDOWN($H41,0),CI$2)))))*ADRYr1!P41*ADRYr1!Q41*ADRYr1!U41)</f>
        <v/>
      </c>
      <c r="CJ41" s="30" t="str">
        <f>IF($G41="","",$G41*(IF(ADRYr1!$AI41=CA$4,ADRYr1!$AJ41,IF(ADRYr1!$AK41=CA$4,ADRYr1!$AL41,IF(ADRYr1!$AM41=CA$4,ADRYr1!$AN41,0))))*(INDEX(avoidedcosttbl,$H41,CJ$2)+(($H41-ROUNDDOWN($H41,0))*(INDEX(avoidedcosttbl,ROUNDUP($H41,0),CJ$2)-(INDEX(avoidedcosttbl,ROUNDDOWN($H41,0),CJ$2)))))*ADRYr1!P41*ADRYr1!Q41*ADRYr1!U41)</f>
        <v/>
      </c>
      <c r="CK41" s="30" t="str">
        <f>IF($G41="","",$G41*(IF(ADRYr1!$AI41=CB$4,ADRYr1!$AJ41,IF(ADRYr1!$AK41=CB$4,ADRYr1!$AL41,IF(ADRYr1!$AM41=CB$4,ADRYr1!$AN41,0))))*(INDEX(avoidedcosttbl,$H41,CK$2)+(($H41-ROUNDDOWN($H41,0))*(INDEX(avoidedcosttbl,ROUNDUP($H41,0),CK$2)-(INDEX(avoidedcosttbl,ROUNDDOWN($H41,0),CK$2)))))*ADRYr1!P41*ADRYr1!Q41*ADRYr1!U41)</f>
        <v/>
      </c>
      <c r="CL41" s="30" t="str">
        <f>IF($G41="","",$G41*(IF(ADRYr1!$AI41=CC$4,ADRYr1!$AJ41,IF(ADRYr1!$AK41=CC$4,ADRYr1!$AL41,IF(ADRYr1!$AM41=CC$4,ADRYr1!$AN41,0))))*(INDEX(avoidedcosttbl,$H41,CL$2)+(($H41-ROUNDDOWN($H41,0))*(INDEX(avoidedcosttbl,ROUNDUP($H41,0),CL$2)-(INDEX(avoidedcosttbl,ROUNDDOWN($H41,0),CL$2)))))*ADRYr1!P41*ADRYr1!Q41*ADRYr1!U41)</f>
        <v/>
      </c>
      <c r="CM41" s="30" t="str">
        <f>IF($G41="","",$G41*(IF(ADRYr1!$AI41=CD$4,ADRYr1!$AJ41,IF(ADRYr1!$AK41=CD$4,ADRYr1!$AL41,IF(ADRYr1!$AM41=CD$4,ADRYr1!$AN41,0))))*(INDEX(avoidedcosttbl,$H41,CM$2)+(($H41-ROUNDDOWN($H41,0))*(INDEX(avoidedcosttbl,ROUNDUP($H41,0),CM$2)-(INDEX(avoidedcosttbl,ROUNDDOWN($H41,0),CM$2)))))*ADRYr1!P41*ADRYr1!Q41*ADRYr1!U41)</f>
        <v/>
      </c>
      <c r="CN41" s="30" t="str">
        <f>IF($G41="","",$G41*(IF(ADRYr1!$AI41=CE$4,ADRYr1!$AJ41,IF(ADRYr1!$AK41=CE$4,ADRYr1!$AL41,IF(ADRYr1!$AM41=CE$4,ADRYr1!$AN41,0))))*(INDEX(avoidedcosttbl,$H41,CN$2)+(($H41-ROUNDDOWN($H41,0))*(INDEX(avoidedcosttbl,ROUNDUP($H41,0),CN$2)-(INDEX(avoidedcosttbl,ROUNDDOWN($H41,0),CN$2)))))*ADRYr1!P41*ADRYr1!Q41*ADRYr1!U41)</f>
        <v/>
      </c>
      <c r="CO41" s="220" t="str">
        <f t="shared" si="40"/>
        <v/>
      </c>
      <c r="CP41" s="220" t="str">
        <f t="shared" si="41"/>
        <v/>
      </c>
      <c r="CQ41" s="157" t="str">
        <f>IF($G41="","",$G41*(IF(ADRYr1!$AI41=CQ$4,ADRYr1!$AJ41,IF(ADRYr1!$AK41=CQ$4,ADRYr1!$AL41,IF(ADRYr1!$AM41=CQ$4,ADRYr1!$AN41,0))))*(INDEX(avoidedcosttbl,$H41,CQ$2)+(($H41-ROUNDDOWN($H41,0))*(INDEX(avoidedcosttbl,ROUNDUP($H41,0),CQ$2)-(INDEX(avoidedcosttbl,ROUNDDOWN($H41,0),CQ$2)))))*ADRYr1!$P41*ADRYr1!$Q41*ADRYr1!$U41)</f>
        <v/>
      </c>
      <c r="CR41" s="28" t="str">
        <f>IF($G41="","",G41*(IF(ADRYr1!$AI41=CR$4,ADRYr1!$AJ41,IF(ADRYr1!$AK41=CR$4,ADRYr1!$AL41,IF(ADRYr1!$AM41=CR$4,ADRYr1!$AN41,0))))*(INDEX(avoidedcosttbl,$H41,CR$2)+(($H41-ROUNDDOWN($H41,0))*(INDEX(avoidedcosttbl,ROUNDUP($H41,0),CR$2)-(INDEX(avoidedcosttbl,ROUNDDOWN($H41,0),CR$2)))))*ADRYr1!$P41*ADRYr1!$Q41*ADRYr1!$U41)</f>
        <v/>
      </c>
      <c r="CS41" s="28" t="str">
        <f>IF($G41="","",G41*(IF(ADRYr1!$AI41=CS$4,ADRYr1!$AJ41,IF(ADRYr1!$AK41=CS$4,ADRYr1!$AL41,IF(ADRYr1!$AM41=CS$4,ADRYr1!$AN41,0))))*(INDEX(avoidedcosttbl,$H41,CS$2)+(($H41-ROUNDDOWN($H41,0))*(INDEX(avoidedcosttbl,ROUNDUP($H41,0),CS$2)-(INDEX(avoidedcosttbl,ROUNDDOWN($H41,0),CS$2)))))*ADRYr1!$P41*ADRYr1!$Q41*ADRYr1!$U41)</f>
        <v/>
      </c>
      <c r="CT41" s="28" t="str">
        <f t="shared" si="12"/>
        <v/>
      </c>
      <c r="CU41" s="28" t="str">
        <f>IF($G41="","",G41*(IF(ADRYr1!$AI41=CU$4,ADRYr1!$AJ41,IF(ADRYr1!$AK41=CU$4,ADRYr1!$AL41,IF(ADRYr1!$AM41=CU$4,ADRYr1!$AN41,0))))*(INDEX(avoidedcosttbl,$H41,CU$2)+(($H41-ROUNDDOWN($H41,0))*(INDEX(avoidedcosttbl,ROUNDUP($H41,0),CU$2)-(INDEX(avoidedcosttbl,ROUNDDOWN($H41,0),CU$2)))))*ADRYr1!$P41*ADRYr1!$Q41*ADRYr1!$U41)</f>
        <v/>
      </c>
      <c r="CV41" s="28" t="str">
        <f>IF($G41="","",G41*(IF(ADRYr1!$AI41=CV$4,ADRYr1!$AJ41,IF(ADRYr1!$AK41=CV$4,ADRYr1!$AL41,IF(ADRYr1!$AM41=CV$4,ADRYr1!$AN41,0))))*(INDEX(avoidedcosttbl,$H41,CV$2)+(($H41-ROUNDDOWN($H41,0))*(INDEX(avoidedcosttbl,ROUNDUP($H41,0),CV$2)-(INDEX(avoidedcosttbl,ROUNDDOWN($H41,0),CV$2)))))*ADRYr1!$P41*ADRYr1!$Q41*ADRYr1!$U41)</f>
        <v/>
      </c>
      <c r="CW41" s="28" t="str">
        <f>IF($G41="","",G41*(IF(ADRYr1!$AI41=CW$4,ADRYr1!$AJ41,IF(ADRYr1!$AK41=CW$4,ADRYr1!$AL41,IF(ADRYr1!$AM41=CW$4,ADRYr1!$AN41,0))))*(INDEX(avoidedcosttbl,$H41,CW$2)+(($H41-ROUNDDOWN($H41,0))*(INDEX(avoidedcosttbl,ROUNDUP($H41,0),CW$2)-(INDEX(avoidedcosttbl,ROUNDDOWN($H41,0),CW$2)))))*ADRYr1!$P41*ADRYr1!$Q41*ADRYr1!$U41)</f>
        <v/>
      </c>
      <c r="CX41" s="28" t="str">
        <f>IF($G41="","",G41*(IF(ADRYr1!$AI41=CX$4,ADRYr1!$AJ41,IF(ADRYr1!$AK41=CX$4,ADRYr1!$AL41,IF(ADRYr1!$AM41=CX$4,ADRYr1!$AN41,0))))*(INDEX(avoidedcosttbl,$H41,CX$2)+(($H41-ROUNDDOWN($H41,0))*(INDEX(avoidedcosttbl,ROUNDUP($H41,0),CX$2)-(INDEX(avoidedcosttbl,ROUNDDOWN($H41,0),CX$2)))))*ADRYr1!$P41*ADRYr1!$Q41*ADRYr1!$U41)</f>
        <v/>
      </c>
      <c r="CY41" s="28" t="str">
        <f t="shared" si="13"/>
        <v/>
      </c>
      <c r="CZ41" s="32" t="str">
        <f t="shared" si="14"/>
        <v/>
      </c>
      <c r="DA41" s="84" t="str">
        <f t="shared" si="42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15"/>
        <v/>
      </c>
      <c r="DD41" s="166" t="str">
        <f t="shared" si="16"/>
        <v/>
      </c>
      <c r="DE41" s="82">
        <f t="shared" si="43"/>
        <v>0</v>
      </c>
      <c r="DF41" s="760" t="str">
        <f>IF($G41="","",(1+WntPeakEnergyLL)*(INDEX(avoidedcosttbl,$H41,DF$2)+(($H41-ROUNDDOWN($H41,0))*(INDEX(avoidedcosttbl,ROUNDUP($H41,0),DF$2)-(INDEX(avoidedcosttbl,ROUNDDOWN($H41,0),DF$2)))))*$P41*1000*ADRYr1!Z41)</f>
        <v/>
      </c>
      <c r="DG41" s="760" t="str">
        <f>IF($G41="","",(1+WntOffPeakEnergyLL)*(INDEX(avoidedcosttbl,$H41,DG$2)+(($H41-ROUNDDOWN($H41,0))*(INDEX(avoidedcosttbl,ROUNDUP($H41,0),DG$2)-(INDEX(avoidedcosttbl,ROUNDDOWN($H41,0),DG$2)))))*$P41*1000*ADRYr1!AA41)</f>
        <v/>
      </c>
      <c r="DH41" s="760" t="str">
        <f>IF($G41="","",(1+SumPeakEnergyLL)*(INDEX(avoidedcosttbl,$H41,DH$2)+(($H41-ROUNDDOWN($H41,0))*(INDEX(avoidedcosttbl,ROUNDUP($H41,0),DH$2)-(INDEX(avoidedcosttbl,ROUNDDOWN($H41,0),DH$2)))))*$P41*1000*ADRYr1!AB41)</f>
        <v/>
      </c>
      <c r="DI41" s="760" t="str">
        <f>IF($G41="","",(1+SumOffPeakEnergyLL)*(INDEX(avoidedcosttbl,$H41,DI$2)+(($H41-ROUNDDOWN($H41,0))*(INDEX(avoidedcosttbl,ROUNDUP($H41,0),DI$2)-(INDEX(avoidedcosttbl,ROUNDDOWN($H41,0),DI$2)))))*$P41*1000*ADRYr1!AC41)</f>
        <v/>
      </c>
      <c r="DJ41" s="29" t="str">
        <f t="shared" si="44"/>
        <v/>
      </c>
      <c r="DK41" s="161" t="str">
        <f t="shared" si="45"/>
        <v/>
      </c>
      <c r="DL41" s="1375" t="str">
        <f t="shared" si="46"/>
        <v/>
      </c>
      <c r="DM41" s="1375" t="str">
        <f t="shared" si="47"/>
        <v/>
      </c>
      <c r="DN41" s="43" t="str">
        <f t="shared" si="48"/>
        <v/>
      </c>
      <c r="DO41" s="1131" t="str">
        <f>IF($G41="","",ADRYr1!AQ41)</f>
        <v/>
      </c>
      <c r="DP41" s="1133" t="str">
        <f>IF($G41="","",ADRYr1!AR41)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17"/>
        <v/>
      </c>
      <c r="DU41" s="1135" t="str">
        <f>IF($G41="","",ADRYr1!AS41)</f>
        <v/>
      </c>
      <c r="DV41" s="1136" t="str">
        <f>IF($G41="","",ADRYr1!AT41)</f>
        <v/>
      </c>
      <c r="DW41" s="1344" t="str">
        <f>IF($G41="","",INDEX(AvoidedEnergy!$H$4:$H$10,MATCH($DO41,AvoidedEnergy!$A$4:$A$10,0)))</f>
        <v/>
      </c>
    </row>
    <row r="42" spans="1:127">
      <c r="A42" s="160" t="str">
        <f>IF(ADRYr1!$B42=0,"",ADRYr1!A42)</f>
        <v/>
      </c>
      <c r="B42" s="9" t="str">
        <f>IF(ADRYr1!$B42=0,"",ADRYr1!B42)</f>
        <v/>
      </c>
      <c r="C42" s="9" t="str">
        <f>IF(ADRYr1!$B42=0,"",ADRYr1!C42)</f>
        <v/>
      </c>
      <c r="D42" s="9" t="str">
        <f>IF(ADRYr1!$B42=0,"",ADRYr1!D42)</f>
        <v/>
      </c>
      <c r="E42" s="9"/>
      <c r="F42" s="11" t="str">
        <f>IF(ADRYr1!$B42=0,"",ADRYr1!F42)</f>
        <v/>
      </c>
      <c r="G42" s="12" t="str">
        <f>IF(ADRYr1!$G42&lt;&gt;0,ADRYr1!G42,"")</f>
        <v/>
      </c>
      <c r="H42" s="1125" t="str">
        <f>IF($G42="","",ROUND(ADRYr1!H42,0))</f>
        <v/>
      </c>
      <c r="I42" s="47" t="str">
        <f>IF($G42="","",ADRYr1!I42*ADRYr1!P42*G42)</f>
        <v/>
      </c>
      <c r="J42" s="47" t="str">
        <f>IF($G42="","",ADRYr1!J42*G42)</f>
        <v/>
      </c>
      <c r="K42" s="47" t="str">
        <f t="shared" si="18"/>
        <v/>
      </c>
      <c r="L42" s="27" t="str">
        <f>IF($G42="","",ADRYr1!V42*G42/1000)</f>
        <v/>
      </c>
      <c r="M42" s="27" t="str">
        <f>IF($G42="","",L42*ADRYr1!$Q42*ADRYr1!$R42)</f>
        <v/>
      </c>
      <c r="N42" s="27" t="str">
        <f t="shared" si="19"/>
        <v/>
      </c>
      <c r="O42" s="27" t="str">
        <f t="shared" si="20"/>
        <v/>
      </c>
      <c r="P42" s="27" t="str">
        <f>IF($G42="","",M42*ADRYr1!P42)</f>
        <v/>
      </c>
      <c r="Q42" s="27" t="str">
        <f t="shared" si="21"/>
        <v/>
      </c>
      <c r="R42" s="27" t="str">
        <f>IF($G42="","",$Q42*ADRYr1!Z42)</f>
        <v/>
      </c>
      <c r="S42" s="27" t="str">
        <f>IF($G42="","",$Q42*ADRYr1!AA42)</f>
        <v/>
      </c>
      <c r="T42" s="27" t="str">
        <f>IF($G42="","",$Q42*ADRYr1!AB42)</f>
        <v/>
      </c>
      <c r="U42" s="27" t="str">
        <f>IF($G42="","",$Q42*ADRYr1!AC42)</f>
        <v/>
      </c>
      <c r="V42" s="27" t="str">
        <f>IF($G42="","",G42*ADRYr1!$AD42*ADRYr1!$P42*ADRYr1!$Q42)</f>
        <v/>
      </c>
      <c r="W42" s="27" t="str">
        <f>IF($G42="","",$G42*ADRYr1!$AD42*ADRYr1!$AF42*ADRYr1!Q42*ADRYr1!$S42)</f>
        <v/>
      </c>
      <c r="X42" s="27" t="str">
        <f>IF($G42="","",$G42*ADRYr1!$AD42*ADRYr1!$AF42*ADRYr1!P42*ADRYr1!Q42*ADRYr1!$S42)</f>
        <v/>
      </c>
      <c r="Y42" s="27" t="str">
        <f>IF($G42="","",$G42*ADRYr1!$AD42*ADRYr1!$AE42*ADRYr1!Q42*ADRYr1!$T42)</f>
        <v/>
      </c>
      <c r="Z42" s="27" t="str">
        <f>IF($G42="","",$G42*ADRYr1!$AD42*ADRYr1!$AE42*ADRYr1!P42*ADRYr1!Q42*ADRYr1!$T42)</f>
        <v/>
      </c>
      <c r="AA42" s="45" t="str">
        <f>IF($G42="","",$G42*ADRYr1!$Q42*ADRYr1!$U42*(IF(IFERROR(SEARCH("NG", ADRYr1!$AI42),0),ADRYr1!$AJ42,0)+IF(IFERROR(SEARCH("NG", ADRYr1!$AK42),0),ADRYr1!$AL42,0)+IF(IFERROR(SEARCH("NG", ADRYr1!$AM42),0),ADRYr1!$AN42,0)))</f>
        <v/>
      </c>
      <c r="AB42" s="45" t="str">
        <f t="shared" si="22"/>
        <v/>
      </c>
      <c r="AC42" s="45">
        <f>IF($G42="",0,AA42*ADRYr1!$P42)</f>
        <v>0</v>
      </c>
      <c r="AD42" s="45" t="str">
        <f t="shared" si="23"/>
        <v/>
      </c>
      <c r="AE42" s="45" t="str">
        <f>IF($G42="","",$G42*ADRYr1!$Q42*ADRYr1!$U42*(IF(IFERROR(SEARCH("Oil", ADRYr1!$AI42), 0),ADRYr1!$AJ42,0)+IF(IFERROR(SEARCH("Oil", ADRYr1!$AK42), 0),ADRYr1!$AL42,0)+IF(IFERROR(SEARCH("Oil", ADRYr1!$AM42), 0),ADRYr1!$AN42,0)))</f>
        <v/>
      </c>
      <c r="AF42" s="45" t="str">
        <f t="shared" si="24"/>
        <v/>
      </c>
      <c r="AG42" s="45">
        <f>IF($G42="",0,AE42*ADRYr1!$P42)</f>
        <v>0</v>
      </c>
      <c r="AH42" s="45" t="str">
        <f t="shared" si="25"/>
        <v/>
      </c>
      <c r="AI42" s="45" t="str">
        <f>IF($G42="","",$G42*ADRYr1!$Q42*ADRYr1!$U42*(IF(ADRYr1!$AI42=Lookups!$E$114,ADRYr1!$AJ42,IF(ADRYr1!$AK42=Lookups!$E$114,ADRYr1!$AL42,IF(ADRYr1!$AM42=Lookups!$E$114,ADRYr1!$AN42,0)))))</f>
        <v/>
      </c>
      <c r="AJ42" s="45" t="str">
        <f t="shared" si="26"/>
        <v/>
      </c>
      <c r="AK42" s="45">
        <f>IF($G42="",0,AI42*ADRYr1!$P42)</f>
        <v>0</v>
      </c>
      <c r="AL42" s="45" t="str">
        <f t="shared" si="27"/>
        <v/>
      </c>
      <c r="AM42" s="45" t="str">
        <f>IF($G42="","",$G42*ADRYr1!$Q42*ADRYr1!$U42*(IF(ADRYr1!$AI42=Lookups!$E$113,ADRYr1!$AJ42,IF(ADRYr1!$AK42=Lookups!$E$113,ADRYr1!$AL42,IF(ADRYr1!$AM42=Lookups!$E$113,ADRYr1!$AN42,0)))))</f>
        <v/>
      </c>
      <c r="AN42" s="45" t="str">
        <f t="shared" si="28"/>
        <v/>
      </c>
      <c r="AO42" s="45">
        <f>IF($G42="",0,AM42*ADRYr1!$P42)</f>
        <v>0</v>
      </c>
      <c r="AP42" s="45" t="str">
        <f t="shared" si="29"/>
        <v/>
      </c>
      <c r="AQ42" s="45" t="str">
        <f>IF($G42="","",$G42*ADRYr1!$Q42*ADRYr1!$U42*(IF(ADRYr1!$AI42=Lookups!$E$115,ADRYr1!$AJ42,IF(ADRYr1!$AK42=Lookups!$E$115,ADRYr1!$AL42,IF(ADRYr1!$AM42=Lookups!$E$115,ADRYr1!$AN42,0)))))</f>
        <v/>
      </c>
      <c r="AR42" s="45" t="str">
        <f t="shared" si="30"/>
        <v/>
      </c>
      <c r="AS42" s="45" t="str">
        <f>IF($G42="","",AQ42*ADRYr1!$P42)</f>
        <v/>
      </c>
      <c r="AT42" s="45" t="str">
        <f t="shared" si="31"/>
        <v/>
      </c>
      <c r="AU42" s="45" t="str">
        <f>IF($G42="","",$G42*ADRYr1!$Q42*ADRYr1!$U42*(IF(ADRYr1!$AI42=Lookups!$E$116,ADRYr1!$AJ42,IF(ADRYr1!$AK42=Lookups!$E$116,ADRYr1!$AL42,IF(ADRYr1!$AM42=Lookups!$E$116,ADRYr1!$AN42,0)))))</f>
        <v/>
      </c>
      <c r="AV42" s="45" t="str">
        <f t="shared" si="32"/>
        <v/>
      </c>
      <c r="AW42" s="45" t="str">
        <f>IF($G42="","",AU42*ADRYr1!$P42)</f>
        <v/>
      </c>
      <c r="AX42" s="45" t="str">
        <f t="shared" si="33"/>
        <v/>
      </c>
      <c r="AY42" s="45">
        <f t="shared" si="49"/>
        <v>0</v>
      </c>
      <c r="AZ42" s="45">
        <f t="shared" si="49"/>
        <v>0</v>
      </c>
      <c r="BA42" s="101" t="str">
        <f>IF($G42="","",$G42*ADRYr1!$P42*ADRYr1!$Q42*ADRYr1!$U42*ADRYr1!AO42)</f>
        <v/>
      </c>
      <c r="BB42" s="102" t="str">
        <f>IF($G42="","",$G42*ADRYr1!$P42*ADRYr1!$Q42*ADRYr1!$U42*ADRYr1!AP42)</f>
        <v/>
      </c>
      <c r="BC42" s="100" t="str">
        <f t="shared" si="35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5"/>
        <v/>
      </c>
      <c r="BO42" s="31" t="str">
        <f t="shared" si="36"/>
        <v/>
      </c>
      <c r="BP42" s="1129" t="str">
        <f t="shared" si="6"/>
        <v/>
      </c>
      <c r="BQ42" s="28" t="str">
        <f t="shared" si="7"/>
        <v/>
      </c>
      <c r="BR42" s="1129" t="str">
        <f t="shared" si="8"/>
        <v/>
      </c>
      <c r="BS42" s="1129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7"/>
        <v/>
      </c>
      <c r="BX42" s="29" t="str">
        <f t="shared" si="38"/>
        <v/>
      </c>
      <c r="BY42" s="28" t="str">
        <f>IF($G42="","",$G42*(IF(ADRYr1!$AI42=BY$4,ADRYr1!$AJ42,IF(ADRYr1!$AK42=BY$4,ADRYr1!$AL42,IF(ADRYr1!$AM42=BY$4,ADRYr1!$AN42,0))))*(INDEX(avoidedcosttbl,$H42,BY$2)+(($H42-ROUNDDOWN($H42,0))*(INDEX(avoidedcosttbl,ROUNDUP($H42,0),BY$2)-(INDEX(avoidedcosttbl,ROUNDDOWN($H42,0),BY$2)))))*ADRYr1!P42*ADRYr1!Q42*ADRYr1!U42)</f>
        <v/>
      </c>
      <c r="BZ42" s="28" t="str">
        <f>IF($G42="","",$G42*(IF(ADRYr1!$AI42=BZ$4,ADRYr1!$AJ42,IF(ADRYr1!$AK42=BZ$4,ADRYr1!$AL42,IF(ADRYr1!$AM42=BZ$4,ADRYr1!$AN42,0))))*(INDEX(avoidedcosttbl,$H42,BZ$2)+(($H42-ROUNDDOWN($H42,0))*(INDEX(avoidedcosttbl,ROUNDUP($H42,0),BZ$2)-(INDEX(avoidedcosttbl,ROUNDDOWN($H42,0),BZ$2)))))*ADRYr1!P42*ADRYr1!Q42*ADRYr1!U42)</f>
        <v/>
      </c>
      <c r="CA42" s="28" t="str">
        <f>IF($G42="","",$G42*(IF(ADRYr1!$AI42=CA$4,ADRYr1!$AJ42,IF(ADRYr1!$AK42=CA$4,ADRYr1!$AL42,IF(ADRYr1!$AM42=CA$4,ADRYr1!$AN42,0))))*(INDEX(avoidedcosttbl,$H42,CA$2)+(($H42-ROUNDDOWN($H42,0))*(INDEX(avoidedcosttbl,ROUNDUP($H42,0),CA$2)-(INDEX(avoidedcosttbl,ROUNDDOWN($H42,0),CA$2)))))*ADRYr1!P42*ADRYr1!Q42*ADRYr1!U42)</f>
        <v/>
      </c>
      <c r="CB42" s="28" t="str">
        <f>IF($G42="","",$G42*(IF(ADRYr1!$AI42=CB$4,ADRYr1!$AJ42,IF(ADRYr1!$AK42=CB$4,ADRYr1!$AL42,IF(ADRYr1!$AM42=CB$4,ADRYr1!$AN42,0))))*(INDEX(avoidedcosttbl,$H42,CB$2)+(($H42-ROUNDDOWN($H42,0))*(INDEX(avoidedcosttbl,ROUNDUP($H42,0),CB$2)-(INDEX(avoidedcosttbl,ROUNDDOWN($H42,0),CB$2)))))*ADRYr1!P42*ADRYr1!Q42*ADRYr1!U42)</f>
        <v/>
      </c>
      <c r="CC42" s="28" t="str">
        <f>IF($G42="","",$G42*(IF(ADRYr1!$AI42=CC$4,ADRYr1!$AJ42,IF(ADRYr1!$AK42=CC$4,ADRYr1!$AL42,IF(ADRYr1!$AM42=CC$4,ADRYr1!$AN42,0))))*(INDEX(avoidedcosttbl,$H42,CC$2)+(($H42-ROUNDDOWN($H42,0))*(INDEX(avoidedcosttbl,ROUNDUP($H42,0),CC$2)-(INDEX(avoidedcosttbl,ROUNDDOWN($H42,0),CC$2)))))*ADRYr1!P42*ADRYr1!Q42*ADRYr1!U42)</f>
        <v/>
      </c>
      <c r="CD42" s="28" t="str">
        <f>IF($G42="","",$G42*(IF(ADRYr1!$AI42=CD$4,ADRYr1!$AJ42,IF(ADRYr1!$AK42=CD$4,ADRYr1!$AL42,IF(ADRYr1!$AM42=CD$4,ADRYr1!$AN42,0))))*(INDEX(avoidedcosttbl,$H42,CD$2)+(($H42-ROUNDDOWN($H42,0))*(INDEX(avoidedcosttbl,ROUNDUP($H42,0),CD$2)-(INDEX(avoidedcosttbl,ROUNDDOWN($H42,0),CD$2)))))*ADRYr1!P42*ADRYr1!Q42*ADRYr1!U42)</f>
        <v/>
      </c>
      <c r="CE42" s="28" t="str">
        <f>IF($G42="","",$G42*(IF(ADRYr1!$AI42=CE$4,ADRYr1!$AJ42,IF(ADRYr1!$AK42=CE$4,ADRYr1!$AL42,IF(ADRYr1!$AM42=CE$4,ADRYr1!$AN42,0))))*(INDEX(avoidedcosttbl,$H42,CE$2)+(($H42-ROUNDDOWN($H42,0))*(INDEX(avoidedcosttbl,ROUNDUP($H42,0),CE$2)-(INDEX(avoidedcosttbl,ROUNDDOWN($H42,0),CE$2)))))*ADRYr1!P42*ADRYr1!Q42*ADRYr1!U42)</f>
        <v/>
      </c>
      <c r="CF42" s="41" t="str">
        <f t="shared" si="39"/>
        <v/>
      </c>
      <c r="CG42" s="30" t="str">
        <f t="shared" si="11"/>
        <v/>
      </c>
      <c r="CH42" s="30" t="str">
        <f>IF($G42="","",$G42*(IF(ADRYr1!$AI42=BY$4,ADRYr1!$AJ42,IF(ADRYr1!$AK42=BY$4,ADRYr1!$AL42,IF(ADRYr1!$AM42=BY$4,ADRYr1!$AN42,0))))*(INDEX(avoidedcosttbl,$H42,CH$2)+(($H42-ROUNDDOWN($H42,0))*(INDEX(avoidedcosttbl,ROUNDUP($H42,0),CH$2)-(INDEX(avoidedcosttbl,ROUNDDOWN($H42,0),CH$2)))))*ADRYr1!P42*ADRYr1!Q42*ADRYr1!U42)</f>
        <v/>
      </c>
      <c r="CI42" s="30" t="str">
        <f>IF($G42="","",$G42*(IF(ADRYr1!$AI42=BZ$4,ADRYr1!$AJ42,IF(ADRYr1!$AK42=BZ$4,ADRYr1!$AL42,IF(ADRYr1!$AM42=BZ$4,ADRYr1!$AN42,0))))*(INDEX(avoidedcosttbl,$H42,CI$2)+(($H42-ROUNDDOWN($H42,0))*(INDEX(avoidedcosttbl,ROUNDUP($H42,0),CI$2)-(INDEX(avoidedcosttbl,ROUNDDOWN($H42,0),CI$2)))))*ADRYr1!P42*ADRYr1!Q42*ADRYr1!U42)</f>
        <v/>
      </c>
      <c r="CJ42" s="30" t="str">
        <f>IF($G42="","",$G42*(IF(ADRYr1!$AI42=CA$4,ADRYr1!$AJ42,IF(ADRYr1!$AK42=CA$4,ADRYr1!$AL42,IF(ADRYr1!$AM42=CA$4,ADRYr1!$AN42,0))))*(INDEX(avoidedcosttbl,$H42,CJ$2)+(($H42-ROUNDDOWN($H42,0))*(INDEX(avoidedcosttbl,ROUNDUP($H42,0),CJ$2)-(INDEX(avoidedcosttbl,ROUNDDOWN($H42,0),CJ$2)))))*ADRYr1!P42*ADRYr1!Q42*ADRYr1!U42)</f>
        <v/>
      </c>
      <c r="CK42" s="30" t="str">
        <f>IF($G42="","",$G42*(IF(ADRYr1!$AI42=CB$4,ADRYr1!$AJ42,IF(ADRYr1!$AK42=CB$4,ADRYr1!$AL42,IF(ADRYr1!$AM42=CB$4,ADRYr1!$AN42,0))))*(INDEX(avoidedcosttbl,$H42,CK$2)+(($H42-ROUNDDOWN($H42,0))*(INDEX(avoidedcosttbl,ROUNDUP($H42,0),CK$2)-(INDEX(avoidedcosttbl,ROUNDDOWN($H42,0),CK$2)))))*ADRYr1!P42*ADRYr1!Q42*ADRYr1!U42)</f>
        <v/>
      </c>
      <c r="CL42" s="30" t="str">
        <f>IF($G42="","",$G42*(IF(ADRYr1!$AI42=CC$4,ADRYr1!$AJ42,IF(ADRYr1!$AK42=CC$4,ADRYr1!$AL42,IF(ADRYr1!$AM42=CC$4,ADRYr1!$AN42,0))))*(INDEX(avoidedcosttbl,$H42,CL$2)+(($H42-ROUNDDOWN($H42,0))*(INDEX(avoidedcosttbl,ROUNDUP($H42,0),CL$2)-(INDEX(avoidedcosttbl,ROUNDDOWN($H42,0),CL$2)))))*ADRYr1!P42*ADRYr1!Q42*ADRYr1!U42)</f>
        <v/>
      </c>
      <c r="CM42" s="30" t="str">
        <f>IF($G42="","",$G42*(IF(ADRYr1!$AI42=CD$4,ADRYr1!$AJ42,IF(ADRYr1!$AK42=CD$4,ADRYr1!$AL42,IF(ADRYr1!$AM42=CD$4,ADRYr1!$AN42,0))))*(INDEX(avoidedcosttbl,$H42,CM$2)+(($H42-ROUNDDOWN($H42,0))*(INDEX(avoidedcosttbl,ROUNDUP($H42,0),CM$2)-(INDEX(avoidedcosttbl,ROUNDDOWN($H42,0),CM$2)))))*ADRYr1!P42*ADRYr1!Q42*ADRYr1!U42)</f>
        <v/>
      </c>
      <c r="CN42" s="30" t="str">
        <f>IF($G42="","",$G42*(IF(ADRYr1!$AI42=CE$4,ADRYr1!$AJ42,IF(ADRYr1!$AK42=CE$4,ADRYr1!$AL42,IF(ADRYr1!$AM42=CE$4,ADRYr1!$AN42,0))))*(INDEX(avoidedcosttbl,$H42,CN$2)+(($H42-ROUNDDOWN($H42,0))*(INDEX(avoidedcosttbl,ROUNDUP($H42,0),CN$2)-(INDEX(avoidedcosttbl,ROUNDDOWN($H42,0),CN$2)))))*ADRYr1!P42*ADRYr1!Q42*ADRYr1!U42)</f>
        <v/>
      </c>
      <c r="CO42" s="220" t="str">
        <f t="shared" si="40"/>
        <v/>
      </c>
      <c r="CP42" s="220" t="str">
        <f t="shared" si="41"/>
        <v/>
      </c>
      <c r="CQ42" s="157" t="str">
        <f>IF($G42="","",$G42*(IF(ADRYr1!$AI42=CQ$4,ADRYr1!$AJ42,IF(ADRYr1!$AK42=CQ$4,ADRYr1!$AL42,IF(ADRYr1!$AM42=CQ$4,ADRYr1!$AN42,0))))*(INDEX(avoidedcosttbl,$H42,CQ$2)+(($H42-ROUNDDOWN($H42,0))*(INDEX(avoidedcosttbl,ROUNDUP($H42,0),CQ$2)-(INDEX(avoidedcosttbl,ROUNDDOWN($H42,0),CQ$2)))))*ADRYr1!$P42*ADRYr1!$Q42*ADRYr1!$U42)</f>
        <v/>
      </c>
      <c r="CR42" s="28" t="str">
        <f>IF($G42="","",G42*(IF(ADRYr1!$AI42=CR$4,ADRYr1!$AJ42,IF(ADRYr1!$AK42=CR$4,ADRYr1!$AL42,IF(ADRYr1!$AM42=CR$4,ADRYr1!$AN42,0))))*(INDEX(avoidedcosttbl,$H42,CR$2)+(($H42-ROUNDDOWN($H42,0))*(INDEX(avoidedcosttbl,ROUNDUP($H42,0),CR$2)-(INDEX(avoidedcosttbl,ROUNDDOWN($H42,0),CR$2)))))*ADRYr1!$P42*ADRYr1!$Q42*ADRYr1!$U42)</f>
        <v/>
      </c>
      <c r="CS42" s="28" t="str">
        <f>IF($G42="","",G42*(IF(ADRYr1!$AI42=CS$4,ADRYr1!$AJ42,IF(ADRYr1!$AK42=CS$4,ADRYr1!$AL42,IF(ADRYr1!$AM42=CS$4,ADRYr1!$AN42,0))))*(INDEX(avoidedcosttbl,$H42,CS$2)+(($H42-ROUNDDOWN($H42,0))*(INDEX(avoidedcosttbl,ROUNDUP($H42,0),CS$2)-(INDEX(avoidedcosttbl,ROUNDDOWN($H42,0),CS$2)))))*ADRYr1!$P42*ADRYr1!$Q42*ADRYr1!$U42)</f>
        <v/>
      </c>
      <c r="CT42" s="28" t="str">
        <f t="shared" si="12"/>
        <v/>
      </c>
      <c r="CU42" s="28" t="str">
        <f>IF($G42="","",G42*(IF(ADRYr1!$AI42=CU$4,ADRYr1!$AJ42,IF(ADRYr1!$AK42=CU$4,ADRYr1!$AL42,IF(ADRYr1!$AM42=CU$4,ADRYr1!$AN42,0))))*(INDEX(avoidedcosttbl,$H42,CU$2)+(($H42-ROUNDDOWN($H42,0))*(INDEX(avoidedcosttbl,ROUNDUP($H42,0),CU$2)-(INDEX(avoidedcosttbl,ROUNDDOWN($H42,0),CU$2)))))*ADRYr1!$P42*ADRYr1!$Q42*ADRYr1!$U42)</f>
        <v/>
      </c>
      <c r="CV42" s="28" t="str">
        <f>IF($G42="","",G42*(IF(ADRYr1!$AI42=CV$4,ADRYr1!$AJ42,IF(ADRYr1!$AK42=CV$4,ADRYr1!$AL42,IF(ADRYr1!$AM42=CV$4,ADRYr1!$AN42,0))))*(INDEX(avoidedcosttbl,$H42,CV$2)+(($H42-ROUNDDOWN($H42,0))*(INDEX(avoidedcosttbl,ROUNDUP($H42,0),CV$2)-(INDEX(avoidedcosttbl,ROUNDDOWN($H42,0),CV$2)))))*ADRYr1!$P42*ADRYr1!$Q42*ADRYr1!$U42)</f>
        <v/>
      </c>
      <c r="CW42" s="28" t="str">
        <f>IF($G42="","",G42*(IF(ADRYr1!$AI42=CW$4,ADRYr1!$AJ42,IF(ADRYr1!$AK42=CW$4,ADRYr1!$AL42,IF(ADRYr1!$AM42=CW$4,ADRYr1!$AN42,0))))*(INDEX(avoidedcosttbl,$H42,CW$2)+(($H42-ROUNDDOWN($H42,0))*(INDEX(avoidedcosttbl,ROUNDUP($H42,0),CW$2)-(INDEX(avoidedcosttbl,ROUNDDOWN($H42,0),CW$2)))))*ADRYr1!$P42*ADRYr1!$Q42*ADRYr1!$U42)</f>
        <v/>
      </c>
      <c r="CX42" s="28" t="str">
        <f>IF($G42="","",G42*(IF(ADRYr1!$AI42=CX$4,ADRYr1!$AJ42,IF(ADRYr1!$AK42=CX$4,ADRYr1!$AL42,IF(ADRYr1!$AM42=CX$4,ADRYr1!$AN42,0))))*(INDEX(avoidedcosttbl,$H42,CX$2)+(($H42-ROUNDDOWN($H42,0))*(INDEX(avoidedcosttbl,ROUNDUP($H42,0),CX$2)-(INDEX(avoidedcosttbl,ROUNDDOWN($H42,0),CX$2)))))*ADRYr1!$P42*ADRYr1!$Q42*ADRYr1!$U42)</f>
        <v/>
      </c>
      <c r="CY42" s="28" t="str">
        <f t="shared" si="13"/>
        <v/>
      </c>
      <c r="CZ42" s="32" t="str">
        <f t="shared" si="14"/>
        <v/>
      </c>
      <c r="DA42" s="84" t="str">
        <f t="shared" si="42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15"/>
        <v/>
      </c>
      <c r="DD42" s="166" t="str">
        <f t="shared" si="16"/>
        <v/>
      </c>
      <c r="DE42" s="82">
        <f t="shared" si="43"/>
        <v>0</v>
      </c>
      <c r="DF42" s="760" t="str">
        <f>IF($G42="","",(1+WntPeakEnergyLL)*(INDEX(avoidedcosttbl,$H42,DF$2)+(($H42-ROUNDDOWN($H42,0))*(INDEX(avoidedcosttbl,ROUNDUP($H42,0),DF$2)-(INDEX(avoidedcosttbl,ROUNDDOWN($H42,0),DF$2)))))*$P42*1000*ADRYr1!Z42)</f>
        <v/>
      </c>
      <c r="DG42" s="760" t="str">
        <f>IF($G42="","",(1+WntOffPeakEnergyLL)*(INDEX(avoidedcosttbl,$H42,DG$2)+(($H42-ROUNDDOWN($H42,0))*(INDEX(avoidedcosttbl,ROUNDUP($H42,0),DG$2)-(INDEX(avoidedcosttbl,ROUNDDOWN($H42,0),DG$2)))))*$P42*1000*ADRYr1!AA42)</f>
        <v/>
      </c>
      <c r="DH42" s="760" t="str">
        <f>IF($G42="","",(1+SumPeakEnergyLL)*(INDEX(avoidedcosttbl,$H42,DH$2)+(($H42-ROUNDDOWN($H42,0))*(INDEX(avoidedcosttbl,ROUNDUP($H42,0),DH$2)-(INDEX(avoidedcosttbl,ROUNDDOWN($H42,0),DH$2)))))*$P42*1000*ADRYr1!AB42)</f>
        <v/>
      </c>
      <c r="DI42" s="760" t="str">
        <f>IF($G42="","",(1+SumOffPeakEnergyLL)*(INDEX(avoidedcosttbl,$H42,DI$2)+(($H42-ROUNDDOWN($H42,0))*(INDEX(avoidedcosttbl,ROUNDUP($H42,0),DI$2)-(INDEX(avoidedcosttbl,ROUNDDOWN($H42,0),DI$2)))))*$P42*1000*ADRYr1!AC42)</f>
        <v/>
      </c>
      <c r="DJ42" s="29" t="str">
        <f t="shared" si="44"/>
        <v/>
      </c>
      <c r="DK42" s="161" t="str">
        <f t="shared" ref="DK42:DK50" si="51">IF($G42="","",DE42+DA42+BX42+DJ42)</f>
        <v/>
      </c>
      <c r="DL42" s="1375"/>
      <c r="DM42" s="1375" t="str">
        <f t="shared" si="47"/>
        <v/>
      </c>
      <c r="DO42" s="1131" t="str">
        <f>IF($G42="","",ADRYr1!AQ42)</f>
        <v/>
      </c>
      <c r="DP42" s="1133" t="str">
        <f>IF($G42="","",ADRYr1!AR42)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17"/>
        <v/>
      </c>
      <c r="DU42" s="1135" t="str">
        <f>IF($G42="","",ADRYr1!AS42)</f>
        <v/>
      </c>
      <c r="DV42" s="1136" t="str">
        <f>IF($G42="","",ADRYr1!AT42)</f>
        <v/>
      </c>
      <c r="DW42" s="1344" t="str">
        <f>IF($G42="","",INDEX(AvoidedEnergy!$H$4:$H$10,MATCH($DO42,AvoidedEnergy!$A$4:$A$10,0)))</f>
        <v/>
      </c>
    </row>
    <row r="43" spans="1:127">
      <c r="A43" s="160" t="str">
        <f>IF(ADRYr1!$B43=0,"",ADRYr1!A43)</f>
        <v/>
      </c>
      <c r="B43" s="9" t="str">
        <f>IF(ADRYr1!$B43=0,"",ADRYr1!B43)</f>
        <v/>
      </c>
      <c r="C43" s="9" t="str">
        <f>IF(ADRYr1!$B43=0,"",ADRYr1!C43)</f>
        <v/>
      </c>
      <c r="D43" s="9" t="str">
        <f>IF(ADRYr1!$B43=0,"",ADRYr1!D43)</f>
        <v/>
      </c>
      <c r="E43" s="9"/>
      <c r="F43" s="11" t="str">
        <f>IF(ADRYr1!$B43=0,"",ADRYr1!F43)</f>
        <v/>
      </c>
      <c r="G43" s="12" t="str">
        <f>IF(ADRYr1!$G43&lt;&gt;0,ADRYr1!G43,"")</f>
        <v/>
      </c>
      <c r="H43" s="1125" t="str">
        <f>IF($G43="","",ROUND(ADRYr1!H43,0))</f>
        <v/>
      </c>
      <c r="I43" s="47" t="str">
        <f>IF($G43="","",ADRYr1!I43*ADRYr1!P43*G43)</f>
        <v/>
      </c>
      <c r="J43" s="47" t="str">
        <f>IF($G43="","",ADRYr1!J43*G43)</f>
        <v/>
      </c>
      <c r="K43" s="47" t="str">
        <f t="shared" si="18"/>
        <v/>
      </c>
      <c r="L43" s="27" t="str">
        <f>IF($G43="","",ADRYr1!V43*G43/1000)</f>
        <v/>
      </c>
      <c r="M43" s="27" t="str">
        <f>IF($G43="","",L43*ADRYr1!$Q43*ADRYr1!$R43)</f>
        <v/>
      </c>
      <c r="N43" s="27" t="str">
        <f t="shared" si="19"/>
        <v/>
      </c>
      <c r="O43" s="27" t="str">
        <f t="shared" si="20"/>
        <v/>
      </c>
      <c r="P43" s="27" t="str">
        <f>IF($G43="","",M43*ADRYr1!P43)</f>
        <v/>
      </c>
      <c r="Q43" s="27" t="str">
        <f t="shared" si="21"/>
        <v/>
      </c>
      <c r="R43" s="27" t="str">
        <f>IF($G43="","",$Q43*ADRYr1!Z43)</f>
        <v/>
      </c>
      <c r="S43" s="27" t="str">
        <f>IF($G43="","",$Q43*ADRYr1!AA43)</f>
        <v/>
      </c>
      <c r="T43" s="27" t="str">
        <f>IF($G43="","",$Q43*ADRYr1!AB43)</f>
        <v/>
      </c>
      <c r="U43" s="27" t="str">
        <f>IF($G43="","",$Q43*ADRYr1!AC43)</f>
        <v/>
      </c>
      <c r="V43" s="27" t="str">
        <f>IF($G43="","",G43*ADRYr1!$AD43*ADRYr1!$P43*ADRYr1!$Q43)</f>
        <v/>
      </c>
      <c r="W43" s="27" t="str">
        <f>IF($G43="","",$G43*ADRYr1!$AD43*ADRYr1!$AF43*ADRYr1!Q43*ADRYr1!$S43)</f>
        <v/>
      </c>
      <c r="X43" s="27" t="str">
        <f>IF($G43="","",$G43*ADRYr1!$AD43*ADRYr1!$AF43*ADRYr1!P43*ADRYr1!Q43*ADRYr1!$S43)</f>
        <v/>
      </c>
      <c r="Y43" s="27" t="str">
        <f>IF($G43="","",$G43*ADRYr1!$AD43*ADRYr1!$AE43*ADRYr1!Q43*ADRYr1!$T43)</f>
        <v/>
      </c>
      <c r="Z43" s="27" t="str">
        <f>IF($G43="","",$G43*ADRYr1!$AD43*ADRYr1!$AE43*ADRYr1!P43*ADRYr1!Q43*ADRYr1!$T43)</f>
        <v/>
      </c>
      <c r="AA43" s="45" t="str">
        <f>IF($G43="","",$G43*ADRYr1!$Q43*ADRYr1!$U43*(IF(IFERROR(SEARCH("NG", ADRYr1!$AI43),0),ADRYr1!$AJ43,0)+IF(IFERROR(SEARCH("NG", ADRYr1!$AK43),0),ADRYr1!$AL43,0)+IF(IFERROR(SEARCH("NG", ADRYr1!$AM43),0),ADRYr1!$AN43,0)))</f>
        <v/>
      </c>
      <c r="AB43" s="45" t="str">
        <f t="shared" si="22"/>
        <v/>
      </c>
      <c r="AC43" s="45">
        <f>IF($G43="",0,AA43*ADRYr1!$P43)</f>
        <v>0</v>
      </c>
      <c r="AD43" s="45" t="str">
        <f t="shared" si="23"/>
        <v/>
      </c>
      <c r="AE43" s="45" t="str">
        <f>IF($G43="","",$G43*ADRYr1!$Q43*ADRYr1!$U43*(IF(IFERROR(SEARCH("Oil", ADRYr1!$AI43), 0),ADRYr1!$AJ43,0)+IF(IFERROR(SEARCH("Oil", ADRYr1!$AK43), 0),ADRYr1!$AL43,0)+IF(IFERROR(SEARCH("Oil", ADRYr1!$AM43), 0),ADRYr1!$AN43,0)))</f>
        <v/>
      </c>
      <c r="AF43" s="45" t="str">
        <f t="shared" si="24"/>
        <v/>
      </c>
      <c r="AG43" s="45">
        <f>IF($G43="",0,AE43*ADRYr1!$P43)</f>
        <v>0</v>
      </c>
      <c r="AH43" s="45" t="str">
        <f t="shared" si="25"/>
        <v/>
      </c>
      <c r="AI43" s="45" t="str">
        <f>IF($G43="","",$G43*ADRYr1!$Q43*ADRYr1!$U43*(IF(ADRYr1!$AI43=Lookups!$E$114,ADRYr1!$AJ43,IF(ADRYr1!$AK43=Lookups!$E$114,ADRYr1!$AL43,IF(ADRYr1!$AM43=Lookups!$E$114,ADRYr1!$AN43,0)))))</f>
        <v/>
      </c>
      <c r="AJ43" s="45" t="str">
        <f t="shared" si="26"/>
        <v/>
      </c>
      <c r="AK43" s="45">
        <f>IF($G43="",0,AI43*ADRYr1!$P43)</f>
        <v>0</v>
      </c>
      <c r="AL43" s="45" t="str">
        <f t="shared" si="27"/>
        <v/>
      </c>
      <c r="AM43" s="45" t="str">
        <f>IF($G43="","",$G43*ADRYr1!$Q43*ADRYr1!$U43*(IF(ADRYr1!$AI43=Lookups!$E$113,ADRYr1!$AJ43,IF(ADRYr1!$AK43=Lookups!$E$113,ADRYr1!$AL43,IF(ADRYr1!$AM43=Lookups!$E$113,ADRYr1!$AN43,0)))))</f>
        <v/>
      </c>
      <c r="AN43" s="45" t="str">
        <f t="shared" si="28"/>
        <v/>
      </c>
      <c r="AO43" s="45">
        <f>IF($G43="",0,AM43*ADRYr1!$P43)</f>
        <v>0</v>
      </c>
      <c r="AP43" s="45" t="str">
        <f t="shared" si="29"/>
        <v/>
      </c>
      <c r="AQ43" s="45" t="str">
        <f>IF($G43="","",$G43*ADRYr1!$Q43*ADRYr1!$U43*(IF(ADRYr1!$AI43=Lookups!$E$115,ADRYr1!$AJ43,IF(ADRYr1!$AK43=Lookups!$E$115,ADRYr1!$AL43,IF(ADRYr1!$AM43=Lookups!$E$115,ADRYr1!$AN43,0)))))</f>
        <v/>
      </c>
      <c r="AR43" s="45" t="str">
        <f t="shared" si="30"/>
        <v/>
      </c>
      <c r="AS43" s="45" t="str">
        <f>IF($G43="","",AQ43*ADRYr1!$P43)</f>
        <v/>
      </c>
      <c r="AT43" s="45" t="str">
        <f t="shared" si="31"/>
        <v/>
      </c>
      <c r="AU43" s="45" t="str">
        <f>IF($G43="","",$G43*ADRYr1!$Q43*ADRYr1!$U43*(IF(ADRYr1!$AI43=Lookups!$E$116,ADRYr1!$AJ43,IF(ADRYr1!$AK43=Lookups!$E$116,ADRYr1!$AL43,IF(ADRYr1!$AM43=Lookups!$E$116,ADRYr1!$AN43,0)))))</f>
        <v/>
      </c>
      <c r="AV43" s="45" t="str">
        <f t="shared" si="32"/>
        <v/>
      </c>
      <c r="AW43" s="45" t="str">
        <f>IF($G43="","",AU43*ADRYr1!$P43)</f>
        <v/>
      </c>
      <c r="AX43" s="45" t="str">
        <f t="shared" si="33"/>
        <v/>
      </c>
      <c r="AY43" s="45">
        <f t="shared" si="49"/>
        <v>0</v>
      </c>
      <c r="AZ43" s="45">
        <f t="shared" si="49"/>
        <v>0</v>
      </c>
      <c r="BA43" s="101" t="str">
        <f>IF($G43="","",$G43*ADRYr1!$P43*ADRYr1!$Q43*ADRYr1!$U43*ADRYr1!AO43)</f>
        <v/>
      </c>
      <c r="BB43" s="102" t="str">
        <f>IF($G43="","",$G43*ADRYr1!$P43*ADRYr1!$Q43*ADRYr1!$U43*ADRYr1!AP43)</f>
        <v/>
      </c>
      <c r="BC43" s="100" t="str">
        <f t="shared" si="35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5"/>
        <v/>
      </c>
      <c r="BO43" s="31" t="str">
        <f t="shared" si="36"/>
        <v/>
      </c>
      <c r="BP43" s="1129" t="str">
        <f t="shared" si="6"/>
        <v/>
      </c>
      <c r="BQ43" s="28" t="str">
        <f t="shared" si="7"/>
        <v/>
      </c>
      <c r="BR43" s="1129" t="str">
        <f t="shared" si="8"/>
        <v/>
      </c>
      <c r="BS43" s="1129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7"/>
        <v/>
      </c>
      <c r="BX43" s="29" t="str">
        <f t="shared" si="38"/>
        <v/>
      </c>
      <c r="BY43" s="28" t="str">
        <f>IF($G43="","",$G43*(IF(ADRYr1!$AI43=BY$4,ADRYr1!$AJ43,IF(ADRYr1!$AK43=BY$4,ADRYr1!$AL43,IF(ADRYr1!$AM43=BY$4,ADRYr1!$AN43,0))))*(INDEX(avoidedcosttbl,$H43,BY$2)+(($H43-ROUNDDOWN($H43,0))*(INDEX(avoidedcosttbl,ROUNDUP($H43,0),BY$2)-(INDEX(avoidedcosttbl,ROUNDDOWN($H43,0),BY$2)))))*ADRYr1!P43*ADRYr1!Q43*ADRYr1!U43)</f>
        <v/>
      </c>
      <c r="BZ43" s="28" t="str">
        <f>IF($G43="","",$G43*(IF(ADRYr1!$AI43=BZ$4,ADRYr1!$AJ43,IF(ADRYr1!$AK43=BZ$4,ADRYr1!$AL43,IF(ADRYr1!$AM43=BZ$4,ADRYr1!$AN43,0))))*(INDEX(avoidedcosttbl,$H43,BZ$2)+(($H43-ROUNDDOWN($H43,0))*(INDEX(avoidedcosttbl,ROUNDUP($H43,0),BZ$2)-(INDEX(avoidedcosttbl,ROUNDDOWN($H43,0),BZ$2)))))*ADRYr1!P43*ADRYr1!Q43*ADRYr1!U43)</f>
        <v/>
      </c>
      <c r="CA43" s="28" t="str">
        <f>IF($G43="","",$G43*(IF(ADRYr1!$AI43=CA$4,ADRYr1!$AJ43,IF(ADRYr1!$AK43=CA$4,ADRYr1!$AL43,IF(ADRYr1!$AM43=CA$4,ADRYr1!$AN43,0))))*(INDEX(avoidedcosttbl,$H43,CA$2)+(($H43-ROUNDDOWN($H43,0))*(INDEX(avoidedcosttbl,ROUNDUP($H43,0),CA$2)-(INDEX(avoidedcosttbl,ROUNDDOWN($H43,0),CA$2)))))*ADRYr1!P43*ADRYr1!Q43*ADRYr1!U43)</f>
        <v/>
      </c>
      <c r="CB43" s="28" t="str">
        <f>IF($G43="","",$G43*(IF(ADRYr1!$AI43=CB$4,ADRYr1!$AJ43,IF(ADRYr1!$AK43=CB$4,ADRYr1!$AL43,IF(ADRYr1!$AM43=CB$4,ADRYr1!$AN43,0))))*(INDEX(avoidedcosttbl,$H43,CB$2)+(($H43-ROUNDDOWN($H43,0))*(INDEX(avoidedcosttbl,ROUNDUP($H43,0),CB$2)-(INDEX(avoidedcosttbl,ROUNDDOWN($H43,0),CB$2)))))*ADRYr1!P43*ADRYr1!Q43*ADRYr1!U43)</f>
        <v/>
      </c>
      <c r="CC43" s="28" t="str">
        <f>IF($G43="","",$G43*(IF(ADRYr1!$AI43=CC$4,ADRYr1!$AJ43,IF(ADRYr1!$AK43=CC$4,ADRYr1!$AL43,IF(ADRYr1!$AM43=CC$4,ADRYr1!$AN43,0))))*(INDEX(avoidedcosttbl,$H43,CC$2)+(($H43-ROUNDDOWN($H43,0))*(INDEX(avoidedcosttbl,ROUNDUP($H43,0),CC$2)-(INDEX(avoidedcosttbl,ROUNDDOWN($H43,0),CC$2)))))*ADRYr1!P43*ADRYr1!Q43*ADRYr1!U43)</f>
        <v/>
      </c>
      <c r="CD43" s="28" t="str">
        <f>IF($G43="","",$G43*(IF(ADRYr1!$AI43=CD$4,ADRYr1!$AJ43,IF(ADRYr1!$AK43=CD$4,ADRYr1!$AL43,IF(ADRYr1!$AM43=CD$4,ADRYr1!$AN43,0))))*(INDEX(avoidedcosttbl,$H43,CD$2)+(($H43-ROUNDDOWN($H43,0))*(INDEX(avoidedcosttbl,ROUNDUP($H43,0),CD$2)-(INDEX(avoidedcosttbl,ROUNDDOWN($H43,0),CD$2)))))*ADRYr1!P43*ADRYr1!Q43*ADRYr1!U43)</f>
        <v/>
      </c>
      <c r="CE43" s="28" t="str">
        <f>IF($G43="","",$G43*(IF(ADRYr1!$AI43=CE$4,ADRYr1!$AJ43,IF(ADRYr1!$AK43=CE$4,ADRYr1!$AL43,IF(ADRYr1!$AM43=CE$4,ADRYr1!$AN43,0))))*(INDEX(avoidedcosttbl,$H43,CE$2)+(($H43-ROUNDDOWN($H43,0))*(INDEX(avoidedcosttbl,ROUNDUP($H43,0),CE$2)-(INDEX(avoidedcosttbl,ROUNDDOWN($H43,0),CE$2)))))*ADRYr1!P43*ADRYr1!Q43*ADRYr1!U43)</f>
        <v/>
      </c>
      <c r="CF43" s="41" t="str">
        <f t="shared" si="39"/>
        <v/>
      </c>
      <c r="CG43" s="30" t="str">
        <f t="shared" si="11"/>
        <v/>
      </c>
      <c r="CH43" s="30" t="str">
        <f>IF($G43="","",$G43*(IF(ADRYr1!$AI43=BY$4,ADRYr1!$AJ43,IF(ADRYr1!$AK43=BY$4,ADRYr1!$AL43,IF(ADRYr1!$AM43=BY$4,ADRYr1!$AN43,0))))*(INDEX(avoidedcosttbl,$H43,CH$2)+(($H43-ROUNDDOWN($H43,0))*(INDEX(avoidedcosttbl,ROUNDUP($H43,0),CH$2)-(INDEX(avoidedcosttbl,ROUNDDOWN($H43,0),CH$2)))))*ADRYr1!P43*ADRYr1!Q43*ADRYr1!U43)</f>
        <v/>
      </c>
      <c r="CI43" s="30" t="str">
        <f>IF($G43="","",$G43*(IF(ADRYr1!$AI43=BZ$4,ADRYr1!$AJ43,IF(ADRYr1!$AK43=BZ$4,ADRYr1!$AL43,IF(ADRYr1!$AM43=BZ$4,ADRYr1!$AN43,0))))*(INDEX(avoidedcosttbl,$H43,CI$2)+(($H43-ROUNDDOWN($H43,0))*(INDEX(avoidedcosttbl,ROUNDUP($H43,0),CI$2)-(INDEX(avoidedcosttbl,ROUNDDOWN($H43,0),CI$2)))))*ADRYr1!P43*ADRYr1!Q43*ADRYr1!U43)</f>
        <v/>
      </c>
      <c r="CJ43" s="30" t="str">
        <f>IF($G43="","",$G43*(IF(ADRYr1!$AI43=CA$4,ADRYr1!$AJ43,IF(ADRYr1!$AK43=CA$4,ADRYr1!$AL43,IF(ADRYr1!$AM43=CA$4,ADRYr1!$AN43,0))))*(INDEX(avoidedcosttbl,$H43,CJ$2)+(($H43-ROUNDDOWN($H43,0))*(INDEX(avoidedcosttbl,ROUNDUP($H43,0),CJ$2)-(INDEX(avoidedcosttbl,ROUNDDOWN($H43,0),CJ$2)))))*ADRYr1!P43*ADRYr1!Q43*ADRYr1!U43)</f>
        <v/>
      </c>
      <c r="CK43" s="30" t="str">
        <f>IF($G43="","",$G43*(IF(ADRYr1!$AI43=CB$4,ADRYr1!$AJ43,IF(ADRYr1!$AK43=CB$4,ADRYr1!$AL43,IF(ADRYr1!$AM43=CB$4,ADRYr1!$AN43,0))))*(INDEX(avoidedcosttbl,$H43,CK$2)+(($H43-ROUNDDOWN($H43,0))*(INDEX(avoidedcosttbl,ROUNDUP($H43,0),CK$2)-(INDEX(avoidedcosttbl,ROUNDDOWN($H43,0),CK$2)))))*ADRYr1!P43*ADRYr1!Q43*ADRYr1!U43)</f>
        <v/>
      </c>
      <c r="CL43" s="30" t="str">
        <f>IF($G43="","",$G43*(IF(ADRYr1!$AI43=CC$4,ADRYr1!$AJ43,IF(ADRYr1!$AK43=CC$4,ADRYr1!$AL43,IF(ADRYr1!$AM43=CC$4,ADRYr1!$AN43,0))))*(INDEX(avoidedcosttbl,$H43,CL$2)+(($H43-ROUNDDOWN($H43,0))*(INDEX(avoidedcosttbl,ROUNDUP($H43,0),CL$2)-(INDEX(avoidedcosttbl,ROUNDDOWN($H43,0),CL$2)))))*ADRYr1!P43*ADRYr1!Q43*ADRYr1!U43)</f>
        <v/>
      </c>
      <c r="CM43" s="30" t="str">
        <f>IF($G43="","",$G43*(IF(ADRYr1!$AI43=CD$4,ADRYr1!$AJ43,IF(ADRYr1!$AK43=CD$4,ADRYr1!$AL43,IF(ADRYr1!$AM43=CD$4,ADRYr1!$AN43,0))))*(INDEX(avoidedcosttbl,$H43,CM$2)+(($H43-ROUNDDOWN($H43,0))*(INDEX(avoidedcosttbl,ROUNDUP($H43,0),CM$2)-(INDEX(avoidedcosttbl,ROUNDDOWN($H43,0),CM$2)))))*ADRYr1!P43*ADRYr1!Q43*ADRYr1!U43)</f>
        <v/>
      </c>
      <c r="CN43" s="30" t="str">
        <f>IF($G43="","",$G43*(IF(ADRYr1!$AI43=CE$4,ADRYr1!$AJ43,IF(ADRYr1!$AK43=CE$4,ADRYr1!$AL43,IF(ADRYr1!$AM43=CE$4,ADRYr1!$AN43,0))))*(INDEX(avoidedcosttbl,$H43,CN$2)+(($H43-ROUNDDOWN($H43,0))*(INDEX(avoidedcosttbl,ROUNDUP($H43,0),CN$2)-(INDEX(avoidedcosttbl,ROUNDDOWN($H43,0),CN$2)))))*ADRYr1!P43*ADRYr1!Q43*ADRYr1!U43)</f>
        <v/>
      </c>
      <c r="CO43" s="220" t="str">
        <f t="shared" si="40"/>
        <v/>
      </c>
      <c r="CP43" s="220" t="str">
        <f t="shared" si="41"/>
        <v/>
      </c>
      <c r="CQ43" s="157" t="str">
        <f>IF($G43="","",$G43*(IF(ADRYr1!$AI43=CQ$4,ADRYr1!$AJ43,IF(ADRYr1!$AK43=CQ$4,ADRYr1!$AL43,IF(ADRYr1!$AM43=CQ$4,ADRYr1!$AN43,0))))*(INDEX(avoidedcosttbl,$H43,CQ$2)+(($H43-ROUNDDOWN($H43,0))*(INDEX(avoidedcosttbl,ROUNDUP($H43,0),CQ$2)-(INDEX(avoidedcosttbl,ROUNDDOWN($H43,0),CQ$2)))))*ADRYr1!$P43*ADRYr1!$Q43*ADRYr1!$U43)</f>
        <v/>
      </c>
      <c r="CR43" s="28" t="str">
        <f>IF($G43="","",G43*(IF(ADRYr1!$AI43=CR$4,ADRYr1!$AJ43,IF(ADRYr1!$AK43=CR$4,ADRYr1!$AL43,IF(ADRYr1!$AM43=CR$4,ADRYr1!$AN43,0))))*(INDEX(avoidedcosttbl,$H43,CR$2)+(($H43-ROUNDDOWN($H43,0))*(INDEX(avoidedcosttbl,ROUNDUP($H43,0),CR$2)-(INDEX(avoidedcosttbl,ROUNDDOWN($H43,0),CR$2)))))*ADRYr1!$P43*ADRYr1!$Q43*ADRYr1!$U43)</f>
        <v/>
      </c>
      <c r="CS43" s="28" t="str">
        <f>IF($G43="","",G43*(IF(ADRYr1!$AI43=CS$4,ADRYr1!$AJ43,IF(ADRYr1!$AK43=CS$4,ADRYr1!$AL43,IF(ADRYr1!$AM43=CS$4,ADRYr1!$AN43,0))))*(INDEX(avoidedcosttbl,$H43,CS$2)+(($H43-ROUNDDOWN($H43,0))*(INDEX(avoidedcosttbl,ROUNDUP($H43,0),CS$2)-(INDEX(avoidedcosttbl,ROUNDDOWN($H43,0),CS$2)))))*ADRYr1!$P43*ADRYr1!$Q43*ADRYr1!$U43)</f>
        <v/>
      </c>
      <c r="CT43" s="28" t="str">
        <f t="shared" si="12"/>
        <v/>
      </c>
      <c r="CU43" s="28" t="str">
        <f>IF($G43="","",G43*(IF(ADRYr1!$AI43=CU$4,ADRYr1!$AJ43,IF(ADRYr1!$AK43=CU$4,ADRYr1!$AL43,IF(ADRYr1!$AM43=CU$4,ADRYr1!$AN43,0))))*(INDEX(avoidedcosttbl,$H43,CU$2)+(($H43-ROUNDDOWN($H43,0))*(INDEX(avoidedcosttbl,ROUNDUP($H43,0),CU$2)-(INDEX(avoidedcosttbl,ROUNDDOWN($H43,0),CU$2)))))*ADRYr1!$P43*ADRYr1!$Q43*ADRYr1!$U43)</f>
        <v/>
      </c>
      <c r="CV43" s="28" t="str">
        <f>IF($G43="","",G43*(IF(ADRYr1!$AI43=CV$4,ADRYr1!$AJ43,IF(ADRYr1!$AK43=CV$4,ADRYr1!$AL43,IF(ADRYr1!$AM43=CV$4,ADRYr1!$AN43,0))))*(INDEX(avoidedcosttbl,$H43,CV$2)+(($H43-ROUNDDOWN($H43,0))*(INDEX(avoidedcosttbl,ROUNDUP($H43,0),CV$2)-(INDEX(avoidedcosttbl,ROUNDDOWN($H43,0),CV$2)))))*ADRYr1!$P43*ADRYr1!$Q43*ADRYr1!$U43)</f>
        <v/>
      </c>
      <c r="CW43" s="28" t="str">
        <f>IF($G43="","",G43*(IF(ADRYr1!$AI43=CW$4,ADRYr1!$AJ43,IF(ADRYr1!$AK43=CW$4,ADRYr1!$AL43,IF(ADRYr1!$AM43=CW$4,ADRYr1!$AN43,0))))*(INDEX(avoidedcosttbl,$H43,CW$2)+(($H43-ROUNDDOWN($H43,0))*(INDEX(avoidedcosttbl,ROUNDUP($H43,0),CW$2)-(INDEX(avoidedcosttbl,ROUNDDOWN($H43,0),CW$2)))))*ADRYr1!$P43*ADRYr1!$Q43*ADRYr1!$U43)</f>
        <v/>
      </c>
      <c r="CX43" s="28" t="str">
        <f>IF($G43="","",G43*(IF(ADRYr1!$AI43=CX$4,ADRYr1!$AJ43,IF(ADRYr1!$AK43=CX$4,ADRYr1!$AL43,IF(ADRYr1!$AM43=CX$4,ADRYr1!$AN43,0))))*(INDEX(avoidedcosttbl,$H43,CX$2)+(($H43-ROUNDDOWN($H43,0))*(INDEX(avoidedcosttbl,ROUNDUP($H43,0),CX$2)-(INDEX(avoidedcosttbl,ROUNDDOWN($H43,0),CX$2)))))*ADRYr1!$P43*ADRYr1!$Q43*ADRYr1!$U43)</f>
        <v/>
      </c>
      <c r="CY43" s="28" t="str">
        <f t="shared" si="13"/>
        <v/>
      </c>
      <c r="CZ43" s="32" t="str">
        <f t="shared" si="14"/>
        <v/>
      </c>
      <c r="DA43" s="84" t="str">
        <f t="shared" si="42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15"/>
        <v/>
      </c>
      <c r="DD43" s="166" t="str">
        <f t="shared" si="16"/>
        <v/>
      </c>
      <c r="DE43" s="82">
        <f t="shared" si="43"/>
        <v>0</v>
      </c>
      <c r="DF43" s="760" t="str">
        <f>IF($G43="","",(1+WntPeakEnergyLL)*(INDEX(avoidedcosttbl,$H43,DF$2)+(($H43-ROUNDDOWN($H43,0))*(INDEX(avoidedcosttbl,ROUNDUP($H43,0),DF$2)-(INDEX(avoidedcosttbl,ROUNDDOWN($H43,0),DF$2)))))*$P43*1000*ADRYr1!Z43)</f>
        <v/>
      </c>
      <c r="DG43" s="760" t="str">
        <f>IF($G43="","",(1+WntOffPeakEnergyLL)*(INDEX(avoidedcosttbl,$H43,DG$2)+(($H43-ROUNDDOWN($H43,0))*(INDEX(avoidedcosttbl,ROUNDUP($H43,0),DG$2)-(INDEX(avoidedcosttbl,ROUNDDOWN($H43,0),DG$2)))))*$P43*1000*ADRYr1!AA43)</f>
        <v/>
      </c>
      <c r="DH43" s="760" t="str">
        <f>IF($G43="","",(1+SumPeakEnergyLL)*(INDEX(avoidedcosttbl,$H43,DH$2)+(($H43-ROUNDDOWN($H43,0))*(INDEX(avoidedcosttbl,ROUNDUP($H43,0),DH$2)-(INDEX(avoidedcosttbl,ROUNDDOWN($H43,0),DH$2)))))*$P43*1000*ADRYr1!AB43)</f>
        <v/>
      </c>
      <c r="DI43" s="760" t="str">
        <f>IF($G43="","",(1+SumOffPeakEnergyLL)*(INDEX(avoidedcosttbl,$H43,DI$2)+(($H43-ROUNDDOWN($H43,0))*(INDEX(avoidedcosttbl,ROUNDUP($H43,0),DI$2)-(INDEX(avoidedcosttbl,ROUNDDOWN($H43,0),DI$2)))))*$P43*1000*ADRYr1!AC43)</f>
        <v/>
      </c>
      <c r="DJ43" s="29" t="str">
        <f t="shared" si="44"/>
        <v/>
      </c>
      <c r="DK43" s="161" t="str">
        <f t="shared" si="51"/>
        <v/>
      </c>
      <c r="DL43" s="1375"/>
      <c r="DM43" s="1375" t="str">
        <f t="shared" si="47"/>
        <v/>
      </c>
      <c r="DO43" s="1131" t="str">
        <f>IF($G43="","",ADRYr1!AQ43)</f>
        <v/>
      </c>
      <c r="DP43" s="1133" t="str">
        <f>IF($G43="","",ADRYr1!AR43)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17"/>
        <v/>
      </c>
      <c r="DU43" s="1135" t="str">
        <f>IF($G43="","",ADRYr1!AS43)</f>
        <v/>
      </c>
      <c r="DV43" s="1136" t="str">
        <f>IF($G43="","",ADRYr1!AT43)</f>
        <v/>
      </c>
      <c r="DW43" s="1344" t="str">
        <f>IF($G43="","",INDEX(AvoidedEnergy!$H$4:$H$10,MATCH($DO43,AvoidedEnergy!$A$4:$A$10,0)))</f>
        <v/>
      </c>
    </row>
    <row r="44" spans="1:127">
      <c r="A44" s="160" t="str">
        <f>IF(ADRYr1!$B44=0,"",ADRYr1!A44)</f>
        <v/>
      </c>
      <c r="B44" s="9" t="str">
        <f>IF(ADRYr1!$B44=0,"",ADRYr1!B44)</f>
        <v/>
      </c>
      <c r="C44" s="9" t="str">
        <f>IF(ADRYr1!$B44=0,"",ADRYr1!C44)</f>
        <v/>
      </c>
      <c r="D44" s="9" t="str">
        <f>IF(ADRYr1!$B44=0,"",ADRYr1!D44)</f>
        <v/>
      </c>
      <c r="E44" s="9"/>
      <c r="F44" s="11" t="str">
        <f>IF(ADRYr1!$B44=0,"",ADRYr1!F44)</f>
        <v/>
      </c>
      <c r="G44" s="12" t="str">
        <f>IF(ADRYr1!$G44&lt;&gt;0,ADRYr1!G44,"")</f>
        <v/>
      </c>
      <c r="H44" s="1125" t="str">
        <f>IF($G44="","",ROUND(ADRYr1!H44,0))</f>
        <v/>
      </c>
      <c r="I44" s="47" t="str">
        <f>IF($G44="","",ADRYr1!I44*ADRYr1!P44*G44)</f>
        <v/>
      </c>
      <c r="J44" s="47" t="str">
        <f>IF($G44="","",ADRYr1!J44*G44)</f>
        <v/>
      </c>
      <c r="K44" s="47" t="str">
        <f t="shared" si="18"/>
        <v/>
      </c>
      <c r="L44" s="27" t="str">
        <f>IF($G44="","",ADRYr1!V44*G44/1000)</f>
        <v/>
      </c>
      <c r="M44" s="27" t="str">
        <f>IF($G44="","",L44*ADRYr1!$Q44*ADRYr1!$R44)</f>
        <v/>
      </c>
      <c r="N44" s="27" t="str">
        <f t="shared" si="19"/>
        <v/>
      </c>
      <c r="O44" s="27" t="str">
        <f t="shared" si="20"/>
        <v/>
      </c>
      <c r="P44" s="27" t="str">
        <f>IF($G44="","",M44*ADRYr1!P44)</f>
        <v/>
      </c>
      <c r="Q44" s="27" t="str">
        <f t="shared" si="21"/>
        <v/>
      </c>
      <c r="R44" s="27" t="str">
        <f>IF($G44="","",$Q44*ADRYr1!Z44)</f>
        <v/>
      </c>
      <c r="S44" s="27" t="str">
        <f>IF($G44="","",$Q44*ADRYr1!AA44)</f>
        <v/>
      </c>
      <c r="T44" s="27" t="str">
        <f>IF($G44="","",$Q44*ADRYr1!AB44)</f>
        <v/>
      </c>
      <c r="U44" s="27" t="str">
        <f>IF($G44="","",$Q44*ADRYr1!AC44)</f>
        <v/>
      </c>
      <c r="V44" s="27" t="str">
        <f>IF($G44="","",G44*ADRYr1!$AD44*ADRYr1!$P44*ADRYr1!$Q44)</f>
        <v/>
      </c>
      <c r="W44" s="27" t="str">
        <f>IF($G44="","",$G44*ADRYr1!$AD44*ADRYr1!$AF44*ADRYr1!Q44*ADRYr1!$S44)</f>
        <v/>
      </c>
      <c r="X44" s="27" t="str">
        <f>IF($G44="","",$G44*ADRYr1!$AD44*ADRYr1!$AF44*ADRYr1!P44*ADRYr1!Q44*ADRYr1!$S44)</f>
        <v/>
      </c>
      <c r="Y44" s="27" t="str">
        <f>IF($G44="","",$G44*ADRYr1!$AD44*ADRYr1!$AE44*ADRYr1!Q44*ADRYr1!$T44)</f>
        <v/>
      </c>
      <c r="Z44" s="27" t="str">
        <f>IF($G44="","",$G44*ADRYr1!$AD44*ADRYr1!$AE44*ADRYr1!P44*ADRYr1!Q44*ADRYr1!$T44)</f>
        <v/>
      </c>
      <c r="AA44" s="45" t="str">
        <f>IF($G44="","",$G44*ADRYr1!$Q44*ADRYr1!$U44*(IF(IFERROR(SEARCH("NG", ADRYr1!$AI44),0),ADRYr1!$AJ44,0)+IF(IFERROR(SEARCH("NG", ADRYr1!$AK44),0),ADRYr1!$AL44,0)+IF(IFERROR(SEARCH("NG", ADRYr1!$AM44),0),ADRYr1!$AN44,0)))</f>
        <v/>
      </c>
      <c r="AB44" s="45" t="str">
        <f t="shared" si="22"/>
        <v/>
      </c>
      <c r="AC44" s="45">
        <f>IF($G44="",0,AA44*ADRYr1!$P44)</f>
        <v>0</v>
      </c>
      <c r="AD44" s="45" t="str">
        <f t="shared" si="23"/>
        <v/>
      </c>
      <c r="AE44" s="45" t="str">
        <f>IF($G44="","",$G44*ADRYr1!$Q44*ADRYr1!$U44*(IF(IFERROR(SEARCH("Oil", ADRYr1!$AI44), 0),ADRYr1!$AJ44,0)+IF(IFERROR(SEARCH("Oil", ADRYr1!$AK44), 0),ADRYr1!$AL44,0)+IF(IFERROR(SEARCH("Oil", ADRYr1!$AM44), 0),ADRYr1!$AN44,0)))</f>
        <v/>
      </c>
      <c r="AF44" s="45" t="str">
        <f t="shared" si="24"/>
        <v/>
      </c>
      <c r="AG44" s="45">
        <f>IF($G44="",0,AE44*ADRYr1!$P44)</f>
        <v>0</v>
      </c>
      <c r="AH44" s="45" t="str">
        <f t="shared" si="25"/>
        <v/>
      </c>
      <c r="AI44" s="45" t="str">
        <f>IF($G44="","",$G44*ADRYr1!$Q44*ADRYr1!$U44*(IF(ADRYr1!$AI44=Lookups!$E$114,ADRYr1!$AJ44,IF(ADRYr1!$AK44=Lookups!$E$114,ADRYr1!$AL44,IF(ADRYr1!$AM44=Lookups!$E$114,ADRYr1!$AN44,0)))))</f>
        <v/>
      </c>
      <c r="AJ44" s="45" t="str">
        <f t="shared" si="26"/>
        <v/>
      </c>
      <c r="AK44" s="45">
        <f>IF($G44="",0,AI44*ADRYr1!$P44)</f>
        <v>0</v>
      </c>
      <c r="AL44" s="45" t="str">
        <f t="shared" si="27"/>
        <v/>
      </c>
      <c r="AM44" s="45" t="str">
        <f>IF($G44="","",$G44*ADRYr1!$Q44*ADRYr1!$U44*(IF(ADRYr1!$AI44=Lookups!$E$113,ADRYr1!$AJ44,IF(ADRYr1!$AK44=Lookups!$E$113,ADRYr1!$AL44,IF(ADRYr1!$AM44=Lookups!$E$113,ADRYr1!$AN44,0)))))</f>
        <v/>
      </c>
      <c r="AN44" s="45" t="str">
        <f t="shared" si="28"/>
        <v/>
      </c>
      <c r="AO44" s="45">
        <f>IF($G44="",0,AM44*ADRYr1!$P44)</f>
        <v>0</v>
      </c>
      <c r="AP44" s="45" t="str">
        <f t="shared" si="29"/>
        <v/>
      </c>
      <c r="AQ44" s="45" t="str">
        <f>IF($G44="","",$G44*ADRYr1!$Q44*ADRYr1!$U44*(IF(ADRYr1!$AI44=Lookups!$E$115,ADRYr1!$AJ44,IF(ADRYr1!$AK44=Lookups!$E$115,ADRYr1!$AL44,IF(ADRYr1!$AM44=Lookups!$E$115,ADRYr1!$AN44,0)))))</f>
        <v/>
      </c>
      <c r="AR44" s="45" t="str">
        <f t="shared" si="30"/>
        <v/>
      </c>
      <c r="AS44" s="45" t="str">
        <f>IF($G44="","",AQ44*ADRYr1!$P44)</f>
        <v/>
      </c>
      <c r="AT44" s="45" t="str">
        <f t="shared" si="31"/>
        <v/>
      </c>
      <c r="AU44" s="45" t="str">
        <f>IF($G44="","",$G44*ADRYr1!$Q44*ADRYr1!$U44*(IF(ADRYr1!$AI44=Lookups!$E$116,ADRYr1!$AJ44,IF(ADRYr1!$AK44=Lookups!$E$116,ADRYr1!$AL44,IF(ADRYr1!$AM44=Lookups!$E$116,ADRYr1!$AN44,0)))))</f>
        <v/>
      </c>
      <c r="AV44" s="45" t="str">
        <f t="shared" si="32"/>
        <v/>
      </c>
      <c r="AW44" s="45" t="str">
        <f>IF($G44="","",AU44*ADRYr1!$P44)</f>
        <v/>
      </c>
      <c r="AX44" s="45" t="str">
        <f t="shared" si="33"/>
        <v/>
      </c>
      <c r="AY44" s="45">
        <f t="shared" si="49"/>
        <v>0</v>
      </c>
      <c r="AZ44" s="45">
        <f t="shared" si="49"/>
        <v>0</v>
      </c>
      <c r="BA44" s="101" t="str">
        <f>IF($G44="","",$G44*ADRYr1!$P44*ADRYr1!$Q44*ADRYr1!$U44*ADRYr1!AO44)</f>
        <v/>
      </c>
      <c r="BB44" s="102" t="str">
        <f>IF($G44="","",$G44*ADRYr1!$P44*ADRYr1!$Q44*ADRYr1!$U44*ADRYr1!AP44)</f>
        <v/>
      </c>
      <c r="BC44" s="100" t="str">
        <f t="shared" si="35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5"/>
        <v/>
      </c>
      <c r="BO44" s="31" t="str">
        <f t="shared" si="36"/>
        <v/>
      </c>
      <c r="BP44" s="1129" t="str">
        <f t="shared" si="6"/>
        <v/>
      </c>
      <c r="BQ44" s="28" t="str">
        <f t="shared" si="7"/>
        <v/>
      </c>
      <c r="BR44" s="1129" t="str">
        <f t="shared" si="8"/>
        <v/>
      </c>
      <c r="BS44" s="1129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7"/>
        <v/>
      </c>
      <c r="BX44" s="29" t="str">
        <f t="shared" si="38"/>
        <v/>
      </c>
      <c r="BY44" s="28" t="str">
        <f>IF($G44="","",$G44*(IF(ADRYr1!$AI44=BY$4,ADRYr1!$AJ44,IF(ADRYr1!$AK44=BY$4,ADRYr1!$AL44,IF(ADRYr1!$AM44=BY$4,ADRYr1!$AN44,0))))*(INDEX(avoidedcosttbl,$H44,BY$2)+(($H44-ROUNDDOWN($H44,0))*(INDEX(avoidedcosttbl,ROUNDUP($H44,0),BY$2)-(INDEX(avoidedcosttbl,ROUNDDOWN($H44,0),BY$2)))))*ADRYr1!P44*ADRYr1!Q44*ADRYr1!U44)</f>
        <v/>
      </c>
      <c r="BZ44" s="28" t="str">
        <f>IF($G44="","",$G44*(IF(ADRYr1!$AI44=BZ$4,ADRYr1!$AJ44,IF(ADRYr1!$AK44=BZ$4,ADRYr1!$AL44,IF(ADRYr1!$AM44=BZ$4,ADRYr1!$AN44,0))))*(INDEX(avoidedcosttbl,$H44,BZ$2)+(($H44-ROUNDDOWN($H44,0))*(INDEX(avoidedcosttbl,ROUNDUP($H44,0),BZ$2)-(INDEX(avoidedcosttbl,ROUNDDOWN($H44,0),BZ$2)))))*ADRYr1!P44*ADRYr1!Q44*ADRYr1!U44)</f>
        <v/>
      </c>
      <c r="CA44" s="28" t="str">
        <f>IF($G44="","",$G44*(IF(ADRYr1!$AI44=CA$4,ADRYr1!$AJ44,IF(ADRYr1!$AK44=CA$4,ADRYr1!$AL44,IF(ADRYr1!$AM44=CA$4,ADRYr1!$AN44,0))))*(INDEX(avoidedcosttbl,$H44,CA$2)+(($H44-ROUNDDOWN($H44,0))*(INDEX(avoidedcosttbl,ROUNDUP($H44,0),CA$2)-(INDEX(avoidedcosttbl,ROUNDDOWN($H44,0),CA$2)))))*ADRYr1!P44*ADRYr1!Q44*ADRYr1!U44)</f>
        <v/>
      </c>
      <c r="CB44" s="28" t="str">
        <f>IF($G44="","",$G44*(IF(ADRYr1!$AI44=CB$4,ADRYr1!$AJ44,IF(ADRYr1!$AK44=CB$4,ADRYr1!$AL44,IF(ADRYr1!$AM44=CB$4,ADRYr1!$AN44,0))))*(INDEX(avoidedcosttbl,$H44,CB$2)+(($H44-ROUNDDOWN($H44,0))*(INDEX(avoidedcosttbl,ROUNDUP($H44,0),CB$2)-(INDEX(avoidedcosttbl,ROUNDDOWN($H44,0),CB$2)))))*ADRYr1!P44*ADRYr1!Q44*ADRYr1!U44)</f>
        <v/>
      </c>
      <c r="CC44" s="28" t="str">
        <f>IF($G44="","",$G44*(IF(ADRYr1!$AI44=CC$4,ADRYr1!$AJ44,IF(ADRYr1!$AK44=CC$4,ADRYr1!$AL44,IF(ADRYr1!$AM44=CC$4,ADRYr1!$AN44,0))))*(INDEX(avoidedcosttbl,$H44,CC$2)+(($H44-ROUNDDOWN($H44,0))*(INDEX(avoidedcosttbl,ROUNDUP($H44,0),CC$2)-(INDEX(avoidedcosttbl,ROUNDDOWN($H44,0),CC$2)))))*ADRYr1!P44*ADRYr1!Q44*ADRYr1!U44)</f>
        <v/>
      </c>
      <c r="CD44" s="28" t="str">
        <f>IF($G44="","",$G44*(IF(ADRYr1!$AI44=CD$4,ADRYr1!$AJ44,IF(ADRYr1!$AK44=CD$4,ADRYr1!$AL44,IF(ADRYr1!$AM44=CD$4,ADRYr1!$AN44,0))))*(INDEX(avoidedcosttbl,$H44,CD$2)+(($H44-ROUNDDOWN($H44,0))*(INDEX(avoidedcosttbl,ROUNDUP($H44,0),CD$2)-(INDEX(avoidedcosttbl,ROUNDDOWN($H44,0),CD$2)))))*ADRYr1!P44*ADRYr1!Q44*ADRYr1!U44)</f>
        <v/>
      </c>
      <c r="CE44" s="28" t="str">
        <f>IF($G44="","",$G44*(IF(ADRYr1!$AI44=CE$4,ADRYr1!$AJ44,IF(ADRYr1!$AK44=CE$4,ADRYr1!$AL44,IF(ADRYr1!$AM44=CE$4,ADRYr1!$AN44,0))))*(INDEX(avoidedcosttbl,$H44,CE$2)+(($H44-ROUNDDOWN($H44,0))*(INDEX(avoidedcosttbl,ROUNDUP($H44,0),CE$2)-(INDEX(avoidedcosttbl,ROUNDDOWN($H44,0),CE$2)))))*ADRYr1!P44*ADRYr1!Q44*ADRYr1!U44)</f>
        <v/>
      </c>
      <c r="CF44" s="41" t="str">
        <f t="shared" si="39"/>
        <v/>
      </c>
      <c r="CG44" s="30" t="str">
        <f t="shared" si="11"/>
        <v/>
      </c>
      <c r="CH44" s="30" t="str">
        <f>IF($G44="","",$G44*(IF(ADRYr1!$AI44=BY$4,ADRYr1!$AJ44,IF(ADRYr1!$AK44=BY$4,ADRYr1!$AL44,IF(ADRYr1!$AM44=BY$4,ADRYr1!$AN44,0))))*(INDEX(avoidedcosttbl,$H44,CH$2)+(($H44-ROUNDDOWN($H44,0))*(INDEX(avoidedcosttbl,ROUNDUP($H44,0),CH$2)-(INDEX(avoidedcosttbl,ROUNDDOWN($H44,0),CH$2)))))*ADRYr1!P44*ADRYr1!Q44*ADRYr1!U44)</f>
        <v/>
      </c>
      <c r="CI44" s="30" t="str">
        <f>IF($G44="","",$G44*(IF(ADRYr1!$AI44=BZ$4,ADRYr1!$AJ44,IF(ADRYr1!$AK44=BZ$4,ADRYr1!$AL44,IF(ADRYr1!$AM44=BZ$4,ADRYr1!$AN44,0))))*(INDEX(avoidedcosttbl,$H44,CI$2)+(($H44-ROUNDDOWN($H44,0))*(INDEX(avoidedcosttbl,ROUNDUP($H44,0),CI$2)-(INDEX(avoidedcosttbl,ROUNDDOWN($H44,0),CI$2)))))*ADRYr1!P44*ADRYr1!Q44*ADRYr1!U44)</f>
        <v/>
      </c>
      <c r="CJ44" s="30" t="str">
        <f>IF($G44="","",$G44*(IF(ADRYr1!$AI44=CA$4,ADRYr1!$AJ44,IF(ADRYr1!$AK44=CA$4,ADRYr1!$AL44,IF(ADRYr1!$AM44=CA$4,ADRYr1!$AN44,0))))*(INDEX(avoidedcosttbl,$H44,CJ$2)+(($H44-ROUNDDOWN($H44,0))*(INDEX(avoidedcosttbl,ROUNDUP($H44,0),CJ$2)-(INDEX(avoidedcosttbl,ROUNDDOWN($H44,0),CJ$2)))))*ADRYr1!P44*ADRYr1!Q44*ADRYr1!U44)</f>
        <v/>
      </c>
      <c r="CK44" s="30" t="str">
        <f>IF($G44="","",$G44*(IF(ADRYr1!$AI44=CB$4,ADRYr1!$AJ44,IF(ADRYr1!$AK44=CB$4,ADRYr1!$AL44,IF(ADRYr1!$AM44=CB$4,ADRYr1!$AN44,0))))*(INDEX(avoidedcosttbl,$H44,CK$2)+(($H44-ROUNDDOWN($H44,0))*(INDEX(avoidedcosttbl,ROUNDUP($H44,0),CK$2)-(INDEX(avoidedcosttbl,ROUNDDOWN($H44,0),CK$2)))))*ADRYr1!P44*ADRYr1!Q44*ADRYr1!U44)</f>
        <v/>
      </c>
      <c r="CL44" s="30" t="str">
        <f>IF($G44="","",$G44*(IF(ADRYr1!$AI44=CC$4,ADRYr1!$AJ44,IF(ADRYr1!$AK44=CC$4,ADRYr1!$AL44,IF(ADRYr1!$AM44=CC$4,ADRYr1!$AN44,0))))*(INDEX(avoidedcosttbl,$H44,CL$2)+(($H44-ROUNDDOWN($H44,0))*(INDEX(avoidedcosttbl,ROUNDUP($H44,0),CL$2)-(INDEX(avoidedcosttbl,ROUNDDOWN($H44,0),CL$2)))))*ADRYr1!P44*ADRYr1!Q44*ADRYr1!U44)</f>
        <v/>
      </c>
      <c r="CM44" s="30" t="str">
        <f>IF($G44="","",$G44*(IF(ADRYr1!$AI44=CD$4,ADRYr1!$AJ44,IF(ADRYr1!$AK44=CD$4,ADRYr1!$AL44,IF(ADRYr1!$AM44=CD$4,ADRYr1!$AN44,0))))*(INDEX(avoidedcosttbl,$H44,CM$2)+(($H44-ROUNDDOWN($H44,0))*(INDEX(avoidedcosttbl,ROUNDUP($H44,0),CM$2)-(INDEX(avoidedcosttbl,ROUNDDOWN($H44,0),CM$2)))))*ADRYr1!P44*ADRYr1!Q44*ADRYr1!U44)</f>
        <v/>
      </c>
      <c r="CN44" s="30" t="str">
        <f>IF($G44="","",$G44*(IF(ADRYr1!$AI44=CE$4,ADRYr1!$AJ44,IF(ADRYr1!$AK44=CE$4,ADRYr1!$AL44,IF(ADRYr1!$AM44=CE$4,ADRYr1!$AN44,0))))*(INDEX(avoidedcosttbl,$H44,CN$2)+(($H44-ROUNDDOWN($H44,0))*(INDEX(avoidedcosttbl,ROUNDUP($H44,0),CN$2)-(INDEX(avoidedcosttbl,ROUNDDOWN($H44,0),CN$2)))))*ADRYr1!P44*ADRYr1!Q44*ADRYr1!U44)</f>
        <v/>
      </c>
      <c r="CO44" s="220" t="str">
        <f t="shared" si="40"/>
        <v/>
      </c>
      <c r="CP44" s="220" t="str">
        <f t="shared" si="41"/>
        <v/>
      </c>
      <c r="CQ44" s="157" t="str">
        <f>IF($G44="","",$G44*(IF(ADRYr1!$AI44=CQ$4,ADRYr1!$AJ44,IF(ADRYr1!$AK44=CQ$4,ADRYr1!$AL44,IF(ADRYr1!$AM44=CQ$4,ADRYr1!$AN44,0))))*(INDEX(avoidedcosttbl,$H44,CQ$2)+(($H44-ROUNDDOWN($H44,0))*(INDEX(avoidedcosttbl,ROUNDUP($H44,0),CQ$2)-(INDEX(avoidedcosttbl,ROUNDDOWN($H44,0),CQ$2)))))*ADRYr1!$P44*ADRYr1!$Q44*ADRYr1!$U44)</f>
        <v/>
      </c>
      <c r="CR44" s="28" t="str">
        <f>IF($G44="","",G44*(IF(ADRYr1!$AI44=CR$4,ADRYr1!$AJ44,IF(ADRYr1!$AK44=CR$4,ADRYr1!$AL44,IF(ADRYr1!$AM44=CR$4,ADRYr1!$AN44,0))))*(INDEX(avoidedcosttbl,$H44,CR$2)+(($H44-ROUNDDOWN($H44,0))*(INDEX(avoidedcosttbl,ROUNDUP($H44,0),CR$2)-(INDEX(avoidedcosttbl,ROUNDDOWN($H44,0),CR$2)))))*ADRYr1!$P44*ADRYr1!$Q44*ADRYr1!$U44)</f>
        <v/>
      </c>
      <c r="CS44" s="28" t="str">
        <f>IF($G44="","",G44*(IF(ADRYr1!$AI44=CS$4,ADRYr1!$AJ44,IF(ADRYr1!$AK44=CS$4,ADRYr1!$AL44,IF(ADRYr1!$AM44=CS$4,ADRYr1!$AN44,0))))*(INDEX(avoidedcosttbl,$H44,CS$2)+(($H44-ROUNDDOWN($H44,0))*(INDEX(avoidedcosttbl,ROUNDUP($H44,0),CS$2)-(INDEX(avoidedcosttbl,ROUNDDOWN($H44,0),CS$2)))))*ADRYr1!$P44*ADRYr1!$Q44*ADRYr1!$U44)</f>
        <v/>
      </c>
      <c r="CT44" s="28" t="str">
        <f t="shared" si="12"/>
        <v/>
      </c>
      <c r="CU44" s="28" t="str">
        <f>IF($G44="","",G44*(IF(ADRYr1!$AI44=CU$4,ADRYr1!$AJ44,IF(ADRYr1!$AK44=CU$4,ADRYr1!$AL44,IF(ADRYr1!$AM44=CU$4,ADRYr1!$AN44,0))))*(INDEX(avoidedcosttbl,$H44,CU$2)+(($H44-ROUNDDOWN($H44,0))*(INDEX(avoidedcosttbl,ROUNDUP($H44,0),CU$2)-(INDEX(avoidedcosttbl,ROUNDDOWN($H44,0),CU$2)))))*ADRYr1!$P44*ADRYr1!$Q44*ADRYr1!$U44)</f>
        <v/>
      </c>
      <c r="CV44" s="28" t="str">
        <f>IF($G44="","",G44*(IF(ADRYr1!$AI44=CV$4,ADRYr1!$AJ44,IF(ADRYr1!$AK44=CV$4,ADRYr1!$AL44,IF(ADRYr1!$AM44=CV$4,ADRYr1!$AN44,0))))*(INDEX(avoidedcosttbl,$H44,CV$2)+(($H44-ROUNDDOWN($H44,0))*(INDEX(avoidedcosttbl,ROUNDUP($H44,0),CV$2)-(INDEX(avoidedcosttbl,ROUNDDOWN($H44,0),CV$2)))))*ADRYr1!$P44*ADRYr1!$Q44*ADRYr1!$U44)</f>
        <v/>
      </c>
      <c r="CW44" s="28" t="str">
        <f>IF($G44="","",G44*(IF(ADRYr1!$AI44=CW$4,ADRYr1!$AJ44,IF(ADRYr1!$AK44=CW$4,ADRYr1!$AL44,IF(ADRYr1!$AM44=CW$4,ADRYr1!$AN44,0))))*(INDEX(avoidedcosttbl,$H44,CW$2)+(($H44-ROUNDDOWN($H44,0))*(INDEX(avoidedcosttbl,ROUNDUP($H44,0),CW$2)-(INDEX(avoidedcosttbl,ROUNDDOWN($H44,0),CW$2)))))*ADRYr1!$P44*ADRYr1!$Q44*ADRYr1!$U44)</f>
        <v/>
      </c>
      <c r="CX44" s="28" t="str">
        <f>IF($G44="","",G44*(IF(ADRYr1!$AI44=CX$4,ADRYr1!$AJ44,IF(ADRYr1!$AK44=CX$4,ADRYr1!$AL44,IF(ADRYr1!$AM44=CX$4,ADRYr1!$AN44,0))))*(INDEX(avoidedcosttbl,$H44,CX$2)+(($H44-ROUNDDOWN($H44,0))*(INDEX(avoidedcosttbl,ROUNDUP($H44,0),CX$2)-(INDEX(avoidedcosttbl,ROUNDDOWN($H44,0),CX$2)))))*ADRYr1!$P44*ADRYr1!$Q44*ADRYr1!$U44)</f>
        <v/>
      </c>
      <c r="CY44" s="28" t="str">
        <f t="shared" si="13"/>
        <v/>
      </c>
      <c r="CZ44" s="32" t="str">
        <f t="shared" si="14"/>
        <v/>
      </c>
      <c r="DA44" s="84" t="str">
        <f t="shared" si="42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15"/>
        <v/>
      </c>
      <c r="DD44" s="166" t="str">
        <f t="shared" si="16"/>
        <v/>
      </c>
      <c r="DE44" s="82">
        <f t="shared" si="43"/>
        <v>0</v>
      </c>
      <c r="DF44" s="760" t="str">
        <f>IF($G44="","",(1+WntPeakEnergyLL)*(INDEX(avoidedcosttbl,$H44,DF$2)+(($H44-ROUNDDOWN($H44,0))*(INDEX(avoidedcosttbl,ROUNDUP($H44,0),DF$2)-(INDEX(avoidedcosttbl,ROUNDDOWN($H44,0),DF$2)))))*$P44*1000*ADRYr1!Z44)</f>
        <v/>
      </c>
      <c r="DG44" s="760" t="str">
        <f>IF($G44="","",(1+WntOffPeakEnergyLL)*(INDEX(avoidedcosttbl,$H44,DG$2)+(($H44-ROUNDDOWN($H44,0))*(INDEX(avoidedcosttbl,ROUNDUP($H44,0),DG$2)-(INDEX(avoidedcosttbl,ROUNDDOWN($H44,0),DG$2)))))*$P44*1000*ADRYr1!AA44)</f>
        <v/>
      </c>
      <c r="DH44" s="760" t="str">
        <f>IF($G44="","",(1+SumPeakEnergyLL)*(INDEX(avoidedcosttbl,$H44,DH$2)+(($H44-ROUNDDOWN($H44,0))*(INDEX(avoidedcosttbl,ROUNDUP($H44,0),DH$2)-(INDEX(avoidedcosttbl,ROUNDDOWN($H44,0),DH$2)))))*$P44*1000*ADRYr1!AB44)</f>
        <v/>
      </c>
      <c r="DI44" s="760" t="str">
        <f>IF($G44="","",(1+SumOffPeakEnergyLL)*(INDEX(avoidedcosttbl,$H44,DI$2)+(($H44-ROUNDDOWN($H44,0))*(INDEX(avoidedcosttbl,ROUNDUP($H44,0),DI$2)-(INDEX(avoidedcosttbl,ROUNDDOWN($H44,0),DI$2)))))*$P44*1000*ADRYr1!AC44)</f>
        <v/>
      </c>
      <c r="DJ44" s="29" t="str">
        <f t="shared" si="44"/>
        <v/>
      </c>
      <c r="DK44" s="161" t="str">
        <f t="shared" si="51"/>
        <v/>
      </c>
      <c r="DL44" s="1375"/>
      <c r="DM44" s="1375" t="str">
        <f t="shared" si="47"/>
        <v/>
      </c>
      <c r="DO44" s="1131" t="str">
        <f>IF($G44="","",ADRYr1!AQ44)</f>
        <v/>
      </c>
      <c r="DP44" s="1133" t="str">
        <f>IF($G44="","",ADRYr1!AR44)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17"/>
        <v/>
      </c>
      <c r="DU44" s="1135" t="str">
        <f>IF($G44="","",ADRYr1!AS44)</f>
        <v/>
      </c>
      <c r="DV44" s="1136" t="str">
        <f>IF($G44="","",ADRYr1!AT44)</f>
        <v/>
      </c>
      <c r="DW44" s="1344" t="str">
        <f>IF($G44="","",INDEX(AvoidedEnergy!$H$4:$H$10,MATCH($DO44,AvoidedEnergy!$A$4:$A$10,0)))</f>
        <v/>
      </c>
    </row>
    <row r="45" spans="1:127">
      <c r="A45" s="160" t="str">
        <f>IF(ADRYr1!$B45=0,"",ADRYr1!A45)</f>
        <v/>
      </c>
      <c r="B45" s="9" t="str">
        <f>IF(ADRYr1!$B45=0,"",ADRYr1!B45)</f>
        <v/>
      </c>
      <c r="C45" s="9" t="str">
        <f>IF(ADRYr1!$B45=0,"",ADRYr1!C45)</f>
        <v/>
      </c>
      <c r="D45" s="9" t="str">
        <f>IF(ADRYr1!$B45=0,"",ADRYr1!D45)</f>
        <v/>
      </c>
      <c r="E45" s="9"/>
      <c r="F45" s="11" t="str">
        <f>IF(ADRYr1!$B45=0,"",ADRYr1!F45)</f>
        <v/>
      </c>
      <c r="G45" s="12" t="str">
        <f>IF(ADRYr1!$G45&lt;&gt;0,ADRYr1!G45,"")</f>
        <v/>
      </c>
      <c r="H45" s="1125" t="str">
        <f>IF($G45="","",ROUND(ADRYr1!H45,0))</f>
        <v/>
      </c>
      <c r="I45" s="47" t="str">
        <f>IF($G45="","",ADRYr1!I45*ADRYr1!P45*G45)</f>
        <v/>
      </c>
      <c r="J45" s="47" t="str">
        <f>IF($G45="","",ADRYr1!J45*G45)</f>
        <v/>
      </c>
      <c r="K45" s="47" t="str">
        <f t="shared" si="18"/>
        <v/>
      </c>
      <c r="L45" s="27" t="str">
        <f>IF($G45="","",ADRYr1!V45*G45/1000)</f>
        <v/>
      </c>
      <c r="M45" s="27" t="str">
        <f>IF($G45="","",L45*ADRYr1!$Q45*ADRYr1!$R45)</f>
        <v/>
      </c>
      <c r="N45" s="27" t="str">
        <f t="shared" si="19"/>
        <v/>
      </c>
      <c r="O45" s="27" t="str">
        <f t="shared" si="20"/>
        <v/>
      </c>
      <c r="P45" s="27" t="str">
        <f>IF($G45="","",M45*ADRYr1!P45)</f>
        <v/>
      </c>
      <c r="Q45" s="27" t="str">
        <f t="shared" si="21"/>
        <v/>
      </c>
      <c r="R45" s="27" t="str">
        <f>IF($G45="","",$Q45*ADRYr1!Z45)</f>
        <v/>
      </c>
      <c r="S45" s="27" t="str">
        <f>IF($G45="","",$Q45*ADRYr1!AA45)</f>
        <v/>
      </c>
      <c r="T45" s="27" t="str">
        <f>IF($G45="","",$Q45*ADRYr1!AB45)</f>
        <v/>
      </c>
      <c r="U45" s="27" t="str">
        <f>IF($G45="","",$Q45*ADRYr1!AC45)</f>
        <v/>
      </c>
      <c r="V45" s="27" t="str">
        <f>IF($G45="","",G45*ADRYr1!$AD45*ADRYr1!$P45*ADRYr1!$Q45)</f>
        <v/>
      </c>
      <c r="W45" s="27" t="str">
        <f>IF($G45="","",$G45*ADRYr1!$AD45*ADRYr1!$AF45*ADRYr1!Q45*ADRYr1!$S45)</f>
        <v/>
      </c>
      <c r="X45" s="27" t="str">
        <f>IF($G45="","",$G45*ADRYr1!$AD45*ADRYr1!$AF45*ADRYr1!P45*ADRYr1!Q45*ADRYr1!$S45)</f>
        <v/>
      </c>
      <c r="Y45" s="27" t="str">
        <f>IF($G45="","",$G45*ADRYr1!$AD45*ADRYr1!$AE45*ADRYr1!Q45*ADRYr1!$T45)</f>
        <v/>
      </c>
      <c r="Z45" s="27" t="str">
        <f>IF($G45="","",$G45*ADRYr1!$AD45*ADRYr1!$AE45*ADRYr1!P45*ADRYr1!Q45*ADRYr1!$T45)</f>
        <v/>
      </c>
      <c r="AA45" s="45" t="str">
        <f>IF($G45="","",$G45*ADRYr1!$Q45*ADRYr1!$U45*(IF(IFERROR(SEARCH("NG", ADRYr1!$AI45),0),ADRYr1!$AJ45,0)+IF(IFERROR(SEARCH("NG", ADRYr1!$AK45),0),ADRYr1!$AL45,0)+IF(IFERROR(SEARCH("NG", ADRYr1!$AM45),0),ADRYr1!$AN45,0)))</f>
        <v/>
      </c>
      <c r="AB45" s="45" t="str">
        <f t="shared" si="22"/>
        <v/>
      </c>
      <c r="AC45" s="45">
        <f>IF($G45="",0,AA45*ADRYr1!$P45)</f>
        <v>0</v>
      </c>
      <c r="AD45" s="45" t="str">
        <f t="shared" si="23"/>
        <v/>
      </c>
      <c r="AE45" s="45" t="str">
        <f>IF($G45="","",$G45*ADRYr1!$Q45*ADRYr1!$U45*(IF(IFERROR(SEARCH("Oil", ADRYr1!$AI45), 0),ADRYr1!$AJ45,0)+IF(IFERROR(SEARCH("Oil", ADRYr1!$AK45), 0),ADRYr1!$AL45,0)+IF(IFERROR(SEARCH("Oil", ADRYr1!$AM45), 0),ADRYr1!$AN45,0)))</f>
        <v/>
      </c>
      <c r="AF45" s="45" t="str">
        <f t="shared" si="24"/>
        <v/>
      </c>
      <c r="AG45" s="45">
        <f>IF($G45="",0,AE45*ADRYr1!$P45)</f>
        <v>0</v>
      </c>
      <c r="AH45" s="45" t="str">
        <f t="shared" si="25"/>
        <v/>
      </c>
      <c r="AI45" s="45" t="str">
        <f>IF($G45="","",$G45*ADRYr1!$Q45*ADRYr1!$U45*(IF(ADRYr1!$AI45=Lookups!$E$114,ADRYr1!$AJ45,IF(ADRYr1!$AK45=Lookups!$E$114,ADRYr1!$AL45,IF(ADRYr1!$AM45=Lookups!$E$114,ADRYr1!$AN45,0)))))</f>
        <v/>
      </c>
      <c r="AJ45" s="45" t="str">
        <f t="shared" si="26"/>
        <v/>
      </c>
      <c r="AK45" s="45">
        <f>IF($G45="",0,AI45*ADRYr1!$P45)</f>
        <v>0</v>
      </c>
      <c r="AL45" s="45" t="str">
        <f t="shared" si="27"/>
        <v/>
      </c>
      <c r="AM45" s="45" t="str">
        <f>IF($G45="","",$G45*ADRYr1!$Q45*ADRYr1!$U45*(IF(ADRYr1!$AI45=Lookups!$E$113,ADRYr1!$AJ45,IF(ADRYr1!$AK45=Lookups!$E$113,ADRYr1!$AL45,IF(ADRYr1!$AM45=Lookups!$E$113,ADRYr1!$AN45,0)))))</f>
        <v/>
      </c>
      <c r="AN45" s="45" t="str">
        <f t="shared" si="28"/>
        <v/>
      </c>
      <c r="AO45" s="45">
        <f>IF($G45="",0,AM45*ADRYr1!$P45)</f>
        <v>0</v>
      </c>
      <c r="AP45" s="45" t="str">
        <f t="shared" si="29"/>
        <v/>
      </c>
      <c r="AQ45" s="45" t="str">
        <f>IF($G45="","",$G45*ADRYr1!$Q45*ADRYr1!$U45*(IF(ADRYr1!$AI45=Lookups!$E$115,ADRYr1!$AJ45,IF(ADRYr1!$AK45=Lookups!$E$115,ADRYr1!$AL45,IF(ADRYr1!$AM45=Lookups!$E$115,ADRYr1!$AN45,0)))))</f>
        <v/>
      </c>
      <c r="AR45" s="45" t="str">
        <f t="shared" si="30"/>
        <v/>
      </c>
      <c r="AS45" s="45" t="str">
        <f>IF($G45="","",AQ45*ADRYr1!$P45)</f>
        <v/>
      </c>
      <c r="AT45" s="45" t="str">
        <f t="shared" si="31"/>
        <v/>
      </c>
      <c r="AU45" s="45" t="str">
        <f>IF($G45="","",$G45*ADRYr1!$Q45*ADRYr1!$U45*(IF(ADRYr1!$AI45=Lookups!$E$116,ADRYr1!$AJ45,IF(ADRYr1!$AK45=Lookups!$E$116,ADRYr1!$AL45,IF(ADRYr1!$AM45=Lookups!$E$116,ADRYr1!$AN45,0)))))</f>
        <v/>
      </c>
      <c r="AV45" s="45" t="str">
        <f t="shared" si="32"/>
        <v/>
      </c>
      <c r="AW45" s="45" t="str">
        <f>IF($G45="","",AU45*ADRYr1!$P45)</f>
        <v/>
      </c>
      <c r="AX45" s="45" t="str">
        <f t="shared" si="33"/>
        <v/>
      </c>
      <c r="AY45" s="45">
        <f t="shared" si="49"/>
        <v>0</v>
      </c>
      <c r="AZ45" s="45">
        <f t="shared" si="49"/>
        <v>0</v>
      </c>
      <c r="BA45" s="101" t="str">
        <f>IF($G45="","",$G45*ADRYr1!$P45*ADRYr1!$Q45*ADRYr1!$U45*ADRYr1!AO45)</f>
        <v/>
      </c>
      <c r="BB45" s="102" t="str">
        <f>IF($G45="","",$G45*ADRYr1!$P45*ADRYr1!$Q45*ADRYr1!$U45*ADRYr1!AP45)</f>
        <v/>
      </c>
      <c r="BC45" s="100" t="str">
        <f t="shared" si="35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5"/>
        <v/>
      </c>
      <c r="BO45" s="31" t="str">
        <f t="shared" si="36"/>
        <v/>
      </c>
      <c r="BP45" s="1129" t="str">
        <f t="shared" si="6"/>
        <v/>
      </c>
      <c r="BQ45" s="28" t="str">
        <f t="shared" si="7"/>
        <v/>
      </c>
      <c r="BR45" s="1129" t="str">
        <f t="shared" si="8"/>
        <v/>
      </c>
      <c r="BS45" s="1129" t="str">
        <f t="shared" si="9"/>
        <v/>
      </c>
      <c r="BT45" s="28" t="str">
        <f t="shared" ref="BT45:BV50" si="52">IF($G45="","",(INDEX(avoidedcosttbl,$H45,BT$2)+(($H45-ROUNDDOWN($H45,0))*(INDEX(avoidedcosttbl,ROUNDUP($H45,0),BT$2)-(INDEX(avoidedcosttbl,ROUNDDOWN($H45,0),BT$2)))))*$Z45)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7"/>
        <v/>
      </c>
      <c r="BX45" s="29" t="str">
        <f t="shared" si="38"/>
        <v/>
      </c>
      <c r="BY45" s="28" t="str">
        <f>IF($G45="","",$G45*(IF(ADRYr1!$AI45=BY$4,ADRYr1!$AJ45,IF(ADRYr1!$AK45=BY$4,ADRYr1!$AL45,IF(ADRYr1!$AM45=BY$4,ADRYr1!$AN45,0))))*(INDEX(avoidedcosttbl,$H45,BY$2)+(($H45-ROUNDDOWN($H45,0))*(INDEX(avoidedcosttbl,ROUNDUP($H45,0),BY$2)-(INDEX(avoidedcosttbl,ROUNDDOWN($H45,0),BY$2)))))*ADRYr1!P45*ADRYr1!Q45*ADRYr1!U45)</f>
        <v/>
      </c>
      <c r="BZ45" s="28" t="str">
        <f>IF($G45="","",$G45*(IF(ADRYr1!$AI45=BZ$4,ADRYr1!$AJ45,IF(ADRYr1!$AK45=BZ$4,ADRYr1!$AL45,IF(ADRYr1!$AM45=BZ$4,ADRYr1!$AN45,0))))*(INDEX(avoidedcosttbl,$H45,BZ$2)+(($H45-ROUNDDOWN($H45,0))*(INDEX(avoidedcosttbl,ROUNDUP($H45,0),BZ$2)-(INDEX(avoidedcosttbl,ROUNDDOWN($H45,0),BZ$2)))))*ADRYr1!P45*ADRYr1!Q45*ADRYr1!U45)</f>
        <v/>
      </c>
      <c r="CA45" s="28" t="str">
        <f>IF($G45="","",$G45*(IF(ADRYr1!$AI45=CA$4,ADRYr1!$AJ45,IF(ADRYr1!$AK45=CA$4,ADRYr1!$AL45,IF(ADRYr1!$AM45=CA$4,ADRYr1!$AN45,0))))*(INDEX(avoidedcosttbl,$H45,CA$2)+(($H45-ROUNDDOWN($H45,0))*(INDEX(avoidedcosttbl,ROUNDUP($H45,0),CA$2)-(INDEX(avoidedcosttbl,ROUNDDOWN($H45,0),CA$2)))))*ADRYr1!P45*ADRYr1!Q45*ADRYr1!U45)</f>
        <v/>
      </c>
      <c r="CB45" s="28" t="str">
        <f>IF($G45="","",$G45*(IF(ADRYr1!$AI45=CB$4,ADRYr1!$AJ45,IF(ADRYr1!$AK45=CB$4,ADRYr1!$AL45,IF(ADRYr1!$AM45=CB$4,ADRYr1!$AN45,0))))*(INDEX(avoidedcosttbl,$H45,CB$2)+(($H45-ROUNDDOWN($H45,0))*(INDEX(avoidedcosttbl,ROUNDUP($H45,0),CB$2)-(INDEX(avoidedcosttbl,ROUNDDOWN($H45,0),CB$2)))))*ADRYr1!P45*ADRYr1!Q45*ADRYr1!U45)</f>
        <v/>
      </c>
      <c r="CC45" s="28" t="str">
        <f>IF($G45="","",$G45*(IF(ADRYr1!$AI45=CC$4,ADRYr1!$AJ45,IF(ADRYr1!$AK45=CC$4,ADRYr1!$AL45,IF(ADRYr1!$AM45=CC$4,ADRYr1!$AN45,0))))*(INDEX(avoidedcosttbl,$H45,CC$2)+(($H45-ROUNDDOWN($H45,0))*(INDEX(avoidedcosttbl,ROUNDUP($H45,0),CC$2)-(INDEX(avoidedcosttbl,ROUNDDOWN($H45,0),CC$2)))))*ADRYr1!P45*ADRYr1!Q45*ADRYr1!U45)</f>
        <v/>
      </c>
      <c r="CD45" s="28" t="str">
        <f>IF($G45="","",$G45*(IF(ADRYr1!$AI45=CD$4,ADRYr1!$AJ45,IF(ADRYr1!$AK45=CD$4,ADRYr1!$AL45,IF(ADRYr1!$AM45=CD$4,ADRYr1!$AN45,0))))*(INDEX(avoidedcosttbl,$H45,CD$2)+(($H45-ROUNDDOWN($H45,0))*(INDEX(avoidedcosttbl,ROUNDUP($H45,0),CD$2)-(INDEX(avoidedcosttbl,ROUNDDOWN($H45,0),CD$2)))))*ADRYr1!P45*ADRYr1!Q45*ADRYr1!U45)</f>
        <v/>
      </c>
      <c r="CE45" s="28" t="str">
        <f>IF($G45="","",$G45*(IF(ADRYr1!$AI45=CE$4,ADRYr1!$AJ45,IF(ADRYr1!$AK45=CE$4,ADRYr1!$AL45,IF(ADRYr1!$AM45=CE$4,ADRYr1!$AN45,0))))*(INDEX(avoidedcosttbl,$H45,CE$2)+(($H45-ROUNDDOWN($H45,0))*(INDEX(avoidedcosttbl,ROUNDUP($H45,0),CE$2)-(INDEX(avoidedcosttbl,ROUNDDOWN($H45,0),CE$2)))))*ADRYr1!P45*ADRYr1!Q45*ADRYr1!U45)</f>
        <v/>
      </c>
      <c r="CF45" s="41" t="str">
        <f t="shared" si="39"/>
        <v/>
      </c>
      <c r="CG45" s="30" t="str">
        <f t="shared" si="11"/>
        <v/>
      </c>
      <c r="CH45" s="30" t="str">
        <f>IF($G45="","",$G45*(IF(ADRYr1!$AI45=BY$4,ADRYr1!$AJ45,IF(ADRYr1!$AK45=BY$4,ADRYr1!$AL45,IF(ADRYr1!$AM45=BY$4,ADRYr1!$AN45,0))))*(INDEX(avoidedcosttbl,$H45,CH$2)+(($H45-ROUNDDOWN($H45,0))*(INDEX(avoidedcosttbl,ROUNDUP($H45,0),CH$2)-(INDEX(avoidedcosttbl,ROUNDDOWN($H45,0),CH$2)))))*ADRYr1!P45*ADRYr1!Q45*ADRYr1!U45)</f>
        <v/>
      </c>
      <c r="CI45" s="30" t="str">
        <f>IF($G45="","",$G45*(IF(ADRYr1!$AI45=BZ$4,ADRYr1!$AJ45,IF(ADRYr1!$AK45=BZ$4,ADRYr1!$AL45,IF(ADRYr1!$AM45=BZ$4,ADRYr1!$AN45,0))))*(INDEX(avoidedcosttbl,$H45,CI$2)+(($H45-ROUNDDOWN($H45,0))*(INDEX(avoidedcosttbl,ROUNDUP($H45,0),CI$2)-(INDEX(avoidedcosttbl,ROUNDDOWN($H45,0),CI$2)))))*ADRYr1!P45*ADRYr1!Q45*ADRYr1!U45)</f>
        <v/>
      </c>
      <c r="CJ45" s="30" t="str">
        <f>IF($G45="","",$G45*(IF(ADRYr1!$AI45=CA$4,ADRYr1!$AJ45,IF(ADRYr1!$AK45=CA$4,ADRYr1!$AL45,IF(ADRYr1!$AM45=CA$4,ADRYr1!$AN45,0))))*(INDEX(avoidedcosttbl,$H45,CJ$2)+(($H45-ROUNDDOWN($H45,0))*(INDEX(avoidedcosttbl,ROUNDUP($H45,0),CJ$2)-(INDEX(avoidedcosttbl,ROUNDDOWN($H45,0),CJ$2)))))*ADRYr1!P45*ADRYr1!Q45*ADRYr1!U45)</f>
        <v/>
      </c>
      <c r="CK45" s="30" t="str">
        <f>IF($G45="","",$G45*(IF(ADRYr1!$AI45=CB$4,ADRYr1!$AJ45,IF(ADRYr1!$AK45=CB$4,ADRYr1!$AL45,IF(ADRYr1!$AM45=CB$4,ADRYr1!$AN45,0))))*(INDEX(avoidedcosttbl,$H45,CK$2)+(($H45-ROUNDDOWN($H45,0))*(INDEX(avoidedcosttbl,ROUNDUP($H45,0),CK$2)-(INDEX(avoidedcosttbl,ROUNDDOWN($H45,0),CK$2)))))*ADRYr1!P45*ADRYr1!Q45*ADRYr1!U45)</f>
        <v/>
      </c>
      <c r="CL45" s="30" t="str">
        <f>IF($G45="","",$G45*(IF(ADRYr1!$AI45=CC$4,ADRYr1!$AJ45,IF(ADRYr1!$AK45=CC$4,ADRYr1!$AL45,IF(ADRYr1!$AM45=CC$4,ADRYr1!$AN45,0))))*(INDEX(avoidedcosttbl,$H45,CL$2)+(($H45-ROUNDDOWN($H45,0))*(INDEX(avoidedcosttbl,ROUNDUP($H45,0),CL$2)-(INDEX(avoidedcosttbl,ROUNDDOWN($H45,0),CL$2)))))*ADRYr1!P45*ADRYr1!Q45*ADRYr1!U45)</f>
        <v/>
      </c>
      <c r="CM45" s="30" t="str">
        <f>IF($G45="","",$G45*(IF(ADRYr1!$AI45=CD$4,ADRYr1!$AJ45,IF(ADRYr1!$AK45=CD$4,ADRYr1!$AL45,IF(ADRYr1!$AM45=CD$4,ADRYr1!$AN45,0))))*(INDEX(avoidedcosttbl,$H45,CM$2)+(($H45-ROUNDDOWN($H45,0))*(INDEX(avoidedcosttbl,ROUNDUP($H45,0),CM$2)-(INDEX(avoidedcosttbl,ROUNDDOWN($H45,0),CM$2)))))*ADRYr1!P45*ADRYr1!Q45*ADRYr1!U45)</f>
        <v/>
      </c>
      <c r="CN45" s="30" t="str">
        <f>IF($G45="","",$G45*(IF(ADRYr1!$AI45=CE$4,ADRYr1!$AJ45,IF(ADRYr1!$AK45=CE$4,ADRYr1!$AL45,IF(ADRYr1!$AM45=CE$4,ADRYr1!$AN45,0))))*(INDEX(avoidedcosttbl,$H45,CN$2)+(($H45-ROUNDDOWN($H45,0))*(INDEX(avoidedcosttbl,ROUNDUP($H45,0),CN$2)-(INDEX(avoidedcosttbl,ROUNDDOWN($H45,0),CN$2)))))*ADRYr1!P45*ADRYr1!Q45*ADRYr1!U45)</f>
        <v/>
      </c>
      <c r="CO45" s="220" t="str">
        <f t="shared" si="40"/>
        <v/>
      </c>
      <c r="CP45" s="220" t="str">
        <f t="shared" si="41"/>
        <v/>
      </c>
      <c r="CQ45" s="157" t="str">
        <f>IF($G45="","",$G45*(IF(ADRYr1!$AI45=CQ$4,ADRYr1!$AJ45,IF(ADRYr1!$AK45=CQ$4,ADRYr1!$AL45,IF(ADRYr1!$AM45=CQ$4,ADRYr1!$AN45,0))))*(INDEX(avoidedcosttbl,$H45,CQ$2)+(($H45-ROUNDDOWN($H45,0))*(INDEX(avoidedcosttbl,ROUNDUP($H45,0),CQ$2)-(INDEX(avoidedcosttbl,ROUNDDOWN($H45,0),CQ$2)))))*ADRYr1!$P45*ADRYr1!$Q45*ADRYr1!$U45)</f>
        <v/>
      </c>
      <c r="CR45" s="28" t="str">
        <f>IF($G45="","",G45*(IF(ADRYr1!$AI45=CR$4,ADRYr1!$AJ45,IF(ADRYr1!$AK45=CR$4,ADRYr1!$AL45,IF(ADRYr1!$AM45=CR$4,ADRYr1!$AN45,0))))*(INDEX(avoidedcosttbl,$H45,CR$2)+(($H45-ROUNDDOWN($H45,0))*(INDEX(avoidedcosttbl,ROUNDUP($H45,0),CR$2)-(INDEX(avoidedcosttbl,ROUNDDOWN($H45,0),CR$2)))))*ADRYr1!$P45*ADRYr1!$Q45*ADRYr1!$U45)</f>
        <v/>
      </c>
      <c r="CS45" s="28" t="str">
        <f>IF($G45="","",G45*(IF(ADRYr1!$AI45=CS$4,ADRYr1!$AJ45,IF(ADRYr1!$AK45=CS$4,ADRYr1!$AL45,IF(ADRYr1!$AM45=CS$4,ADRYr1!$AN45,0))))*(INDEX(avoidedcosttbl,$H45,CS$2)+(($H45-ROUNDDOWN($H45,0))*(INDEX(avoidedcosttbl,ROUNDUP($H45,0),CS$2)-(INDEX(avoidedcosttbl,ROUNDDOWN($H45,0),CS$2)))))*ADRYr1!$P45*ADRYr1!$Q45*ADRYr1!$U45)</f>
        <v/>
      </c>
      <c r="CT45" s="28" t="str">
        <f t="shared" si="12"/>
        <v/>
      </c>
      <c r="CU45" s="28" t="str">
        <f>IF($G45="","",G45*(IF(ADRYr1!$AI45=CU$4,ADRYr1!$AJ45,IF(ADRYr1!$AK45=CU$4,ADRYr1!$AL45,IF(ADRYr1!$AM45=CU$4,ADRYr1!$AN45,0))))*(INDEX(avoidedcosttbl,$H45,CU$2)+(($H45-ROUNDDOWN($H45,0))*(INDEX(avoidedcosttbl,ROUNDUP($H45,0),CU$2)-(INDEX(avoidedcosttbl,ROUNDDOWN($H45,0),CU$2)))))*ADRYr1!$P45*ADRYr1!$Q45*ADRYr1!$U45)</f>
        <v/>
      </c>
      <c r="CV45" s="28" t="str">
        <f>IF($G45="","",G45*(IF(ADRYr1!$AI45=CV$4,ADRYr1!$AJ45,IF(ADRYr1!$AK45=CV$4,ADRYr1!$AL45,IF(ADRYr1!$AM45=CV$4,ADRYr1!$AN45,0))))*(INDEX(avoidedcosttbl,$H45,CV$2)+(($H45-ROUNDDOWN($H45,0))*(INDEX(avoidedcosttbl,ROUNDUP($H45,0),CV$2)-(INDEX(avoidedcosttbl,ROUNDDOWN($H45,0),CV$2)))))*ADRYr1!$P45*ADRYr1!$Q45*ADRYr1!$U45)</f>
        <v/>
      </c>
      <c r="CW45" s="28" t="str">
        <f>IF($G45="","",G45*(IF(ADRYr1!$AI45=CW$4,ADRYr1!$AJ45,IF(ADRYr1!$AK45=CW$4,ADRYr1!$AL45,IF(ADRYr1!$AM45=CW$4,ADRYr1!$AN45,0))))*(INDEX(avoidedcosttbl,$H45,CW$2)+(($H45-ROUNDDOWN($H45,0))*(INDEX(avoidedcosttbl,ROUNDUP($H45,0),CW$2)-(INDEX(avoidedcosttbl,ROUNDDOWN($H45,0),CW$2)))))*ADRYr1!$P45*ADRYr1!$Q45*ADRYr1!$U45)</f>
        <v/>
      </c>
      <c r="CX45" s="28" t="str">
        <f>IF($G45="","",G45*(IF(ADRYr1!$AI45=CX$4,ADRYr1!$AJ45,IF(ADRYr1!$AK45=CX$4,ADRYr1!$AL45,IF(ADRYr1!$AM45=CX$4,ADRYr1!$AN45,0))))*(INDEX(avoidedcosttbl,$H45,CX$2)+(($H45-ROUNDDOWN($H45,0))*(INDEX(avoidedcosttbl,ROUNDUP($H45,0),CX$2)-(INDEX(avoidedcosttbl,ROUNDDOWN($H45,0),CX$2)))))*ADRYr1!$P45*ADRYr1!$Q45*ADRYr1!$U45)</f>
        <v/>
      </c>
      <c r="CY45" s="28" t="str">
        <f t="shared" si="13"/>
        <v/>
      </c>
      <c r="CZ45" s="32" t="str">
        <f t="shared" si="14"/>
        <v/>
      </c>
      <c r="DA45" s="84" t="str">
        <f t="shared" si="42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15"/>
        <v/>
      </c>
      <c r="DD45" s="166" t="str">
        <f t="shared" si="16"/>
        <v/>
      </c>
      <c r="DE45" s="82">
        <f t="shared" si="43"/>
        <v>0</v>
      </c>
      <c r="DF45" s="760" t="str">
        <f>IF($G45="","",(1+WntPeakEnergyLL)*(INDEX(avoidedcosttbl,$H45,DF$2)+(($H45-ROUNDDOWN($H45,0))*(INDEX(avoidedcosttbl,ROUNDUP($H45,0),DF$2)-(INDEX(avoidedcosttbl,ROUNDDOWN($H45,0),DF$2)))))*$P45*1000*ADRYr1!Z45)</f>
        <v/>
      </c>
      <c r="DG45" s="760" t="str">
        <f>IF($G45="","",(1+WntOffPeakEnergyLL)*(INDEX(avoidedcosttbl,$H45,DG$2)+(($H45-ROUNDDOWN($H45,0))*(INDEX(avoidedcosttbl,ROUNDUP($H45,0),DG$2)-(INDEX(avoidedcosttbl,ROUNDDOWN($H45,0),DG$2)))))*$P45*1000*ADRYr1!AA45)</f>
        <v/>
      </c>
      <c r="DH45" s="760" t="str">
        <f>IF($G45="","",(1+SumPeakEnergyLL)*(INDEX(avoidedcosttbl,$H45,DH$2)+(($H45-ROUNDDOWN($H45,0))*(INDEX(avoidedcosttbl,ROUNDUP($H45,0),DH$2)-(INDEX(avoidedcosttbl,ROUNDDOWN($H45,0),DH$2)))))*$P45*1000*ADRYr1!AB45)</f>
        <v/>
      </c>
      <c r="DI45" s="760" t="str">
        <f>IF($G45="","",(1+SumOffPeakEnergyLL)*(INDEX(avoidedcosttbl,$H45,DI$2)+(($H45-ROUNDDOWN($H45,0))*(INDEX(avoidedcosttbl,ROUNDUP($H45,0),DI$2)-(INDEX(avoidedcosttbl,ROUNDDOWN($H45,0),DI$2)))))*$P45*1000*ADRYr1!AC45)</f>
        <v/>
      </c>
      <c r="DJ45" s="29" t="str">
        <f t="shared" si="44"/>
        <v/>
      </c>
      <c r="DK45" s="161" t="str">
        <f t="shared" si="51"/>
        <v/>
      </c>
      <c r="DL45" s="1375"/>
      <c r="DM45" s="1375" t="str">
        <f t="shared" si="47"/>
        <v/>
      </c>
      <c r="DO45" s="1131" t="str">
        <f>IF($G45="","",ADRYr1!AQ45)</f>
        <v/>
      </c>
      <c r="DP45" s="1133" t="str">
        <f>IF($G45="","",ADRYr1!AR45)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17"/>
        <v/>
      </c>
      <c r="DU45" s="1135" t="str">
        <f>IF($G45="","",ADRYr1!AS45)</f>
        <v/>
      </c>
      <c r="DV45" s="1136" t="str">
        <f>IF($G45="","",ADRYr1!AT45)</f>
        <v/>
      </c>
      <c r="DW45" s="1344" t="str">
        <f>IF($G45="","",INDEX(AvoidedEnergy!$H$4:$H$10,MATCH($DO45,AvoidedEnergy!$A$4:$A$10,0)))</f>
        <v/>
      </c>
    </row>
    <row r="46" spans="1:127">
      <c r="A46" s="160" t="str">
        <f>IF(ADRYr1!$B46=0,"",ADRYr1!A46)</f>
        <v/>
      </c>
      <c r="B46" s="9" t="str">
        <f>IF(ADRYr1!$B46=0,"",ADRYr1!B46)</f>
        <v/>
      </c>
      <c r="C46" s="9" t="str">
        <f>IF(ADRYr1!$B46=0,"",ADRYr1!C46)</f>
        <v/>
      </c>
      <c r="D46" s="9" t="str">
        <f>IF(ADRYr1!$B46=0,"",ADRYr1!D46)</f>
        <v/>
      </c>
      <c r="E46" s="9"/>
      <c r="F46" s="11" t="str">
        <f>IF(ADRYr1!$B46=0,"",ADRYr1!F46)</f>
        <v/>
      </c>
      <c r="G46" s="12" t="str">
        <f>IF(ADRYr1!$G46&lt;&gt;0,ADRYr1!G46,"")</f>
        <v/>
      </c>
      <c r="H46" s="1125" t="str">
        <f>IF($G46="","",ROUND(ADRYr1!H46,0))</f>
        <v/>
      </c>
      <c r="I46" s="47" t="str">
        <f>IF($G46="","",ADRYr1!I46*ADRYr1!P46*G46)</f>
        <v/>
      </c>
      <c r="J46" s="47" t="str">
        <f>IF($G46="","",ADRYr1!J46*G46)</f>
        <v/>
      </c>
      <c r="K46" s="47" t="str">
        <f t="shared" si="18"/>
        <v/>
      </c>
      <c r="L46" s="27" t="str">
        <f>IF($G46="","",ADRYr1!V46*G46/1000)</f>
        <v/>
      </c>
      <c r="M46" s="27" t="str">
        <f>IF($G46="","",L46*ADRYr1!$Q46*ADRYr1!$R46)</f>
        <v/>
      </c>
      <c r="N46" s="27" t="str">
        <f t="shared" si="19"/>
        <v/>
      </c>
      <c r="O46" s="27" t="str">
        <f t="shared" si="20"/>
        <v/>
      </c>
      <c r="P46" s="27" t="str">
        <f>IF($G46="","",M46*ADRYr1!P46)</f>
        <v/>
      </c>
      <c r="Q46" s="27" t="str">
        <f t="shared" si="21"/>
        <v/>
      </c>
      <c r="R46" s="27" t="str">
        <f>IF($G46="","",$Q46*ADRYr1!Z46)</f>
        <v/>
      </c>
      <c r="S46" s="27" t="str">
        <f>IF($G46="","",$Q46*ADRYr1!AA46)</f>
        <v/>
      </c>
      <c r="T46" s="27" t="str">
        <f>IF($G46="","",$Q46*ADRYr1!AB46)</f>
        <v/>
      </c>
      <c r="U46" s="27" t="str">
        <f>IF($G46="","",$Q46*ADRYr1!AC46)</f>
        <v/>
      </c>
      <c r="V46" s="27" t="str">
        <f>IF($G46="","",G46*ADRYr1!$AD46*ADRYr1!$P46*ADRYr1!$Q46)</f>
        <v/>
      </c>
      <c r="W46" s="27" t="str">
        <f>IF($G46="","",$G46*ADRYr1!$AD46*ADRYr1!$AF46*ADRYr1!Q46*ADRYr1!$S46)</f>
        <v/>
      </c>
      <c r="X46" s="27" t="str">
        <f>IF($G46="","",$G46*ADRYr1!$AD46*ADRYr1!$AF46*ADRYr1!P46*ADRYr1!Q46*ADRYr1!$S46)</f>
        <v/>
      </c>
      <c r="Y46" s="27" t="str">
        <f>IF($G46="","",$G46*ADRYr1!$AD46*ADRYr1!$AE46*ADRYr1!Q46*ADRYr1!$T46)</f>
        <v/>
      </c>
      <c r="Z46" s="27" t="str">
        <f>IF($G46="","",$G46*ADRYr1!$AD46*ADRYr1!$AE46*ADRYr1!P46*ADRYr1!Q46*ADRYr1!$T46)</f>
        <v/>
      </c>
      <c r="AA46" s="45" t="str">
        <f>IF($G46="","",$G46*ADRYr1!$Q46*ADRYr1!$U46*(IF(IFERROR(SEARCH("NG", ADRYr1!$AI46),0),ADRYr1!$AJ46,0)+IF(IFERROR(SEARCH("NG", ADRYr1!$AK46),0),ADRYr1!$AL46,0)+IF(IFERROR(SEARCH("NG", ADRYr1!$AM46),0),ADRYr1!$AN46,0)))</f>
        <v/>
      </c>
      <c r="AB46" s="45" t="str">
        <f t="shared" si="22"/>
        <v/>
      </c>
      <c r="AC46" s="45">
        <f>IF($G46="",0,AA46*ADRYr1!$P46)</f>
        <v>0</v>
      </c>
      <c r="AD46" s="45" t="str">
        <f t="shared" si="23"/>
        <v/>
      </c>
      <c r="AE46" s="45" t="str">
        <f>IF($G46="","",$G46*ADRYr1!$Q46*ADRYr1!$U46*(IF(IFERROR(SEARCH("Oil", ADRYr1!$AI46), 0),ADRYr1!$AJ46,0)+IF(IFERROR(SEARCH("Oil", ADRYr1!$AK46), 0),ADRYr1!$AL46,0)+IF(IFERROR(SEARCH("Oil", ADRYr1!$AM46), 0),ADRYr1!$AN46,0)))</f>
        <v/>
      </c>
      <c r="AF46" s="45" t="str">
        <f t="shared" si="24"/>
        <v/>
      </c>
      <c r="AG46" s="45">
        <f>IF($G46="",0,AE46*ADRYr1!$P46)</f>
        <v>0</v>
      </c>
      <c r="AH46" s="45" t="str">
        <f t="shared" si="25"/>
        <v/>
      </c>
      <c r="AI46" s="45" t="str">
        <f>IF($G46="","",$G46*ADRYr1!$Q46*ADRYr1!$U46*(IF(ADRYr1!$AI46=Lookups!$E$114,ADRYr1!$AJ46,IF(ADRYr1!$AK46=Lookups!$E$114,ADRYr1!$AL46,IF(ADRYr1!$AM46=Lookups!$E$114,ADRYr1!$AN46,0)))))</f>
        <v/>
      </c>
      <c r="AJ46" s="45" t="str">
        <f t="shared" si="26"/>
        <v/>
      </c>
      <c r="AK46" s="45">
        <f>IF($G46="",0,AI46*ADRYr1!$P46)</f>
        <v>0</v>
      </c>
      <c r="AL46" s="45" t="str">
        <f t="shared" si="27"/>
        <v/>
      </c>
      <c r="AM46" s="45" t="str">
        <f>IF($G46="","",$G46*ADRYr1!$Q46*ADRYr1!$U46*(IF(ADRYr1!$AI46=Lookups!$E$113,ADRYr1!$AJ46,IF(ADRYr1!$AK46=Lookups!$E$113,ADRYr1!$AL46,IF(ADRYr1!$AM46=Lookups!$E$113,ADRYr1!$AN46,0)))))</f>
        <v/>
      </c>
      <c r="AN46" s="45" t="str">
        <f t="shared" si="28"/>
        <v/>
      </c>
      <c r="AO46" s="45">
        <f>IF($G46="",0,AM46*ADRYr1!$P46)</f>
        <v>0</v>
      </c>
      <c r="AP46" s="45" t="str">
        <f t="shared" si="29"/>
        <v/>
      </c>
      <c r="AQ46" s="45" t="str">
        <f>IF($G46="","",$G46*ADRYr1!$Q46*ADRYr1!$U46*(IF(ADRYr1!$AI46=Lookups!$E$115,ADRYr1!$AJ46,IF(ADRYr1!$AK46=Lookups!$E$115,ADRYr1!$AL46,IF(ADRYr1!$AM46=Lookups!$E$115,ADRYr1!$AN46,0)))))</f>
        <v/>
      </c>
      <c r="AR46" s="45" t="str">
        <f t="shared" si="30"/>
        <v/>
      </c>
      <c r="AS46" s="45" t="str">
        <f>IF($G46="","",AQ46*ADRYr1!$P46)</f>
        <v/>
      </c>
      <c r="AT46" s="45" t="str">
        <f t="shared" si="31"/>
        <v/>
      </c>
      <c r="AU46" s="45" t="str">
        <f>IF($G46="","",$G46*ADRYr1!$Q46*ADRYr1!$U46*(IF(ADRYr1!$AI46=Lookups!$E$116,ADRYr1!$AJ46,IF(ADRYr1!$AK46=Lookups!$E$116,ADRYr1!$AL46,IF(ADRYr1!$AM46=Lookups!$E$116,ADRYr1!$AN46,0)))))</f>
        <v/>
      </c>
      <c r="AV46" s="45" t="str">
        <f t="shared" si="32"/>
        <v/>
      </c>
      <c r="AW46" s="45" t="str">
        <f>IF($G46="","",AU46*ADRYr1!$P46)</f>
        <v/>
      </c>
      <c r="AX46" s="45" t="str">
        <f t="shared" si="33"/>
        <v/>
      </c>
      <c r="AY46" s="45">
        <f t="shared" si="49"/>
        <v>0</v>
      </c>
      <c r="AZ46" s="45">
        <f t="shared" si="49"/>
        <v>0</v>
      </c>
      <c r="BA46" s="101" t="str">
        <f>IF($G46="","",$G46*ADRYr1!$P46*ADRYr1!$Q46*ADRYr1!$U46*ADRYr1!AO46)</f>
        <v/>
      </c>
      <c r="BB46" s="102" t="str">
        <f>IF($G46="","",$G46*ADRYr1!$P46*ADRYr1!$Q46*ADRYr1!$U46*ADRYr1!AP46)</f>
        <v/>
      </c>
      <c r="BC46" s="100" t="str">
        <f t="shared" si="35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5"/>
        <v/>
      </c>
      <c r="BO46" s="31" t="str">
        <f t="shared" si="36"/>
        <v/>
      </c>
      <c r="BP46" s="1129" t="str">
        <f t="shared" si="6"/>
        <v/>
      </c>
      <c r="BQ46" s="28" t="str">
        <f t="shared" si="7"/>
        <v/>
      </c>
      <c r="BR46" s="1129" t="str">
        <f t="shared" si="8"/>
        <v/>
      </c>
      <c r="BS46" s="1129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7"/>
        <v/>
      </c>
      <c r="BX46" s="29" t="str">
        <f t="shared" si="38"/>
        <v/>
      </c>
      <c r="BY46" s="28" t="str">
        <f>IF($G46="","",$G46*(IF(ADRYr1!$AI46=BY$4,ADRYr1!$AJ46,IF(ADRYr1!$AK46=BY$4,ADRYr1!$AL46,IF(ADRYr1!$AM46=BY$4,ADRYr1!$AN46,0))))*(INDEX(avoidedcosttbl,$H46,BY$2)+(($H46-ROUNDDOWN($H46,0))*(INDEX(avoidedcosttbl,ROUNDUP($H46,0),BY$2)-(INDEX(avoidedcosttbl,ROUNDDOWN($H46,0),BY$2)))))*ADRYr1!P46*ADRYr1!Q46*ADRYr1!U46)</f>
        <v/>
      </c>
      <c r="BZ46" s="28" t="str">
        <f>IF($G46="","",$G46*(IF(ADRYr1!$AI46=BZ$4,ADRYr1!$AJ46,IF(ADRYr1!$AK46=BZ$4,ADRYr1!$AL46,IF(ADRYr1!$AM46=BZ$4,ADRYr1!$AN46,0))))*(INDEX(avoidedcosttbl,$H46,BZ$2)+(($H46-ROUNDDOWN($H46,0))*(INDEX(avoidedcosttbl,ROUNDUP($H46,0),BZ$2)-(INDEX(avoidedcosttbl,ROUNDDOWN($H46,0),BZ$2)))))*ADRYr1!P46*ADRYr1!Q46*ADRYr1!U46)</f>
        <v/>
      </c>
      <c r="CA46" s="28" t="str">
        <f>IF($G46="","",$G46*(IF(ADRYr1!$AI46=CA$4,ADRYr1!$AJ46,IF(ADRYr1!$AK46=CA$4,ADRYr1!$AL46,IF(ADRYr1!$AM46=CA$4,ADRYr1!$AN46,0))))*(INDEX(avoidedcosttbl,$H46,CA$2)+(($H46-ROUNDDOWN($H46,0))*(INDEX(avoidedcosttbl,ROUNDUP($H46,0),CA$2)-(INDEX(avoidedcosttbl,ROUNDDOWN($H46,0),CA$2)))))*ADRYr1!P46*ADRYr1!Q46*ADRYr1!U46)</f>
        <v/>
      </c>
      <c r="CB46" s="28" t="str">
        <f>IF($G46="","",$G46*(IF(ADRYr1!$AI46=CB$4,ADRYr1!$AJ46,IF(ADRYr1!$AK46=CB$4,ADRYr1!$AL46,IF(ADRYr1!$AM46=CB$4,ADRYr1!$AN46,0))))*(INDEX(avoidedcosttbl,$H46,CB$2)+(($H46-ROUNDDOWN($H46,0))*(INDEX(avoidedcosttbl,ROUNDUP($H46,0),CB$2)-(INDEX(avoidedcosttbl,ROUNDDOWN($H46,0),CB$2)))))*ADRYr1!P46*ADRYr1!Q46*ADRYr1!U46)</f>
        <v/>
      </c>
      <c r="CC46" s="28" t="str">
        <f>IF($G46="","",$G46*(IF(ADRYr1!$AI46=CC$4,ADRYr1!$AJ46,IF(ADRYr1!$AK46=CC$4,ADRYr1!$AL46,IF(ADRYr1!$AM46=CC$4,ADRYr1!$AN46,0))))*(INDEX(avoidedcosttbl,$H46,CC$2)+(($H46-ROUNDDOWN($H46,0))*(INDEX(avoidedcosttbl,ROUNDUP($H46,0),CC$2)-(INDEX(avoidedcosttbl,ROUNDDOWN($H46,0),CC$2)))))*ADRYr1!P46*ADRYr1!Q46*ADRYr1!U46)</f>
        <v/>
      </c>
      <c r="CD46" s="28" t="str">
        <f>IF($G46="","",$G46*(IF(ADRYr1!$AI46=CD$4,ADRYr1!$AJ46,IF(ADRYr1!$AK46=CD$4,ADRYr1!$AL46,IF(ADRYr1!$AM46=CD$4,ADRYr1!$AN46,0))))*(INDEX(avoidedcosttbl,$H46,CD$2)+(($H46-ROUNDDOWN($H46,0))*(INDEX(avoidedcosttbl,ROUNDUP($H46,0),CD$2)-(INDEX(avoidedcosttbl,ROUNDDOWN($H46,0),CD$2)))))*ADRYr1!P46*ADRYr1!Q46*ADRYr1!U46)</f>
        <v/>
      </c>
      <c r="CE46" s="28" t="str">
        <f>IF($G46="","",$G46*(IF(ADRYr1!$AI46=CE$4,ADRYr1!$AJ46,IF(ADRYr1!$AK46=CE$4,ADRYr1!$AL46,IF(ADRYr1!$AM46=CE$4,ADRYr1!$AN46,0))))*(INDEX(avoidedcosttbl,$H46,CE$2)+(($H46-ROUNDDOWN($H46,0))*(INDEX(avoidedcosttbl,ROUNDUP($H46,0),CE$2)-(INDEX(avoidedcosttbl,ROUNDDOWN($H46,0),CE$2)))))*ADRYr1!P46*ADRYr1!Q46*ADRYr1!U46)</f>
        <v/>
      </c>
      <c r="CF46" s="41" t="str">
        <f t="shared" si="39"/>
        <v/>
      </c>
      <c r="CG46" s="30" t="str">
        <f t="shared" si="11"/>
        <v/>
      </c>
      <c r="CH46" s="30" t="str">
        <f>IF($G46="","",$G46*(IF(ADRYr1!$AI46=BY$4,ADRYr1!$AJ46,IF(ADRYr1!$AK46=BY$4,ADRYr1!$AL46,IF(ADRYr1!$AM46=BY$4,ADRYr1!$AN46,0))))*(INDEX(avoidedcosttbl,$H46,CH$2)+(($H46-ROUNDDOWN($H46,0))*(INDEX(avoidedcosttbl,ROUNDUP($H46,0),CH$2)-(INDEX(avoidedcosttbl,ROUNDDOWN($H46,0),CH$2)))))*ADRYr1!P46*ADRYr1!Q46*ADRYr1!U46)</f>
        <v/>
      </c>
      <c r="CI46" s="30" t="str">
        <f>IF($G46="","",$G46*(IF(ADRYr1!$AI46=BZ$4,ADRYr1!$AJ46,IF(ADRYr1!$AK46=BZ$4,ADRYr1!$AL46,IF(ADRYr1!$AM46=BZ$4,ADRYr1!$AN46,0))))*(INDEX(avoidedcosttbl,$H46,CI$2)+(($H46-ROUNDDOWN($H46,0))*(INDEX(avoidedcosttbl,ROUNDUP($H46,0),CI$2)-(INDEX(avoidedcosttbl,ROUNDDOWN($H46,0),CI$2)))))*ADRYr1!P46*ADRYr1!Q46*ADRYr1!U46)</f>
        <v/>
      </c>
      <c r="CJ46" s="30" t="str">
        <f>IF($G46="","",$G46*(IF(ADRYr1!$AI46=CA$4,ADRYr1!$AJ46,IF(ADRYr1!$AK46=CA$4,ADRYr1!$AL46,IF(ADRYr1!$AM46=CA$4,ADRYr1!$AN46,0))))*(INDEX(avoidedcosttbl,$H46,CJ$2)+(($H46-ROUNDDOWN($H46,0))*(INDEX(avoidedcosttbl,ROUNDUP($H46,0),CJ$2)-(INDEX(avoidedcosttbl,ROUNDDOWN($H46,0),CJ$2)))))*ADRYr1!P46*ADRYr1!Q46*ADRYr1!U46)</f>
        <v/>
      </c>
      <c r="CK46" s="30" t="str">
        <f>IF($G46="","",$G46*(IF(ADRYr1!$AI46=CB$4,ADRYr1!$AJ46,IF(ADRYr1!$AK46=CB$4,ADRYr1!$AL46,IF(ADRYr1!$AM46=CB$4,ADRYr1!$AN46,0))))*(INDEX(avoidedcosttbl,$H46,CK$2)+(($H46-ROUNDDOWN($H46,0))*(INDEX(avoidedcosttbl,ROUNDUP($H46,0),CK$2)-(INDEX(avoidedcosttbl,ROUNDDOWN($H46,0),CK$2)))))*ADRYr1!P46*ADRYr1!Q46*ADRYr1!U46)</f>
        <v/>
      </c>
      <c r="CL46" s="30" t="str">
        <f>IF($G46="","",$G46*(IF(ADRYr1!$AI46=CC$4,ADRYr1!$AJ46,IF(ADRYr1!$AK46=CC$4,ADRYr1!$AL46,IF(ADRYr1!$AM46=CC$4,ADRYr1!$AN46,0))))*(INDEX(avoidedcosttbl,$H46,CL$2)+(($H46-ROUNDDOWN($H46,0))*(INDEX(avoidedcosttbl,ROUNDUP($H46,0),CL$2)-(INDEX(avoidedcosttbl,ROUNDDOWN($H46,0),CL$2)))))*ADRYr1!P46*ADRYr1!Q46*ADRYr1!U46)</f>
        <v/>
      </c>
      <c r="CM46" s="30" t="str">
        <f>IF($G46="","",$G46*(IF(ADRYr1!$AI46=CD$4,ADRYr1!$AJ46,IF(ADRYr1!$AK46=CD$4,ADRYr1!$AL46,IF(ADRYr1!$AM46=CD$4,ADRYr1!$AN46,0))))*(INDEX(avoidedcosttbl,$H46,CM$2)+(($H46-ROUNDDOWN($H46,0))*(INDEX(avoidedcosttbl,ROUNDUP($H46,0),CM$2)-(INDEX(avoidedcosttbl,ROUNDDOWN($H46,0),CM$2)))))*ADRYr1!P46*ADRYr1!Q46*ADRYr1!U46)</f>
        <v/>
      </c>
      <c r="CN46" s="30" t="str">
        <f>IF($G46="","",$G46*(IF(ADRYr1!$AI46=CE$4,ADRYr1!$AJ46,IF(ADRYr1!$AK46=CE$4,ADRYr1!$AL46,IF(ADRYr1!$AM46=CE$4,ADRYr1!$AN46,0))))*(INDEX(avoidedcosttbl,$H46,CN$2)+(($H46-ROUNDDOWN($H46,0))*(INDEX(avoidedcosttbl,ROUNDUP($H46,0),CN$2)-(INDEX(avoidedcosttbl,ROUNDDOWN($H46,0),CN$2)))))*ADRYr1!P46*ADRYr1!Q46*ADRYr1!U46)</f>
        <v/>
      </c>
      <c r="CO46" s="220" t="str">
        <f t="shared" si="40"/>
        <v/>
      </c>
      <c r="CP46" s="220" t="str">
        <f t="shared" si="41"/>
        <v/>
      </c>
      <c r="CQ46" s="157" t="str">
        <f>IF($G46="","",$G46*(IF(ADRYr1!$AI46=CQ$4,ADRYr1!$AJ46,IF(ADRYr1!$AK46=CQ$4,ADRYr1!$AL46,IF(ADRYr1!$AM46=CQ$4,ADRYr1!$AN46,0))))*(INDEX(avoidedcosttbl,$H46,CQ$2)+(($H46-ROUNDDOWN($H46,0))*(INDEX(avoidedcosttbl,ROUNDUP($H46,0),CQ$2)-(INDEX(avoidedcosttbl,ROUNDDOWN($H46,0),CQ$2)))))*ADRYr1!$P46*ADRYr1!$Q46*ADRYr1!$U46)</f>
        <v/>
      </c>
      <c r="CR46" s="28" t="str">
        <f>IF($G46="","",G46*(IF(ADRYr1!$AI46=CR$4,ADRYr1!$AJ46,IF(ADRYr1!$AK46=CR$4,ADRYr1!$AL46,IF(ADRYr1!$AM46=CR$4,ADRYr1!$AN46,0))))*(INDEX(avoidedcosttbl,$H46,CR$2)+(($H46-ROUNDDOWN($H46,0))*(INDEX(avoidedcosttbl,ROUNDUP($H46,0),CR$2)-(INDEX(avoidedcosttbl,ROUNDDOWN($H46,0),CR$2)))))*ADRYr1!$P46*ADRYr1!$Q46*ADRYr1!$U46)</f>
        <v/>
      </c>
      <c r="CS46" s="28" t="str">
        <f>IF($G46="","",G46*(IF(ADRYr1!$AI46=CS$4,ADRYr1!$AJ46,IF(ADRYr1!$AK46=CS$4,ADRYr1!$AL46,IF(ADRYr1!$AM46=CS$4,ADRYr1!$AN46,0))))*(INDEX(avoidedcosttbl,$H46,CS$2)+(($H46-ROUNDDOWN($H46,0))*(INDEX(avoidedcosttbl,ROUNDUP($H46,0),CS$2)-(INDEX(avoidedcosttbl,ROUNDDOWN($H46,0),CS$2)))))*ADRYr1!$P46*ADRYr1!$Q46*ADRYr1!$U46)</f>
        <v/>
      </c>
      <c r="CT46" s="28" t="str">
        <f t="shared" si="12"/>
        <v/>
      </c>
      <c r="CU46" s="28" t="str">
        <f>IF($G46="","",G46*(IF(ADRYr1!$AI46=CU$4,ADRYr1!$AJ46,IF(ADRYr1!$AK46=CU$4,ADRYr1!$AL46,IF(ADRYr1!$AM46=CU$4,ADRYr1!$AN46,0))))*(INDEX(avoidedcosttbl,$H46,CU$2)+(($H46-ROUNDDOWN($H46,0))*(INDEX(avoidedcosttbl,ROUNDUP($H46,0),CU$2)-(INDEX(avoidedcosttbl,ROUNDDOWN($H46,0),CU$2)))))*ADRYr1!$P46*ADRYr1!$Q46*ADRYr1!$U46)</f>
        <v/>
      </c>
      <c r="CV46" s="28" t="str">
        <f>IF($G46="","",G46*(IF(ADRYr1!$AI46=CV$4,ADRYr1!$AJ46,IF(ADRYr1!$AK46=CV$4,ADRYr1!$AL46,IF(ADRYr1!$AM46=CV$4,ADRYr1!$AN46,0))))*(INDEX(avoidedcosttbl,$H46,CV$2)+(($H46-ROUNDDOWN($H46,0))*(INDEX(avoidedcosttbl,ROUNDUP($H46,0),CV$2)-(INDEX(avoidedcosttbl,ROUNDDOWN($H46,0),CV$2)))))*ADRYr1!$P46*ADRYr1!$Q46*ADRYr1!$U46)</f>
        <v/>
      </c>
      <c r="CW46" s="28" t="str">
        <f>IF($G46="","",G46*(IF(ADRYr1!$AI46=CW$4,ADRYr1!$AJ46,IF(ADRYr1!$AK46=CW$4,ADRYr1!$AL46,IF(ADRYr1!$AM46=CW$4,ADRYr1!$AN46,0))))*(INDEX(avoidedcosttbl,$H46,CW$2)+(($H46-ROUNDDOWN($H46,0))*(INDEX(avoidedcosttbl,ROUNDUP($H46,0),CW$2)-(INDEX(avoidedcosttbl,ROUNDDOWN($H46,0),CW$2)))))*ADRYr1!$P46*ADRYr1!$Q46*ADRYr1!$U46)</f>
        <v/>
      </c>
      <c r="CX46" s="28" t="str">
        <f>IF($G46="","",G46*(IF(ADRYr1!$AI46=CX$4,ADRYr1!$AJ46,IF(ADRYr1!$AK46=CX$4,ADRYr1!$AL46,IF(ADRYr1!$AM46=CX$4,ADRYr1!$AN46,0))))*(INDEX(avoidedcosttbl,$H46,CX$2)+(($H46-ROUNDDOWN($H46,0))*(INDEX(avoidedcosttbl,ROUNDUP($H46,0),CX$2)-(INDEX(avoidedcosttbl,ROUNDDOWN($H46,0),CX$2)))))*ADRYr1!$P46*ADRYr1!$Q46*ADRYr1!$U46)</f>
        <v/>
      </c>
      <c r="CY46" s="28" t="str">
        <f t="shared" si="13"/>
        <v/>
      </c>
      <c r="CZ46" s="32" t="str">
        <f t="shared" si="14"/>
        <v/>
      </c>
      <c r="DA46" s="84" t="str">
        <f t="shared" si="42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15"/>
        <v/>
      </c>
      <c r="DD46" s="166" t="str">
        <f t="shared" si="16"/>
        <v/>
      </c>
      <c r="DE46" s="82">
        <f t="shared" si="43"/>
        <v>0</v>
      </c>
      <c r="DF46" s="760" t="str">
        <f>IF($G46="","",(1+WntPeakEnergyLL)*(INDEX(avoidedcosttbl,$H46,DF$2)+(($H46-ROUNDDOWN($H46,0))*(INDEX(avoidedcosttbl,ROUNDUP($H46,0),DF$2)-(INDEX(avoidedcosttbl,ROUNDDOWN($H46,0),DF$2)))))*$P46*1000*ADRYr1!Z46)</f>
        <v/>
      </c>
      <c r="DG46" s="760" t="str">
        <f>IF($G46="","",(1+WntOffPeakEnergyLL)*(INDEX(avoidedcosttbl,$H46,DG$2)+(($H46-ROUNDDOWN($H46,0))*(INDEX(avoidedcosttbl,ROUNDUP($H46,0),DG$2)-(INDEX(avoidedcosttbl,ROUNDDOWN($H46,0),DG$2)))))*$P46*1000*ADRYr1!AA46)</f>
        <v/>
      </c>
      <c r="DH46" s="760" t="str">
        <f>IF($G46="","",(1+SumPeakEnergyLL)*(INDEX(avoidedcosttbl,$H46,DH$2)+(($H46-ROUNDDOWN($H46,0))*(INDEX(avoidedcosttbl,ROUNDUP($H46,0),DH$2)-(INDEX(avoidedcosttbl,ROUNDDOWN($H46,0),DH$2)))))*$P46*1000*ADRYr1!AB46)</f>
        <v/>
      </c>
      <c r="DI46" s="760" t="str">
        <f>IF($G46="","",(1+SumOffPeakEnergyLL)*(INDEX(avoidedcosttbl,$H46,DI$2)+(($H46-ROUNDDOWN($H46,0))*(INDEX(avoidedcosttbl,ROUNDUP($H46,0),DI$2)-(INDEX(avoidedcosttbl,ROUNDDOWN($H46,0),DI$2)))))*$P46*1000*ADRYr1!AC46)</f>
        <v/>
      </c>
      <c r="DJ46" s="29" t="str">
        <f t="shared" si="44"/>
        <v/>
      </c>
      <c r="DK46" s="161" t="str">
        <f t="shared" si="51"/>
        <v/>
      </c>
      <c r="DL46" s="1375"/>
      <c r="DM46" s="1375" t="str">
        <f t="shared" si="47"/>
        <v/>
      </c>
      <c r="DO46" s="1131" t="str">
        <f>IF($G46="","",ADRYr1!AQ46)</f>
        <v/>
      </c>
      <c r="DP46" s="1133" t="str">
        <f>IF($G46="","",ADRYr1!AR46)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17"/>
        <v/>
      </c>
      <c r="DU46" s="1135" t="str">
        <f>IF($G46="","",ADRYr1!AS46)</f>
        <v/>
      </c>
      <c r="DV46" s="1136" t="str">
        <f>IF($G46="","",ADRYr1!AT46)</f>
        <v/>
      </c>
      <c r="DW46" s="1344" t="str">
        <f>IF($G46="","",INDEX(AvoidedEnergy!$H$4:$H$10,MATCH($DO46,AvoidedEnergy!$A$4:$A$10,0)))</f>
        <v/>
      </c>
    </row>
    <row r="47" spans="1:127">
      <c r="A47" s="160" t="str">
        <f>IF(ADRYr1!$B47=0,"",ADRYr1!A47)</f>
        <v/>
      </c>
      <c r="B47" s="9" t="str">
        <f>IF(ADRYr1!$B47=0,"",ADRYr1!B47)</f>
        <v/>
      </c>
      <c r="C47" s="9" t="str">
        <f>IF(ADRYr1!$B47=0,"",ADRYr1!C47)</f>
        <v/>
      </c>
      <c r="D47" s="9" t="str">
        <f>IF(ADRYr1!$B47=0,"",ADRYr1!D47)</f>
        <v/>
      </c>
      <c r="E47" s="9"/>
      <c r="F47" s="11" t="str">
        <f>IF(ADRYr1!$B47=0,"",ADRYr1!F47)</f>
        <v/>
      </c>
      <c r="G47" s="12" t="str">
        <f>IF(ADRYr1!$G47&lt;&gt;0,ADRYr1!G47,"")</f>
        <v/>
      </c>
      <c r="H47" s="1125" t="str">
        <f>IF($G47="","",ROUND(ADRYr1!H47,0))</f>
        <v/>
      </c>
      <c r="I47" s="47" t="str">
        <f>IF($G47="","",ADRYr1!I47*ADRYr1!P47*G47)</f>
        <v/>
      </c>
      <c r="J47" s="47" t="str">
        <f>IF($G47="","",ADRYr1!J47*G47)</f>
        <v/>
      </c>
      <c r="K47" s="47" t="str">
        <f t="shared" si="18"/>
        <v/>
      </c>
      <c r="L47" s="27" t="str">
        <f>IF($G47="","",ADRYr1!V47*G47/1000)</f>
        <v/>
      </c>
      <c r="M47" s="27" t="str">
        <f>IF($G47="","",L47*ADRYr1!$Q47*ADRYr1!$R47)</f>
        <v/>
      </c>
      <c r="N47" s="27" t="str">
        <f t="shared" si="19"/>
        <v/>
      </c>
      <c r="O47" s="27" t="str">
        <f t="shared" si="20"/>
        <v/>
      </c>
      <c r="P47" s="27" t="str">
        <f>IF($G47="","",M47*ADRYr1!P47)</f>
        <v/>
      </c>
      <c r="Q47" s="27" t="str">
        <f t="shared" si="21"/>
        <v/>
      </c>
      <c r="R47" s="27" t="str">
        <f>IF($G47="","",$Q47*ADRYr1!Z47)</f>
        <v/>
      </c>
      <c r="S47" s="27" t="str">
        <f>IF($G47="","",$Q47*ADRYr1!AA47)</f>
        <v/>
      </c>
      <c r="T47" s="27" t="str">
        <f>IF($G47="","",$Q47*ADRYr1!AB47)</f>
        <v/>
      </c>
      <c r="U47" s="27" t="str">
        <f>IF($G47="","",$Q47*ADRYr1!AC47)</f>
        <v/>
      </c>
      <c r="V47" s="27" t="str">
        <f>IF($G47="","",G47*ADRYr1!$AD47*ADRYr1!$P47*ADRYr1!$Q47)</f>
        <v/>
      </c>
      <c r="W47" s="27" t="str">
        <f>IF($G47="","",$G47*ADRYr1!$AD47*ADRYr1!$AF47*ADRYr1!Q47*ADRYr1!$S47)</f>
        <v/>
      </c>
      <c r="X47" s="27" t="str">
        <f>IF($G47="","",$G47*ADRYr1!$AD47*ADRYr1!$AF47*ADRYr1!P47*ADRYr1!Q47*ADRYr1!$S47)</f>
        <v/>
      </c>
      <c r="Y47" s="27" t="str">
        <f>IF($G47="","",$G47*ADRYr1!$AD47*ADRYr1!$AE47*ADRYr1!Q47*ADRYr1!$T47)</f>
        <v/>
      </c>
      <c r="Z47" s="27" t="str">
        <f>IF($G47="","",$G47*ADRYr1!$AD47*ADRYr1!$AE47*ADRYr1!P47*ADRYr1!Q47*ADRYr1!$T47)</f>
        <v/>
      </c>
      <c r="AA47" s="45" t="str">
        <f>IF($G47="","",$G47*ADRYr1!$Q47*ADRYr1!$U47*(IF(IFERROR(SEARCH("NG", ADRYr1!$AI47),0),ADRYr1!$AJ47,0)+IF(IFERROR(SEARCH("NG", ADRYr1!$AK47),0),ADRYr1!$AL47,0)+IF(IFERROR(SEARCH("NG", ADRYr1!$AM47),0),ADRYr1!$AN47,0)))</f>
        <v/>
      </c>
      <c r="AB47" s="45" t="str">
        <f t="shared" si="22"/>
        <v/>
      </c>
      <c r="AC47" s="45">
        <f>IF($G47="",0,AA47*ADRYr1!$P47)</f>
        <v>0</v>
      </c>
      <c r="AD47" s="45" t="str">
        <f t="shared" si="23"/>
        <v/>
      </c>
      <c r="AE47" s="45" t="str">
        <f>IF($G47="","",$G47*ADRYr1!$Q47*ADRYr1!$U47*(IF(IFERROR(SEARCH("Oil", ADRYr1!$AI47), 0),ADRYr1!$AJ47,0)+IF(IFERROR(SEARCH("Oil", ADRYr1!$AK47), 0),ADRYr1!$AL47,0)+IF(IFERROR(SEARCH("Oil", ADRYr1!$AM47), 0),ADRYr1!$AN47,0)))</f>
        <v/>
      </c>
      <c r="AF47" s="45" t="str">
        <f t="shared" si="24"/>
        <v/>
      </c>
      <c r="AG47" s="45">
        <f>IF($G47="",0,AE47*ADRYr1!$P47)</f>
        <v>0</v>
      </c>
      <c r="AH47" s="45" t="str">
        <f t="shared" si="25"/>
        <v/>
      </c>
      <c r="AI47" s="45" t="str">
        <f>IF($G47="","",$G47*ADRYr1!$Q47*ADRYr1!$U47*(IF(ADRYr1!$AI47=Lookups!$E$114,ADRYr1!$AJ47,IF(ADRYr1!$AK47=Lookups!$E$114,ADRYr1!$AL47,IF(ADRYr1!$AM47=Lookups!$E$114,ADRYr1!$AN47,0)))))</f>
        <v/>
      </c>
      <c r="AJ47" s="45" t="str">
        <f t="shared" si="26"/>
        <v/>
      </c>
      <c r="AK47" s="45">
        <f>IF($G47="",0,AI47*ADRYr1!$P47)</f>
        <v>0</v>
      </c>
      <c r="AL47" s="45" t="str">
        <f t="shared" si="27"/>
        <v/>
      </c>
      <c r="AM47" s="45" t="str">
        <f>IF($G47="","",$G47*ADRYr1!$Q47*ADRYr1!$U47*(IF(ADRYr1!$AI47=Lookups!$E$113,ADRYr1!$AJ47,IF(ADRYr1!$AK47=Lookups!$E$113,ADRYr1!$AL47,IF(ADRYr1!$AM47=Lookups!$E$113,ADRYr1!$AN47,0)))))</f>
        <v/>
      </c>
      <c r="AN47" s="45" t="str">
        <f t="shared" si="28"/>
        <v/>
      </c>
      <c r="AO47" s="45">
        <f>IF($G47="",0,AM47*ADRYr1!$P47)</f>
        <v>0</v>
      </c>
      <c r="AP47" s="45" t="str">
        <f t="shared" si="29"/>
        <v/>
      </c>
      <c r="AQ47" s="45" t="str">
        <f>IF($G47="","",$G47*ADRYr1!$Q47*ADRYr1!$U47*(IF(ADRYr1!$AI47=Lookups!$E$115,ADRYr1!$AJ47,IF(ADRYr1!$AK47=Lookups!$E$115,ADRYr1!$AL47,IF(ADRYr1!$AM47=Lookups!$E$115,ADRYr1!$AN47,0)))))</f>
        <v/>
      </c>
      <c r="AR47" s="45" t="str">
        <f t="shared" si="30"/>
        <v/>
      </c>
      <c r="AS47" s="45" t="str">
        <f>IF($G47="","",AQ47*ADRYr1!$P47)</f>
        <v/>
      </c>
      <c r="AT47" s="45" t="str">
        <f t="shared" si="31"/>
        <v/>
      </c>
      <c r="AU47" s="45" t="str">
        <f>IF($G47="","",$G47*ADRYr1!$Q47*ADRYr1!$U47*(IF(ADRYr1!$AI47=Lookups!$E$116,ADRYr1!$AJ47,IF(ADRYr1!$AK47=Lookups!$E$116,ADRYr1!$AL47,IF(ADRYr1!$AM47=Lookups!$E$116,ADRYr1!$AN47,0)))))</f>
        <v/>
      </c>
      <c r="AV47" s="45" t="str">
        <f t="shared" si="32"/>
        <v/>
      </c>
      <c r="AW47" s="45" t="str">
        <f>IF($G47="","",AU47*ADRYr1!$P47)</f>
        <v/>
      </c>
      <c r="AX47" s="45" t="str">
        <f t="shared" si="33"/>
        <v/>
      </c>
      <c r="AY47" s="45">
        <f t="shared" si="49"/>
        <v>0</v>
      </c>
      <c r="AZ47" s="45">
        <f t="shared" si="49"/>
        <v>0</v>
      </c>
      <c r="BA47" s="101" t="str">
        <f>IF($G47="","",$G47*ADRYr1!$P47*ADRYr1!$Q47*ADRYr1!$U47*ADRYr1!AO47)</f>
        <v/>
      </c>
      <c r="BB47" s="102" t="str">
        <f>IF($G47="","",$G47*ADRYr1!$P47*ADRYr1!$Q47*ADRYr1!$U47*ADRYr1!AP47)</f>
        <v/>
      </c>
      <c r="BC47" s="100" t="str">
        <f t="shared" si="35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5"/>
        <v/>
      </c>
      <c r="BO47" s="31" t="str">
        <f t="shared" si="36"/>
        <v/>
      </c>
      <c r="BP47" s="1129" t="str">
        <f t="shared" si="6"/>
        <v/>
      </c>
      <c r="BQ47" s="28" t="str">
        <f t="shared" si="7"/>
        <v/>
      </c>
      <c r="BR47" s="1129" t="str">
        <f t="shared" si="8"/>
        <v/>
      </c>
      <c r="BS47" s="1129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7"/>
        <v/>
      </c>
      <c r="BX47" s="29" t="str">
        <f t="shared" si="38"/>
        <v/>
      </c>
      <c r="BY47" s="28" t="str">
        <f>IF($G47="","",$G47*(IF(ADRYr1!$AI47=BY$4,ADRYr1!$AJ47,IF(ADRYr1!$AK47=BY$4,ADRYr1!$AL47,IF(ADRYr1!$AM47=BY$4,ADRYr1!$AN47,0))))*(INDEX(avoidedcosttbl,$H47,BY$2)+(($H47-ROUNDDOWN($H47,0))*(INDEX(avoidedcosttbl,ROUNDUP($H47,0),BY$2)-(INDEX(avoidedcosttbl,ROUNDDOWN($H47,0),BY$2)))))*ADRYr1!P47*ADRYr1!Q47*ADRYr1!U47)</f>
        <v/>
      </c>
      <c r="BZ47" s="28" t="str">
        <f>IF($G47="","",$G47*(IF(ADRYr1!$AI47=BZ$4,ADRYr1!$AJ47,IF(ADRYr1!$AK47=BZ$4,ADRYr1!$AL47,IF(ADRYr1!$AM47=BZ$4,ADRYr1!$AN47,0))))*(INDEX(avoidedcosttbl,$H47,BZ$2)+(($H47-ROUNDDOWN($H47,0))*(INDEX(avoidedcosttbl,ROUNDUP($H47,0),BZ$2)-(INDEX(avoidedcosttbl,ROUNDDOWN($H47,0),BZ$2)))))*ADRYr1!P47*ADRYr1!Q47*ADRYr1!U47)</f>
        <v/>
      </c>
      <c r="CA47" s="28" t="str">
        <f>IF($G47="","",$G47*(IF(ADRYr1!$AI47=CA$4,ADRYr1!$AJ47,IF(ADRYr1!$AK47=CA$4,ADRYr1!$AL47,IF(ADRYr1!$AM47=CA$4,ADRYr1!$AN47,0))))*(INDEX(avoidedcosttbl,$H47,CA$2)+(($H47-ROUNDDOWN($H47,0))*(INDEX(avoidedcosttbl,ROUNDUP($H47,0),CA$2)-(INDEX(avoidedcosttbl,ROUNDDOWN($H47,0),CA$2)))))*ADRYr1!P47*ADRYr1!Q47*ADRYr1!U47)</f>
        <v/>
      </c>
      <c r="CB47" s="28" t="str">
        <f>IF($G47="","",$G47*(IF(ADRYr1!$AI47=CB$4,ADRYr1!$AJ47,IF(ADRYr1!$AK47=CB$4,ADRYr1!$AL47,IF(ADRYr1!$AM47=CB$4,ADRYr1!$AN47,0))))*(INDEX(avoidedcosttbl,$H47,CB$2)+(($H47-ROUNDDOWN($H47,0))*(INDEX(avoidedcosttbl,ROUNDUP($H47,0),CB$2)-(INDEX(avoidedcosttbl,ROUNDDOWN($H47,0),CB$2)))))*ADRYr1!P47*ADRYr1!Q47*ADRYr1!U47)</f>
        <v/>
      </c>
      <c r="CC47" s="28" t="str">
        <f>IF($G47="","",$G47*(IF(ADRYr1!$AI47=CC$4,ADRYr1!$AJ47,IF(ADRYr1!$AK47=CC$4,ADRYr1!$AL47,IF(ADRYr1!$AM47=CC$4,ADRYr1!$AN47,0))))*(INDEX(avoidedcosttbl,$H47,CC$2)+(($H47-ROUNDDOWN($H47,0))*(INDEX(avoidedcosttbl,ROUNDUP($H47,0),CC$2)-(INDEX(avoidedcosttbl,ROUNDDOWN($H47,0),CC$2)))))*ADRYr1!P47*ADRYr1!Q47*ADRYr1!U47)</f>
        <v/>
      </c>
      <c r="CD47" s="28" t="str">
        <f>IF($G47="","",$G47*(IF(ADRYr1!$AI47=CD$4,ADRYr1!$AJ47,IF(ADRYr1!$AK47=CD$4,ADRYr1!$AL47,IF(ADRYr1!$AM47=CD$4,ADRYr1!$AN47,0))))*(INDEX(avoidedcosttbl,$H47,CD$2)+(($H47-ROUNDDOWN($H47,0))*(INDEX(avoidedcosttbl,ROUNDUP($H47,0),CD$2)-(INDEX(avoidedcosttbl,ROUNDDOWN($H47,0),CD$2)))))*ADRYr1!P47*ADRYr1!Q47*ADRYr1!U47)</f>
        <v/>
      </c>
      <c r="CE47" s="28" t="str">
        <f>IF($G47="","",$G47*(IF(ADRYr1!$AI47=CE$4,ADRYr1!$AJ47,IF(ADRYr1!$AK47=CE$4,ADRYr1!$AL47,IF(ADRYr1!$AM47=CE$4,ADRYr1!$AN47,0))))*(INDEX(avoidedcosttbl,$H47,CE$2)+(($H47-ROUNDDOWN($H47,0))*(INDEX(avoidedcosttbl,ROUNDUP($H47,0),CE$2)-(INDEX(avoidedcosttbl,ROUNDDOWN($H47,0),CE$2)))))*ADRYr1!P47*ADRYr1!Q47*ADRYr1!U47)</f>
        <v/>
      </c>
      <c r="CF47" s="41" t="str">
        <f t="shared" si="39"/>
        <v/>
      </c>
      <c r="CG47" s="30" t="str">
        <f t="shared" si="11"/>
        <v/>
      </c>
      <c r="CH47" s="30" t="str">
        <f>IF($G47="","",$G47*(IF(ADRYr1!$AI47=BY$4,ADRYr1!$AJ47,IF(ADRYr1!$AK47=BY$4,ADRYr1!$AL47,IF(ADRYr1!$AM47=BY$4,ADRYr1!$AN47,0))))*(INDEX(avoidedcosttbl,$H47,CH$2)+(($H47-ROUNDDOWN($H47,0))*(INDEX(avoidedcosttbl,ROUNDUP($H47,0),CH$2)-(INDEX(avoidedcosttbl,ROUNDDOWN($H47,0),CH$2)))))*ADRYr1!P47*ADRYr1!Q47*ADRYr1!U47)</f>
        <v/>
      </c>
      <c r="CI47" s="30" t="str">
        <f>IF($G47="","",$G47*(IF(ADRYr1!$AI47=BZ$4,ADRYr1!$AJ47,IF(ADRYr1!$AK47=BZ$4,ADRYr1!$AL47,IF(ADRYr1!$AM47=BZ$4,ADRYr1!$AN47,0))))*(INDEX(avoidedcosttbl,$H47,CI$2)+(($H47-ROUNDDOWN($H47,0))*(INDEX(avoidedcosttbl,ROUNDUP($H47,0),CI$2)-(INDEX(avoidedcosttbl,ROUNDDOWN($H47,0),CI$2)))))*ADRYr1!P47*ADRYr1!Q47*ADRYr1!U47)</f>
        <v/>
      </c>
      <c r="CJ47" s="30" t="str">
        <f>IF($G47="","",$G47*(IF(ADRYr1!$AI47=CA$4,ADRYr1!$AJ47,IF(ADRYr1!$AK47=CA$4,ADRYr1!$AL47,IF(ADRYr1!$AM47=CA$4,ADRYr1!$AN47,0))))*(INDEX(avoidedcosttbl,$H47,CJ$2)+(($H47-ROUNDDOWN($H47,0))*(INDEX(avoidedcosttbl,ROUNDUP($H47,0),CJ$2)-(INDEX(avoidedcosttbl,ROUNDDOWN($H47,0),CJ$2)))))*ADRYr1!P47*ADRYr1!Q47*ADRYr1!U47)</f>
        <v/>
      </c>
      <c r="CK47" s="30" t="str">
        <f>IF($G47="","",$G47*(IF(ADRYr1!$AI47=CB$4,ADRYr1!$AJ47,IF(ADRYr1!$AK47=CB$4,ADRYr1!$AL47,IF(ADRYr1!$AM47=CB$4,ADRYr1!$AN47,0))))*(INDEX(avoidedcosttbl,$H47,CK$2)+(($H47-ROUNDDOWN($H47,0))*(INDEX(avoidedcosttbl,ROUNDUP($H47,0),CK$2)-(INDEX(avoidedcosttbl,ROUNDDOWN($H47,0),CK$2)))))*ADRYr1!P47*ADRYr1!Q47*ADRYr1!U47)</f>
        <v/>
      </c>
      <c r="CL47" s="30" t="str">
        <f>IF($G47="","",$G47*(IF(ADRYr1!$AI47=CC$4,ADRYr1!$AJ47,IF(ADRYr1!$AK47=CC$4,ADRYr1!$AL47,IF(ADRYr1!$AM47=CC$4,ADRYr1!$AN47,0))))*(INDEX(avoidedcosttbl,$H47,CL$2)+(($H47-ROUNDDOWN($H47,0))*(INDEX(avoidedcosttbl,ROUNDUP($H47,0),CL$2)-(INDEX(avoidedcosttbl,ROUNDDOWN($H47,0),CL$2)))))*ADRYr1!P47*ADRYr1!Q47*ADRYr1!U47)</f>
        <v/>
      </c>
      <c r="CM47" s="30" t="str">
        <f>IF($G47="","",$G47*(IF(ADRYr1!$AI47=CD$4,ADRYr1!$AJ47,IF(ADRYr1!$AK47=CD$4,ADRYr1!$AL47,IF(ADRYr1!$AM47=CD$4,ADRYr1!$AN47,0))))*(INDEX(avoidedcosttbl,$H47,CM$2)+(($H47-ROUNDDOWN($H47,0))*(INDEX(avoidedcosttbl,ROUNDUP($H47,0),CM$2)-(INDEX(avoidedcosttbl,ROUNDDOWN($H47,0),CM$2)))))*ADRYr1!P47*ADRYr1!Q47*ADRYr1!U47)</f>
        <v/>
      </c>
      <c r="CN47" s="30" t="str">
        <f>IF($G47="","",$G47*(IF(ADRYr1!$AI47=CE$4,ADRYr1!$AJ47,IF(ADRYr1!$AK47=CE$4,ADRYr1!$AL47,IF(ADRYr1!$AM47=CE$4,ADRYr1!$AN47,0))))*(INDEX(avoidedcosttbl,$H47,CN$2)+(($H47-ROUNDDOWN($H47,0))*(INDEX(avoidedcosttbl,ROUNDUP($H47,0),CN$2)-(INDEX(avoidedcosttbl,ROUNDDOWN($H47,0),CN$2)))))*ADRYr1!P47*ADRYr1!Q47*ADRYr1!U47)</f>
        <v/>
      </c>
      <c r="CO47" s="220" t="str">
        <f t="shared" si="40"/>
        <v/>
      </c>
      <c r="CP47" s="220" t="str">
        <f t="shared" si="41"/>
        <v/>
      </c>
      <c r="CQ47" s="157" t="str">
        <f>IF($G47="","",$G47*(IF(ADRYr1!$AI47=CQ$4,ADRYr1!$AJ47,IF(ADRYr1!$AK47=CQ$4,ADRYr1!$AL47,IF(ADRYr1!$AM47=CQ$4,ADRYr1!$AN47,0))))*(INDEX(avoidedcosttbl,$H47,CQ$2)+(($H47-ROUNDDOWN($H47,0))*(INDEX(avoidedcosttbl,ROUNDUP($H47,0),CQ$2)-(INDEX(avoidedcosttbl,ROUNDDOWN($H47,0),CQ$2)))))*ADRYr1!$P47*ADRYr1!$Q47*ADRYr1!$U47)</f>
        <v/>
      </c>
      <c r="CR47" s="28" t="str">
        <f>IF($G47="","",G47*(IF(ADRYr1!$AI47=CR$4,ADRYr1!$AJ47,IF(ADRYr1!$AK47=CR$4,ADRYr1!$AL47,IF(ADRYr1!$AM47=CR$4,ADRYr1!$AN47,0))))*(INDEX(avoidedcosttbl,$H47,CR$2)+(($H47-ROUNDDOWN($H47,0))*(INDEX(avoidedcosttbl,ROUNDUP($H47,0),CR$2)-(INDEX(avoidedcosttbl,ROUNDDOWN($H47,0),CR$2)))))*ADRYr1!$P47*ADRYr1!$Q47*ADRYr1!$U47)</f>
        <v/>
      </c>
      <c r="CS47" s="28" t="str">
        <f>IF($G47="","",G47*(IF(ADRYr1!$AI47=CS$4,ADRYr1!$AJ47,IF(ADRYr1!$AK47=CS$4,ADRYr1!$AL47,IF(ADRYr1!$AM47=CS$4,ADRYr1!$AN47,0))))*(INDEX(avoidedcosttbl,$H47,CS$2)+(($H47-ROUNDDOWN($H47,0))*(INDEX(avoidedcosttbl,ROUNDUP($H47,0),CS$2)-(INDEX(avoidedcosttbl,ROUNDDOWN($H47,0),CS$2)))))*ADRYr1!$P47*ADRYr1!$Q47*ADRYr1!$U47)</f>
        <v/>
      </c>
      <c r="CT47" s="28" t="str">
        <f t="shared" si="12"/>
        <v/>
      </c>
      <c r="CU47" s="28" t="str">
        <f>IF($G47="","",G47*(IF(ADRYr1!$AI47=CU$4,ADRYr1!$AJ47,IF(ADRYr1!$AK47=CU$4,ADRYr1!$AL47,IF(ADRYr1!$AM47=CU$4,ADRYr1!$AN47,0))))*(INDEX(avoidedcosttbl,$H47,CU$2)+(($H47-ROUNDDOWN($H47,0))*(INDEX(avoidedcosttbl,ROUNDUP($H47,0),CU$2)-(INDEX(avoidedcosttbl,ROUNDDOWN($H47,0),CU$2)))))*ADRYr1!$P47*ADRYr1!$Q47*ADRYr1!$U47)</f>
        <v/>
      </c>
      <c r="CV47" s="28" t="str">
        <f>IF($G47="","",G47*(IF(ADRYr1!$AI47=CV$4,ADRYr1!$AJ47,IF(ADRYr1!$AK47=CV$4,ADRYr1!$AL47,IF(ADRYr1!$AM47=CV$4,ADRYr1!$AN47,0))))*(INDEX(avoidedcosttbl,$H47,CV$2)+(($H47-ROUNDDOWN($H47,0))*(INDEX(avoidedcosttbl,ROUNDUP($H47,0),CV$2)-(INDEX(avoidedcosttbl,ROUNDDOWN($H47,0),CV$2)))))*ADRYr1!$P47*ADRYr1!$Q47*ADRYr1!$U47)</f>
        <v/>
      </c>
      <c r="CW47" s="28" t="str">
        <f>IF($G47="","",G47*(IF(ADRYr1!$AI47=CW$4,ADRYr1!$AJ47,IF(ADRYr1!$AK47=CW$4,ADRYr1!$AL47,IF(ADRYr1!$AM47=CW$4,ADRYr1!$AN47,0))))*(INDEX(avoidedcosttbl,$H47,CW$2)+(($H47-ROUNDDOWN($H47,0))*(INDEX(avoidedcosttbl,ROUNDUP($H47,0),CW$2)-(INDEX(avoidedcosttbl,ROUNDDOWN($H47,0),CW$2)))))*ADRYr1!$P47*ADRYr1!$Q47*ADRYr1!$U47)</f>
        <v/>
      </c>
      <c r="CX47" s="28" t="str">
        <f>IF($G47="","",G47*(IF(ADRYr1!$AI47=CX$4,ADRYr1!$AJ47,IF(ADRYr1!$AK47=CX$4,ADRYr1!$AL47,IF(ADRYr1!$AM47=CX$4,ADRYr1!$AN47,0))))*(INDEX(avoidedcosttbl,$H47,CX$2)+(($H47-ROUNDDOWN($H47,0))*(INDEX(avoidedcosttbl,ROUNDUP($H47,0),CX$2)-(INDEX(avoidedcosttbl,ROUNDDOWN($H47,0),CX$2)))))*ADRYr1!$P47*ADRYr1!$Q47*ADRYr1!$U47)</f>
        <v/>
      </c>
      <c r="CY47" s="28" t="str">
        <f t="shared" si="13"/>
        <v/>
      </c>
      <c r="CZ47" s="32" t="str">
        <f t="shared" si="14"/>
        <v/>
      </c>
      <c r="DA47" s="84" t="str">
        <f t="shared" si="42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15"/>
        <v/>
      </c>
      <c r="DD47" s="166" t="str">
        <f t="shared" si="16"/>
        <v/>
      </c>
      <c r="DE47" s="82">
        <f t="shared" si="43"/>
        <v>0</v>
      </c>
      <c r="DF47" s="760" t="str">
        <f>IF($G47="","",(1+WntPeakEnergyLL)*(INDEX(avoidedcosttbl,$H47,DF$2)+(($H47-ROUNDDOWN($H47,0))*(INDEX(avoidedcosttbl,ROUNDUP($H47,0),DF$2)-(INDEX(avoidedcosttbl,ROUNDDOWN($H47,0),DF$2)))))*$P47*1000*ADRYr1!Z47)</f>
        <v/>
      </c>
      <c r="DG47" s="760" t="str">
        <f>IF($G47="","",(1+WntOffPeakEnergyLL)*(INDEX(avoidedcosttbl,$H47,DG$2)+(($H47-ROUNDDOWN($H47,0))*(INDEX(avoidedcosttbl,ROUNDUP($H47,0),DG$2)-(INDEX(avoidedcosttbl,ROUNDDOWN($H47,0),DG$2)))))*$P47*1000*ADRYr1!AA47)</f>
        <v/>
      </c>
      <c r="DH47" s="760" t="str">
        <f>IF($G47="","",(1+SumPeakEnergyLL)*(INDEX(avoidedcosttbl,$H47,DH$2)+(($H47-ROUNDDOWN($H47,0))*(INDEX(avoidedcosttbl,ROUNDUP($H47,0),DH$2)-(INDEX(avoidedcosttbl,ROUNDDOWN($H47,0),DH$2)))))*$P47*1000*ADRYr1!AB47)</f>
        <v/>
      </c>
      <c r="DI47" s="760" t="str">
        <f>IF($G47="","",(1+SumOffPeakEnergyLL)*(INDEX(avoidedcosttbl,$H47,DI$2)+(($H47-ROUNDDOWN($H47,0))*(INDEX(avoidedcosttbl,ROUNDUP($H47,0),DI$2)-(INDEX(avoidedcosttbl,ROUNDDOWN($H47,0),DI$2)))))*$P47*1000*ADRYr1!AC47)</f>
        <v/>
      </c>
      <c r="DJ47" s="29" t="str">
        <f t="shared" si="44"/>
        <v/>
      </c>
      <c r="DK47" s="161" t="str">
        <f t="shared" si="51"/>
        <v/>
      </c>
      <c r="DL47" s="1375"/>
      <c r="DM47" s="1375" t="str">
        <f t="shared" si="47"/>
        <v/>
      </c>
      <c r="DO47" s="1131" t="str">
        <f>IF($G47="","",ADRYr1!AQ47)</f>
        <v/>
      </c>
      <c r="DP47" s="1133" t="str">
        <f>IF($G47="","",ADRYr1!AR47)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17"/>
        <v/>
      </c>
      <c r="DU47" s="1135" t="str">
        <f>IF($G47="","",ADRYr1!AS47)</f>
        <v/>
      </c>
      <c r="DV47" s="1136" t="str">
        <f>IF($G47="","",ADRYr1!AT47)</f>
        <v/>
      </c>
      <c r="DW47" s="1344" t="str">
        <f>IF($G47="","",INDEX(AvoidedEnergy!$H$4:$H$10,MATCH($DO47,AvoidedEnergy!$A$4:$A$10,0)))</f>
        <v/>
      </c>
    </row>
    <row r="48" spans="1:127">
      <c r="A48" s="160" t="str">
        <f>IF(ADRYr1!$B48=0,"",ADRYr1!A48)</f>
        <v/>
      </c>
      <c r="B48" s="9" t="str">
        <f>IF(ADRYr1!$B48=0,"",ADRYr1!B48)</f>
        <v/>
      </c>
      <c r="C48" s="9" t="str">
        <f>IF(ADRYr1!$B48=0,"",ADRYr1!C48)</f>
        <v/>
      </c>
      <c r="D48" s="9" t="str">
        <f>IF(ADRYr1!$B48=0,"",ADRYr1!D48)</f>
        <v/>
      </c>
      <c r="E48" s="9"/>
      <c r="F48" s="11" t="str">
        <f>IF(ADRYr1!$B48=0,"",ADRYr1!F48)</f>
        <v/>
      </c>
      <c r="G48" s="12" t="str">
        <f>IF(ADRYr1!$G48&lt;&gt;0,ADRYr1!G48,"")</f>
        <v/>
      </c>
      <c r="H48" s="1125" t="str">
        <f>IF($G48="","",ROUND(ADRYr1!H48,0))</f>
        <v/>
      </c>
      <c r="I48" s="47" t="str">
        <f>IF($G48="","",ADRYr1!I48*ADRYr1!P48*G48)</f>
        <v/>
      </c>
      <c r="J48" s="47" t="str">
        <f>IF($G48="","",ADRYr1!J48*G48)</f>
        <v/>
      </c>
      <c r="K48" s="47" t="str">
        <f t="shared" si="18"/>
        <v/>
      </c>
      <c r="L48" s="27" t="str">
        <f>IF($G48="","",ADRYr1!V48*G48/1000)</f>
        <v/>
      </c>
      <c r="M48" s="27" t="str">
        <f>IF($G48="","",L48*ADRYr1!$Q48*ADRYr1!$R48)</f>
        <v/>
      </c>
      <c r="N48" s="27" t="str">
        <f t="shared" si="19"/>
        <v/>
      </c>
      <c r="O48" s="27" t="str">
        <f t="shared" si="20"/>
        <v/>
      </c>
      <c r="P48" s="27" t="str">
        <f>IF($G48="","",M48*ADRYr1!P48)</f>
        <v/>
      </c>
      <c r="Q48" s="27" t="str">
        <f t="shared" si="21"/>
        <v/>
      </c>
      <c r="R48" s="27" t="str">
        <f>IF($G48="","",$Q48*ADRYr1!Z48)</f>
        <v/>
      </c>
      <c r="S48" s="27" t="str">
        <f>IF($G48="","",$Q48*ADRYr1!AA48)</f>
        <v/>
      </c>
      <c r="T48" s="27" t="str">
        <f>IF($G48="","",$Q48*ADRYr1!AB48)</f>
        <v/>
      </c>
      <c r="U48" s="27" t="str">
        <f>IF($G48="","",$Q48*ADRYr1!AC48)</f>
        <v/>
      </c>
      <c r="V48" s="27" t="str">
        <f>IF($G48="","",G48*ADRYr1!$AD48*ADRYr1!$P48*ADRYr1!$Q48)</f>
        <v/>
      </c>
      <c r="W48" s="27" t="str">
        <f>IF($G48="","",$G48*ADRYr1!$AD48*ADRYr1!$AF48*ADRYr1!Q48*ADRYr1!$S48)</f>
        <v/>
      </c>
      <c r="X48" s="27" t="str">
        <f>IF($G48="","",$G48*ADRYr1!$AD48*ADRYr1!$AF48*ADRYr1!P48*ADRYr1!Q48*ADRYr1!$S48)</f>
        <v/>
      </c>
      <c r="Y48" s="27" t="str">
        <f>IF($G48="","",$G48*ADRYr1!$AD48*ADRYr1!$AE48*ADRYr1!Q48*ADRYr1!$T48)</f>
        <v/>
      </c>
      <c r="Z48" s="27" t="str">
        <f>IF($G48="","",$G48*ADRYr1!$AD48*ADRYr1!$AE48*ADRYr1!P48*ADRYr1!Q48*ADRYr1!$T48)</f>
        <v/>
      </c>
      <c r="AA48" s="45" t="str">
        <f>IF($G48="","",$G48*ADRYr1!$Q48*ADRYr1!$U48*(IF(IFERROR(SEARCH("NG", ADRYr1!$AI48),0),ADRYr1!$AJ48,0)+IF(IFERROR(SEARCH("NG", ADRYr1!$AK48),0),ADRYr1!$AL48,0)+IF(IFERROR(SEARCH("NG", ADRYr1!$AM48),0),ADRYr1!$AN48,0)))</f>
        <v/>
      </c>
      <c r="AB48" s="45" t="str">
        <f t="shared" si="22"/>
        <v/>
      </c>
      <c r="AC48" s="45">
        <f>IF($G48="",0,AA48*ADRYr1!$P48)</f>
        <v>0</v>
      </c>
      <c r="AD48" s="45" t="str">
        <f t="shared" si="23"/>
        <v/>
      </c>
      <c r="AE48" s="45" t="str">
        <f>IF($G48="","",$G48*ADRYr1!$Q48*ADRYr1!$U48*(IF(IFERROR(SEARCH("Oil", ADRYr1!$AI48), 0),ADRYr1!$AJ48,0)+IF(IFERROR(SEARCH("Oil", ADRYr1!$AK48), 0),ADRYr1!$AL48,0)+IF(IFERROR(SEARCH("Oil", ADRYr1!$AM48), 0),ADRYr1!$AN48,0)))</f>
        <v/>
      </c>
      <c r="AF48" s="45" t="str">
        <f t="shared" si="24"/>
        <v/>
      </c>
      <c r="AG48" s="45">
        <f>IF($G48="",0,AE48*ADRYr1!$P48)</f>
        <v>0</v>
      </c>
      <c r="AH48" s="45" t="str">
        <f t="shared" si="25"/>
        <v/>
      </c>
      <c r="AI48" s="45" t="str">
        <f>IF($G48="","",$G48*ADRYr1!$Q48*ADRYr1!$U48*(IF(ADRYr1!$AI48=Lookups!$E$114,ADRYr1!$AJ48,IF(ADRYr1!$AK48=Lookups!$E$114,ADRYr1!$AL48,IF(ADRYr1!$AM48=Lookups!$E$114,ADRYr1!$AN48,0)))))</f>
        <v/>
      </c>
      <c r="AJ48" s="45" t="str">
        <f t="shared" si="26"/>
        <v/>
      </c>
      <c r="AK48" s="45">
        <f>IF($G48="",0,AI48*ADRYr1!$P48)</f>
        <v>0</v>
      </c>
      <c r="AL48" s="45" t="str">
        <f t="shared" si="27"/>
        <v/>
      </c>
      <c r="AM48" s="45" t="str">
        <f>IF($G48="","",$G48*ADRYr1!$Q48*ADRYr1!$U48*(IF(ADRYr1!$AI48=Lookups!$E$113,ADRYr1!$AJ48,IF(ADRYr1!$AK48=Lookups!$E$113,ADRYr1!$AL48,IF(ADRYr1!$AM48=Lookups!$E$113,ADRYr1!$AN48,0)))))</f>
        <v/>
      </c>
      <c r="AN48" s="45" t="str">
        <f t="shared" si="28"/>
        <v/>
      </c>
      <c r="AO48" s="45">
        <f>IF($G48="",0,AM48*ADRYr1!$P48)</f>
        <v>0</v>
      </c>
      <c r="AP48" s="45" t="str">
        <f t="shared" si="29"/>
        <v/>
      </c>
      <c r="AQ48" s="45" t="str">
        <f>IF($G48="","",$G48*ADRYr1!$Q48*ADRYr1!$U48*(IF(ADRYr1!$AI48=Lookups!$E$115,ADRYr1!$AJ48,IF(ADRYr1!$AK48=Lookups!$E$115,ADRYr1!$AL48,IF(ADRYr1!$AM48=Lookups!$E$115,ADRYr1!$AN48,0)))))</f>
        <v/>
      </c>
      <c r="AR48" s="45" t="str">
        <f t="shared" si="30"/>
        <v/>
      </c>
      <c r="AS48" s="45" t="str">
        <f>IF($G48="","",AQ48*ADRYr1!$P48)</f>
        <v/>
      </c>
      <c r="AT48" s="45" t="str">
        <f t="shared" si="31"/>
        <v/>
      </c>
      <c r="AU48" s="45" t="str">
        <f>IF($G48="","",$G48*ADRYr1!$Q48*ADRYr1!$U48*(IF(ADRYr1!$AI48=Lookups!$E$116,ADRYr1!$AJ48,IF(ADRYr1!$AK48=Lookups!$E$116,ADRYr1!$AL48,IF(ADRYr1!$AM48=Lookups!$E$116,ADRYr1!$AN48,0)))))</f>
        <v/>
      </c>
      <c r="AV48" s="45" t="str">
        <f t="shared" si="32"/>
        <v/>
      </c>
      <c r="AW48" s="45" t="str">
        <f>IF($G48="","",AU48*ADRYr1!$P48)</f>
        <v/>
      </c>
      <c r="AX48" s="45" t="str">
        <f t="shared" si="33"/>
        <v/>
      </c>
      <c r="AY48" s="45">
        <f t="shared" si="49"/>
        <v>0</v>
      </c>
      <c r="AZ48" s="45">
        <f t="shared" si="49"/>
        <v>0</v>
      </c>
      <c r="BA48" s="101" t="str">
        <f>IF($G48="","",$G48*ADRYr1!$P48*ADRYr1!$Q48*ADRYr1!$U48*ADRYr1!AO48)</f>
        <v/>
      </c>
      <c r="BB48" s="102" t="str">
        <f>IF($G48="","",$G48*ADRYr1!$P48*ADRYr1!$Q48*ADRYr1!$U48*ADRYr1!AP48)</f>
        <v/>
      </c>
      <c r="BC48" s="100" t="str">
        <f t="shared" si="35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5"/>
        <v/>
      </c>
      <c r="BO48" s="31" t="str">
        <f t="shared" si="36"/>
        <v/>
      </c>
      <c r="BP48" s="1129" t="str">
        <f t="shared" si="6"/>
        <v/>
      </c>
      <c r="BQ48" s="28" t="str">
        <f t="shared" si="7"/>
        <v/>
      </c>
      <c r="BR48" s="1129" t="str">
        <f t="shared" si="8"/>
        <v/>
      </c>
      <c r="BS48" s="1129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7"/>
        <v/>
      </c>
      <c r="BX48" s="29" t="str">
        <f t="shared" si="38"/>
        <v/>
      </c>
      <c r="BY48" s="28" t="str">
        <f>IF($G48="","",$G48*(IF(ADRYr1!$AI48=BY$4,ADRYr1!$AJ48,IF(ADRYr1!$AK48=BY$4,ADRYr1!$AL48,IF(ADRYr1!$AM48=BY$4,ADRYr1!$AN48,0))))*(INDEX(avoidedcosttbl,$H48,BY$2)+(($H48-ROUNDDOWN($H48,0))*(INDEX(avoidedcosttbl,ROUNDUP($H48,0),BY$2)-(INDEX(avoidedcosttbl,ROUNDDOWN($H48,0),BY$2)))))*ADRYr1!P48*ADRYr1!Q48*ADRYr1!U48)</f>
        <v/>
      </c>
      <c r="BZ48" s="28" t="str">
        <f>IF($G48="","",$G48*(IF(ADRYr1!$AI48=BZ$4,ADRYr1!$AJ48,IF(ADRYr1!$AK48=BZ$4,ADRYr1!$AL48,IF(ADRYr1!$AM48=BZ$4,ADRYr1!$AN48,0))))*(INDEX(avoidedcosttbl,$H48,BZ$2)+(($H48-ROUNDDOWN($H48,0))*(INDEX(avoidedcosttbl,ROUNDUP($H48,0),BZ$2)-(INDEX(avoidedcosttbl,ROUNDDOWN($H48,0),BZ$2)))))*ADRYr1!P48*ADRYr1!Q48*ADRYr1!U48)</f>
        <v/>
      </c>
      <c r="CA48" s="28" t="str">
        <f>IF($G48="","",$G48*(IF(ADRYr1!$AI48=CA$4,ADRYr1!$AJ48,IF(ADRYr1!$AK48=CA$4,ADRYr1!$AL48,IF(ADRYr1!$AM48=CA$4,ADRYr1!$AN48,0))))*(INDEX(avoidedcosttbl,$H48,CA$2)+(($H48-ROUNDDOWN($H48,0))*(INDEX(avoidedcosttbl,ROUNDUP($H48,0),CA$2)-(INDEX(avoidedcosttbl,ROUNDDOWN($H48,0),CA$2)))))*ADRYr1!P48*ADRYr1!Q48*ADRYr1!U48)</f>
        <v/>
      </c>
      <c r="CB48" s="28" t="str">
        <f>IF($G48="","",$G48*(IF(ADRYr1!$AI48=CB$4,ADRYr1!$AJ48,IF(ADRYr1!$AK48=CB$4,ADRYr1!$AL48,IF(ADRYr1!$AM48=CB$4,ADRYr1!$AN48,0))))*(INDEX(avoidedcosttbl,$H48,CB$2)+(($H48-ROUNDDOWN($H48,0))*(INDEX(avoidedcosttbl,ROUNDUP($H48,0),CB$2)-(INDEX(avoidedcosttbl,ROUNDDOWN($H48,0),CB$2)))))*ADRYr1!P48*ADRYr1!Q48*ADRYr1!U48)</f>
        <v/>
      </c>
      <c r="CC48" s="28" t="str">
        <f>IF($G48="","",$G48*(IF(ADRYr1!$AI48=CC$4,ADRYr1!$AJ48,IF(ADRYr1!$AK48=CC$4,ADRYr1!$AL48,IF(ADRYr1!$AM48=CC$4,ADRYr1!$AN48,0))))*(INDEX(avoidedcosttbl,$H48,CC$2)+(($H48-ROUNDDOWN($H48,0))*(INDEX(avoidedcosttbl,ROUNDUP($H48,0),CC$2)-(INDEX(avoidedcosttbl,ROUNDDOWN($H48,0),CC$2)))))*ADRYr1!P48*ADRYr1!Q48*ADRYr1!U48)</f>
        <v/>
      </c>
      <c r="CD48" s="28" t="str">
        <f>IF($G48="","",$G48*(IF(ADRYr1!$AI48=CD$4,ADRYr1!$AJ48,IF(ADRYr1!$AK48=CD$4,ADRYr1!$AL48,IF(ADRYr1!$AM48=CD$4,ADRYr1!$AN48,0))))*(INDEX(avoidedcosttbl,$H48,CD$2)+(($H48-ROUNDDOWN($H48,0))*(INDEX(avoidedcosttbl,ROUNDUP($H48,0),CD$2)-(INDEX(avoidedcosttbl,ROUNDDOWN($H48,0),CD$2)))))*ADRYr1!P48*ADRYr1!Q48*ADRYr1!U48)</f>
        <v/>
      </c>
      <c r="CE48" s="28" t="str">
        <f>IF($G48="","",$G48*(IF(ADRYr1!$AI48=CE$4,ADRYr1!$AJ48,IF(ADRYr1!$AK48=CE$4,ADRYr1!$AL48,IF(ADRYr1!$AM48=CE$4,ADRYr1!$AN48,0))))*(INDEX(avoidedcosttbl,$H48,CE$2)+(($H48-ROUNDDOWN($H48,0))*(INDEX(avoidedcosttbl,ROUNDUP($H48,0),CE$2)-(INDEX(avoidedcosttbl,ROUNDDOWN($H48,0),CE$2)))))*ADRYr1!P48*ADRYr1!Q48*ADRYr1!U48)</f>
        <v/>
      </c>
      <c r="CF48" s="41" t="str">
        <f t="shared" si="39"/>
        <v/>
      </c>
      <c r="CG48" s="30" t="str">
        <f t="shared" si="11"/>
        <v/>
      </c>
      <c r="CH48" s="30" t="str">
        <f>IF($G48="","",$G48*(IF(ADRYr1!$AI48=BY$4,ADRYr1!$AJ48,IF(ADRYr1!$AK48=BY$4,ADRYr1!$AL48,IF(ADRYr1!$AM48=BY$4,ADRYr1!$AN48,0))))*(INDEX(avoidedcosttbl,$H48,CH$2)+(($H48-ROUNDDOWN($H48,0))*(INDEX(avoidedcosttbl,ROUNDUP($H48,0),CH$2)-(INDEX(avoidedcosttbl,ROUNDDOWN($H48,0),CH$2)))))*ADRYr1!P48*ADRYr1!Q48*ADRYr1!U48)</f>
        <v/>
      </c>
      <c r="CI48" s="30" t="str">
        <f>IF($G48="","",$G48*(IF(ADRYr1!$AI48=BZ$4,ADRYr1!$AJ48,IF(ADRYr1!$AK48=BZ$4,ADRYr1!$AL48,IF(ADRYr1!$AM48=BZ$4,ADRYr1!$AN48,0))))*(INDEX(avoidedcosttbl,$H48,CI$2)+(($H48-ROUNDDOWN($H48,0))*(INDEX(avoidedcosttbl,ROUNDUP($H48,0),CI$2)-(INDEX(avoidedcosttbl,ROUNDDOWN($H48,0),CI$2)))))*ADRYr1!P48*ADRYr1!Q48*ADRYr1!U48)</f>
        <v/>
      </c>
      <c r="CJ48" s="30" t="str">
        <f>IF($G48="","",$G48*(IF(ADRYr1!$AI48=CA$4,ADRYr1!$AJ48,IF(ADRYr1!$AK48=CA$4,ADRYr1!$AL48,IF(ADRYr1!$AM48=CA$4,ADRYr1!$AN48,0))))*(INDEX(avoidedcosttbl,$H48,CJ$2)+(($H48-ROUNDDOWN($H48,0))*(INDEX(avoidedcosttbl,ROUNDUP($H48,0),CJ$2)-(INDEX(avoidedcosttbl,ROUNDDOWN($H48,0),CJ$2)))))*ADRYr1!P48*ADRYr1!Q48*ADRYr1!U48)</f>
        <v/>
      </c>
      <c r="CK48" s="30" t="str">
        <f>IF($G48="","",$G48*(IF(ADRYr1!$AI48=CB$4,ADRYr1!$AJ48,IF(ADRYr1!$AK48=CB$4,ADRYr1!$AL48,IF(ADRYr1!$AM48=CB$4,ADRYr1!$AN48,0))))*(INDEX(avoidedcosttbl,$H48,CK$2)+(($H48-ROUNDDOWN($H48,0))*(INDEX(avoidedcosttbl,ROUNDUP($H48,0),CK$2)-(INDEX(avoidedcosttbl,ROUNDDOWN($H48,0),CK$2)))))*ADRYr1!P48*ADRYr1!Q48*ADRYr1!U48)</f>
        <v/>
      </c>
      <c r="CL48" s="30" t="str">
        <f>IF($G48="","",$G48*(IF(ADRYr1!$AI48=CC$4,ADRYr1!$AJ48,IF(ADRYr1!$AK48=CC$4,ADRYr1!$AL48,IF(ADRYr1!$AM48=CC$4,ADRYr1!$AN48,0))))*(INDEX(avoidedcosttbl,$H48,CL$2)+(($H48-ROUNDDOWN($H48,0))*(INDEX(avoidedcosttbl,ROUNDUP($H48,0),CL$2)-(INDEX(avoidedcosttbl,ROUNDDOWN($H48,0),CL$2)))))*ADRYr1!P48*ADRYr1!Q48*ADRYr1!U48)</f>
        <v/>
      </c>
      <c r="CM48" s="30" t="str">
        <f>IF($G48="","",$G48*(IF(ADRYr1!$AI48=CD$4,ADRYr1!$AJ48,IF(ADRYr1!$AK48=CD$4,ADRYr1!$AL48,IF(ADRYr1!$AM48=CD$4,ADRYr1!$AN48,0))))*(INDEX(avoidedcosttbl,$H48,CM$2)+(($H48-ROUNDDOWN($H48,0))*(INDEX(avoidedcosttbl,ROUNDUP($H48,0),CM$2)-(INDEX(avoidedcosttbl,ROUNDDOWN($H48,0),CM$2)))))*ADRYr1!P48*ADRYr1!Q48*ADRYr1!U48)</f>
        <v/>
      </c>
      <c r="CN48" s="30" t="str">
        <f>IF($G48="","",$G48*(IF(ADRYr1!$AI48=CE$4,ADRYr1!$AJ48,IF(ADRYr1!$AK48=CE$4,ADRYr1!$AL48,IF(ADRYr1!$AM48=CE$4,ADRYr1!$AN48,0))))*(INDEX(avoidedcosttbl,$H48,CN$2)+(($H48-ROUNDDOWN($H48,0))*(INDEX(avoidedcosttbl,ROUNDUP($H48,0),CN$2)-(INDEX(avoidedcosttbl,ROUNDDOWN($H48,0),CN$2)))))*ADRYr1!P48*ADRYr1!Q48*ADRYr1!U48)</f>
        <v/>
      </c>
      <c r="CO48" s="220" t="str">
        <f t="shared" si="40"/>
        <v/>
      </c>
      <c r="CP48" s="220" t="str">
        <f t="shared" si="41"/>
        <v/>
      </c>
      <c r="CQ48" s="157" t="str">
        <f>IF($G48="","",$G48*(IF(ADRYr1!$AI48=CQ$4,ADRYr1!$AJ48,IF(ADRYr1!$AK48=CQ$4,ADRYr1!$AL48,IF(ADRYr1!$AM48=CQ$4,ADRYr1!$AN48,0))))*(INDEX(avoidedcosttbl,$H48,CQ$2)+(($H48-ROUNDDOWN($H48,0))*(INDEX(avoidedcosttbl,ROUNDUP($H48,0),CQ$2)-(INDEX(avoidedcosttbl,ROUNDDOWN($H48,0),CQ$2)))))*ADRYr1!$P48*ADRYr1!$Q48*ADRYr1!$U48)</f>
        <v/>
      </c>
      <c r="CR48" s="28" t="str">
        <f>IF($G48="","",G48*(IF(ADRYr1!$AI48=CR$4,ADRYr1!$AJ48,IF(ADRYr1!$AK48=CR$4,ADRYr1!$AL48,IF(ADRYr1!$AM48=CR$4,ADRYr1!$AN48,0))))*(INDEX(avoidedcosttbl,$H48,CR$2)+(($H48-ROUNDDOWN($H48,0))*(INDEX(avoidedcosttbl,ROUNDUP($H48,0),CR$2)-(INDEX(avoidedcosttbl,ROUNDDOWN($H48,0),CR$2)))))*ADRYr1!$P48*ADRYr1!$Q48*ADRYr1!$U48)</f>
        <v/>
      </c>
      <c r="CS48" s="28" t="str">
        <f>IF($G48="","",G48*(IF(ADRYr1!$AI48=CS$4,ADRYr1!$AJ48,IF(ADRYr1!$AK48=CS$4,ADRYr1!$AL48,IF(ADRYr1!$AM48=CS$4,ADRYr1!$AN48,0))))*(INDEX(avoidedcosttbl,$H48,CS$2)+(($H48-ROUNDDOWN($H48,0))*(INDEX(avoidedcosttbl,ROUNDUP($H48,0),CS$2)-(INDEX(avoidedcosttbl,ROUNDDOWN($H48,0),CS$2)))))*ADRYr1!$P48*ADRYr1!$Q48*ADRYr1!$U48)</f>
        <v/>
      </c>
      <c r="CT48" s="28" t="str">
        <f t="shared" si="12"/>
        <v/>
      </c>
      <c r="CU48" s="28" t="str">
        <f>IF($G48="","",G48*(IF(ADRYr1!$AI48=CU$4,ADRYr1!$AJ48,IF(ADRYr1!$AK48=CU$4,ADRYr1!$AL48,IF(ADRYr1!$AM48=CU$4,ADRYr1!$AN48,0))))*(INDEX(avoidedcosttbl,$H48,CU$2)+(($H48-ROUNDDOWN($H48,0))*(INDEX(avoidedcosttbl,ROUNDUP($H48,0),CU$2)-(INDEX(avoidedcosttbl,ROUNDDOWN($H48,0),CU$2)))))*ADRYr1!$P48*ADRYr1!$Q48*ADRYr1!$U48)</f>
        <v/>
      </c>
      <c r="CV48" s="28" t="str">
        <f>IF($G48="","",G48*(IF(ADRYr1!$AI48=CV$4,ADRYr1!$AJ48,IF(ADRYr1!$AK48=CV$4,ADRYr1!$AL48,IF(ADRYr1!$AM48=CV$4,ADRYr1!$AN48,0))))*(INDEX(avoidedcosttbl,$H48,CV$2)+(($H48-ROUNDDOWN($H48,0))*(INDEX(avoidedcosttbl,ROUNDUP($H48,0),CV$2)-(INDEX(avoidedcosttbl,ROUNDDOWN($H48,0),CV$2)))))*ADRYr1!$P48*ADRYr1!$Q48*ADRYr1!$U48)</f>
        <v/>
      </c>
      <c r="CW48" s="28" t="str">
        <f>IF($G48="","",G48*(IF(ADRYr1!$AI48=CW$4,ADRYr1!$AJ48,IF(ADRYr1!$AK48=CW$4,ADRYr1!$AL48,IF(ADRYr1!$AM48=CW$4,ADRYr1!$AN48,0))))*(INDEX(avoidedcosttbl,$H48,CW$2)+(($H48-ROUNDDOWN($H48,0))*(INDEX(avoidedcosttbl,ROUNDUP($H48,0),CW$2)-(INDEX(avoidedcosttbl,ROUNDDOWN($H48,0),CW$2)))))*ADRYr1!$P48*ADRYr1!$Q48*ADRYr1!$U48)</f>
        <v/>
      </c>
      <c r="CX48" s="28" t="str">
        <f>IF($G48="","",G48*(IF(ADRYr1!$AI48=CX$4,ADRYr1!$AJ48,IF(ADRYr1!$AK48=CX$4,ADRYr1!$AL48,IF(ADRYr1!$AM48=CX$4,ADRYr1!$AN48,0))))*(INDEX(avoidedcosttbl,$H48,CX$2)+(($H48-ROUNDDOWN($H48,0))*(INDEX(avoidedcosttbl,ROUNDUP($H48,0),CX$2)-(INDEX(avoidedcosttbl,ROUNDDOWN($H48,0),CX$2)))))*ADRYr1!$P48*ADRYr1!$Q48*ADRYr1!$U48)</f>
        <v/>
      </c>
      <c r="CY48" s="28" t="str">
        <f t="shared" si="13"/>
        <v/>
      </c>
      <c r="CZ48" s="32" t="str">
        <f t="shared" si="14"/>
        <v/>
      </c>
      <c r="DA48" s="84" t="str">
        <f t="shared" si="42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15"/>
        <v/>
      </c>
      <c r="DD48" s="166" t="str">
        <f t="shared" si="16"/>
        <v/>
      </c>
      <c r="DE48" s="82">
        <f t="shared" si="43"/>
        <v>0</v>
      </c>
      <c r="DF48" s="760" t="str">
        <f>IF($G48="","",(1+WntPeakEnergyLL)*(INDEX(avoidedcosttbl,$H48,DF$2)+(($H48-ROUNDDOWN($H48,0))*(INDEX(avoidedcosttbl,ROUNDUP($H48,0),DF$2)-(INDEX(avoidedcosttbl,ROUNDDOWN($H48,0),DF$2)))))*$P48*1000*ADRYr1!Z48)</f>
        <v/>
      </c>
      <c r="DG48" s="760" t="str">
        <f>IF($G48="","",(1+WntOffPeakEnergyLL)*(INDEX(avoidedcosttbl,$H48,DG$2)+(($H48-ROUNDDOWN($H48,0))*(INDEX(avoidedcosttbl,ROUNDUP($H48,0),DG$2)-(INDEX(avoidedcosttbl,ROUNDDOWN($H48,0),DG$2)))))*$P48*1000*ADRYr1!AA48)</f>
        <v/>
      </c>
      <c r="DH48" s="760" t="str">
        <f>IF($G48="","",(1+SumPeakEnergyLL)*(INDEX(avoidedcosttbl,$H48,DH$2)+(($H48-ROUNDDOWN($H48,0))*(INDEX(avoidedcosttbl,ROUNDUP($H48,0),DH$2)-(INDEX(avoidedcosttbl,ROUNDDOWN($H48,0),DH$2)))))*$P48*1000*ADRYr1!AB48)</f>
        <v/>
      </c>
      <c r="DI48" s="760" t="str">
        <f>IF($G48="","",(1+SumOffPeakEnergyLL)*(INDEX(avoidedcosttbl,$H48,DI$2)+(($H48-ROUNDDOWN($H48,0))*(INDEX(avoidedcosttbl,ROUNDUP($H48,0),DI$2)-(INDEX(avoidedcosttbl,ROUNDDOWN($H48,0),DI$2)))))*$P48*1000*ADRYr1!AC48)</f>
        <v/>
      </c>
      <c r="DJ48" s="29" t="str">
        <f t="shared" si="44"/>
        <v/>
      </c>
      <c r="DK48" s="161" t="str">
        <f t="shared" si="51"/>
        <v/>
      </c>
      <c r="DL48" s="1375"/>
      <c r="DM48" s="1375" t="str">
        <f t="shared" si="47"/>
        <v/>
      </c>
      <c r="DO48" s="1131" t="str">
        <f>IF($G48="","",ADRYr1!AQ48)</f>
        <v/>
      </c>
      <c r="DP48" s="1133" t="str">
        <f>IF($G48="","",ADRYr1!AR48)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17"/>
        <v/>
      </c>
      <c r="DU48" s="1135" t="str">
        <f>IF($G48="","",ADRYr1!AS48)</f>
        <v/>
      </c>
      <c r="DV48" s="1136" t="str">
        <f>IF($G48="","",ADRYr1!AT48)</f>
        <v/>
      </c>
      <c r="DW48" s="1344" t="str">
        <f>IF($G48="","",INDEX(AvoidedEnergy!$H$4:$H$10,MATCH($DO48,AvoidedEnergy!$A$4:$A$10,0)))</f>
        <v/>
      </c>
    </row>
    <row r="49" spans="1:127">
      <c r="A49" s="160" t="str">
        <f>IF(ADRYr1!$B49=0,"",ADRYr1!A49)</f>
        <v/>
      </c>
      <c r="B49" s="9" t="str">
        <f>IF(ADRYr1!$B49=0,"",ADRYr1!B49)</f>
        <v/>
      </c>
      <c r="C49" s="9" t="str">
        <f>IF(ADRYr1!$B49=0,"",ADRYr1!C49)</f>
        <v/>
      </c>
      <c r="D49" s="9" t="str">
        <f>IF(ADRYr1!$B49=0,"",ADRYr1!D49)</f>
        <v/>
      </c>
      <c r="E49" s="9"/>
      <c r="F49" s="11" t="str">
        <f>IF(ADRYr1!$B49=0,"",ADRYr1!F49)</f>
        <v/>
      </c>
      <c r="G49" s="12" t="str">
        <f>IF(ADRYr1!$G49&lt;&gt;0,ADRYr1!G49,"")</f>
        <v/>
      </c>
      <c r="H49" s="1125" t="str">
        <f>IF($G49="","",ROUND(ADRYr1!H49,0))</f>
        <v/>
      </c>
      <c r="I49" s="47" t="str">
        <f>IF($G49="","",ADRYr1!I49*ADRYr1!P49*G49)</f>
        <v/>
      </c>
      <c r="J49" s="47" t="str">
        <f>IF($G49="","",ADRYr1!J49*G49)</f>
        <v/>
      </c>
      <c r="K49" s="47" t="str">
        <f t="shared" si="18"/>
        <v/>
      </c>
      <c r="L49" s="27" t="str">
        <f>IF($G49="","",ADRYr1!V49*G49/1000)</f>
        <v/>
      </c>
      <c r="M49" s="27" t="str">
        <f>IF($G49="","",L49*ADRYr1!$Q49*ADRYr1!$R49)</f>
        <v/>
      </c>
      <c r="N49" s="27" t="str">
        <f t="shared" si="19"/>
        <v/>
      </c>
      <c r="O49" s="27" t="str">
        <f t="shared" si="20"/>
        <v/>
      </c>
      <c r="P49" s="27" t="str">
        <f>IF($G49="","",M49*ADRYr1!P49)</f>
        <v/>
      </c>
      <c r="Q49" s="27" t="str">
        <f t="shared" si="21"/>
        <v/>
      </c>
      <c r="R49" s="27" t="str">
        <f>IF($G49="","",$Q49*ADRYr1!Z49)</f>
        <v/>
      </c>
      <c r="S49" s="27" t="str">
        <f>IF($G49="","",$Q49*ADRYr1!AA49)</f>
        <v/>
      </c>
      <c r="T49" s="27" t="str">
        <f>IF($G49="","",$Q49*ADRYr1!AB49)</f>
        <v/>
      </c>
      <c r="U49" s="27" t="str">
        <f>IF($G49="","",$Q49*ADRYr1!AC49)</f>
        <v/>
      </c>
      <c r="V49" s="27" t="str">
        <f>IF($G49="","",G49*ADRYr1!$AD49*ADRYr1!$P49*ADRYr1!$Q49)</f>
        <v/>
      </c>
      <c r="W49" s="27" t="str">
        <f>IF($G49="","",$G49*ADRYr1!$AD49*ADRYr1!$AF49*ADRYr1!Q49*ADRYr1!$S49)</f>
        <v/>
      </c>
      <c r="X49" s="27" t="str">
        <f>IF($G49="","",$G49*ADRYr1!$AD49*ADRYr1!$AF49*ADRYr1!P49*ADRYr1!Q49*ADRYr1!$S49)</f>
        <v/>
      </c>
      <c r="Y49" s="27" t="str">
        <f>IF($G49="","",$G49*ADRYr1!$AD49*ADRYr1!$AE49*ADRYr1!Q49*ADRYr1!$T49)</f>
        <v/>
      </c>
      <c r="Z49" s="27" t="str">
        <f>IF($G49="","",$G49*ADRYr1!$AD49*ADRYr1!$AE49*ADRYr1!P49*ADRYr1!Q49*ADRYr1!$T49)</f>
        <v/>
      </c>
      <c r="AA49" s="45" t="str">
        <f>IF($G49="","",$G49*ADRYr1!$Q49*ADRYr1!$U49*(IF(IFERROR(SEARCH("NG", ADRYr1!$AI49),0),ADRYr1!$AJ49,0)+IF(IFERROR(SEARCH("NG", ADRYr1!$AK49),0),ADRYr1!$AL49,0)+IF(IFERROR(SEARCH("NG", ADRYr1!$AM49),0),ADRYr1!$AN49,0)))</f>
        <v/>
      </c>
      <c r="AB49" s="45" t="str">
        <f t="shared" si="22"/>
        <v/>
      </c>
      <c r="AC49" s="45">
        <f>IF($G49="",0,AA49*ADRYr1!$P49)</f>
        <v>0</v>
      </c>
      <c r="AD49" s="45" t="str">
        <f t="shared" si="23"/>
        <v/>
      </c>
      <c r="AE49" s="45" t="str">
        <f>IF($G49="","",$G49*ADRYr1!$Q49*ADRYr1!$U49*(IF(IFERROR(SEARCH("Oil", ADRYr1!$AI49), 0),ADRYr1!$AJ49,0)+IF(IFERROR(SEARCH("Oil", ADRYr1!$AK49), 0),ADRYr1!$AL49,0)+IF(IFERROR(SEARCH("Oil", ADRYr1!$AM49), 0),ADRYr1!$AN49,0)))</f>
        <v/>
      </c>
      <c r="AF49" s="45" t="str">
        <f t="shared" si="24"/>
        <v/>
      </c>
      <c r="AG49" s="45">
        <f>IF($G49="",0,AE49*ADRYr1!$P49)</f>
        <v>0</v>
      </c>
      <c r="AH49" s="45" t="str">
        <f t="shared" si="25"/>
        <v/>
      </c>
      <c r="AI49" s="45" t="str">
        <f>IF($G49="","",$G49*ADRYr1!$Q49*ADRYr1!$U49*(IF(ADRYr1!$AI49=Lookups!$E$114,ADRYr1!$AJ49,IF(ADRYr1!$AK49=Lookups!$E$114,ADRYr1!$AL49,IF(ADRYr1!$AM49=Lookups!$E$114,ADRYr1!$AN49,0)))))</f>
        <v/>
      </c>
      <c r="AJ49" s="45" t="str">
        <f t="shared" si="26"/>
        <v/>
      </c>
      <c r="AK49" s="45">
        <f>IF($G49="",0,AI49*ADRYr1!$P49)</f>
        <v>0</v>
      </c>
      <c r="AL49" s="45" t="str">
        <f t="shared" si="27"/>
        <v/>
      </c>
      <c r="AM49" s="45" t="str">
        <f>IF($G49="","",$G49*ADRYr1!$Q49*ADRYr1!$U49*(IF(ADRYr1!$AI49=Lookups!$E$113,ADRYr1!$AJ49,IF(ADRYr1!$AK49=Lookups!$E$113,ADRYr1!$AL49,IF(ADRYr1!$AM49=Lookups!$E$113,ADRYr1!$AN49,0)))))</f>
        <v/>
      </c>
      <c r="AN49" s="45" t="str">
        <f t="shared" si="28"/>
        <v/>
      </c>
      <c r="AO49" s="45">
        <f>IF($G49="",0,AM49*ADRYr1!$P49)</f>
        <v>0</v>
      </c>
      <c r="AP49" s="45" t="str">
        <f t="shared" si="29"/>
        <v/>
      </c>
      <c r="AQ49" s="45" t="str">
        <f>IF($G49="","",$G49*ADRYr1!$Q49*ADRYr1!$U49*(IF(ADRYr1!$AI49=Lookups!$E$115,ADRYr1!$AJ49,IF(ADRYr1!$AK49=Lookups!$E$115,ADRYr1!$AL49,IF(ADRYr1!$AM49=Lookups!$E$115,ADRYr1!$AN49,0)))))</f>
        <v/>
      </c>
      <c r="AR49" s="45" t="str">
        <f t="shared" si="30"/>
        <v/>
      </c>
      <c r="AS49" s="45" t="str">
        <f>IF($G49="","",AQ49*ADRYr1!$P49)</f>
        <v/>
      </c>
      <c r="AT49" s="45" t="str">
        <f t="shared" si="31"/>
        <v/>
      </c>
      <c r="AU49" s="45" t="str">
        <f>IF($G49="","",$G49*ADRYr1!$Q49*ADRYr1!$U49*(IF(ADRYr1!$AI49=Lookups!$E$116,ADRYr1!$AJ49,IF(ADRYr1!$AK49=Lookups!$E$116,ADRYr1!$AL49,IF(ADRYr1!$AM49=Lookups!$E$116,ADRYr1!$AN49,0)))))</f>
        <v/>
      </c>
      <c r="AV49" s="45" t="str">
        <f t="shared" si="32"/>
        <v/>
      </c>
      <c r="AW49" s="45" t="str">
        <f>IF($G49="","",AU49*ADRYr1!$P49)</f>
        <v/>
      </c>
      <c r="AX49" s="45" t="str">
        <f t="shared" si="33"/>
        <v/>
      </c>
      <c r="AY49" s="45">
        <f t="shared" si="49"/>
        <v>0</v>
      </c>
      <c r="AZ49" s="45">
        <f t="shared" si="49"/>
        <v>0</v>
      </c>
      <c r="BA49" s="101" t="str">
        <f>IF($G49="","",$G49*ADRYr1!$P49*ADRYr1!$Q49*ADRYr1!$U49*ADRYr1!AO49)</f>
        <v/>
      </c>
      <c r="BB49" s="102" t="str">
        <f>IF($G49="","",$G49*ADRYr1!$P49*ADRYr1!$Q49*ADRYr1!$U49*ADRYr1!AP49)</f>
        <v/>
      </c>
      <c r="BC49" s="100" t="str">
        <f t="shared" si="35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5"/>
        <v/>
      </c>
      <c r="BO49" s="31" t="str">
        <f t="shared" si="36"/>
        <v/>
      </c>
      <c r="BP49" s="1129" t="str">
        <f t="shared" si="6"/>
        <v/>
      </c>
      <c r="BQ49" s="28" t="str">
        <f t="shared" si="7"/>
        <v/>
      </c>
      <c r="BR49" s="1129" t="str">
        <f t="shared" si="8"/>
        <v/>
      </c>
      <c r="BS49" s="1129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7"/>
        <v/>
      </c>
      <c r="BX49" s="29" t="str">
        <f t="shared" si="38"/>
        <v/>
      </c>
      <c r="BY49" s="28" t="str">
        <f>IF($G49="","",$G49*(IF(ADRYr1!$AI49=BY$4,ADRYr1!$AJ49,IF(ADRYr1!$AK49=BY$4,ADRYr1!$AL49,IF(ADRYr1!$AM49=BY$4,ADRYr1!$AN49,0))))*(INDEX(avoidedcosttbl,$H49,BY$2)+(($H49-ROUNDDOWN($H49,0))*(INDEX(avoidedcosttbl,ROUNDUP($H49,0),BY$2)-(INDEX(avoidedcosttbl,ROUNDDOWN($H49,0),BY$2)))))*ADRYr1!P49*ADRYr1!Q49*ADRYr1!U49)</f>
        <v/>
      </c>
      <c r="BZ49" s="28" t="str">
        <f>IF($G49="","",$G49*(IF(ADRYr1!$AI49=BZ$4,ADRYr1!$AJ49,IF(ADRYr1!$AK49=BZ$4,ADRYr1!$AL49,IF(ADRYr1!$AM49=BZ$4,ADRYr1!$AN49,0))))*(INDEX(avoidedcosttbl,$H49,BZ$2)+(($H49-ROUNDDOWN($H49,0))*(INDEX(avoidedcosttbl,ROUNDUP($H49,0),BZ$2)-(INDEX(avoidedcosttbl,ROUNDDOWN($H49,0),BZ$2)))))*ADRYr1!P49*ADRYr1!Q49*ADRYr1!U49)</f>
        <v/>
      </c>
      <c r="CA49" s="28" t="str">
        <f>IF($G49="","",$G49*(IF(ADRYr1!$AI49=CA$4,ADRYr1!$AJ49,IF(ADRYr1!$AK49=CA$4,ADRYr1!$AL49,IF(ADRYr1!$AM49=CA$4,ADRYr1!$AN49,0))))*(INDEX(avoidedcosttbl,$H49,CA$2)+(($H49-ROUNDDOWN($H49,0))*(INDEX(avoidedcosttbl,ROUNDUP($H49,0),CA$2)-(INDEX(avoidedcosttbl,ROUNDDOWN($H49,0),CA$2)))))*ADRYr1!P49*ADRYr1!Q49*ADRYr1!U49)</f>
        <v/>
      </c>
      <c r="CB49" s="28" t="str">
        <f>IF($G49="","",$G49*(IF(ADRYr1!$AI49=CB$4,ADRYr1!$AJ49,IF(ADRYr1!$AK49=CB$4,ADRYr1!$AL49,IF(ADRYr1!$AM49=CB$4,ADRYr1!$AN49,0))))*(INDEX(avoidedcosttbl,$H49,CB$2)+(($H49-ROUNDDOWN($H49,0))*(INDEX(avoidedcosttbl,ROUNDUP($H49,0),CB$2)-(INDEX(avoidedcosttbl,ROUNDDOWN($H49,0),CB$2)))))*ADRYr1!P49*ADRYr1!Q49*ADRYr1!U49)</f>
        <v/>
      </c>
      <c r="CC49" s="28" t="str">
        <f>IF($G49="","",$G49*(IF(ADRYr1!$AI49=CC$4,ADRYr1!$AJ49,IF(ADRYr1!$AK49=CC$4,ADRYr1!$AL49,IF(ADRYr1!$AM49=CC$4,ADRYr1!$AN49,0))))*(INDEX(avoidedcosttbl,$H49,CC$2)+(($H49-ROUNDDOWN($H49,0))*(INDEX(avoidedcosttbl,ROUNDUP($H49,0),CC$2)-(INDEX(avoidedcosttbl,ROUNDDOWN($H49,0),CC$2)))))*ADRYr1!P49*ADRYr1!Q49*ADRYr1!U49)</f>
        <v/>
      </c>
      <c r="CD49" s="28" t="str">
        <f>IF($G49="","",$G49*(IF(ADRYr1!$AI49=CD$4,ADRYr1!$AJ49,IF(ADRYr1!$AK49=CD$4,ADRYr1!$AL49,IF(ADRYr1!$AM49=CD$4,ADRYr1!$AN49,0))))*(INDEX(avoidedcosttbl,$H49,CD$2)+(($H49-ROUNDDOWN($H49,0))*(INDEX(avoidedcosttbl,ROUNDUP($H49,0),CD$2)-(INDEX(avoidedcosttbl,ROUNDDOWN($H49,0),CD$2)))))*ADRYr1!P49*ADRYr1!Q49*ADRYr1!U49)</f>
        <v/>
      </c>
      <c r="CE49" s="28" t="str">
        <f>IF($G49="","",$G49*(IF(ADRYr1!$AI49=CE$4,ADRYr1!$AJ49,IF(ADRYr1!$AK49=CE$4,ADRYr1!$AL49,IF(ADRYr1!$AM49=CE$4,ADRYr1!$AN49,0))))*(INDEX(avoidedcosttbl,$H49,CE$2)+(($H49-ROUNDDOWN($H49,0))*(INDEX(avoidedcosttbl,ROUNDUP($H49,0),CE$2)-(INDEX(avoidedcosttbl,ROUNDDOWN($H49,0),CE$2)))))*ADRYr1!P49*ADRYr1!Q49*ADRYr1!U49)</f>
        <v/>
      </c>
      <c r="CF49" s="41" t="str">
        <f t="shared" si="39"/>
        <v/>
      </c>
      <c r="CG49" s="30" t="str">
        <f t="shared" si="11"/>
        <v/>
      </c>
      <c r="CH49" s="30" t="str">
        <f>IF($G49="","",$G49*(IF(ADRYr1!$AI49=BY$4,ADRYr1!$AJ49,IF(ADRYr1!$AK49=BY$4,ADRYr1!$AL49,IF(ADRYr1!$AM49=BY$4,ADRYr1!$AN49,0))))*(INDEX(avoidedcosttbl,$H49,CH$2)+(($H49-ROUNDDOWN($H49,0))*(INDEX(avoidedcosttbl,ROUNDUP($H49,0),CH$2)-(INDEX(avoidedcosttbl,ROUNDDOWN($H49,0),CH$2)))))*ADRYr1!P49*ADRYr1!Q49*ADRYr1!U49)</f>
        <v/>
      </c>
      <c r="CI49" s="30" t="str">
        <f>IF($G49="","",$G49*(IF(ADRYr1!$AI49=BZ$4,ADRYr1!$AJ49,IF(ADRYr1!$AK49=BZ$4,ADRYr1!$AL49,IF(ADRYr1!$AM49=BZ$4,ADRYr1!$AN49,0))))*(INDEX(avoidedcosttbl,$H49,CI$2)+(($H49-ROUNDDOWN($H49,0))*(INDEX(avoidedcosttbl,ROUNDUP($H49,0),CI$2)-(INDEX(avoidedcosttbl,ROUNDDOWN($H49,0),CI$2)))))*ADRYr1!P49*ADRYr1!Q49*ADRYr1!U49)</f>
        <v/>
      </c>
      <c r="CJ49" s="30" t="str">
        <f>IF($G49="","",$G49*(IF(ADRYr1!$AI49=CA$4,ADRYr1!$AJ49,IF(ADRYr1!$AK49=CA$4,ADRYr1!$AL49,IF(ADRYr1!$AM49=CA$4,ADRYr1!$AN49,0))))*(INDEX(avoidedcosttbl,$H49,CJ$2)+(($H49-ROUNDDOWN($H49,0))*(INDEX(avoidedcosttbl,ROUNDUP($H49,0),CJ$2)-(INDEX(avoidedcosttbl,ROUNDDOWN($H49,0),CJ$2)))))*ADRYr1!P49*ADRYr1!Q49*ADRYr1!U49)</f>
        <v/>
      </c>
      <c r="CK49" s="30" t="str">
        <f>IF($G49="","",$G49*(IF(ADRYr1!$AI49=CB$4,ADRYr1!$AJ49,IF(ADRYr1!$AK49=CB$4,ADRYr1!$AL49,IF(ADRYr1!$AM49=CB$4,ADRYr1!$AN49,0))))*(INDEX(avoidedcosttbl,$H49,CK$2)+(($H49-ROUNDDOWN($H49,0))*(INDEX(avoidedcosttbl,ROUNDUP($H49,0),CK$2)-(INDEX(avoidedcosttbl,ROUNDDOWN($H49,0),CK$2)))))*ADRYr1!P49*ADRYr1!Q49*ADRYr1!U49)</f>
        <v/>
      </c>
      <c r="CL49" s="30" t="str">
        <f>IF($G49="","",$G49*(IF(ADRYr1!$AI49=CC$4,ADRYr1!$AJ49,IF(ADRYr1!$AK49=CC$4,ADRYr1!$AL49,IF(ADRYr1!$AM49=CC$4,ADRYr1!$AN49,0))))*(INDEX(avoidedcosttbl,$H49,CL$2)+(($H49-ROUNDDOWN($H49,0))*(INDEX(avoidedcosttbl,ROUNDUP($H49,0),CL$2)-(INDEX(avoidedcosttbl,ROUNDDOWN($H49,0),CL$2)))))*ADRYr1!P49*ADRYr1!Q49*ADRYr1!U49)</f>
        <v/>
      </c>
      <c r="CM49" s="30" t="str">
        <f>IF($G49="","",$G49*(IF(ADRYr1!$AI49=CD$4,ADRYr1!$AJ49,IF(ADRYr1!$AK49=CD$4,ADRYr1!$AL49,IF(ADRYr1!$AM49=CD$4,ADRYr1!$AN49,0))))*(INDEX(avoidedcosttbl,$H49,CM$2)+(($H49-ROUNDDOWN($H49,0))*(INDEX(avoidedcosttbl,ROUNDUP($H49,0),CM$2)-(INDEX(avoidedcosttbl,ROUNDDOWN($H49,0),CM$2)))))*ADRYr1!P49*ADRYr1!Q49*ADRYr1!U49)</f>
        <v/>
      </c>
      <c r="CN49" s="30" t="str">
        <f>IF($G49="","",$G49*(IF(ADRYr1!$AI49=CE$4,ADRYr1!$AJ49,IF(ADRYr1!$AK49=CE$4,ADRYr1!$AL49,IF(ADRYr1!$AM49=CE$4,ADRYr1!$AN49,0))))*(INDEX(avoidedcosttbl,$H49,CN$2)+(($H49-ROUNDDOWN($H49,0))*(INDEX(avoidedcosttbl,ROUNDUP($H49,0),CN$2)-(INDEX(avoidedcosttbl,ROUNDDOWN($H49,0),CN$2)))))*ADRYr1!P49*ADRYr1!Q49*ADRYr1!U49)</f>
        <v/>
      </c>
      <c r="CO49" s="220" t="str">
        <f t="shared" si="40"/>
        <v/>
      </c>
      <c r="CP49" s="220" t="str">
        <f t="shared" si="41"/>
        <v/>
      </c>
      <c r="CQ49" s="157" t="str">
        <f>IF($G49="","",$G49*(IF(ADRYr1!$AI49=CQ$4,ADRYr1!$AJ49,IF(ADRYr1!$AK49=CQ$4,ADRYr1!$AL49,IF(ADRYr1!$AM49=CQ$4,ADRYr1!$AN49,0))))*(INDEX(avoidedcosttbl,$H49,CQ$2)+(($H49-ROUNDDOWN($H49,0))*(INDEX(avoidedcosttbl,ROUNDUP($H49,0),CQ$2)-(INDEX(avoidedcosttbl,ROUNDDOWN($H49,0),CQ$2)))))*ADRYr1!$P49*ADRYr1!$Q49*ADRYr1!$U49)</f>
        <v/>
      </c>
      <c r="CR49" s="28" t="str">
        <f>IF($G49="","",G49*(IF(ADRYr1!$AI49=CR$4,ADRYr1!$AJ49,IF(ADRYr1!$AK49=CR$4,ADRYr1!$AL49,IF(ADRYr1!$AM49=CR$4,ADRYr1!$AN49,0))))*(INDEX(avoidedcosttbl,$H49,CR$2)+(($H49-ROUNDDOWN($H49,0))*(INDEX(avoidedcosttbl,ROUNDUP($H49,0),CR$2)-(INDEX(avoidedcosttbl,ROUNDDOWN($H49,0),CR$2)))))*ADRYr1!$P49*ADRYr1!$Q49*ADRYr1!$U49)</f>
        <v/>
      </c>
      <c r="CS49" s="28" t="str">
        <f>IF($G49="","",G49*(IF(ADRYr1!$AI49=CS$4,ADRYr1!$AJ49,IF(ADRYr1!$AK49=CS$4,ADRYr1!$AL49,IF(ADRYr1!$AM49=CS$4,ADRYr1!$AN49,0))))*(INDEX(avoidedcosttbl,$H49,CS$2)+(($H49-ROUNDDOWN($H49,0))*(INDEX(avoidedcosttbl,ROUNDUP($H49,0),CS$2)-(INDEX(avoidedcosttbl,ROUNDDOWN($H49,0),CS$2)))))*ADRYr1!$P49*ADRYr1!$Q49*ADRYr1!$U49)</f>
        <v/>
      </c>
      <c r="CT49" s="28" t="str">
        <f t="shared" si="12"/>
        <v/>
      </c>
      <c r="CU49" s="28" t="str">
        <f>IF($G49="","",G49*(IF(ADRYr1!$AI49=CU$4,ADRYr1!$AJ49,IF(ADRYr1!$AK49=CU$4,ADRYr1!$AL49,IF(ADRYr1!$AM49=CU$4,ADRYr1!$AN49,0))))*(INDEX(avoidedcosttbl,$H49,CU$2)+(($H49-ROUNDDOWN($H49,0))*(INDEX(avoidedcosttbl,ROUNDUP($H49,0),CU$2)-(INDEX(avoidedcosttbl,ROUNDDOWN($H49,0),CU$2)))))*ADRYr1!$P49*ADRYr1!$Q49*ADRYr1!$U49)</f>
        <v/>
      </c>
      <c r="CV49" s="28" t="str">
        <f>IF($G49="","",G49*(IF(ADRYr1!$AI49=CV$4,ADRYr1!$AJ49,IF(ADRYr1!$AK49=CV$4,ADRYr1!$AL49,IF(ADRYr1!$AM49=CV$4,ADRYr1!$AN49,0))))*(INDEX(avoidedcosttbl,$H49,CV$2)+(($H49-ROUNDDOWN($H49,0))*(INDEX(avoidedcosttbl,ROUNDUP($H49,0),CV$2)-(INDEX(avoidedcosttbl,ROUNDDOWN($H49,0),CV$2)))))*ADRYr1!$P49*ADRYr1!$Q49*ADRYr1!$U49)</f>
        <v/>
      </c>
      <c r="CW49" s="28" t="str">
        <f>IF($G49="","",G49*(IF(ADRYr1!$AI49=CW$4,ADRYr1!$AJ49,IF(ADRYr1!$AK49=CW$4,ADRYr1!$AL49,IF(ADRYr1!$AM49=CW$4,ADRYr1!$AN49,0))))*(INDEX(avoidedcosttbl,$H49,CW$2)+(($H49-ROUNDDOWN($H49,0))*(INDEX(avoidedcosttbl,ROUNDUP($H49,0),CW$2)-(INDEX(avoidedcosttbl,ROUNDDOWN($H49,0),CW$2)))))*ADRYr1!$P49*ADRYr1!$Q49*ADRYr1!$U49)</f>
        <v/>
      </c>
      <c r="CX49" s="28" t="str">
        <f>IF($G49="","",G49*(IF(ADRYr1!$AI49=CX$4,ADRYr1!$AJ49,IF(ADRYr1!$AK49=CX$4,ADRYr1!$AL49,IF(ADRYr1!$AM49=CX$4,ADRYr1!$AN49,0))))*(INDEX(avoidedcosttbl,$H49,CX$2)+(($H49-ROUNDDOWN($H49,0))*(INDEX(avoidedcosttbl,ROUNDUP($H49,0),CX$2)-(INDEX(avoidedcosttbl,ROUNDDOWN($H49,0),CX$2)))))*ADRYr1!$P49*ADRYr1!$Q49*ADRYr1!$U49)</f>
        <v/>
      </c>
      <c r="CY49" s="28" t="str">
        <f t="shared" si="13"/>
        <v/>
      </c>
      <c r="CZ49" s="32" t="str">
        <f t="shared" si="14"/>
        <v/>
      </c>
      <c r="DA49" s="84" t="str">
        <f t="shared" si="42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15"/>
        <v/>
      </c>
      <c r="DD49" s="166" t="str">
        <f t="shared" si="16"/>
        <v/>
      </c>
      <c r="DE49" s="82">
        <f t="shared" si="43"/>
        <v>0</v>
      </c>
      <c r="DF49" s="760" t="str">
        <f>IF($G49="","",(1+WntPeakEnergyLL)*(INDEX(avoidedcosttbl,$H49,DF$2)+(($H49-ROUNDDOWN($H49,0))*(INDEX(avoidedcosttbl,ROUNDUP($H49,0),DF$2)-(INDEX(avoidedcosttbl,ROUNDDOWN($H49,0),DF$2)))))*$P49*1000*ADRYr1!Z49)</f>
        <v/>
      </c>
      <c r="DG49" s="760" t="str">
        <f>IF($G49="","",(1+WntOffPeakEnergyLL)*(INDEX(avoidedcosttbl,$H49,DG$2)+(($H49-ROUNDDOWN($H49,0))*(INDEX(avoidedcosttbl,ROUNDUP($H49,0),DG$2)-(INDEX(avoidedcosttbl,ROUNDDOWN($H49,0),DG$2)))))*$P49*1000*ADRYr1!AA49)</f>
        <v/>
      </c>
      <c r="DH49" s="760" t="str">
        <f>IF($G49="","",(1+SumPeakEnergyLL)*(INDEX(avoidedcosttbl,$H49,DH$2)+(($H49-ROUNDDOWN($H49,0))*(INDEX(avoidedcosttbl,ROUNDUP($H49,0),DH$2)-(INDEX(avoidedcosttbl,ROUNDDOWN($H49,0),DH$2)))))*$P49*1000*ADRYr1!AB49)</f>
        <v/>
      </c>
      <c r="DI49" s="760" t="str">
        <f>IF($G49="","",(1+SumOffPeakEnergyLL)*(INDEX(avoidedcosttbl,$H49,DI$2)+(($H49-ROUNDDOWN($H49,0))*(INDEX(avoidedcosttbl,ROUNDUP($H49,0),DI$2)-(INDEX(avoidedcosttbl,ROUNDDOWN($H49,0),DI$2)))))*$P49*1000*ADRYr1!AC49)</f>
        <v/>
      </c>
      <c r="DJ49" s="29" t="str">
        <f t="shared" si="44"/>
        <v/>
      </c>
      <c r="DK49" s="161" t="str">
        <f t="shared" si="51"/>
        <v/>
      </c>
      <c r="DL49" s="1375"/>
      <c r="DM49" s="1375" t="str">
        <f t="shared" si="47"/>
        <v/>
      </c>
      <c r="DO49" s="1131" t="str">
        <f>IF($G49="","",ADRYr1!AQ49)</f>
        <v/>
      </c>
      <c r="DP49" s="1133" t="str">
        <f>IF($G49="","",ADRYr1!AR49)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17"/>
        <v/>
      </c>
      <c r="DU49" s="1135" t="str">
        <f>IF($G49="","",ADRYr1!AS49)</f>
        <v/>
      </c>
      <c r="DV49" s="1136" t="str">
        <f>IF($G49="","",ADRYr1!AT49)</f>
        <v/>
      </c>
      <c r="DW49" s="1344" t="str">
        <f>IF($G49="","",INDEX(AvoidedEnergy!$H$4:$H$10,MATCH($DO49,AvoidedEnergy!$A$4:$A$10,0)))</f>
        <v/>
      </c>
    </row>
    <row r="50" spans="1:127">
      <c r="A50" s="160" t="str">
        <f>IF(ADRYr1!$B50=0,"",ADRYr1!A50)</f>
        <v/>
      </c>
      <c r="B50" s="9" t="str">
        <f>IF(ADRYr1!$B50=0,"",ADRYr1!B50)</f>
        <v/>
      </c>
      <c r="C50" s="9" t="str">
        <f>IF(ADRYr1!$B50=0,"",ADRYr1!C50)</f>
        <v/>
      </c>
      <c r="D50" s="9" t="str">
        <f>IF(ADRYr1!$B50=0,"",ADRYr1!D50)</f>
        <v/>
      </c>
      <c r="E50" s="9"/>
      <c r="F50" s="11" t="str">
        <f>IF(ADRYr1!$B50=0,"",ADRYr1!F50)</f>
        <v/>
      </c>
      <c r="G50" s="12" t="str">
        <f>IF(ADRYr1!$G50&lt;&gt;0,ADRYr1!G50,"")</f>
        <v/>
      </c>
      <c r="H50" s="1125" t="str">
        <f>IF($G50="","",ROUND(ADRYr1!H50,0))</f>
        <v/>
      </c>
      <c r="I50" s="47" t="str">
        <f>IF($G50="","",ADRYr1!I50*ADRYr1!P50*G50)</f>
        <v/>
      </c>
      <c r="J50" s="47" t="str">
        <f>IF($G50="","",ADRYr1!J50*G50)</f>
        <v/>
      </c>
      <c r="K50" s="47" t="str">
        <f t="shared" si="18"/>
        <v/>
      </c>
      <c r="L50" s="27" t="str">
        <f>IF($G50="","",ADRYr1!V50*G50/1000)</f>
        <v/>
      </c>
      <c r="M50" s="27" t="str">
        <f>IF($G50="","",L50*ADRYr1!$Q50*ADRYr1!$R50)</f>
        <v/>
      </c>
      <c r="N50" s="27" t="str">
        <f t="shared" si="19"/>
        <v/>
      </c>
      <c r="O50" s="27" t="str">
        <f t="shared" si="20"/>
        <v/>
      </c>
      <c r="P50" s="27" t="str">
        <f>IF($G50="","",M50*ADRYr1!P50)</f>
        <v/>
      </c>
      <c r="Q50" s="27" t="str">
        <f t="shared" si="21"/>
        <v/>
      </c>
      <c r="R50" s="27" t="str">
        <f>IF($G50="","",$Q50*ADRYr1!Z50)</f>
        <v/>
      </c>
      <c r="S50" s="27" t="str">
        <f>IF($G50="","",$Q50*ADRYr1!AA50)</f>
        <v/>
      </c>
      <c r="T50" s="27" t="str">
        <f>IF($G50="","",$Q50*ADRYr1!AB50)</f>
        <v/>
      </c>
      <c r="U50" s="27" t="str">
        <f>IF($G50="","",$Q50*ADRYr1!AC50)</f>
        <v/>
      </c>
      <c r="V50" s="27" t="str">
        <f>IF($G50="","",G50*ADRYr1!$AD50*ADRYr1!$P50*ADRYr1!$Q50)</f>
        <v/>
      </c>
      <c r="W50" s="27" t="str">
        <f>IF($G50="","",$G50*ADRYr1!$AD50*ADRYr1!$AF50*ADRYr1!Q50*ADRYr1!$S50)</f>
        <v/>
      </c>
      <c r="X50" s="27" t="str">
        <f>IF($G50="","",$G50*ADRYr1!$AD50*ADRYr1!$AF50*ADRYr1!P50*ADRYr1!Q50*ADRYr1!$S50)</f>
        <v/>
      </c>
      <c r="Y50" s="27" t="str">
        <f>IF($G50="","",$G50*ADRYr1!$AD50*ADRYr1!$AE50*ADRYr1!Q50*ADRYr1!$T50)</f>
        <v/>
      </c>
      <c r="Z50" s="27" t="str">
        <f>IF($G50="","",$G50*ADRYr1!$AD50*ADRYr1!$AE50*ADRYr1!P50*ADRYr1!Q50*ADRYr1!$T50)</f>
        <v/>
      </c>
      <c r="AA50" s="45" t="str">
        <f>IF($G50="","",$G50*ADRYr1!$Q50*ADRYr1!$U50*(IF(IFERROR(SEARCH("NG", ADRYr1!$AI50),0),ADRYr1!$AJ50,0)+IF(IFERROR(SEARCH("NG", ADRYr1!$AK50),0),ADRYr1!$AL50,0)+IF(IFERROR(SEARCH("NG", ADRYr1!$AM50),0),ADRYr1!$AN50,0)))</f>
        <v/>
      </c>
      <c r="AB50" s="45" t="str">
        <f t="shared" si="22"/>
        <v/>
      </c>
      <c r="AC50" s="45">
        <f>IF($G50="",0,AA50*ADRYr1!$P50)</f>
        <v>0</v>
      </c>
      <c r="AD50" s="45" t="str">
        <f t="shared" si="23"/>
        <v/>
      </c>
      <c r="AE50" s="45" t="str">
        <f>IF($G50="","",$G50*ADRYr1!$Q50*ADRYr1!$U50*(IF(IFERROR(SEARCH("Oil", ADRYr1!$AI50), 0),ADRYr1!$AJ50,0)+IF(IFERROR(SEARCH("Oil", ADRYr1!$AK50), 0),ADRYr1!$AL50,0)+IF(IFERROR(SEARCH("Oil", ADRYr1!$AM50), 0),ADRYr1!$AN50,0)))</f>
        <v/>
      </c>
      <c r="AF50" s="45" t="str">
        <f t="shared" si="24"/>
        <v/>
      </c>
      <c r="AG50" s="45">
        <f>IF($G50="",0,AE50*ADRYr1!$P50)</f>
        <v>0</v>
      </c>
      <c r="AH50" s="45" t="str">
        <f t="shared" si="25"/>
        <v/>
      </c>
      <c r="AI50" s="45" t="str">
        <f>IF($G50="","",$G50*ADRYr1!$Q50*ADRYr1!$U50*(IF(ADRYr1!$AI50=Lookups!$E$114,ADRYr1!$AJ50,IF(ADRYr1!$AK50=Lookups!$E$114,ADRYr1!$AL50,IF(ADRYr1!$AM50=Lookups!$E$114,ADRYr1!$AN50,0)))))</f>
        <v/>
      </c>
      <c r="AJ50" s="45" t="str">
        <f t="shared" si="26"/>
        <v/>
      </c>
      <c r="AK50" s="45">
        <f>IF($G50="",0,AI50*ADRYr1!$P50)</f>
        <v>0</v>
      </c>
      <c r="AL50" s="45" t="str">
        <f t="shared" si="27"/>
        <v/>
      </c>
      <c r="AM50" s="45" t="str">
        <f>IF($G50="","",$G50*ADRYr1!$Q50*ADRYr1!$U50*(IF(ADRYr1!$AI50=Lookups!$E$113,ADRYr1!$AJ50,IF(ADRYr1!$AK50=Lookups!$E$113,ADRYr1!$AL50,IF(ADRYr1!$AM50=Lookups!$E$113,ADRYr1!$AN50,0)))))</f>
        <v/>
      </c>
      <c r="AN50" s="45" t="str">
        <f t="shared" si="28"/>
        <v/>
      </c>
      <c r="AO50" s="45">
        <f>IF($G50="",0,AM50*ADRYr1!$P50)</f>
        <v>0</v>
      </c>
      <c r="AP50" s="45" t="str">
        <f t="shared" si="29"/>
        <v/>
      </c>
      <c r="AQ50" s="45" t="str">
        <f>IF($G50="","",$G50*ADRYr1!$Q50*ADRYr1!$U50*(IF(ADRYr1!$AI50=Lookups!$E$115,ADRYr1!$AJ50,IF(ADRYr1!$AK50=Lookups!$E$115,ADRYr1!$AL50,IF(ADRYr1!$AM50=Lookups!$E$115,ADRYr1!$AN50,0)))))</f>
        <v/>
      </c>
      <c r="AR50" s="45" t="str">
        <f t="shared" si="30"/>
        <v/>
      </c>
      <c r="AS50" s="45" t="str">
        <f>IF($G50="","",AQ50*ADRYr1!$P50)</f>
        <v/>
      </c>
      <c r="AT50" s="45" t="str">
        <f t="shared" si="31"/>
        <v/>
      </c>
      <c r="AU50" s="45" t="str">
        <f>IF($G50="","",$G50*ADRYr1!$Q50*ADRYr1!$U50*(IF(ADRYr1!$AI50=Lookups!$E$116,ADRYr1!$AJ50,IF(ADRYr1!$AK50=Lookups!$E$116,ADRYr1!$AL50,IF(ADRYr1!$AM50=Lookups!$E$116,ADRYr1!$AN50,0)))))</f>
        <v/>
      </c>
      <c r="AV50" s="45" t="str">
        <f t="shared" si="32"/>
        <v/>
      </c>
      <c r="AW50" s="45" t="str">
        <f>IF($G50="","",AU50*ADRYr1!$P50)</f>
        <v/>
      </c>
      <c r="AX50" s="45" t="str">
        <f t="shared" si="33"/>
        <v/>
      </c>
      <c r="AY50" s="45">
        <f t="shared" si="49"/>
        <v>0</v>
      </c>
      <c r="AZ50" s="45">
        <f t="shared" si="49"/>
        <v>0</v>
      </c>
      <c r="BA50" s="101" t="str">
        <f>IF($G50="","",$G50*ADRYr1!$P50*ADRYr1!$Q50*ADRYr1!$U50*ADRYr1!AO50)</f>
        <v/>
      </c>
      <c r="BB50" s="102" t="str">
        <f>IF($G50="","",$G50*ADRYr1!$P50*ADRYr1!$Q50*ADRYr1!$U50*ADRYr1!AP50)</f>
        <v/>
      </c>
      <c r="BC50" s="100" t="str">
        <f t="shared" si="35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5"/>
        <v/>
      </c>
      <c r="BO50" s="31" t="str">
        <f t="shared" si="36"/>
        <v/>
      </c>
      <c r="BP50" s="1129" t="str">
        <f t="shared" si="6"/>
        <v/>
      </c>
      <c r="BQ50" s="28" t="str">
        <f t="shared" si="7"/>
        <v/>
      </c>
      <c r="BR50" s="1129" t="str">
        <f t="shared" si="8"/>
        <v/>
      </c>
      <c r="BS50" s="1129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7"/>
        <v/>
      </c>
      <c r="BX50" s="29" t="str">
        <f t="shared" si="38"/>
        <v/>
      </c>
      <c r="BY50" s="28" t="str">
        <f>IF($G50="","",$G50*(IF(ADRYr1!$AI50=BY$4,ADRYr1!$AJ50,IF(ADRYr1!$AK50=BY$4,ADRYr1!$AL50,IF(ADRYr1!$AM50=BY$4,ADRYr1!$AN50,0))))*(INDEX(avoidedcosttbl,$H50,BY$2)+(($H50-ROUNDDOWN($H50,0))*(INDEX(avoidedcosttbl,ROUNDUP($H50,0),BY$2)-(INDEX(avoidedcosttbl,ROUNDDOWN($H50,0),BY$2)))))*ADRYr1!P50*ADRYr1!Q50*ADRYr1!U50)</f>
        <v/>
      </c>
      <c r="BZ50" s="28" t="str">
        <f>IF($G50="","",$G50*(IF(ADRYr1!$AI50=BZ$4,ADRYr1!$AJ50,IF(ADRYr1!$AK50=BZ$4,ADRYr1!$AL50,IF(ADRYr1!$AM50=BZ$4,ADRYr1!$AN50,0))))*(INDEX(avoidedcosttbl,$H50,BZ$2)+(($H50-ROUNDDOWN($H50,0))*(INDEX(avoidedcosttbl,ROUNDUP($H50,0),BZ$2)-(INDEX(avoidedcosttbl,ROUNDDOWN($H50,0),BZ$2)))))*ADRYr1!P50*ADRYr1!Q50*ADRYr1!U50)</f>
        <v/>
      </c>
      <c r="CA50" s="28" t="str">
        <f>IF($G50="","",$G50*(IF(ADRYr1!$AI50=CA$4,ADRYr1!$AJ50,IF(ADRYr1!$AK50=CA$4,ADRYr1!$AL50,IF(ADRYr1!$AM50=CA$4,ADRYr1!$AN50,0))))*(INDEX(avoidedcosttbl,$H50,CA$2)+(($H50-ROUNDDOWN($H50,0))*(INDEX(avoidedcosttbl,ROUNDUP($H50,0),CA$2)-(INDEX(avoidedcosttbl,ROUNDDOWN($H50,0),CA$2)))))*ADRYr1!P50*ADRYr1!Q50*ADRYr1!U50)</f>
        <v/>
      </c>
      <c r="CB50" s="28" t="str">
        <f>IF($G50="","",$G50*(IF(ADRYr1!$AI50=CB$4,ADRYr1!$AJ50,IF(ADRYr1!$AK50=CB$4,ADRYr1!$AL50,IF(ADRYr1!$AM50=CB$4,ADRYr1!$AN50,0))))*(INDEX(avoidedcosttbl,$H50,CB$2)+(($H50-ROUNDDOWN($H50,0))*(INDEX(avoidedcosttbl,ROUNDUP($H50,0),CB$2)-(INDEX(avoidedcosttbl,ROUNDDOWN($H50,0),CB$2)))))*ADRYr1!P50*ADRYr1!Q50*ADRYr1!U50)</f>
        <v/>
      </c>
      <c r="CC50" s="28" t="str">
        <f>IF($G50="","",$G50*(IF(ADRYr1!$AI50=CC$4,ADRYr1!$AJ50,IF(ADRYr1!$AK50=CC$4,ADRYr1!$AL50,IF(ADRYr1!$AM50=CC$4,ADRYr1!$AN50,0))))*(INDEX(avoidedcosttbl,$H50,CC$2)+(($H50-ROUNDDOWN($H50,0))*(INDEX(avoidedcosttbl,ROUNDUP($H50,0),CC$2)-(INDEX(avoidedcosttbl,ROUNDDOWN($H50,0),CC$2)))))*ADRYr1!P50*ADRYr1!Q50*ADRYr1!U50)</f>
        <v/>
      </c>
      <c r="CD50" s="28" t="str">
        <f>IF($G50="","",$G50*(IF(ADRYr1!$AI50=CD$4,ADRYr1!$AJ50,IF(ADRYr1!$AK50=CD$4,ADRYr1!$AL50,IF(ADRYr1!$AM50=CD$4,ADRYr1!$AN50,0))))*(INDEX(avoidedcosttbl,$H50,CD$2)+(($H50-ROUNDDOWN($H50,0))*(INDEX(avoidedcosttbl,ROUNDUP($H50,0),CD$2)-(INDEX(avoidedcosttbl,ROUNDDOWN($H50,0),CD$2)))))*ADRYr1!P50*ADRYr1!Q50*ADRYr1!U50)</f>
        <v/>
      </c>
      <c r="CE50" s="28" t="str">
        <f>IF($G50="","",$G50*(IF(ADRYr1!$AI50=CE$4,ADRYr1!$AJ50,IF(ADRYr1!$AK50=CE$4,ADRYr1!$AL50,IF(ADRYr1!$AM50=CE$4,ADRYr1!$AN50,0))))*(INDEX(avoidedcosttbl,$H50,CE$2)+(($H50-ROUNDDOWN($H50,0))*(INDEX(avoidedcosttbl,ROUNDUP($H50,0),CE$2)-(INDEX(avoidedcosttbl,ROUNDDOWN($H50,0),CE$2)))))*ADRYr1!P50*ADRYr1!Q50*ADRYr1!U50)</f>
        <v/>
      </c>
      <c r="CF50" s="41" t="str">
        <f t="shared" si="39"/>
        <v/>
      </c>
      <c r="CG50" s="30" t="str">
        <f t="shared" si="11"/>
        <v/>
      </c>
      <c r="CH50" s="30" t="str">
        <f>IF($G50="","",$G50*(IF(ADRYr1!$AI50=BY$4,ADRYr1!$AJ50,IF(ADRYr1!$AK50=BY$4,ADRYr1!$AL50,IF(ADRYr1!$AM50=BY$4,ADRYr1!$AN50,0))))*(INDEX(avoidedcosttbl,$H50,CH$2)+(($H50-ROUNDDOWN($H50,0))*(INDEX(avoidedcosttbl,ROUNDUP($H50,0),CH$2)-(INDEX(avoidedcosttbl,ROUNDDOWN($H50,0),CH$2)))))*ADRYr1!P50*ADRYr1!Q50*ADRYr1!U50)</f>
        <v/>
      </c>
      <c r="CI50" s="30" t="str">
        <f>IF($G50="","",$G50*(IF(ADRYr1!$AI50=BZ$4,ADRYr1!$AJ50,IF(ADRYr1!$AK50=BZ$4,ADRYr1!$AL50,IF(ADRYr1!$AM50=BZ$4,ADRYr1!$AN50,0))))*(INDEX(avoidedcosttbl,$H50,CI$2)+(($H50-ROUNDDOWN($H50,0))*(INDEX(avoidedcosttbl,ROUNDUP($H50,0),CI$2)-(INDEX(avoidedcosttbl,ROUNDDOWN($H50,0),CI$2)))))*ADRYr1!P50*ADRYr1!Q50*ADRYr1!U50)</f>
        <v/>
      </c>
      <c r="CJ50" s="30" t="str">
        <f>IF($G50="","",$G50*(IF(ADRYr1!$AI50=CA$4,ADRYr1!$AJ50,IF(ADRYr1!$AK50=CA$4,ADRYr1!$AL50,IF(ADRYr1!$AM50=CA$4,ADRYr1!$AN50,0))))*(INDEX(avoidedcosttbl,$H50,CJ$2)+(($H50-ROUNDDOWN($H50,0))*(INDEX(avoidedcosttbl,ROUNDUP($H50,0),CJ$2)-(INDEX(avoidedcosttbl,ROUNDDOWN($H50,0),CJ$2)))))*ADRYr1!P50*ADRYr1!Q50*ADRYr1!U50)</f>
        <v/>
      </c>
      <c r="CK50" s="30" t="str">
        <f>IF($G50="","",$G50*(IF(ADRYr1!$AI50=CB$4,ADRYr1!$AJ50,IF(ADRYr1!$AK50=CB$4,ADRYr1!$AL50,IF(ADRYr1!$AM50=CB$4,ADRYr1!$AN50,0))))*(INDEX(avoidedcosttbl,$H50,CK$2)+(($H50-ROUNDDOWN($H50,0))*(INDEX(avoidedcosttbl,ROUNDUP($H50,0),CK$2)-(INDEX(avoidedcosttbl,ROUNDDOWN($H50,0),CK$2)))))*ADRYr1!P50*ADRYr1!Q50*ADRYr1!U50)</f>
        <v/>
      </c>
      <c r="CL50" s="30" t="str">
        <f>IF($G50="","",$G50*(IF(ADRYr1!$AI50=CC$4,ADRYr1!$AJ50,IF(ADRYr1!$AK50=CC$4,ADRYr1!$AL50,IF(ADRYr1!$AM50=CC$4,ADRYr1!$AN50,0))))*(INDEX(avoidedcosttbl,$H50,CL$2)+(($H50-ROUNDDOWN($H50,0))*(INDEX(avoidedcosttbl,ROUNDUP($H50,0),CL$2)-(INDEX(avoidedcosttbl,ROUNDDOWN($H50,0),CL$2)))))*ADRYr1!P50*ADRYr1!Q50*ADRYr1!U50)</f>
        <v/>
      </c>
      <c r="CM50" s="30" t="str">
        <f>IF($G50="","",$G50*(IF(ADRYr1!$AI50=CD$4,ADRYr1!$AJ50,IF(ADRYr1!$AK50=CD$4,ADRYr1!$AL50,IF(ADRYr1!$AM50=CD$4,ADRYr1!$AN50,0))))*(INDEX(avoidedcosttbl,$H50,CM$2)+(($H50-ROUNDDOWN($H50,0))*(INDEX(avoidedcosttbl,ROUNDUP($H50,0),CM$2)-(INDEX(avoidedcosttbl,ROUNDDOWN($H50,0),CM$2)))))*ADRYr1!P50*ADRYr1!Q50*ADRYr1!U50)</f>
        <v/>
      </c>
      <c r="CN50" s="30" t="str">
        <f>IF($G50="","",$G50*(IF(ADRYr1!$AI50=CE$4,ADRYr1!$AJ50,IF(ADRYr1!$AK50=CE$4,ADRYr1!$AL50,IF(ADRYr1!$AM50=CE$4,ADRYr1!$AN50,0))))*(INDEX(avoidedcosttbl,$H50,CN$2)+(($H50-ROUNDDOWN($H50,0))*(INDEX(avoidedcosttbl,ROUNDUP($H50,0),CN$2)-(INDEX(avoidedcosttbl,ROUNDDOWN($H50,0),CN$2)))))*ADRYr1!P50*ADRYr1!Q50*ADRYr1!U50)</f>
        <v/>
      </c>
      <c r="CO50" s="220" t="str">
        <f t="shared" si="40"/>
        <v/>
      </c>
      <c r="CP50" s="220" t="str">
        <f t="shared" si="41"/>
        <v/>
      </c>
      <c r="CQ50" s="157" t="str">
        <f>IF($G50="","",$G50*(IF(ADRYr1!$AI50=CQ$4,ADRYr1!$AJ50,IF(ADRYr1!$AK50=CQ$4,ADRYr1!$AL50,IF(ADRYr1!$AM50=CQ$4,ADRYr1!$AN50,0))))*(INDEX(avoidedcosttbl,$H50,CQ$2)+(($H50-ROUNDDOWN($H50,0))*(INDEX(avoidedcosttbl,ROUNDUP($H50,0),CQ$2)-(INDEX(avoidedcosttbl,ROUNDDOWN($H50,0),CQ$2)))))*ADRYr1!$P50*ADRYr1!$Q50*ADRYr1!$U50)</f>
        <v/>
      </c>
      <c r="CR50" s="28" t="str">
        <f>IF($G50="","",G50*(IF(ADRYr1!$AI50=CR$4,ADRYr1!$AJ50,IF(ADRYr1!$AK50=CR$4,ADRYr1!$AL50,IF(ADRYr1!$AM50=CR$4,ADRYr1!$AN50,0))))*(INDEX(avoidedcosttbl,$H50,CR$2)+(($H50-ROUNDDOWN($H50,0))*(INDEX(avoidedcosttbl,ROUNDUP($H50,0),CR$2)-(INDEX(avoidedcosttbl,ROUNDDOWN($H50,0),CR$2)))))*ADRYr1!$P50*ADRYr1!$Q50*ADRYr1!$U50)</f>
        <v/>
      </c>
      <c r="CS50" s="28" t="str">
        <f>IF($G50="","",G50*(IF(ADRYr1!$AI50=CS$4,ADRYr1!$AJ50,IF(ADRYr1!$AK50=CS$4,ADRYr1!$AL50,IF(ADRYr1!$AM50=CS$4,ADRYr1!$AN50,0))))*(INDEX(avoidedcosttbl,$H50,CS$2)+(($H50-ROUNDDOWN($H50,0))*(INDEX(avoidedcosttbl,ROUNDUP($H50,0),CS$2)-(INDEX(avoidedcosttbl,ROUNDDOWN($H50,0),CS$2)))))*ADRYr1!$P50*ADRYr1!$Q50*ADRYr1!$U50)</f>
        <v/>
      </c>
      <c r="CT50" s="28" t="str">
        <f t="shared" si="12"/>
        <v/>
      </c>
      <c r="CU50" s="28" t="str">
        <f>IF($G50="","",G50*(IF(ADRYr1!$AI50=CU$4,ADRYr1!$AJ50,IF(ADRYr1!$AK50=CU$4,ADRYr1!$AL50,IF(ADRYr1!$AM50=CU$4,ADRYr1!$AN50,0))))*(INDEX(avoidedcosttbl,$H50,CU$2)+(($H50-ROUNDDOWN($H50,0))*(INDEX(avoidedcosttbl,ROUNDUP($H50,0),CU$2)-(INDEX(avoidedcosttbl,ROUNDDOWN($H50,0),CU$2)))))*ADRYr1!$P50*ADRYr1!$Q50*ADRYr1!$U50)</f>
        <v/>
      </c>
      <c r="CV50" s="28" t="str">
        <f>IF($G50="","",G50*(IF(ADRYr1!$AI50=CV$4,ADRYr1!$AJ50,IF(ADRYr1!$AK50=CV$4,ADRYr1!$AL50,IF(ADRYr1!$AM50=CV$4,ADRYr1!$AN50,0))))*(INDEX(avoidedcosttbl,$H50,CV$2)+(($H50-ROUNDDOWN($H50,0))*(INDEX(avoidedcosttbl,ROUNDUP($H50,0),CV$2)-(INDEX(avoidedcosttbl,ROUNDDOWN($H50,0),CV$2)))))*ADRYr1!$P50*ADRYr1!$Q50*ADRYr1!$U50)</f>
        <v/>
      </c>
      <c r="CW50" s="28" t="str">
        <f>IF($G50="","",G50*(IF(ADRYr1!$AI50=CW$4,ADRYr1!$AJ50,IF(ADRYr1!$AK50=CW$4,ADRYr1!$AL50,IF(ADRYr1!$AM50=CW$4,ADRYr1!$AN50,0))))*(INDEX(avoidedcosttbl,$H50,CW$2)+(($H50-ROUNDDOWN($H50,0))*(INDEX(avoidedcosttbl,ROUNDUP($H50,0),CW$2)-(INDEX(avoidedcosttbl,ROUNDDOWN($H50,0),CW$2)))))*ADRYr1!$P50*ADRYr1!$Q50*ADRYr1!$U50)</f>
        <v/>
      </c>
      <c r="CX50" s="28" t="str">
        <f>IF($G50="","",G50*(IF(ADRYr1!$AI50=CX$4,ADRYr1!$AJ50,IF(ADRYr1!$AK50=CX$4,ADRYr1!$AL50,IF(ADRYr1!$AM50=CX$4,ADRYr1!$AN50,0))))*(INDEX(avoidedcosttbl,$H50,CX$2)+(($H50-ROUNDDOWN($H50,0))*(INDEX(avoidedcosttbl,ROUNDUP($H50,0),CX$2)-(INDEX(avoidedcosttbl,ROUNDDOWN($H50,0),CX$2)))))*ADRYr1!$P50*ADRYr1!$Q50*ADRYr1!$U50)</f>
        <v/>
      </c>
      <c r="CY50" s="28" t="str">
        <f t="shared" si="13"/>
        <v/>
      </c>
      <c r="CZ50" s="32" t="str">
        <f t="shared" si="14"/>
        <v/>
      </c>
      <c r="DA50" s="84" t="str">
        <f t="shared" si="42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15"/>
        <v/>
      </c>
      <c r="DD50" s="166" t="str">
        <f t="shared" si="16"/>
        <v/>
      </c>
      <c r="DE50" s="82">
        <f t="shared" si="43"/>
        <v>0</v>
      </c>
      <c r="DF50" s="760" t="str">
        <f>IF($G50="","",(1+WntPeakEnergyLL)*(INDEX(avoidedcosttbl,$H50,DF$2)+(($H50-ROUNDDOWN($H50,0))*(INDEX(avoidedcosttbl,ROUNDUP($H50,0),DF$2)-(INDEX(avoidedcosttbl,ROUNDDOWN($H50,0),DF$2)))))*$P50*1000*ADRYr1!Z50)</f>
        <v/>
      </c>
      <c r="DG50" s="760" t="str">
        <f>IF($G50="","",(1+WntOffPeakEnergyLL)*(INDEX(avoidedcosttbl,$H50,DG$2)+(($H50-ROUNDDOWN($H50,0))*(INDEX(avoidedcosttbl,ROUNDUP($H50,0),DG$2)-(INDEX(avoidedcosttbl,ROUNDDOWN($H50,0),DG$2)))))*$P50*1000*ADRYr1!AA50)</f>
        <v/>
      </c>
      <c r="DH50" s="760" t="str">
        <f>IF($G50="","",(1+SumPeakEnergyLL)*(INDEX(avoidedcosttbl,$H50,DH$2)+(($H50-ROUNDDOWN($H50,0))*(INDEX(avoidedcosttbl,ROUNDUP($H50,0),DH$2)-(INDEX(avoidedcosttbl,ROUNDDOWN($H50,0),DH$2)))))*$P50*1000*ADRYr1!AB50)</f>
        <v/>
      </c>
      <c r="DI50" s="760" t="str">
        <f>IF($G50="","",(1+SumOffPeakEnergyLL)*(INDEX(avoidedcosttbl,$H50,DI$2)+(($H50-ROUNDDOWN($H50,0))*(INDEX(avoidedcosttbl,ROUNDUP($H50,0),DI$2)-(INDEX(avoidedcosttbl,ROUNDDOWN($H50,0),DI$2)))))*$P50*1000*ADRYr1!AC50)</f>
        <v/>
      </c>
      <c r="DJ50" s="29" t="str">
        <f t="shared" si="44"/>
        <v/>
      </c>
      <c r="DK50" s="161" t="str">
        <f t="shared" si="51"/>
        <v/>
      </c>
      <c r="DL50" s="1375"/>
      <c r="DM50" s="1375" t="str">
        <f t="shared" si="47"/>
        <v/>
      </c>
      <c r="DO50" s="1131" t="str">
        <f>IF($G50="","",ADRYr1!AQ50)</f>
        <v/>
      </c>
      <c r="DP50" s="1133" t="str">
        <f>IF($G50="","",ADRYr1!AR50)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17"/>
        <v/>
      </c>
      <c r="DU50" s="1135" t="str">
        <f>IF($G50="","",ADRYr1!AS50)</f>
        <v/>
      </c>
      <c r="DV50" s="1136" t="str">
        <f>IF($G50="","",ADRYr1!AT50)</f>
        <v/>
      </c>
      <c r="DW50" s="1344" t="str">
        <f>IF($G50="","",INDEX(AvoidedEnergy!$H$4:$H$10,MATCH($DO50,AvoidedEnergy!$A$4:$A$10,0)))</f>
        <v/>
      </c>
    </row>
  </sheetData>
  <autoFilter ref="A4:DO39"/>
  <mergeCells count="21"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  <mergeCell ref="BI3:BN3"/>
    <mergeCell ref="BP3:BW3"/>
    <mergeCell ref="BY3:CF3"/>
    <mergeCell ref="CG3:CO3"/>
    <mergeCell ref="CQ3:CZ3"/>
  </mergeCells>
  <conditionalFormatting sqref="J2:L2 J3:K3">
    <cfRule type="expression" dxfId="11" priority="1" stopIfTrue="1">
      <formula>ISBLANK($K2)</formula>
    </cfRule>
    <cfRule type="expression" dxfId="10" priority="2" stopIfTrue="1">
      <formula>$J2=0</formula>
    </cfRule>
  </conditionalFormatting>
  <conditionalFormatting sqref="J1:K1">
    <cfRule type="expression" dxfId="9" priority="3" stopIfTrue="1">
      <formula>ISBLANK($J1)</formula>
    </cfRule>
    <cfRule type="expression" dxfId="8" priority="4" stopIfTrue="1">
      <formula>$B1=0</formula>
    </cfRule>
  </conditionalFormatting>
  <dataValidations disablePrompts="1"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DW50"/>
  <sheetViews>
    <sheetView zoomScale="80" zoomScaleNormal="80" workbookViewId="0">
      <pane xSplit="6" ySplit="4" topLeftCell="G5" activePane="bottomRight" state="frozen"/>
      <selection activeCell="I24" sqref="I24"/>
      <selection pane="topRight" activeCell="I24" sqref="I24"/>
      <selection pane="bottomLeft" activeCell="I24" sqref="I24"/>
      <selection pane="bottomRight" activeCell="DT17" sqref="DT17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customWidth="1" outlineLevel="1"/>
    <col min="53" max="55" width="17.42578125" style="95" customWidth="1" outlineLevel="1"/>
    <col min="56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2" customFormat="1" ht="25.5">
      <c r="A1" s="64" t="s">
        <v>76</v>
      </c>
      <c r="B1" s="65">
        <f>Year2</f>
        <v>2022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5" t="s">
        <v>938</v>
      </c>
      <c r="BQ1" s="7"/>
      <c r="BR1" s="1345" t="s">
        <v>938</v>
      </c>
      <c r="BS1" s="1345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7" t="s">
        <v>78</v>
      </c>
      <c r="B3" s="1448"/>
      <c r="C3" s="1448"/>
      <c r="D3" s="1448"/>
      <c r="E3" s="1448"/>
      <c r="F3" s="1448"/>
      <c r="G3" s="1448"/>
      <c r="H3" s="1448"/>
      <c r="I3" s="1449" t="s">
        <v>84</v>
      </c>
      <c r="J3" s="1449"/>
      <c r="K3" s="1449"/>
      <c r="L3" s="1450" t="s">
        <v>148</v>
      </c>
      <c r="M3" s="1451"/>
      <c r="N3" s="1451"/>
      <c r="O3" s="1451"/>
      <c r="P3" s="1451"/>
      <c r="Q3" s="1451"/>
      <c r="R3" s="1451"/>
      <c r="S3" s="1451"/>
      <c r="T3" s="1451"/>
      <c r="U3" s="1452"/>
      <c r="V3" s="1453" t="s">
        <v>150</v>
      </c>
      <c r="W3" s="1453"/>
      <c r="X3" s="1453"/>
      <c r="Y3" s="1453"/>
      <c r="Z3" s="1453"/>
      <c r="AA3" s="1454" t="s">
        <v>236</v>
      </c>
      <c r="AB3" s="1455"/>
      <c r="AC3" s="1455"/>
      <c r="AD3" s="1456"/>
      <c r="AE3" s="1444" t="s">
        <v>668</v>
      </c>
      <c r="AF3" s="1445"/>
      <c r="AG3" s="1445"/>
      <c r="AH3" s="1446"/>
      <c r="AI3" s="1444" t="s">
        <v>669</v>
      </c>
      <c r="AJ3" s="1445"/>
      <c r="AK3" s="1445"/>
      <c r="AL3" s="1446"/>
      <c r="AM3" s="1444" t="s">
        <v>670</v>
      </c>
      <c r="AN3" s="1445"/>
      <c r="AO3" s="1445"/>
      <c r="AP3" s="1446"/>
      <c r="AQ3" s="1444" t="s">
        <v>671</v>
      </c>
      <c r="AR3" s="1445"/>
      <c r="AS3" s="1445"/>
      <c r="AT3" s="1446"/>
      <c r="AU3" s="1444" t="s">
        <v>672</v>
      </c>
      <c r="AV3" s="1445"/>
      <c r="AW3" s="1445"/>
      <c r="AX3" s="1446"/>
      <c r="AY3" s="1444" t="s">
        <v>674</v>
      </c>
      <c r="AZ3" s="1446"/>
      <c r="BA3" s="1444" t="s">
        <v>673</v>
      </c>
      <c r="BB3" s="1445"/>
      <c r="BC3" s="1446"/>
      <c r="BD3" s="1461" t="s">
        <v>156</v>
      </c>
      <c r="BE3" s="1462"/>
      <c r="BF3" s="1462"/>
      <c r="BG3" s="1462"/>
      <c r="BH3" s="1463"/>
      <c r="BI3" s="1428" t="s">
        <v>158</v>
      </c>
      <c r="BJ3" s="1429"/>
      <c r="BK3" s="1429"/>
      <c r="BL3" s="1429"/>
      <c r="BM3" s="1429"/>
      <c r="BN3" s="1430"/>
      <c r="BO3" s="158" t="s">
        <v>185</v>
      </c>
      <c r="BP3" s="1431" t="s">
        <v>157</v>
      </c>
      <c r="BQ3" s="1432"/>
      <c r="BR3" s="1432"/>
      <c r="BS3" s="1432"/>
      <c r="BT3" s="1432"/>
      <c r="BU3" s="1432"/>
      <c r="BV3" s="1432"/>
      <c r="BW3" s="1433"/>
      <c r="BX3" s="159" t="s">
        <v>82</v>
      </c>
      <c r="BY3" s="1434" t="s">
        <v>160</v>
      </c>
      <c r="BZ3" s="1435"/>
      <c r="CA3" s="1435"/>
      <c r="CB3" s="1435"/>
      <c r="CC3" s="1435"/>
      <c r="CD3" s="1435"/>
      <c r="CE3" s="1435"/>
      <c r="CF3" s="1436"/>
      <c r="CG3" s="1437" t="s">
        <v>161</v>
      </c>
      <c r="CH3" s="1437"/>
      <c r="CI3" s="1437"/>
      <c r="CJ3" s="1437"/>
      <c r="CK3" s="1437"/>
      <c r="CL3" s="1437"/>
      <c r="CM3" s="1437"/>
      <c r="CN3" s="1437"/>
      <c r="CO3" s="1437"/>
      <c r="CP3" s="159" t="s">
        <v>211</v>
      </c>
      <c r="CQ3" s="1438" t="s">
        <v>384</v>
      </c>
      <c r="CR3" s="1439"/>
      <c r="CS3" s="1439"/>
      <c r="CT3" s="1439"/>
      <c r="CU3" s="1439"/>
      <c r="CV3" s="1439"/>
      <c r="CW3" s="1439"/>
      <c r="CX3" s="1439"/>
      <c r="CY3" s="1439"/>
      <c r="CZ3" s="1440"/>
      <c r="DA3" s="159" t="s">
        <v>82</v>
      </c>
      <c r="DB3" s="1457" t="s">
        <v>683</v>
      </c>
      <c r="DC3" s="1457"/>
      <c r="DD3" s="1457"/>
      <c r="DE3" s="1457"/>
      <c r="DF3" s="1458" t="s">
        <v>689</v>
      </c>
      <c r="DG3" s="1459"/>
      <c r="DH3" s="1459"/>
      <c r="DI3" s="1459"/>
      <c r="DJ3" s="1460"/>
      <c r="DK3" s="1368" t="s">
        <v>120</v>
      </c>
      <c r="DL3" s="1371" t="s">
        <v>120</v>
      </c>
      <c r="DM3" s="1372" t="s">
        <v>120</v>
      </c>
      <c r="DN3" s="1369" t="s">
        <v>120</v>
      </c>
      <c r="DO3" s="1441" t="s">
        <v>920</v>
      </c>
      <c r="DP3" s="1442"/>
      <c r="DQ3" s="1442"/>
      <c r="DR3" s="1442"/>
      <c r="DS3" s="1442"/>
      <c r="DT3" s="1442"/>
      <c r="DU3" s="1442"/>
      <c r="DV3" s="1442"/>
      <c r="DW3" s="1443"/>
    </row>
    <row r="4" spans="1:127" s="213" customFormat="1" ht="63.7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946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955</v>
      </c>
      <c r="DL4" s="1373" t="s">
        <v>956</v>
      </c>
      <c r="DM4" s="1374" t="s">
        <v>957</v>
      </c>
      <c r="DN4" s="1370" t="s">
        <v>958</v>
      </c>
      <c r="DO4" s="1130" t="s">
        <v>841</v>
      </c>
      <c r="DP4" s="1132" t="s">
        <v>842</v>
      </c>
      <c r="DQ4" s="1134" t="s">
        <v>939</v>
      </c>
      <c r="DR4" s="1134" t="s">
        <v>940</v>
      </c>
      <c r="DS4" s="1134" t="s">
        <v>941</v>
      </c>
      <c r="DT4" s="1134" t="s">
        <v>704</v>
      </c>
      <c r="DU4" s="1132" t="s">
        <v>843</v>
      </c>
      <c r="DV4" s="1132" t="s">
        <v>844</v>
      </c>
      <c r="DW4" s="1132" t="s">
        <v>935</v>
      </c>
    </row>
    <row r="5" spans="1:127">
      <c r="A5" s="160" t="str">
        <f>IF(ADRYr2!$B5=0,"",ADRYr2!A5)</f>
        <v>A - Residential</v>
      </c>
      <c r="B5" s="9" t="str">
        <f>IF(ADRYr2!$B5=0,"",ADRYr2!B5)</f>
        <v>A5 - Residential Active Demand Response</v>
      </c>
      <c r="C5" s="9" t="str">
        <f>IF(ADRYr2!$B5=0,"",ADRYr2!C5)</f>
        <v>A5a - Residential Active Demand Response</v>
      </c>
      <c r="D5" s="9" t="str">
        <f>IF(ADRYr2!$B5=0,"",ADRYr2!D5)</f>
        <v>Direct Load Control Targeted Dispatch Upfront/Annual Incentive Summer</v>
      </c>
      <c r="E5" s="9" t="str">
        <f>IF(ADRYr2!$B5=0,"",ADRYr2!E5)</f>
        <v>E21A5a001</v>
      </c>
      <c r="F5" s="11" t="str">
        <f>IF(ADRYr2!$B5=0,"",ADRYr2!F5)</f>
        <v>Behavior</v>
      </c>
      <c r="G5" s="12">
        <f>IF(ADRYr2!$G5&lt;&gt;0,ADRYr2!G5,"")</f>
        <v>375</v>
      </c>
      <c r="H5" s="1125">
        <f>IF($G5="","",ROUND(ADRYr2!H5,0))</f>
        <v>1</v>
      </c>
      <c r="I5" s="47">
        <f>IF($G5="","",ADRYr2!I5*ADRYr2!P5*G5)</f>
        <v>10623.75</v>
      </c>
      <c r="J5" s="47">
        <f>IF($G5="","",ADRYr2!J5*G5)</f>
        <v>10623.75</v>
      </c>
      <c r="K5" s="47">
        <f>IF($G5="","",I5-J5)</f>
        <v>0</v>
      </c>
      <c r="L5" s="27">
        <f>IF($G5="","",ADRYr2!V5*G5/1000)</f>
        <v>0</v>
      </c>
      <c r="M5" s="27">
        <f>IF($G5="","",L5*ADRYr2!$Q5*ADRYr2!$R5)</f>
        <v>0</v>
      </c>
      <c r="N5" s="27">
        <f>IFERROR(L5*H5,"")</f>
        <v>0</v>
      </c>
      <c r="O5" s="27">
        <f>IF($G5="","",M5*$H5)</f>
        <v>0</v>
      </c>
      <c r="P5" s="27">
        <f>IF($G5="","",M5*ADRYr2!P5)</f>
        <v>0</v>
      </c>
      <c r="Q5" s="27">
        <f>IF($G5="","",P5*$H5)</f>
        <v>0</v>
      </c>
      <c r="R5" s="27">
        <f>IF($G5="","",$Q5*ADRYr2!Z5)</f>
        <v>0</v>
      </c>
      <c r="S5" s="27">
        <f>IF($G5="","",$Q5*ADRYr2!AA5)</f>
        <v>0</v>
      </c>
      <c r="T5" s="27">
        <f>IF($G5="","",$Q5*ADRYr2!AB5)</f>
        <v>0</v>
      </c>
      <c r="U5" s="27">
        <f>IF($G5="","",$Q5*ADRYr2!AC5)</f>
        <v>0</v>
      </c>
      <c r="V5" s="27">
        <f>IF($G5="","",G5*ADRYr2!$AD5*ADRYr2!$P5*ADRYr2!$Q5)</f>
        <v>187.5</v>
      </c>
      <c r="W5" s="27">
        <f>IF($G5="","",$G5*ADRYr2!$AD5*ADRYr2!$AF5*ADRYr2!Q5*ADRYr2!$S5)</f>
        <v>0</v>
      </c>
      <c r="X5" s="27">
        <f>IF($G5="","",$G5*ADRYr2!$AD5*ADRYr2!$AF5*ADRYr2!P5*ADRYr2!Q5*ADRYr2!$S5)</f>
        <v>0</v>
      </c>
      <c r="Y5" s="27">
        <f>IF($G5="","",$G5*ADRYr2!$AD5*ADRYr2!$AE5*ADRYr2!Q5*ADRYr2!$T5)</f>
        <v>187.5</v>
      </c>
      <c r="Z5" s="27">
        <f>IF($G5="","",$G5*ADRYr2!$AD5*ADRYr2!$AE5*ADRYr2!P5*ADRYr2!Q5*ADRYr2!$T5)</f>
        <v>187.5</v>
      </c>
      <c r="AA5" s="45">
        <f>IF($G5="","",$G5*ADRYr2!$Q5*ADRYr2!$U5*(IF(IFERROR(SEARCH("NG", ADRYr2!$AI5),0),ADRYr2!$AJ5,0)+IF(IFERROR(SEARCH("NG", ADRYr2!$AK5),0),ADRYr2!$AL5,0)+IF(IFERROR(SEARCH("NG", ADRYr2!$AM5),0),ADRYr2!$AN5,0)))</f>
        <v>0</v>
      </c>
      <c r="AB5" s="45">
        <f>IF($G5="","",AA5*$H5)</f>
        <v>0</v>
      </c>
      <c r="AC5" s="45">
        <f>IF($G5="",0,AA5*ADRYr2!$P5)</f>
        <v>0</v>
      </c>
      <c r="AD5" s="45">
        <f>IF($G5="","",AC5*$H5)</f>
        <v>0</v>
      </c>
      <c r="AE5" s="45">
        <f>IF($G5="","",$G5*ADRYr2!$Q5*ADRYr2!$U5*(IF(IFERROR(SEARCH("Oil", ADRYr2!$AI5), 0),ADRYr2!$AJ5,0)+IF(IFERROR(SEARCH("Oil", ADRYr2!$AK5), 0),ADRYr2!$AL5,0)+IF(IFERROR(SEARCH("Oil", ADRYr2!$AM5), 0),ADRYr2!$AN5,0)))</f>
        <v>0</v>
      </c>
      <c r="AF5" s="45">
        <f>IF($G5="","",AE5*$H5)</f>
        <v>0</v>
      </c>
      <c r="AG5" s="45">
        <f>IF($G5="",0,AE5*ADRYr2!$P5)</f>
        <v>0</v>
      </c>
      <c r="AH5" s="45">
        <f>IF($G5="","",AG5*$H5)</f>
        <v>0</v>
      </c>
      <c r="AI5" s="45">
        <f>IF($G5="","",$G5*ADRYr2!$Q5*ADRYr2!$U5*(IF(ADRYr2!$AI5=Lookups!$E$114,ADRYr2!$AJ5,IF(ADRYr2!$AK5=Lookups!$E$114,ADRYr2!$AL5,IF(ADRYr2!$AM5=Lookups!$E$114,ADRYr2!$AN5,0)))))</f>
        <v>0</v>
      </c>
      <c r="AJ5" s="45">
        <f>IF($G5="","",AI5*$H5)</f>
        <v>0</v>
      </c>
      <c r="AK5" s="45">
        <f>IF($G5="",0,AI5*ADRYr2!$P5)</f>
        <v>0</v>
      </c>
      <c r="AL5" s="45">
        <f>IF($G5="","",AK5*$H5)</f>
        <v>0</v>
      </c>
      <c r="AM5" s="45">
        <f>IF($G5="","",$G5*ADRYr2!$Q5*ADRYr2!$U5*(IF(ADRYr2!$AI5=Lookups!$E$113,ADRYr2!$AJ5,IF(ADRYr2!$AK5=Lookups!$E$113,ADRYr2!$AL5,IF(ADRYr2!$AM5=Lookups!$E$113,ADRYr2!$AN5,0)))))</f>
        <v>0</v>
      </c>
      <c r="AN5" s="45">
        <f>IF($G5="","",AM5*$H5)</f>
        <v>0</v>
      </c>
      <c r="AO5" s="45">
        <f>IF($G5="",0,AM5*ADRYr2!$P5)</f>
        <v>0</v>
      </c>
      <c r="AP5" s="45">
        <f>IF($G5="","",AO5*$H5)</f>
        <v>0</v>
      </c>
      <c r="AQ5" s="45">
        <f>IF($G5="","",$G5*ADRYr2!$Q5*ADRYr2!$U5*(IF(ADRYr2!$AI5=Lookups!$E$115,ADRYr2!$AJ5,IF(ADRYr2!$AK5=Lookups!$E$115,ADRYr2!$AL5,IF(ADRYr2!$AM5=Lookups!$E$115,ADRYr2!$AN5,0)))))</f>
        <v>0</v>
      </c>
      <c r="AR5" s="45">
        <f>IF($G5="","",AQ5*$H5)</f>
        <v>0</v>
      </c>
      <c r="AS5" s="45">
        <f>IF($G5="","",AQ5*ADRYr2!$P5)</f>
        <v>0</v>
      </c>
      <c r="AT5" s="45">
        <f>IF($G5="","",AS5*$H5)</f>
        <v>0</v>
      </c>
      <c r="AU5" s="45">
        <f>IF($G5="","",$G5*ADRYr2!$Q5*ADRYr2!$U5*(IF(ADRYr2!$AI5=Lookups!$E$116,ADRYr2!$AJ5,IF(ADRYr2!$AK5=Lookups!$E$116,ADRYr2!$AL5,IF(ADRYr2!$AM5=Lookups!$E$116,ADRYr2!$AN5,0)))))</f>
        <v>0</v>
      </c>
      <c r="AV5" s="45">
        <f>IF($G5="","",AU5*$H5)</f>
        <v>0</v>
      </c>
      <c r="AW5" s="45">
        <f>IF($G5="","",AU5*ADRYr2!$P5)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IF($G5="","",$G5*ADRYr2!$P5*ADRYr2!$Q5*ADRYr2!$U5*ADRYr2!AO5)</f>
        <v>0</v>
      </c>
      <c r="BB5" s="102">
        <f>IF($G5="","",$G5*ADRYr2!$P5*ADRYr2!$Q5*ADRYr2!$U5*ADRYr2!AP5)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IF($G5="","",(1+AveLoss)*((INDEX(avoidedcosttbl2,$H5,BM$2))+(($H5-ROUNDDOWN($H5,0))*((INDEX(avoidedcosttbl2,ROUNDUP($H5,0),BM$2))-(INDEX(avoidedcosttbl2,ROUNDDOWN($H5,0),BM$2)))))*$P5*1000)</f>
        <v>0</v>
      </c>
      <c r="BN5" s="1128">
        <f t="shared" ref="BN5:BN50" si="5"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6">IF($G5="","",(1+SumPeakEnergyLL)*$Z5*$DV5*IF($DP5="No",
INDEX(avoidedcosttblADMcapYr2,1,$H5)+(($H5-ROUNDDOWN($H5,0))*(INDEX(avoidedcosttblADMcapYr2,ROUNDUP($H5,0),1)-(INDEX(avoidedcosttblADMcapYr2,ROUNDDOWN($H5,0),1)))),
INDEX(avoidedcosttbl2,$H5,$DQ5)+(($H5-ROUNDDOWN($H5,0))*(INDEX(avoidedcosttbl2,ROUNDUP($H5,0),$DQ5)-(INDEX(avoidedcosttbl2,ROUNDDOWN($H5,0),$DQ5))))))</f>
        <v>2074.5294550621161</v>
      </c>
      <c r="BQ5" s="28">
        <f t="shared" ref="BQ5:BQ50" si="7">IF($G5="","",(1+WntPeakEnergyLL)*(INDEX(avoidedcosttbl2,$H5,BQ$2)+(($H5-ROUNDDOWN($H5,0))*(INDEX(avoidedcosttbl2,ROUNDUP($H5,0),BQ$2)-(INDEX(avoidedcosttbl2,ROUNDDOWN($H5,0),BQ$2)))))*$X5)</f>
        <v>0</v>
      </c>
      <c r="BR5" s="1129">
        <f t="shared" ref="BR5:BR50" si="8">IF($G5="","",(1+SumPeakEnergyLL)*$Z5*$DV5*IF($DP5="No",
INDEX(avoidedcosttblADMcapDRIPEYr2,1,$H5)+(($H5-ROUNDDOWN($H5,0))*(INDEX(avoidedcosttblADMcapDRIPEYr2,ROUNDUP($H5,0),1)-(INDEX(avoidedcosttblADMcapDRIPEYr2,ROUNDDOWN($H5,0),1)))),
INDEX(avoidedcosttbl2,$H5,$DR5)+(($H5-ROUNDDOWN($H5,0))*(INDEX(avoidedcosttbl2,ROUNDUP($H5,0),$DR5)-(INDEX(avoidedcosttbl2,ROUNDDOWN($H5,0),$DR5))))))</f>
        <v>4412.4815697115728</v>
      </c>
      <c r="BS5" s="1129">
        <f t="shared" ref="BS5:BS50" si="9">IF($G5="","",(1+SumPeakEnergyLL)*$Z5*(INDEX(avoidedcosttbl2,$H5,$DS5)+(($H5-ROUNDDOWN($H5,0))*(INDEX(avoidedcosttbl2,ROUNDUP($H5,0),$DS5)-(INDEX(avoidedcosttbl2,ROUNDDOWN($H5,0),$DS5))))))</f>
        <v>0</v>
      </c>
      <c r="BT5" s="28">
        <f t="shared" ref="BT5:BV24" si="10">IF($G5="","",(INDEX(avoidedcosttbl2,$H5,BT$2)+(($H5-ROUNDDOWN($H5,0))*(INDEX(avoidedcosttbl2,ROUNDUP($H5,0),BT$2)-(INDEX(avoidedcosttbl2,ROUNDDOWN($H5,0),BT$2)))))*$Z5)</f>
        <v>18803.602594812503</v>
      </c>
      <c r="BU5" s="28">
        <f t="shared" si="10"/>
        <v>0</v>
      </c>
      <c r="BV5" s="28">
        <f t="shared" si="10"/>
        <v>16289.348845274997</v>
      </c>
      <c r="BW5" s="29">
        <f>IF($G5="","",SUM(BP5:BV5))</f>
        <v>41579.962464861186</v>
      </c>
      <c r="BX5" s="29">
        <f>IF($G5="","",BO5+BW5)</f>
        <v>41579.962464861186</v>
      </c>
      <c r="BY5" s="28">
        <f>IF($G5="","",$G5*(IF(ADRYr2!$AI5=BY$4,ADRYr2!$AJ5,IF(ADRYr2!$AK5=BY$4,ADRYr2!$AL5,IF(ADRYr2!$AM5=BY$4,ADRYr2!$AN5,0))))*(INDEX(avoidedcosttbl2,$H5,BY$2)+(($H5-ROUNDDOWN($H5,0))*(INDEX(avoidedcosttbl2,ROUNDUP($H5,0),BY$2)-(INDEX(avoidedcosttbl2,ROUNDDOWN($H5,0),BY$2)))))*ADRYr2!P5*ADRYr2!Q5*ADRYr2!U5)</f>
        <v>0</v>
      </c>
      <c r="BZ5" s="28">
        <f>IF($G5="","",$G5*(IF(ADRYr2!$AI5=BZ$4,ADRYr2!$AJ5,IF(ADRYr2!$AK5=BZ$4,ADRYr2!$AL5,IF(ADRYr2!$AM5=BZ$4,ADRYr2!$AN5,0))))*(INDEX(avoidedcosttbl2,$H5,BZ$2)+(($H5-ROUNDDOWN($H5,0))*(INDEX(avoidedcosttbl2,ROUNDUP($H5,0),BZ$2)-(INDEX(avoidedcosttbl2,ROUNDDOWN($H5,0),BZ$2)))))*ADRYr2!P5*ADRYr2!Q5*ADRYr2!U5)</f>
        <v>0</v>
      </c>
      <c r="CA5" s="28">
        <f>IF($G5="","",$G5*(IF(ADRYr2!$AI5=CA$4,ADRYr2!$AJ5,IF(ADRYr2!$AK5=CA$4,ADRYr2!$AL5,IF(ADRYr2!$AM5=CA$4,ADRYr2!$AN5,0))))*(INDEX(avoidedcosttbl2,$H5,CA$2)+(($H5-ROUNDDOWN($H5,0))*(INDEX(avoidedcosttbl2,ROUNDUP($H5,0),CA$2)-(INDEX(avoidedcosttbl2,ROUNDDOWN($H5,0),CA$2)))))*ADRYr2!P5*ADRYr2!Q5*ADRYr2!U5)</f>
        <v>0</v>
      </c>
      <c r="CB5" s="28">
        <f>IF($G5="","",$G5*(IF(ADRYr2!$AI5=CB$4,ADRYr2!$AJ5,IF(ADRYr2!$AK5=CB$4,ADRYr2!$AL5,IF(ADRYr2!$AM5=CB$4,ADRYr2!$AN5,0))))*(INDEX(avoidedcosttbl2,$H5,CB$2)+(($H5-ROUNDDOWN($H5,0))*(INDEX(avoidedcosttbl2,ROUNDUP($H5,0),CB$2)-(INDEX(avoidedcosttbl2,ROUNDDOWN($H5,0),CB$2)))))*ADRYr2!P5*ADRYr2!Q5*ADRYr2!U5)</f>
        <v>0</v>
      </c>
      <c r="CC5" s="28">
        <f>IF($G5="","",$G5*(IF(ADRYr2!$AI5=CC$4,ADRYr2!$AJ5,IF(ADRYr2!$AK5=CC$4,ADRYr2!$AL5,IF(ADRYr2!$AM5=CC$4,ADRYr2!$AN5,0))))*(INDEX(avoidedcosttbl2,$H5,CC$2)+(($H5-ROUNDDOWN($H5,0))*(INDEX(avoidedcosttbl2,ROUNDUP($H5,0),CC$2)-(INDEX(avoidedcosttbl2,ROUNDDOWN($H5,0),CC$2)))))*ADRYr2!P5*ADRYr2!Q5*ADRYr2!U5)</f>
        <v>0</v>
      </c>
      <c r="CD5" s="28">
        <f>IF($G5="","",$G5*(IF(ADRYr2!$AI5=CD$4,ADRYr2!$AJ5,IF(ADRYr2!$AK5=CD$4,ADRYr2!$AL5,IF(ADRYr2!$AM5=CD$4,ADRYr2!$AN5,0))))*(INDEX(avoidedcosttbl2,$H5,CD$2)+(($H5-ROUNDDOWN($H5,0))*(INDEX(avoidedcosttbl2,ROUNDUP($H5,0),CD$2)-(INDEX(avoidedcosttbl2,ROUNDDOWN($H5,0),CD$2)))))*ADRYr2!P5*ADRYr2!Q5*ADRYr2!U5)</f>
        <v>0</v>
      </c>
      <c r="CE5" s="28">
        <f>IF($G5="","",$G5*(IF(ADRYr2!$AI5=CE$4,ADRYr2!$AJ5,IF(ADRYr2!$AK5=CE$4,ADRYr2!$AL5,IF(ADRYr2!$AM5=CE$4,ADRYr2!$AN5,0))))*(INDEX(avoidedcosttbl2,$H5,CE$2)+(($H5-ROUNDDOWN($H5,0))*(INDEX(avoidedcosttbl2,ROUNDUP($H5,0),CE$2)-(INDEX(avoidedcosttbl2,ROUNDDOWN($H5,0),CE$2)))))*ADRYr2!P5*ADRYr2!Q5*ADRYr2!U5)</f>
        <v>0</v>
      </c>
      <c r="CF5" s="41">
        <f>IF($G5="","",SUM(BY5:CE5))</f>
        <v>0</v>
      </c>
      <c r="CG5" s="30">
        <f t="shared" ref="CG5:CG50" si="11">IF($G5="","",$AC5*((INDEX(avoidedcosttbl2,$H5,CG$2))+(($H5-ROUNDDOWN($H5,0))*((INDEX(avoidedcosttbl2,ROUNDUP($H5,0),CG$2))-(INDEX(avoidedcosttbl2,ROUNDDOWN($H5,0),CG$2))))))</f>
        <v>0</v>
      </c>
      <c r="CH5" s="30">
        <f>IF($G5="","",$G5*(IF(ADRYr2!$AI5=BY$4,ADRYr2!$AJ5,IF(ADRYr2!$AK5=BY$4,ADRYr2!$AL5,IF(ADRYr2!$AM5=BY$4,ADRYr2!$AN5,0))))*(INDEX(avoidedcosttbl2,$H5,CH$2)+(($H5-ROUNDDOWN($H5,0))*(INDEX(avoidedcosttbl2,ROUNDUP($H5,0),CH$2)-(INDEX(avoidedcosttbl2,ROUNDDOWN($H5,0),CH$2)))))*ADRYr2!P5*ADRYr2!Q5*ADRYr2!U5)</f>
        <v>0</v>
      </c>
      <c r="CI5" s="30">
        <f>IF($G5="","",$G5*(IF(ADRYr2!$AI5=BZ$4,ADRYr2!$AJ5,IF(ADRYr2!$AK5=BZ$4,ADRYr2!$AL5,IF(ADRYr2!$AM5=BZ$4,ADRYr2!$AN5,0))))*(INDEX(avoidedcosttbl2,$H5,CI$2)+(($H5-ROUNDDOWN($H5,0))*(INDEX(avoidedcosttbl2,ROUNDUP($H5,0),CI$2)-(INDEX(avoidedcosttbl2,ROUNDDOWN($H5,0),CI$2)))))*ADRYr2!P5*ADRYr2!Q5*ADRYr2!U5)</f>
        <v>0</v>
      </c>
      <c r="CJ5" s="30">
        <f>IF($G5="","",$G5*(IF(ADRYr2!$AI5=CA$4,ADRYr2!$AJ5,IF(ADRYr2!$AK5=CA$4,ADRYr2!$AL5,IF(ADRYr2!$AM5=CA$4,ADRYr2!$AN5,0))))*(INDEX(avoidedcosttbl2,$H5,CJ$2)+(($H5-ROUNDDOWN($H5,0))*(INDEX(avoidedcosttbl2,ROUNDUP($H5,0),CJ$2)-(INDEX(avoidedcosttbl2,ROUNDDOWN($H5,0),CJ$2)))))*ADRYr2!P5*ADRYr2!Q5*ADRYr2!U5)</f>
        <v>0</v>
      </c>
      <c r="CK5" s="30">
        <f>IF($G5="","",$G5*(IF(ADRYr2!$AI5=CB$4,ADRYr2!$AJ5,IF(ADRYr2!$AK5=CB$4,ADRYr2!$AL5,IF(ADRYr2!$AM5=CB$4,ADRYr2!$AN5,0))))*(INDEX(avoidedcosttbl2,$H5,CK$2)+(($H5-ROUNDDOWN($H5,0))*(INDEX(avoidedcosttbl2,ROUNDUP($H5,0),CK$2)-(INDEX(avoidedcosttbl2,ROUNDDOWN($H5,0),CK$2)))))*ADRYr2!P5*ADRYr2!Q5*ADRYr2!U5)</f>
        <v>0</v>
      </c>
      <c r="CL5" s="30">
        <f>IF($G5="","",$G5*(IF(ADRYr2!$AI5=CC$4,ADRYr2!$AJ5,IF(ADRYr2!$AK5=CC$4,ADRYr2!$AL5,IF(ADRYr2!$AM5=CC$4,ADRYr2!$AN5,0))))*(INDEX(avoidedcosttbl2,$H5,CL$2)+(($H5-ROUNDDOWN($H5,0))*(INDEX(avoidedcosttbl2,ROUNDUP($H5,0),CL$2)-(INDEX(avoidedcosttbl2,ROUNDDOWN($H5,0),CL$2)))))*ADRYr2!P5*ADRYr2!Q5*ADRYr2!U5)</f>
        <v>0</v>
      </c>
      <c r="CM5" s="30">
        <f>IF($G5="","",$G5*(IF(ADRYr2!$AI5=CD$4,ADRYr2!$AJ5,IF(ADRYr2!$AK5=CD$4,ADRYr2!$AL5,IF(ADRYr2!$AM5=CD$4,ADRYr2!$AN5,0))))*(INDEX(avoidedcosttbl2,$H5,CM$2)+(($H5-ROUNDDOWN($H5,0))*(INDEX(avoidedcosttbl2,ROUNDUP($H5,0),CM$2)-(INDEX(avoidedcosttbl2,ROUNDDOWN($H5,0),CM$2)))))*ADRYr2!P5*ADRYr2!Q5*ADRYr2!U5)</f>
        <v>0</v>
      </c>
      <c r="CN5" s="30">
        <f>IF($G5="","",$G5*(IF(ADRYr2!$AI5=CE$4,ADRYr2!$AJ5,IF(ADRYr2!$AK5=CE$4,ADRYr2!$AL5,IF(ADRYr2!$AM5=CE$4,ADRYr2!$AN5,0))))*(INDEX(avoidedcosttbl2,$H5,CN$2)+(($H5-ROUNDDOWN($H5,0))*(INDEX(avoidedcosttbl2,ROUNDUP($H5,0),CN$2)-(INDEX(avoidedcosttbl2,ROUNDDOWN($H5,0),CN$2)))))*ADRYr2!P5*ADRYr2!Q5*ADRYr2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2!$AI5=CQ$4,ADRYr2!$AJ5,IF(ADRYr2!$AK5=CQ$4,ADRYr2!$AL5,IF(ADRYr2!$AM5=CQ$4,ADRYr2!$AN5,0))))*(INDEX(avoidedcosttbl2,$H5,CQ$2)+(($H5-ROUNDDOWN($H5,0))*(INDEX(avoidedcosttbl2,ROUNDUP($H5,0),CQ$2)-(INDEX(avoidedcosttbl2,ROUNDDOWN($H5,0),CQ$2)))))*ADRYr2!$P5*ADRYr2!$Q5*ADRYr2!$U5)</f>
        <v>0</v>
      </c>
      <c r="CR5" s="28">
        <f>IF($G5="","",G5*(IF(ADRYr2!$AI5=CR$4,ADRYr2!$AJ5,IF(ADRYr2!$AK5=CR$4,ADRYr2!$AL5,IF(ADRYr2!$AM5=CR$4,ADRYr2!$AN5,0))))*(INDEX(avoidedcosttbl2,$H5,CR$2)+(($H5-ROUNDDOWN($H5,0))*(INDEX(avoidedcosttbl2,ROUNDUP($H5,0),CR$2)-(INDEX(avoidedcosttbl2,ROUNDDOWN($H5,0),CR$2)))))*ADRYr2!$P5*ADRYr2!$Q5*ADRYr2!$U5)</f>
        <v>0</v>
      </c>
      <c r="CS5" s="28">
        <f>IF($G5="","",G5*(IF(ADRYr2!$AI5=CS$4,ADRYr2!$AJ5,IF(ADRYr2!$AK5=CS$4,ADRYr2!$AL5,IF(ADRYr2!$AM5=CS$4,ADRYr2!$AN5,0))))*(INDEX(avoidedcosttbl2,$H5,CS$2)+(($H5-ROUNDDOWN($H5,0))*(INDEX(avoidedcosttbl2,ROUNDUP($H5,0),CS$2)-(INDEX(avoidedcosttbl2,ROUNDDOWN($H5,0),CS$2)))))*ADRYr2!$P5*ADRYr2!$Q5*ADRYr2!$U5)</f>
        <v>0</v>
      </c>
      <c r="CT5" s="28">
        <f t="shared" ref="CT5:CT50" si="12">IF($G5="","",$AG5*(INDEX(avoidedcosttbl2,$H5,CT$2)+(($H5-ROUNDDOWN($H5,0))*(INDEX(avoidedcosttbl2,ROUNDUP($H5,0),CT$2)-(INDEX(avoidedcosttbl2,ROUNDDOWN($H5,0),CT$2))))))</f>
        <v>0</v>
      </c>
      <c r="CU5" s="28">
        <f>IF($G5="","",G5*(IF(ADRYr2!$AI5=CU$4,ADRYr2!$AJ5,IF(ADRYr2!$AK5=CU$4,ADRYr2!$AL5,IF(ADRYr2!$AM5=CU$4,ADRYr2!$AN5,0))))*(INDEX(avoidedcosttbl2,$H5,CU$2)+(($H5-ROUNDDOWN($H5,0))*(INDEX(avoidedcosttbl2,ROUNDUP($H5,0),CU$2)-(INDEX(avoidedcosttbl2,ROUNDDOWN($H5,0),CU$2)))))*ADRYr2!$P5*ADRYr2!$Q5*ADRYr2!$U5)</f>
        <v>0</v>
      </c>
      <c r="CV5" s="28">
        <f>IF($G5="","",G5*(IF(ADRYr2!$AI5=CV$4,ADRYr2!$AJ5,IF(ADRYr2!$AK5=CV$4,ADRYr2!$AL5,IF(ADRYr2!$AM5=CV$4,ADRYr2!$AN5,0))))*(INDEX(avoidedcosttbl2,$H5,CV$2)+(($H5-ROUNDDOWN($H5,0))*(INDEX(avoidedcosttbl2,ROUNDUP($H5,0),CV$2)-(INDEX(avoidedcosttbl2,ROUNDDOWN($H5,0),CV$2)))))*ADRYr2!$P5*ADRYr2!$Q5*ADRYr2!$U5)</f>
        <v>0</v>
      </c>
      <c r="CW5" s="28">
        <f>IF($G5="","",G5*(IF(ADRYr2!$AI5=CW$4,ADRYr2!$AJ5,IF(ADRYr2!$AK5=CW$4,ADRYr2!$AL5,IF(ADRYr2!$AM5=CW$4,ADRYr2!$AN5,0))))*(INDEX(avoidedcosttbl2,$H5,CW$2)+(($H5-ROUNDDOWN($H5,0))*(INDEX(avoidedcosttbl2,ROUNDUP($H5,0),CW$2)-(INDEX(avoidedcosttbl2,ROUNDDOWN($H5,0),CW$2)))))*ADRYr2!$P5*ADRYr2!$Q5*ADRYr2!$U5)</f>
        <v>0</v>
      </c>
      <c r="CX5" s="28">
        <f>IF($G5="","",G5*(IF(ADRYr2!$AI5=CX$4,ADRYr2!$AJ5,IF(ADRYr2!$AK5=CX$4,ADRYr2!$AL5,IF(ADRYr2!$AM5=CX$4,ADRYr2!$AN5,0))))*(INDEX(avoidedcosttbl2,$H5,CX$2)+(($H5-ROUNDDOWN($H5,0))*(INDEX(avoidedcosttbl2,ROUNDUP($H5,0),CX$2)-(INDEX(avoidedcosttbl2,ROUNDDOWN($H5,0),CX$2)))))*ADRYr2!$P5*ADRYr2!$Q5*ADRYr2!$U5)</f>
        <v>0</v>
      </c>
      <c r="CY5" s="28">
        <f t="shared" ref="CY5:CY50" si="13">IF($G5="","",BA5*(INDEX(avoidedcosttbl2,$H5,CY$2)+(($H5-ROUNDDOWN($H5,0))*(INDEX(avoidedcosttbl2,ROUNDUP($H5,0),CY$2)-(INDEX(avoidedcosttbl2,ROUNDDOWN($H5,0),CY$2))))))</f>
        <v>0</v>
      </c>
      <c r="CZ5" s="32">
        <f t="shared" ref="CZ5:CZ50" si="14">IF($G5="","",BB5*(INDEX(avoidedcosttbl2,$H5,CZ$2)+(($H5-ROUNDDOWN($H5,0))*(INDEX(avoidedcosttbl2,ROUNDUP($H5,0),CZ$2)-(INDEX(avoidedcosttbl2,ROUNDDOWN($H5,0),CZ$2))))))</f>
        <v>0</v>
      </c>
      <c r="DA5" s="84">
        <f>IF($G5="","",SUM(CP5:CZ5))</f>
        <v>0</v>
      </c>
      <c r="DB5" s="81">
        <f>IF(NEIadder="Yes",IF($G5="","",INDEX(Lookups!$G$68:$G$70,MATCH($A5,Lookups!$E$68:$E$70,0))*(SUM(CP5:CX5,BX5))),"")</f>
        <v>4157.9962464861192</v>
      </c>
      <c r="DC5" s="263" t="str">
        <f t="shared" ref="DC5:DC50" si="15">IF(FE="Yes",IF($G5="","", FEpercent*(AC5*NGE+AG5*OilE+AK5*PropE+AO5*KerE)*(INDEX(avoidedcosttbl2,$H5,DC$2)+(($H5-ROUNDDOWN($H5,0))*(INDEX(avoidedcosttbl2,ROUNDUP($H5,0),DC$2)-(INDEX(avoidedcosttbl2,ROUNDDOWN($H5,0),DC$2)))))),"")</f>
        <v/>
      </c>
      <c r="DD5" s="166">
        <f t="shared" ref="DD5:DD50" si="16">IF($G5="","",(AC5*NGCO2+AG5*OilCO2+AK5*PropaneCO2+AO5*KeroseneCO2)/2000*(INDEX(avoidedcosttbl2,$H5,DD$2)+(($H5-ROUNDDOWN($H5,0))*(INDEX(avoidedcosttbl2,ROUNDUP($H5,0),DD$2)-(INDEX(avoidedcosttbl2,ROUNDDOWN($H5,0),DD$2))))))</f>
        <v>0</v>
      </c>
      <c r="DE5" s="82">
        <f>SUM(DB5:DD5)</f>
        <v>4157.9962464861192</v>
      </c>
      <c r="DF5" s="760">
        <f>IF($G5="","",(1+WntPeakEnergyLL)*(INDEX(avoidedcosttbl2,$H5,DF$2)+(($H5-ROUNDDOWN($H5,0))*(INDEX(avoidedcosttbl2,ROUNDUP($H5,0),DF$2)-(INDEX(avoidedcosttbl2,ROUNDDOWN($H5,0),DF$2)))))*$P5*1000*ADRYr2!Z5)</f>
        <v>0</v>
      </c>
      <c r="DG5" s="760">
        <f>IF($G5="","",(1+WntOffPeakEnergyLL)*(INDEX(avoidedcosttbl2,$H5,DG$2)+(($H5-ROUNDDOWN($H5,0))*(INDEX(avoidedcosttbl2,ROUNDUP($H5,0),DG$2)-(INDEX(avoidedcosttbl2,ROUNDDOWN($H5,0),DG$2)))))*$P5*1000*ADRYr2!AA5)</f>
        <v>0</v>
      </c>
      <c r="DH5" s="760">
        <f>IF($G5="","",(1+SumPeakEnergyLL)*(INDEX(avoidedcosttbl2,$H5,DH$2)+(($H5-ROUNDDOWN($H5,0))*(INDEX(avoidedcosttbl2,ROUNDUP($H5,0),DH$2)-(INDEX(avoidedcosttbl2,ROUNDDOWN($H5,0),DH$2)))))*$P5*1000*ADRYr2!AB5)</f>
        <v>0</v>
      </c>
      <c r="DI5" s="760">
        <f>IF($G5="","",(1+SumOffPeakEnergyLL)*(INDEX(avoidedcosttbl2,$H5,DI$2)+(($H5-ROUNDDOWN($H5,0))*(INDEX(avoidedcosttbl2,ROUNDUP($H5,0),DI$2)-(INDEX(avoidedcosttbl2,ROUNDDOWN($H5,0),DI$2)))))*$P5*1000*ADRYr2!AC5)</f>
        <v>0</v>
      </c>
      <c r="DJ5" s="29">
        <f>IF($G5="","",SUM(DF5:DI5))</f>
        <v>0</v>
      </c>
      <c r="DK5" s="161">
        <f>IF($G5="","",DE5+DA5+BX5)</f>
        <v>45737.958711347303</v>
      </c>
      <c r="DL5" s="1375">
        <f>IF($G5="","",IF(LEFT(A5,1)="B",DE5+DA5+BX5,DD5+DA5+BX5))</f>
        <v>41579.962464861186</v>
      </c>
      <c r="DM5" s="1375">
        <f>IF($G5="","",BX5)</f>
        <v>41579.962464861186</v>
      </c>
      <c r="DN5" s="43">
        <f>IF($G5="","",DE5+DA5+BX5+DJ5)</f>
        <v>45737.958711347303</v>
      </c>
      <c r="DO5" s="1131" t="str">
        <f>IF($G5="","",ADRYr2!AQ5)</f>
        <v>Top 20 All Hours</v>
      </c>
      <c r="DP5" s="1133" t="str">
        <f>IF($G5="","",ADRYr2!AR5)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>IF($G5="","",$B$1&amp;"-"&amp;DO5&amp;"-"&amp;H5)</f>
        <v>2022-Top 20 All Hours-1</v>
      </c>
      <c r="DU5" s="1135" t="str">
        <f>IF($G5="","",ADRYr2!AS5)</f>
        <v>No</v>
      </c>
      <c r="DV5" s="1136">
        <f>IF($G5="","",ADRYr2!AT5)</f>
        <v>0.1</v>
      </c>
      <c r="DW5" s="1344">
        <f>IF($G5="","",INDEX(AvoidedEnergy!$H$4:$H$10,MATCH($DO5,AvoidedEnergy!$A$4:$A$10,0)))</f>
        <v>0.08</v>
      </c>
    </row>
    <row r="6" spans="1:127">
      <c r="A6" s="160" t="str">
        <f>IF(ADRYr2!$B6=0,"",ADRYr2!A6)</f>
        <v>A - Residential</v>
      </c>
      <c r="B6" s="9" t="str">
        <f>IF(ADRYr2!$B6=0,"",ADRYr2!B6)</f>
        <v>A5 - Residential Active Demand Response</v>
      </c>
      <c r="C6" s="9" t="str">
        <f>IF(ADRYr2!$B6=0,"",ADRYr2!C6)</f>
        <v>A5a - Residential Active Demand Response</v>
      </c>
      <c r="D6" s="9" t="str">
        <f>IF(ADRYr2!$B6=0,"",ADRYr2!D6)</f>
        <v>Behavior DR</v>
      </c>
      <c r="E6" s="9">
        <f>IF(ADRYr2!$B6=0,"",ADRYr2!E6)</f>
        <v>0</v>
      </c>
      <c r="F6" s="11" t="str">
        <f>IF(ADRYr2!$B6=0,"",ADRYr2!F6)</f>
        <v>Behavior</v>
      </c>
      <c r="G6" s="12" t="str">
        <f>IF(ADRYr2!$G6&lt;&gt;0,ADRYr2!G6,"")</f>
        <v/>
      </c>
      <c r="H6" s="1125" t="str">
        <f>IF($G6="","",ROUND(ADRYr2!H6,0))</f>
        <v/>
      </c>
      <c r="I6" s="47" t="str">
        <f>IF($G6="","",ADRYr2!I6*ADRYr2!P6*G6)</f>
        <v/>
      </c>
      <c r="J6" s="47" t="str">
        <f>IF($G6="","",ADRYr2!J6*G6)</f>
        <v/>
      </c>
      <c r="K6" s="47" t="str">
        <f t="shared" ref="K6:K50" si="17">IF($G6="","",I6-J6)</f>
        <v/>
      </c>
      <c r="L6" s="27" t="str">
        <f>IF($G6="","",ADRYr2!V6*G6/1000)</f>
        <v/>
      </c>
      <c r="M6" s="27" t="str">
        <f>IF($G6="","",L6*ADRYr2!$Q6*ADRYr2!$R6)</f>
        <v/>
      </c>
      <c r="N6" s="27" t="str">
        <f t="shared" ref="N6:N50" si="18">IFERROR(L6*H6,"")</f>
        <v/>
      </c>
      <c r="O6" s="27" t="str">
        <f t="shared" ref="O6:O50" si="19">IF($G6="","",M6*$H6)</f>
        <v/>
      </c>
      <c r="P6" s="27" t="str">
        <f>IF($G6="","",M6*ADRYr2!P6)</f>
        <v/>
      </c>
      <c r="Q6" s="27" t="str">
        <f t="shared" ref="Q6:Q50" si="20">IF($G6="","",P6*$H6)</f>
        <v/>
      </c>
      <c r="R6" s="27" t="str">
        <f>IF($G6="","",$Q6*ADRYr2!Z6)</f>
        <v/>
      </c>
      <c r="S6" s="27" t="str">
        <f>IF($G6="","",$Q6*ADRYr2!AA6)</f>
        <v/>
      </c>
      <c r="T6" s="27" t="str">
        <f>IF($G6="","",$Q6*ADRYr2!AB6)</f>
        <v/>
      </c>
      <c r="U6" s="27" t="str">
        <f>IF($G6="","",$Q6*ADRYr2!AC6)</f>
        <v/>
      </c>
      <c r="V6" s="27" t="str">
        <f>IF($G6="","",G6*ADRYr2!$AD6*ADRYr2!$P6*ADRYr2!$Q6)</f>
        <v/>
      </c>
      <c r="W6" s="27" t="str">
        <f>IF($G6="","",$G6*ADRYr2!$AD6*ADRYr2!$AF6*ADRYr2!Q6*ADRYr2!$S6)</f>
        <v/>
      </c>
      <c r="X6" s="27" t="str">
        <f>IF($G6="","",$G6*ADRYr2!$AD6*ADRYr2!$AF6*ADRYr2!P6*ADRYr2!Q6*ADRYr2!$S6)</f>
        <v/>
      </c>
      <c r="Y6" s="27" t="str">
        <f>IF($G6="","",$G6*ADRYr2!$AD6*ADRYr2!$AE6*ADRYr2!Q6*ADRYr2!$T6)</f>
        <v/>
      </c>
      <c r="Z6" s="27" t="str">
        <f>IF($G6="","",$G6*ADRYr2!$AD6*ADRYr2!$AE6*ADRYr2!P6*ADRYr2!Q6*ADRYr2!$T6)</f>
        <v/>
      </c>
      <c r="AA6" s="45" t="str">
        <f>IF($G6="","",$G6*ADRYr2!$Q6*ADRYr2!$U6*(IF(IFERROR(SEARCH("NG", ADRYr2!$AI6),0),ADRYr2!$AJ6,0)+IF(IFERROR(SEARCH("NG", ADRYr2!$AK6),0),ADRYr2!$AL6,0)+IF(IFERROR(SEARCH("NG", ADRYr2!$AM6),0),ADRYr2!$AN6,0)))</f>
        <v/>
      </c>
      <c r="AB6" s="45" t="str">
        <f t="shared" ref="AB6:AB50" si="21">IF($G6="","",AA6*$H6)</f>
        <v/>
      </c>
      <c r="AC6" s="45">
        <f>IF($G6="",0,AA6*ADRYr2!$P6)</f>
        <v>0</v>
      </c>
      <c r="AD6" s="45" t="str">
        <f t="shared" ref="AD6:AD50" si="22">IF($G6="","",AC6*$H6)</f>
        <v/>
      </c>
      <c r="AE6" s="45" t="str">
        <f>IF($G6="","",$G6*ADRYr2!$Q6*ADRYr2!$U6*(IF(IFERROR(SEARCH("Oil", ADRYr2!$AI6), 0),ADRYr2!$AJ6,0)+IF(IFERROR(SEARCH("Oil", ADRYr2!$AK6), 0),ADRYr2!$AL6,0)+IF(IFERROR(SEARCH("Oil", ADRYr2!$AM6), 0),ADRYr2!$AN6,0)))</f>
        <v/>
      </c>
      <c r="AF6" s="45" t="str">
        <f t="shared" ref="AF6:AF50" si="23">IF($G6="","",AE6*$H6)</f>
        <v/>
      </c>
      <c r="AG6" s="45">
        <f>IF($G6="",0,AE6*ADRYr2!$P6)</f>
        <v>0</v>
      </c>
      <c r="AH6" s="45" t="str">
        <f t="shared" ref="AH6:AH50" si="24">IF($G6="","",AG6*$H6)</f>
        <v/>
      </c>
      <c r="AI6" s="45" t="str">
        <f>IF($G6="","",$G6*ADRYr2!$Q6*ADRYr2!$U6*(IF(ADRYr2!$AI6=Lookups!$E$114,ADRYr2!$AJ6,IF(ADRYr2!$AK6=Lookups!$E$114,ADRYr2!$AL6,IF(ADRYr2!$AM6=Lookups!$E$114,ADRYr2!$AN6,0)))))</f>
        <v/>
      </c>
      <c r="AJ6" s="45" t="str">
        <f t="shared" ref="AJ6:AJ50" si="25">IF($G6="","",AI6*$H6)</f>
        <v/>
      </c>
      <c r="AK6" s="45">
        <f>IF($G6="",0,AI6*ADRYr2!$P6)</f>
        <v>0</v>
      </c>
      <c r="AL6" s="45" t="str">
        <f t="shared" ref="AL6:AL50" si="26">IF($G6="","",AK6*$H6)</f>
        <v/>
      </c>
      <c r="AM6" s="45" t="str">
        <f>IF($G6="","",$G6*ADRYr2!$Q6*ADRYr2!$U6*(IF(ADRYr2!$AI6=Lookups!$E$113,ADRYr2!$AJ6,IF(ADRYr2!$AK6=Lookups!$E$113,ADRYr2!$AL6,IF(ADRYr2!$AM6=Lookups!$E$113,ADRYr2!$AN6,0)))))</f>
        <v/>
      </c>
      <c r="AN6" s="45" t="str">
        <f t="shared" ref="AN6:AN50" si="27">IF($G6="","",AM6*$H6)</f>
        <v/>
      </c>
      <c r="AO6" s="45">
        <f>IF($G6="",0,AM6*ADRYr2!$P6)</f>
        <v>0</v>
      </c>
      <c r="AP6" s="45" t="str">
        <f t="shared" ref="AP6:AP50" si="28">IF($G6="","",AO6*$H6)</f>
        <v/>
      </c>
      <c r="AQ6" s="45" t="str">
        <f>IF($G6="","",$G6*ADRYr2!$Q6*ADRYr2!$U6*(IF(ADRYr2!$AI6=Lookups!$E$115,ADRYr2!$AJ6,IF(ADRYr2!$AK6=Lookups!$E$115,ADRYr2!$AL6,IF(ADRYr2!$AM6=Lookups!$E$115,ADRYr2!$AN6,0)))))</f>
        <v/>
      </c>
      <c r="AR6" s="45" t="str">
        <f t="shared" ref="AR6:AR50" si="29">IF($G6="","",AQ6*$H6)</f>
        <v/>
      </c>
      <c r="AS6" s="45" t="str">
        <f>IF($G6="","",AQ6*ADRYr2!$P6)</f>
        <v/>
      </c>
      <c r="AT6" s="45" t="str">
        <f t="shared" ref="AT6:AT50" si="30">IF($G6="","",AS6*$H6)</f>
        <v/>
      </c>
      <c r="AU6" s="45" t="str">
        <f>IF($G6="","",$G6*ADRYr2!$Q6*ADRYr2!$U6*(IF(ADRYr2!$AI6=Lookups!$E$116,ADRYr2!$AJ6,IF(ADRYr2!$AK6=Lookups!$E$116,ADRYr2!$AL6,IF(ADRYr2!$AM6=Lookups!$E$116,ADRYr2!$AN6,0)))))</f>
        <v/>
      </c>
      <c r="AV6" s="45" t="str">
        <f t="shared" ref="AV6:AV50" si="31">IF($G6="","",AU6*$H6)</f>
        <v/>
      </c>
      <c r="AW6" s="45" t="str">
        <f>IF($G6="","",AU6*ADRYr2!$P6)</f>
        <v/>
      </c>
      <c r="AX6" s="45" t="str">
        <f t="shared" ref="AX6:AX50" si="32">IF($G6="","",AW6*$H6)</f>
        <v/>
      </c>
      <c r="AY6" s="45">
        <f t="shared" ref="AY6:AZ21" si="33">SUM(AC6,AG6,AK6,AO6,AS6,AW6)</f>
        <v>0</v>
      </c>
      <c r="AZ6" s="45">
        <f t="shared" si="33"/>
        <v>0</v>
      </c>
      <c r="BA6" s="101" t="str">
        <f>IF($G6="","",$G6*ADRYr2!$P6*ADRYr2!$Q6*ADRYr2!$U6*ADRYr2!AO6)</f>
        <v/>
      </c>
      <c r="BB6" s="102" t="str">
        <f>IF($G6="","",$G6*ADRYr2!$P6*ADRYr2!$Q6*ADRYr2!$U6*ADRYr2!AP6)</f>
        <v/>
      </c>
      <c r="BC6" s="100" t="str">
        <f t="shared" ref="BC6:BC50" si="34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si="5"/>
        <v/>
      </c>
      <c r="BO6" s="31" t="str">
        <f t="shared" ref="BO6:BO50" si="35">IF($G6="","",SUM(BH6,BN6))</f>
        <v/>
      </c>
      <c r="BP6" s="1129" t="str">
        <f t="shared" si="6"/>
        <v/>
      </c>
      <c r="BQ6" s="28" t="str">
        <f t="shared" si="7"/>
        <v/>
      </c>
      <c r="BR6" s="1129" t="str">
        <f t="shared" si="8"/>
        <v/>
      </c>
      <c r="BS6" s="1129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6">IF($G6="","",SUM(BP6:BV6))</f>
        <v/>
      </c>
      <c r="BX6" s="29" t="str">
        <f t="shared" ref="BX6:BX50" si="37">IF($G6="","",BO6+BW6)</f>
        <v/>
      </c>
      <c r="BY6" s="28" t="str">
        <f>IF($G6="","",$G6*(IF(ADRYr2!$AI6=BY$4,ADRYr2!$AJ6,IF(ADRYr2!$AK6=BY$4,ADRYr2!$AL6,IF(ADRYr2!$AM6=BY$4,ADRYr2!$AN6,0))))*(INDEX(avoidedcosttbl2,$H6,BY$2)+(($H6-ROUNDDOWN($H6,0))*(INDEX(avoidedcosttbl2,ROUNDUP($H6,0),BY$2)-(INDEX(avoidedcosttbl2,ROUNDDOWN($H6,0),BY$2)))))*ADRYr2!P6*ADRYr2!Q6*ADRYr2!U6)</f>
        <v/>
      </c>
      <c r="BZ6" s="28" t="str">
        <f>IF($G6="","",$G6*(IF(ADRYr2!$AI6=BZ$4,ADRYr2!$AJ6,IF(ADRYr2!$AK6=BZ$4,ADRYr2!$AL6,IF(ADRYr2!$AM6=BZ$4,ADRYr2!$AN6,0))))*(INDEX(avoidedcosttbl2,$H6,BZ$2)+(($H6-ROUNDDOWN($H6,0))*(INDEX(avoidedcosttbl2,ROUNDUP($H6,0),BZ$2)-(INDEX(avoidedcosttbl2,ROUNDDOWN($H6,0),BZ$2)))))*ADRYr2!P6*ADRYr2!Q6*ADRYr2!U6)</f>
        <v/>
      </c>
      <c r="CA6" s="28" t="str">
        <f>IF($G6="","",$G6*(IF(ADRYr2!$AI6=CA$4,ADRYr2!$AJ6,IF(ADRYr2!$AK6=CA$4,ADRYr2!$AL6,IF(ADRYr2!$AM6=CA$4,ADRYr2!$AN6,0))))*(INDEX(avoidedcosttbl2,$H6,CA$2)+(($H6-ROUNDDOWN($H6,0))*(INDEX(avoidedcosttbl2,ROUNDUP($H6,0),CA$2)-(INDEX(avoidedcosttbl2,ROUNDDOWN($H6,0),CA$2)))))*ADRYr2!P6*ADRYr2!Q6*ADRYr2!U6)</f>
        <v/>
      </c>
      <c r="CB6" s="28" t="str">
        <f>IF($G6="","",$G6*(IF(ADRYr2!$AI6=CB$4,ADRYr2!$AJ6,IF(ADRYr2!$AK6=CB$4,ADRYr2!$AL6,IF(ADRYr2!$AM6=CB$4,ADRYr2!$AN6,0))))*(INDEX(avoidedcosttbl2,$H6,CB$2)+(($H6-ROUNDDOWN($H6,0))*(INDEX(avoidedcosttbl2,ROUNDUP($H6,0),CB$2)-(INDEX(avoidedcosttbl2,ROUNDDOWN($H6,0),CB$2)))))*ADRYr2!P6*ADRYr2!Q6*ADRYr2!U6)</f>
        <v/>
      </c>
      <c r="CC6" s="28" t="str">
        <f>IF($G6="","",$G6*(IF(ADRYr2!$AI6=CC$4,ADRYr2!$AJ6,IF(ADRYr2!$AK6=CC$4,ADRYr2!$AL6,IF(ADRYr2!$AM6=CC$4,ADRYr2!$AN6,0))))*(INDEX(avoidedcosttbl2,$H6,CC$2)+(($H6-ROUNDDOWN($H6,0))*(INDEX(avoidedcosttbl2,ROUNDUP($H6,0),CC$2)-(INDEX(avoidedcosttbl2,ROUNDDOWN($H6,0),CC$2)))))*ADRYr2!P6*ADRYr2!Q6*ADRYr2!U6)</f>
        <v/>
      </c>
      <c r="CD6" s="28" t="str">
        <f>IF($G6="","",$G6*(IF(ADRYr2!$AI6=CD$4,ADRYr2!$AJ6,IF(ADRYr2!$AK6=CD$4,ADRYr2!$AL6,IF(ADRYr2!$AM6=CD$4,ADRYr2!$AN6,0))))*(INDEX(avoidedcosttbl2,$H6,CD$2)+(($H6-ROUNDDOWN($H6,0))*(INDEX(avoidedcosttbl2,ROUNDUP($H6,0),CD$2)-(INDEX(avoidedcosttbl2,ROUNDDOWN($H6,0),CD$2)))))*ADRYr2!P6*ADRYr2!Q6*ADRYr2!U6)</f>
        <v/>
      </c>
      <c r="CE6" s="28" t="str">
        <f>IF($G6="","",$G6*(IF(ADRYr2!$AI6=CE$4,ADRYr2!$AJ6,IF(ADRYr2!$AK6=CE$4,ADRYr2!$AL6,IF(ADRYr2!$AM6=CE$4,ADRYr2!$AN6,0))))*(INDEX(avoidedcosttbl2,$H6,CE$2)+(($H6-ROUNDDOWN($H6,0))*(INDEX(avoidedcosttbl2,ROUNDUP($H6,0),CE$2)-(INDEX(avoidedcosttbl2,ROUNDDOWN($H6,0),CE$2)))))*ADRYr2!P6*ADRYr2!Q6*ADRYr2!U6)</f>
        <v/>
      </c>
      <c r="CF6" s="41" t="str">
        <f t="shared" ref="CF6:CF50" si="38">IF($G6="","",SUM(BY6:CE6))</f>
        <v/>
      </c>
      <c r="CG6" s="30" t="str">
        <f t="shared" si="11"/>
        <v/>
      </c>
      <c r="CH6" s="30" t="str">
        <f>IF($G6="","",$G6*(IF(ADRYr2!$AI6=BY$4,ADRYr2!$AJ6,IF(ADRYr2!$AK6=BY$4,ADRYr2!$AL6,IF(ADRYr2!$AM6=BY$4,ADRYr2!$AN6,0))))*(INDEX(avoidedcosttbl2,$H6,CH$2)+(($H6-ROUNDDOWN($H6,0))*(INDEX(avoidedcosttbl2,ROUNDUP($H6,0),CH$2)-(INDEX(avoidedcosttbl2,ROUNDDOWN($H6,0),CH$2)))))*ADRYr2!P6*ADRYr2!Q6*ADRYr2!U6)</f>
        <v/>
      </c>
      <c r="CI6" s="30" t="str">
        <f>IF($G6="","",$G6*(IF(ADRYr2!$AI6=BZ$4,ADRYr2!$AJ6,IF(ADRYr2!$AK6=BZ$4,ADRYr2!$AL6,IF(ADRYr2!$AM6=BZ$4,ADRYr2!$AN6,0))))*(INDEX(avoidedcosttbl2,$H6,CI$2)+(($H6-ROUNDDOWN($H6,0))*(INDEX(avoidedcosttbl2,ROUNDUP($H6,0),CI$2)-(INDEX(avoidedcosttbl2,ROUNDDOWN($H6,0),CI$2)))))*ADRYr2!P6*ADRYr2!Q6*ADRYr2!U6)</f>
        <v/>
      </c>
      <c r="CJ6" s="30" t="str">
        <f>IF($G6="","",$G6*(IF(ADRYr2!$AI6=CA$4,ADRYr2!$AJ6,IF(ADRYr2!$AK6=CA$4,ADRYr2!$AL6,IF(ADRYr2!$AM6=CA$4,ADRYr2!$AN6,0))))*(INDEX(avoidedcosttbl2,$H6,CJ$2)+(($H6-ROUNDDOWN($H6,0))*(INDEX(avoidedcosttbl2,ROUNDUP($H6,0),CJ$2)-(INDEX(avoidedcosttbl2,ROUNDDOWN($H6,0),CJ$2)))))*ADRYr2!P6*ADRYr2!Q6*ADRYr2!U6)</f>
        <v/>
      </c>
      <c r="CK6" s="30" t="str">
        <f>IF($G6="","",$G6*(IF(ADRYr2!$AI6=CB$4,ADRYr2!$AJ6,IF(ADRYr2!$AK6=CB$4,ADRYr2!$AL6,IF(ADRYr2!$AM6=CB$4,ADRYr2!$AN6,0))))*(INDEX(avoidedcosttbl2,$H6,CK$2)+(($H6-ROUNDDOWN($H6,0))*(INDEX(avoidedcosttbl2,ROUNDUP($H6,0),CK$2)-(INDEX(avoidedcosttbl2,ROUNDDOWN($H6,0),CK$2)))))*ADRYr2!P6*ADRYr2!Q6*ADRYr2!U6)</f>
        <v/>
      </c>
      <c r="CL6" s="30" t="str">
        <f>IF($G6="","",$G6*(IF(ADRYr2!$AI6=CC$4,ADRYr2!$AJ6,IF(ADRYr2!$AK6=CC$4,ADRYr2!$AL6,IF(ADRYr2!$AM6=CC$4,ADRYr2!$AN6,0))))*(INDEX(avoidedcosttbl2,$H6,CL$2)+(($H6-ROUNDDOWN($H6,0))*(INDEX(avoidedcosttbl2,ROUNDUP($H6,0),CL$2)-(INDEX(avoidedcosttbl2,ROUNDDOWN($H6,0),CL$2)))))*ADRYr2!P6*ADRYr2!Q6*ADRYr2!U6)</f>
        <v/>
      </c>
      <c r="CM6" s="30" t="str">
        <f>IF($G6="","",$G6*(IF(ADRYr2!$AI6=CD$4,ADRYr2!$AJ6,IF(ADRYr2!$AK6=CD$4,ADRYr2!$AL6,IF(ADRYr2!$AM6=CD$4,ADRYr2!$AN6,0))))*(INDEX(avoidedcosttbl2,$H6,CM$2)+(($H6-ROUNDDOWN($H6,0))*(INDEX(avoidedcosttbl2,ROUNDUP($H6,0),CM$2)-(INDEX(avoidedcosttbl2,ROUNDDOWN($H6,0),CM$2)))))*ADRYr2!P6*ADRYr2!Q6*ADRYr2!U6)</f>
        <v/>
      </c>
      <c r="CN6" s="30" t="str">
        <f>IF($G6="","",$G6*(IF(ADRYr2!$AI6=CE$4,ADRYr2!$AJ6,IF(ADRYr2!$AK6=CE$4,ADRYr2!$AL6,IF(ADRYr2!$AM6=CE$4,ADRYr2!$AN6,0))))*(INDEX(avoidedcosttbl2,$H6,CN$2)+(($H6-ROUNDDOWN($H6,0))*(INDEX(avoidedcosttbl2,ROUNDUP($H6,0),CN$2)-(INDEX(avoidedcosttbl2,ROUNDDOWN($H6,0),CN$2)))))*ADRYr2!P6*ADRYr2!Q6*ADRYr2!U6)</f>
        <v/>
      </c>
      <c r="CO6" s="220" t="str">
        <f t="shared" ref="CO6:CO50" si="39">IF($G6="","",SUM(CG6:CN6))</f>
        <v/>
      </c>
      <c r="CP6" s="220" t="str">
        <f t="shared" ref="CP6:CP50" si="40">IF($G6="","",CF6+CO6)</f>
        <v/>
      </c>
      <c r="CQ6" s="157" t="str">
        <f>IF($G6="","",$G6*(IF(ADRYr2!$AI6=CQ$4,ADRYr2!$AJ6,IF(ADRYr2!$AK6=CQ$4,ADRYr2!$AL6,IF(ADRYr2!$AM6=CQ$4,ADRYr2!$AN6,0))))*(INDEX(avoidedcosttbl2,$H6,CQ$2)+(($H6-ROUNDDOWN($H6,0))*(INDEX(avoidedcosttbl2,ROUNDUP($H6,0),CQ$2)-(INDEX(avoidedcosttbl2,ROUNDDOWN($H6,0),CQ$2)))))*ADRYr2!$P6*ADRYr2!$Q6*ADRYr2!$U6)</f>
        <v/>
      </c>
      <c r="CR6" s="28" t="str">
        <f>IF($G6="","",G6*(IF(ADRYr2!$AI6=CR$4,ADRYr2!$AJ6,IF(ADRYr2!$AK6=CR$4,ADRYr2!$AL6,IF(ADRYr2!$AM6=CR$4,ADRYr2!$AN6,0))))*(INDEX(avoidedcosttbl2,$H6,CR$2)+(($H6-ROUNDDOWN($H6,0))*(INDEX(avoidedcosttbl2,ROUNDUP($H6,0),CR$2)-(INDEX(avoidedcosttbl2,ROUNDDOWN($H6,0),CR$2)))))*ADRYr2!$P6*ADRYr2!$Q6*ADRYr2!$U6)</f>
        <v/>
      </c>
      <c r="CS6" s="28" t="str">
        <f>IF($G6="","",G6*(IF(ADRYr2!$AI6=CS$4,ADRYr2!$AJ6,IF(ADRYr2!$AK6=CS$4,ADRYr2!$AL6,IF(ADRYr2!$AM6=CS$4,ADRYr2!$AN6,0))))*(INDEX(avoidedcosttbl2,$H6,CS$2)+(($H6-ROUNDDOWN($H6,0))*(INDEX(avoidedcosttbl2,ROUNDUP($H6,0),CS$2)-(INDEX(avoidedcosttbl2,ROUNDDOWN($H6,0),CS$2)))))*ADRYr2!$P6*ADRYr2!$Q6*ADRYr2!$U6)</f>
        <v/>
      </c>
      <c r="CT6" s="28" t="str">
        <f t="shared" si="12"/>
        <v/>
      </c>
      <c r="CU6" s="28" t="str">
        <f>IF($G6="","",G6*(IF(ADRYr2!$AI6=CU$4,ADRYr2!$AJ6,IF(ADRYr2!$AK6=CU$4,ADRYr2!$AL6,IF(ADRYr2!$AM6=CU$4,ADRYr2!$AN6,0))))*(INDEX(avoidedcosttbl2,$H6,CU$2)+(($H6-ROUNDDOWN($H6,0))*(INDEX(avoidedcosttbl2,ROUNDUP($H6,0),CU$2)-(INDEX(avoidedcosttbl2,ROUNDDOWN($H6,0),CU$2)))))*ADRYr2!$P6*ADRYr2!$Q6*ADRYr2!$U6)</f>
        <v/>
      </c>
      <c r="CV6" s="28" t="str">
        <f>IF($G6="","",G6*(IF(ADRYr2!$AI6=CV$4,ADRYr2!$AJ6,IF(ADRYr2!$AK6=CV$4,ADRYr2!$AL6,IF(ADRYr2!$AM6=CV$4,ADRYr2!$AN6,0))))*(INDEX(avoidedcosttbl2,$H6,CV$2)+(($H6-ROUNDDOWN($H6,0))*(INDEX(avoidedcosttbl2,ROUNDUP($H6,0),CV$2)-(INDEX(avoidedcosttbl2,ROUNDDOWN($H6,0),CV$2)))))*ADRYr2!$P6*ADRYr2!$Q6*ADRYr2!$U6)</f>
        <v/>
      </c>
      <c r="CW6" s="28" t="str">
        <f>IF($G6="","",G6*(IF(ADRYr2!$AI6=CW$4,ADRYr2!$AJ6,IF(ADRYr2!$AK6=CW$4,ADRYr2!$AL6,IF(ADRYr2!$AM6=CW$4,ADRYr2!$AN6,0))))*(INDEX(avoidedcosttbl2,$H6,CW$2)+(($H6-ROUNDDOWN($H6,0))*(INDEX(avoidedcosttbl2,ROUNDUP($H6,0),CW$2)-(INDEX(avoidedcosttbl2,ROUNDDOWN($H6,0),CW$2)))))*ADRYr2!$P6*ADRYr2!$Q6*ADRYr2!$U6)</f>
        <v/>
      </c>
      <c r="CX6" s="28" t="str">
        <f>IF($G6="","",G6*(IF(ADRYr2!$AI6=CX$4,ADRYr2!$AJ6,IF(ADRYr2!$AK6=CX$4,ADRYr2!$AL6,IF(ADRYr2!$AM6=CX$4,ADRYr2!$AN6,0))))*(INDEX(avoidedcosttbl2,$H6,CX$2)+(($H6-ROUNDDOWN($H6,0))*(INDEX(avoidedcosttbl2,ROUNDUP($H6,0),CX$2)-(INDEX(avoidedcosttbl2,ROUNDDOWN($H6,0),CX$2)))))*ADRYr2!$P6*ADRYr2!$Q6*ADRYr2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1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si="15"/>
        <v/>
      </c>
      <c r="DD6" s="166" t="str">
        <f t="shared" si="16"/>
        <v/>
      </c>
      <c r="DE6" s="82">
        <f t="shared" ref="DE6:DE50" si="42">SUM(DB6:DD6)</f>
        <v>0</v>
      </c>
      <c r="DF6" s="760" t="str">
        <f>IF($G6="","",(1+WntPeakEnergyLL)*(INDEX(avoidedcosttbl2,$H6,DF$2)+(($H6-ROUNDDOWN($H6,0))*(INDEX(avoidedcosttbl2,ROUNDUP($H6,0),DF$2)-(INDEX(avoidedcosttbl2,ROUNDDOWN($H6,0),DF$2)))))*$P6*1000*ADRYr2!Z6)</f>
        <v/>
      </c>
      <c r="DG6" s="760" t="str">
        <f>IF($G6="","",(1+WntOffPeakEnergyLL)*(INDEX(avoidedcosttbl2,$H6,DG$2)+(($H6-ROUNDDOWN($H6,0))*(INDEX(avoidedcosttbl2,ROUNDUP($H6,0),DG$2)-(INDEX(avoidedcosttbl2,ROUNDDOWN($H6,0),DG$2)))))*$P6*1000*ADRYr2!AA6)</f>
        <v/>
      </c>
      <c r="DH6" s="760" t="str">
        <f>IF($G6="","",(1+SumPeakEnergyLL)*(INDEX(avoidedcosttbl2,$H6,DH$2)+(($H6-ROUNDDOWN($H6,0))*(INDEX(avoidedcosttbl2,ROUNDUP($H6,0),DH$2)-(INDEX(avoidedcosttbl2,ROUNDDOWN($H6,0),DH$2)))))*$P6*1000*ADRYr2!AB6)</f>
        <v/>
      </c>
      <c r="DI6" s="760" t="str">
        <f>IF($G6="","",(1+SumOffPeakEnergyLL)*(INDEX(avoidedcosttbl2,$H6,DI$2)+(($H6-ROUNDDOWN($H6,0))*(INDEX(avoidedcosttbl2,ROUNDUP($H6,0),DI$2)-(INDEX(avoidedcosttbl2,ROUNDDOWN($H6,0),DI$2)))))*$P6*1000*ADRYr2!AC6)</f>
        <v/>
      </c>
      <c r="DJ6" s="29" t="str">
        <f t="shared" ref="DJ6:DJ50" si="43">IF($G6="","",SUM(DF6:DI6))</f>
        <v/>
      </c>
      <c r="DK6" s="161" t="str">
        <f t="shared" ref="DK6:DK41" si="44">IF($G6="","",DE6+DA6+BX6)</f>
        <v/>
      </c>
      <c r="DL6" s="1375" t="str">
        <f t="shared" ref="DL6:DL41" si="45">IF($G6="","",IF(LEFT(A6,1)="B",DE6+DA6+BX6,DD6+DA6+BX6))</f>
        <v/>
      </c>
      <c r="DM6" s="1375" t="str">
        <f t="shared" ref="DM6:DM41" si="46">IF($G6="","",BX6)</f>
        <v/>
      </c>
      <c r="DN6" s="43" t="str">
        <f t="shared" ref="DN6:DN41" si="47">IF($G6="","",DE6+DA6+BX6+DJ6)</f>
        <v/>
      </c>
      <c r="DO6" s="1131" t="str">
        <f>IF($G6="","",ADRYr2!AQ6)</f>
        <v/>
      </c>
      <c r="DP6" s="1133" t="str">
        <f>IF($G6="","",ADRYr2!AR6)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ref="DT6:DT50" si="48">IF($G6="","",$B$1&amp;"-"&amp;DO6&amp;"-"&amp;H6)</f>
        <v/>
      </c>
      <c r="DU6" s="1135" t="str">
        <f>IF($G6="","",ADRYr2!AS6)</f>
        <v/>
      </c>
      <c r="DV6" s="1136" t="str">
        <f>IF($G6="","",ADRYr2!AT6)</f>
        <v/>
      </c>
      <c r="DW6" s="1344" t="str">
        <f>IF($G6="","",INDEX(AvoidedEnergy!$H$4:$H$10,MATCH($DO6,AvoidedEnergy!$A$4:$A$10,0)))</f>
        <v/>
      </c>
    </row>
    <row r="7" spans="1:127">
      <c r="A7" s="160" t="str">
        <f>IF(ADRYr2!$B7=0,"",ADRYr2!A7)</f>
        <v>A - Residential</v>
      </c>
      <c r="B7" s="9" t="str">
        <f>IF(ADRYr2!$B7=0,"",ADRYr2!B7)</f>
        <v>A5 - Residential Active Demand Response</v>
      </c>
      <c r="C7" s="9" t="str">
        <f>IF(ADRYr2!$B7=0,"",ADRYr2!C7)</f>
        <v>A5a - Residential Active Demand Response</v>
      </c>
      <c r="D7" s="9" t="str">
        <f>IF(ADRYr2!$B7=0,"",ADRYr2!D7)</f>
        <v>Storage Daily Dispatch Upfront Incentive (savings) Summer</v>
      </c>
      <c r="E7" s="9">
        <f>IF(ADRYr2!$B7=0,"",ADRYr2!E7)</f>
        <v>0</v>
      </c>
      <c r="F7" s="11" t="str">
        <f>IF(ADRYr2!$B7=0,"",ADRYr2!F7)</f>
        <v>Behavior</v>
      </c>
      <c r="G7" s="12" t="str">
        <f>IF(ADRYr2!$G7&lt;&gt;0,ADRYr2!G7,"")</f>
        <v/>
      </c>
      <c r="H7" s="1125" t="str">
        <f>IF($G7="","",ROUND(ADRYr2!H7,0))</f>
        <v/>
      </c>
      <c r="I7" s="47" t="str">
        <f>IF($G7="","",ADRYr2!I7*ADRYr2!P7*G7)</f>
        <v/>
      </c>
      <c r="J7" s="47" t="str">
        <f>IF($G7="","",ADRYr2!J7*G7)</f>
        <v/>
      </c>
      <c r="K7" s="47" t="str">
        <f t="shared" si="17"/>
        <v/>
      </c>
      <c r="L7" s="27" t="str">
        <f>IF($G7="","",ADRYr2!V7*G7/1000)</f>
        <v/>
      </c>
      <c r="M7" s="27" t="str">
        <f>IF($G7="","",L7*ADRYr2!$Q7*ADRYr2!$R7)</f>
        <v/>
      </c>
      <c r="N7" s="27" t="str">
        <f t="shared" si="18"/>
        <v/>
      </c>
      <c r="O7" s="27" t="str">
        <f t="shared" si="19"/>
        <v/>
      </c>
      <c r="P7" s="27" t="str">
        <f>IF($G7="","",M7*ADRYr2!P7)</f>
        <v/>
      </c>
      <c r="Q7" s="27" t="str">
        <f t="shared" si="20"/>
        <v/>
      </c>
      <c r="R7" s="27" t="str">
        <f>IF($G7="","",$Q7*ADRYr2!Z7)</f>
        <v/>
      </c>
      <c r="S7" s="27" t="str">
        <f>IF($G7="","",$Q7*ADRYr2!AA7)</f>
        <v/>
      </c>
      <c r="T7" s="27" t="str">
        <f>IF($G7="","",$Q7*ADRYr2!AB7)</f>
        <v/>
      </c>
      <c r="U7" s="27" t="str">
        <f>IF($G7="","",$Q7*ADRYr2!AC7)</f>
        <v/>
      </c>
      <c r="V7" s="27" t="str">
        <f>IF($G7="","",G7*ADRYr2!$AD7*ADRYr2!$P7*ADRYr2!$Q7)</f>
        <v/>
      </c>
      <c r="W7" s="27" t="str">
        <f>IF($G7="","",$G7*ADRYr2!$AD7*ADRYr2!$AF7*ADRYr2!Q7*ADRYr2!$S7)</f>
        <v/>
      </c>
      <c r="X7" s="27" t="str">
        <f>IF($G7="","",$G7*ADRYr2!$AD7*ADRYr2!$AF7*ADRYr2!P7*ADRYr2!Q7*ADRYr2!$S7)</f>
        <v/>
      </c>
      <c r="Y7" s="27" t="str">
        <f>IF($G7="","",$G7*ADRYr2!$AD7*ADRYr2!$AE7*ADRYr2!Q7*ADRYr2!$T7)</f>
        <v/>
      </c>
      <c r="Z7" s="27" t="str">
        <f>IF($G7="","",$G7*ADRYr2!$AD7*ADRYr2!$AE7*ADRYr2!P7*ADRYr2!Q7*ADRYr2!$T7)</f>
        <v/>
      </c>
      <c r="AA7" s="45" t="str">
        <f>IF($G7="","",$G7*ADRYr2!$Q7*ADRYr2!$U7*(IF(IFERROR(SEARCH("NG", ADRYr2!$AI7),0),ADRYr2!$AJ7,0)+IF(IFERROR(SEARCH("NG", ADRYr2!$AK7),0),ADRYr2!$AL7,0)+IF(IFERROR(SEARCH("NG", ADRYr2!$AM7),0),ADRYr2!$AN7,0)))</f>
        <v/>
      </c>
      <c r="AB7" s="45" t="str">
        <f t="shared" si="21"/>
        <v/>
      </c>
      <c r="AC7" s="45">
        <f>IF($G7="",0,AA7*ADRYr2!$P7)</f>
        <v>0</v>
      </c>
      <c r="AD7" s="45" t="str">
        <f t="shared" si="22"/>
        <v/>
      </c>
      <c r="AE7" s="45" t="str">
        <f>IF($G7="","",$G7*ADRYr2!$Q7*ADRYr2!$U7*(IF(IFERROR(SEARCH("Oil", ADRYr2!$AI7), 0),ADRYr2!$AJ7,0)+IF(IFERROR(SEARCH("Oil", ADRYr2!$AK7), 0),ADRYr2!$AL7,0)+IF(IFERROR(SEARCH("Oil", ADRYr2!$AM7), 0),ADRYr2!$AN7,0)))</f>
        <v/>
      </c>
      <c r="AF7" s="45" t="str">
        <f t="shared" si="23"/>
        <v/>
      </c>
      <c r="AG7" s="45">
        <f>IF($G7="",0,AE7*ADRYr2!$P7)</f>
        <v>0</v>
      </c>
      <c r="AH7" s="45" t="str">
        <f t="shared" si="24"/>
        <v/>
      </c>
      <c r="AI7" s="45" t="str">
        <f>IF($G7="","",$G7*ADRYr2!$Q7*ADRYr2!$U7*(IF(ADRYr2!$AI7=Lookups!$E$114,ADRYr2!$AJ7,IF(ADRYr2!$AK7=Lookups!$E$114,ADRYr2!$AL7,IF(ADRYr2!$AM7=Lookups!$E$114,ADRYr2!$AN7,0)))))</f>
        <v/>
      </c>
      <c r="AJ7" s="45" t="str">
        <f t="shared" si="25"/>
        <v/>
      </c>
      <c r="AK7" s="45">
        <f>IF($G7="",0,AI7*ADRYr2!$P7)</f>
        <v>0</v>
      </c>
      <c r="AL7" s="45" t="str">
        <f t="shared" si="26"/>
        <v/>
      </c>
      <c r="AM7" s="45" t="str">
        <f>IF($G7="","",$G7*ADRYr2!$Q7*ADRYr2!$U7*(IF(ADRYr2!$AI7=Lookups!$E$113,ADRYr2!$AJ7,IF(ADRYr2!$AK7=Lookups!$E$113,ADRYr2!$AL7,IF(ADRYr2!$AM7=Lookups!$E$113,ADRYr2!$AN7,0)))))</f>
        <v/>
      </c>
      <c r="AN7" s="45" t="str">
        <f t="shared" si="27"/>
        <v/>
      </c>
      <c r="AO7" s="45">
        <f>IF($G7="",0,AM7*ADRYr2!$P7)</f>
        <v>0</v>
      </c>
      <c r="AP7" s="45" t="str">
        <f t="shared" si="28"/>
        <v/>
      </c>
      <c r="AQ7" s="45" t="str">
        <f>IF($G7="","",$G7*ADRYr2!$Q7*ADRYr2!$U7*(IF(ADRYr2!$AI7=Lookups!$E$115,ADRYr2!$AJ7,IF(ADRYr2!$AK7=Lookups!$E$115,ADRYr2!$AL7,IF(ADRYr2!$AM7=Lookups!$E$115,ADRYr2!$AN7,0)))))</f>
        <v/>
      </c>
      <c r="AR7" s="45" t="str">
        <f t="shared" si="29"/>
        <v/>
      </c>
      <c r="AS7" s="45" t="str">
        <f>IF($G7="","",AQ7*ADRYr2!$P7)</f>
        <v/>
      </c>
      <c r="AT7" s="45" t="str">
        <f t="shared" si="30"/>
        <v/>
      </c>
      <c r="AU7" s="45" t="str">
        <f>IF($G7="","",$G7*ADRYr2!$Q7*ADRYr2!$U7*(IF(ADRYr2!$AI7=Lookups!$E$116,ADRYr2!$AJ7,IF(ADRYr2!$AK7=Lookups!$E$116,ADRYr2!$AL7,IF(ADRYr2!$AM7=Lookups!$E$116,ADRYr2!$AN7,0)))))</f>
        <v/>
      </c>
      <c r="AV7" s="45" t="str">
        <f t="shared" si="31"/>
        <v/>
      </c>
      <c r="AW7" s="45" t="str">
        <f>IF($G7="","",AU7*ADRYr2!$P7)</f>
        <v/>
      </c>
      <c r="AX7" s="45" t="str">
        <f t="shared" si="32"/>
        <v/>
      </c>
      <c r="AY7" s="45">
        <f t="shared" si="33"/>
        <v>0</v>
      </c>
      <c r="AZ7" s="45">
        <f t="shared" si="33"/>
        <v>0</v>
      </c>
      <c r="BA7" s="101" t="str">
        <f>IF($G7="","",$G7*ADRYr2!$P7*ADRYr2!$Q7*ADRYr2!$U7*ADRYr2!AO7)</f>
        <v/>
      </c>
      <c r="BB7" s="102" t="str">
        <f>IF($G7="","",$G7*ADRYr2!$P7*ADRYr2!$Q7*ADRYr2!$U7*ADRYr2!AP7)</f>
        <v/>
      </c>
      <c r="BC7" s="100" t="str">
        <f t="shared" si="34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5"/>
        <v/>
      </c>
      <c r="BO7" s="31" t="str">
        <f t="shared" si="35"/>
        <v/>
      </c>
      <c r="BP7" s="1129" t="str">
        <f t="shared" si="6"/>
        <v/>
      </c>
      <c r="BQ7" s="28" t="str">
        <f t="shared" si="7"/>
        <v/>
      </c>
      <c r="BR7" s="1129" t="str">
        <f t="shared" si="8"/>
        <v/>
      </c>
      <c r="BS7" s="1129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6"/>
        <v/>
      </c>
      <c r="BX7" s="29" t="str">
        <f t="shared" si="37"/>
        <v/>
      </c>
      <c r="BY7" s="28" t="str">
        <f>IF($G7="","",$G7*(IF(ADRYr2!$AI7=BY$4,ADRYr2!$AJ7,IF(ADRYr2!$AK7=BY$4,ADRYr2!$AL7,IF(ADRYr2!$AM7=BY$4,ADRYr2!$AN7,0))))*(INDEX(avoidedcosttbl2,$H7,BY$2)+(($H7-ROUNDDOWN($H7,0))*(INDEX(avoidedcosttbl2,ROUNDUP($H7,0),BY$2)-(INDEX(avoidedcosttbl2,ROUNDDOWN($H7,0),BY$2)))))*ADRYr2!P7*ADRYr2!Q7*ADRYr2!U7)</f>
        <v/>
      </c>
      <c r="BZ7" s="28" t="str">
        <f>IF($G7="","",$G7*(IF(ADRYr2!$AI7=BZ$4,ADRYr2!$AJ7,IF(ADRYr2!$AK7=BZ$4,ADRYr2!$AL7,IF(ADRYr2!$AM7=BZ$4,ADRYr2!$AN7,0))))*(INDEX(avoidedcosttbl2,$H7,BZ$2)+(($H7-ROUNDDOWN($H7,0))*(INDEX(avoidedcosttbl2,ROUNDUP($H7,0),BZ$2)-(INDEX(avoidedcosttbl2,ROUNDDOWN($H7,0),BZ$2)))))*ADRYr2!P7*ADRYr2!Q7*ADRYr2!U7)</f>
        <v/>
      </c>
      <c r="CA7" s="28" t="str">
        <f>IF($G7="","",$G7*(IF(ADRYr2!$AI7=CA$4,ADRYr2!$AJ7,IF(ADRYr2!$AK7=CA$4,ADRYr2!$AL7,IF(ADRYr2!$AM7=CA$4,ADRYr2!$AN7,0))))*(INDEX(avoidedcosttbl2,$H7,CA$2)+(($H7-ROUNDDOWN($H7,0))*(INDEX(avoidedcosttbl2,ROUNDUP($H7,0),CA$2)-(INDEX(avoidedcosttbl2,ROUNDDOWN($H7,0),CA$2)))))*ADRYr2!P7*ADRYr2!Q7*ADRYr2!U7)</f>
        <v/>
      </c>
      <c r="CB7" s="28" t="str">
        <f>IF($G7="","",$G7*(IF(ADRYr2!$AI7=CB$4,ADRYr2!$AJ7,IF(ADRYr2!$AK7=CB$4,ADRYr2!$AL7,IF(ADRYr2!$AM7=CB$4,ADRYr2!$AN7,0))))*(INDEX(avoidedcosttbl2,$H7,CB$2)+(($H7-ROUNDDOWN($H7,0))*(INDEX(avoidedcosttbl2,ROUNDUP($H7,0),CB$2)-(INDEX(avoidedcosttbl2,ROUNDDOWN($H7,0),CB$2)))))*ADRYr2!P7*ADRYr2!Q7*ADRYr2!U7)</f>
        <v/>
      </c>
      <c r="CC7" s="28" t="str">
        <f>IF($G7="","",$G7*(IF(ADRYr2!$AI7=CC$4,ADRYr2!$AJ7,IF(ADRYr2!$AK7=CC$4,ADRYr2!$AL7,IF(ADRYr2!$AM7=CC$4,ADRYr2!$AN7,0))))*(INDEX(avoidedcosttbl2,$H7,CC$2)+(($H7-ROUNDDOWN($H7,0))*(INDEX(avoidedcosttbl2,ROUNDUP($H7,0),CC$2)-(INDEX(avoidedcosttbl2,ROUNDDOWN($H7,0),CC$2)))))*ADRYr2!P7*ADRYr2!Q7*ADRYr2!U7)</f>
        <v/>
      </c>
      <c r="CD7" s="28" t="str">
        <f>IF($G7="","",$G7*(IF(ADRYr2!$AI7=CD$4,ADRYr2!$AJ7,IF(ADRYr2!$AK7=CD$4,ADRYr2!$AL7,IF(ADRYr2!$AM7=CD$4,ADRYr2!$AN7,0))))*(INDEX(avoidedcosttbl2,$H7,CD$2)+(($H7-ROUNDDOWN($H7,0))*(INDEX(avoidedcosttbl2,ROUNDUP($H7,0),CD$2)-(INDEX(avoidedcosttbl2,ROUNDDOWN($H7,0),CD$2)))))*ADRYr2!P7*ADRYr2!Q7*ADRYr2!U7)</f>
        <v/>
      </c>
      <c r="CE7" s="28" t="str">
        <f>IF($G7="","",$G7*(IF(ADRYr2!$AI7=CE$4,ADRYr2!$AJ7,IF(ADRYr2!$AK7=CE$4,ADRYr2!$AL7,IF(ADRYr2!$AM7=CE$4,ADRYr2!$AN7,0))))*(INDEX(avoidedcosttbl2,$H7,CE$2)+(($H7-ROUNDDOWN($H7,0))*(INDEX(avoidedcosttbl2,ROUNDUP($H7,0),CE$2)-(INDEX(avoidedcosttbl2,ROUNDDOWN($H7,0),CE$2)))))*ADRYr2!P7*ADRYr2!Q7*ADRYr2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2!$AI7=BY$4,ADRYr2!$AJ7,IF(ADRYr2!$AK7=BY$4,ADRYr2!$AL7,IF(ADRYr2!$AM7=BY$4,ADRYr2!$AN7,0))))*(INDEX(avoidedcosttbl2,$H7,CH$2)+(($H7-ROUNDDOWN($H7,0))*(INDEX(avoidedcosttbl2,ROUNDUP($H7,0),CH$2)-(INDEX(avoidedcosttbl2,ROUNDDOWN($H7,0),CH$2)))))*ADRYr2!P7*ADRYr2!Q7*ADRYr2!U7)</f>
        <v/>
      </c>
      <c r="CI7" s="30" t="str">
        <f>IF($G7="","",$G7*(IF(ADRYr2!$AI7=BZ$4,ADRYr2!$AJ7,IF(ADRYr2!$AK7=BZ$4,ADRYr2!$AL7,IF(ADRYr2!$AM7=BZ$4,ADRYr2!$AN7,0))))*(INDEX(avoidedcosttbl2,$H7,CI$2)+(($H7-ROUNDDOWN($H7,0))*(INDEX(avoidedcosttbl2,ROUNDUP($H7,0),CI$2)-(INDEX(avoidedcosttbl2,ROUNDDOWN($H7,0),CI$2)))))*ADRYr2!P7*ADRYr2!Q7*ADRYr2!U7)</f>
        <v/>
      </c>
      <c r="CJ7" s="30" t="str">
        <f>IF($G7="","",$G7*(IF(ADRYr2!$AI7=CA$4,ADRYr2!$AJ7,IF(ADRYr2!$AK7=CA$4,ADRYr2!$AL7,IF(ADRYr2!$AM7=CA$4,ADRYr2!$AN7,0))))*(INDEX(avoidedcosttbl2,$H7,CJ$2)+(($H7-ROUNDDOWN($H7,0))*(INDEX(avoidedcosttbl2,ROUNDUP($H7,0),CJ$2)-(INDEX(avoidedcosttbl2,ROUNDDOWN($H7,0),CJ$2)))))*ADRYr2!P7*ADRYr2!Q7*ADRYr2!U7)</f>
        <v/>
      </c>
      <c r="CK7" s="30" t="str">
        <f>IF($G7="","",$G7*(IF(ADRYr2!$AI7=CB$4,ADRYr2!$AJ7,IF(ADRYr2!$AK7=CB$4,ADRYr2!$AL7,IF(ADRYr2!$AM7=CB$4,ADRYr2!$AN7,0))))*(INDEX(avoidedcosttbl2,$H7,CK$2)+(($H7-ROUNDDOWN($H7,0))*(INDEX(avoidedcosttbl2,ROUNDUP($H7,0),CK$2)-(INDEX(avoidedcosttbl2,ROUNDDOWN($H7,0),CK$2)))))*ADRYr2!P7*ADRYr2!Q7*ADRYr2!U7)</f>
        <v/>
      </c>
      <c r="CL7" s="30" t="str">
        <f>IF($G7="","",$G7*(IF(ADRYr2!$AI7=CC$4,ADRYr2!$AJ7,IF(ADRYr2!$AK7=CC$4,ADRYr2!$AL7,IF(ADRYr2!$AM7=CC$4,ADRYr2!$AN7,0))))*(INDEX(avoidedcosttbl2,$H7,CL$2)+(($H7-ROUNDDOWN($H7,0))*(INDEX(avoidedcosttbl2,ROUNDUP($H7,0),CL$2)-(INDEX(avoidedcosttbl2,ROUNDDOWN($H7,0),CL$2)))))*ADRYr2!P7*ADRYr2!Q7*ADRYr2!U7)</f>
        <v/>
      </c>
      <c r="CM7" s="30" t="str">
        <f>IF($G7="","",$G7*(IF(ADRYr2!$AI7=CD$4,ADRYr2!$AJ7,IF(ADRYr2!$AK7=CD$4,ADRYr2!$AL7,IF(ADRYr2!$AM7=CD$4,ADRYr2!$AN7,0))))*(INDEX(avoidedcosttbl2,$H7,CM$2)+(($H7-ROUNDDOWN($H7,0))*(INDEX(avoidedcosttbl2,ROUNDUP($H7,0),CM$2)-(INDEX(avoidedcosttbl2,ROUNDDOWN($H7,0),CM$2)))))*ADRYr2!P7*ADRYr2!Q7*ADRYr2!U7)</f>
        <v/>
      </c>
      <c r="CN7" s="30" t="str">
        <f>IF($G7="","",$G7*(IF(ADRYr2!$AI7=CE$4,ADRYr2!$AJ7,IF(ADRYr2!$AK7=CE$4,ADRYr2!$AL7,IF(ADRYr2!$AM7=CE$4,ADRYr2!$AN7,0))))*(INDEX(avoidedcosttbl2,$H7,CN$2)+(($H7-ROUNDDOWN($H7,0))*(INDEX(avoidedcosttbl2,ROUNDUP($H7,0),CN$2)-(INDEX(avoidedcosttbl2,ROUNDDOWN($H7,0),CN$2)))))*ADRYr2!P7*ADRYr2!Q7*ADRYr2!U7)</f>
        <v/>
      </c>
      <c r="CO7" s="220" t="str">
        <f t="shared" si="39"/>
        <v/>
      </c>
      <c r="CP7" s="220" t="str">
        <f t="shared" si="40"/>
        <v/>
      </c>
      <c r="CQ7" s="157" t="str">
        <f>IF($G7="","",$G7*(IF(ADRYr2!$AI7=CQ$4,ADRYr2!$AJ7,IF(ADRYr2!$AK7=CQ$4,ADRYr2!$AL7,IF(ADRYr2!$AM7=CQ$4,ADRYr2!$AN7,0))))*(INDEX(avoidedcosttbl2,$H7,CQ$2)+(($H7-ROUNDDOWN($H7,0))*(INDEX(avoidedcosttbl2,ROUNDUP($H7,0),CQ$2)-(INDEX(avoidedcosttbl2,ROUNDDOWN($H7,0),CQ$2)))))*ADRYr2!$P7*ADRYr2!$Q7*ADRYr2!$U7)</f>
        <v/>
      </c>
      <c r="CR7" s="28" t="str">
        <f>IF($G7="","",G7*(IF(ADRYr2!$AI7=CR$4,ADRYr2!$AJ7,IF(ADRYr2!$AK7=CR$4,ADRYr2!$AL7,IF(ADRYr2!$AM7=CR$4,ADRYr2!$AN7,0))))*(INDEX(avoidedcosttbl2,$H7,CR$2)+(($H7-ROUNDDOWN($H7,0))*(INDEX(avoidedcosttbl2,ROUNDUP($H7,0),CR$2)-(INDEX(avoidedcosttbl2,ROUNDDOWN($H7,0),CR$2)))))*ADRYr2!$P7*ADRYr2!$Q7*ADRYr2!$U7)</f>
        <v/>
      </c>
      <c r="CS7" s="28" t="str">
        <f>IF($G7="","",G7*(IF(ADRYr2!$AI7=CS$4,ADRYr2!$AJ7,IF(ADRYr2!$AK7=CS$4,ADRYr2!$AL7,IF(ADRYr2!$AM7=CS$4,ADRYr2!$AN7,0))))*(INDEX(avoidedcosttbl2,$H7,CS$2)+(($H7-ROUNDDOWN($H7,0))*(INDEX(avoidedcosttbl2,ROUNDUP($H7,0),CS$2)-(INDEX(avoidedcosttbl2,ROUNDDOWN($H7,0),CS$2)))))*ADRYr2!$P7*ADRYr2!$Q7*ADRYr2!$U7)</f>
        <v/>
      </c>
      <c r="CT7" s="28" t="str">
        <f t="shared" si="12"/>
        <v/>
      </c>
      <c r="CU7" s="28" t="str">
        <f>IF($G7="","",G7*(IF(ADRYr2!$AI7=CU$4,ADRYr2!$AJ7,IF(ADRYr2!$AK7=CU$4,ADRYr2!$AL7,IF(ADRYr2!$AM7=CU$4,ADRYr2!$AN7,0))))*(INDEX(avoidedcosttbl2,$H7,CU$2)+(($H7-ROUNDDOWN($H7,0))*(INDEX(avoidedcosttbl2,ROUNDUP($H7,0),CU$2)-(INDEX(avoidedcosttbl2,ROUNDDOWN($H7,0),CU$2)))))*ADRYr2!$P7*ADRYr2!$Q7*ADRYr2!$U7)</f>
        <v/>
      </c>
      <c r="CV7" s="28" t="str">
        <f>IF($G7="","",G7*(IF(ADRYr2!$AI7=CV$4,ADRYr2!$AJ7,IF(ADRYr2!$AK7=CV$4,ADRYr2!$AL7,IF(ADRYr2!$AM7=CV$4,ADRYr2!$AN7,0))))*(INDEX(avoidedcosttbl2,$H7,CV$2)+(($H7-ROUNDDOWN($H7,0))*(INDEX(avoidedcosttbl2,ROUNDUP($H7,0),CV$2)-(INDEX(avoidedcosttbl2,ROUNDDOWN($H7,0),CV$2)))))*ADRYr2!$P7*ADRYr2!$Q7*ADRYr2!$U7)</f>
        <v/>
      </c>
      <c r="CW7" s="28" t="str">
        <f>IF($G7="","",G7*(IF(ADRYr2!$AI7=CW$4,ADRYr2!$AJ7,IF(ADRYr2!$AK7=CW$4,ADRYr2!$AL7,IF(ADRYr2!$AM7=CW$4,ADRYr2!$AN7,0))))*(INDEX(avoidedcosttbl2,$H7,CW$2)+(($H7-ROUNDDOWN($H7,0))*(INDEX(avoidedcosttbl2,ROUNDUP($H7,0),CW$2)-(INDEX(avoidedcosttbl2,ROUNDDOWN($H7,0),CW$2)))))*ADRYr2!$P7*ADRYr2!$Q7*ADRYr2!$U7)</f>
        <v/>
      </c>
      <c r="CX7" s="28" t="str">
        <f>IF($G7="","",G7*(IF(ADRYr2!$AI7=CX$4,ADRYr2!$AJ7,IF(ADRYr2!$AK7=CX$4,ADRYr2!$AL7,IF(ADRYr2!$AM7=CX$4,ADRYr2!$AN7,0))))*(INDEX(avoidedcosttbl2,$H7,CX$2)+(($H7-ROUNDDOWN($H7,0))*(INDEX(avoidedcosttbl2,ROUNDUP($H7,0),CX$2)-(INDEX(avoidedcosttbl2,ROUNDDOWN($H7,0),CX$2)))))*ADRYr2!$P7*ADRYr2!$Q7*ADRYr2!$U7)</f>
        <v/>
      </c>
      <c r="CY7" s="28" t="str">
        <f t="shared" si="13"/>
        <v/>
      </c>
      <c r="CZ7" s="32" t="str">
        <f t="shared" si="14"/>
        <v/>
      </c>
      <c r="DA7" s="84" t="str">
        <f t="shared" si="41"/>
        <v/>
      </c>
      <c r="DB7" s="81" t="str">
        <f>IF(NEIadder="Yes",IF($G7="","",INDEX(Lookups!$G$68:$G$70,MATCH($A7,Lookups!$E$68:$E$70,0))*(SUM(CP7:CX7,BX7))),"")</f>
        <v/>
      </c>
      <c r="DC7" s="263" t="str">
        <f t="shared" si="15"/>
        <v/>
      </c>
      <c r="DD7" s="166" t="str">
        <f t="shared" si="16"/>
        <v/>
      </c>
      <c r="DE7" s="82">
        <f t="shared" si="42"/>
        <v>0</v>
      </c>
      <c r="DF7" s="760" t="str">
        <f>IF($G7="","",(1+WntPeakEnergyLL)*(INDEX(avoidedcosttbl2,$H7,DF$2)+(($H7-ROUNDDOWN($H7,0))*(INDEX(avoidedcosttbl2,ROUNDUP($H7,0),DF$2)-(INDEX(avoidedcosttbl2,ROUNDDOWN($H7,0),DF$2)))))*$P7*1000*ADRYr2!Z7)</f>
        <v/>
      </c>
      <c r="DG7" s="760" t="str">
        <f>IF($G7="","",(1+WntOffPeakEnergyLL)*(INDEX(avoidedcosttbl2,$H7,DG$2)+(($H7-ROUNDDOWN($H7,0))*(INDEX(avoidedcosttbl2,ROUNDUP($H7,0),DG$2)-(INDEX(avoidedcosttbl2,ROUNDDOWN($H7,0),DG$2)))))*$P7*1000*ADRYr2!AA7)</f>
        <v/>
      </c>
      <c r="DH7" s="760" t="str">
        <f>IF($G7="","",(1+SumPeakEnergyLL)*(INDEX(avoidedcosttbl2,$H7,DH$2)+(($H7-ROUNDDOWN($H7,0))*(INDEX(avoidedcosttbl2,ROUNDUP($H7,0),DH$2)-(INDEX(avoidedcosttbl2,ROUNDDOWN($H7,0),DH$2)))))*$P7*1000*ADRYr2!AB7)</f>
        <v/>
      </c>
      <c r="DI7" s="760" t="str">
        <f>IF($G7="","",(1+SumOffPeakEnergyLL)*(INDEX(avoidedcosttbl2,$H7,DI$2)+(($H7-ROUNDDOWN($H7,0))*(INDEX(avoidedcosttbl2,ROUNDUP($H7,0),DI$2)-(INDEX(avoidedcosttbl2,ROUNDDOWN($H7,0),DI$2)))))*$P7*1000*ADRYr2!AC7)</f>
        <v/>
      </c>
      <c r="DJ7" s="29" t="str">
        <f t="shared" si="43"/>
        <v/>
      </c>
      <c r="DK7" s="161" t="str">
        <f t="shared" si="44"/>
        <v/>
      </c>
      <c r="DL7" s="1375" t="str">
        <f t="shared" si="45"/>
        <v/>
      </c>
      <c r="DM7" s="1375" t="str">
        <f t="shared" si="46"/>
        <v/>
      </c>
      <c r="DN7" s="43" t="str">
        <f t="shared" si="47"/>
        <v/>
      </c>
      <c r="DO7" s="1131" t="str">
        <f>IF($G7="","",ADRYr2!AQ7)</f>
        <v/>
      </c>
      <c r="DP7" s="1133" t="str">
        <f>IF($G7="","",ADRYr2!AR7)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48"/>
        <v/>
      </c>
      <c r="DU7" s="1135" t="str">
        <f>IF($G7="","",ADRYr2!AS7)</f>
        <v/>
      </c>
      <c r="DV7" s="1136" t="str">
        <f>IF($G7="","",ADRYr2!AT7)</f>
        <v/>
      </c>
      <c r="DW7" s="1344" t="str">
        <f>IF($G7="","",INDEX(AvoidedEnergy!$H$4:$H$10,MATCH($DO7,AvoidedEnergy!$A$4:$A$10,0)))</f>
        <v/>
      </c>
    </row>
    <row r="8" spans="1:127">
      <c r="A8" s="160" t="str">
        <f>IF(ADRYr2!$B8=0,"",ADRYr2!A8)</f>
        <v>A - Residential</v>
      </c>
      <c r="B8" s="9" t="str">
        <f>IF(ADRYr2!$B8=0,"",ADRYr2!B8)</f>
        <v>A5 - Residential Active Demand Response</v>
      </c>
      <c r="C8" s="9" t="str">
        <f>IF(ADRYr2!$B8=0,"",ADRYr2!C8)</f>
        <v>A5a - Residential Active Demand Response</v>
      </c>
      <c r="D8" s="9" t="str">
        <f>IF(ADRYr2!$B8=0,"",ADRYr2!D8)</f>
        <v>Storage Daily Dispatch Upfront Incentive (consumption) Summer</v>
      </c>
      <c r="E8" s="9">
        <f>IF(ADRYr2!$B8=0,"",ADRYr2!E8)</f>
        <v>0</v>
      </c>
      <c r="F8" s="11" t="str">
        <f>IF(ADRYr2!$B8=0,"",ADRYr2!F8)</f>
        <v>Behavior</v>
      </c>
      <c r="G8" s="12" t="str">
        <f>IF(ADRYr2!$G8&lt;&gt;0,ADRYr2!G8,"")</f>
        <v/>
      </c>
      <c r="H8" s="1125" t="str">
        <f>IF($G8="","",ROUND(ADRYr2!H8,0))</f>
        <v/>
      </c>
      <c r="I8" s="47" t="str">
        <f>IF($G8="","",ADRYr2!I8*ADRYr2!P8*G8)</f>
        <v/>
      </c>
      <c r="J8" s="47" t="str">
        <f>IF($G8="","",ADRYr2!J8*G8)</f>
        <v/>
      </c>
      <c r="K8" s="47" t="str">
        <f t="shared" si="17"/>
        <v/>
      </c>
      <c r="L8" s="27" t="str">
        <f>IF($G8="","",ADRYr2!V8*G8/1000)</f>
        <v/>
      </c>
      <c r="M8" s="27" t="str">
        <f>IF($G8="","",L8*ADRYr2!$Q8*ADRYr2!$R8)</f>
        <v/>
      </c>
      <c r="N8" s="27" t="str">
        <f t="shared" si="18"/>
        <v/>
      </c>
      <c r="O8" s="27" t="str">
        <f t="shared" si="19"/>
        <v/>
      </c>
      <c r="P8" s="27" t="str">
        <f>IF($G8="","",M8*ADRYr2!P8)</f>
        <v/>
      </c>
      <c r="Q8" s="27" t="str">
        <f t="shared" si="20"/>
        <v/>
      </c>
      <c r="R8" s="27" t="str">
        <f>IF($G8="","",$Q8*ADRYr2!Z8)</f>
        <v/>
      </c>
      <c r="S8" s="27" t="str">
        <f>IF($G8="","",$Q8*ADRYr2!AA8)</f>
        <v/>
      </c>
      <c r="T8" s="27" t="str">
        <f>IF($G8="","",$Q8*ADRYr2!AB8)</f>
        <v/>
      </c>
      <c r="U8" s="27" t="str">
        <f>IF($G8="","",$Q8*ADRYr2!AC8)</f>
        <v/>
      </c>
      <c r="V8" s="27" t="str">
        <f>IF($G8="","",G8*ADRYr2!$AD8*ADRYr2!$P8*ADRYr2!$Q8)</f>
        <v/>
      </c>
      <c r="W8" s="27" t="str">
        <f>IF($G8="","",$G8*ADRYr2!$AD8*ADRYr2!$AF8*ADRYr2!Q8*ADRYr2!$S8)</f>
        <v/>
      </c>
      <c r="X8" s="27" t="str">
        <f>IF($G8="","",$G8*ADRYr2!$AD8*ADRYr2!$AF8*ADRYr2!P8*ADRYr2!Q8*ADRYr2!$S8)</f>
        <v/>
      </c>
      <c r="Y8" s="27" t="str">
        <f>IF($G8="","",$G8*ADRYr2!$AD8*ADRYr2!$AE8*ADRYr2!Q8*ADRYr2!$T8)</f>
        <v/>
      </c>
      <c r="Z8" s="27" t="str">
        <f>IF($G8="","",$G8*ADRYr2!$AD8*ADRYr2!$AE8*ADRYr2!P8*ADRYr2!Q8*ADRYr2!$T8)</f>
        <v/>
      </c>
      <c r="AA8" s="45" t="str">
        <f>IF($G8="","",$G8*ADRYr2!$Q8*ADRYr2!$U8*(IF(IFERROR(SEARCH("NG", ADRYr2!$AI8),0),ADRYr2!$AJ8,0)+IF(IFERROR(SEARCH("NG", ADRYr2!$AK8),0),ADRYr2!$AL8,0)+IF(IFERROR(SEARCH("NG", ADRYr2!$AM8),0),ADRYr2!$AN8,0)))</f>
        <v/>
      </c>
      <c r="AB8" s="45" t="str">
        <f t="shared" si="21"/>
        <v/>
      </c>
      <c r="AC8" s="45">
        <f>IF($G8="",0,AA8*ADRYr2!$P8)</f>
        <v>0</v>
      </c>
      <c r="AD8" s="45" t="str">
        <f t="shared" si="22"/>
        <v/>
      </c>
      <c r="AE8" s="45" t="str">
        <f>IF($G8="","",$G8*ADRYr2!$Q8*ADRYr2!$U8*(IF(IFERROR(SEARCH("Oil", ADRYr2!$AI8), 0),ADRYr2!$AJ8,0)+IF(IFERROR(SEARCH("Oil", ADRYr2!$AK8), 0),ADRYr2!$AL8,0)+IF(IFERROR(SEARCH("Oil", ADRYr2!$AM8), 0),ADRYr2!$AN8,0)))</f>
        <v/>
      </c>
      <c r="AF8" s="45" t="str">
        <f t="shared" si="23"/>
        <v/>
      </c>
      <c r="AG8" s="45">
        <f>IF($G8="",0,AE8*ADRYr2!$P8)</f>
        <v>0</v>
      </c>
      <c r="AH8" s="45" t="str">
        <f t="shared" si="24"/>
        <v/>
      </c>
      <c r="AI8" s="45" t="str">
        <f>IF($G8="","",$G8*ADRYr2!$Q8*ADRYr2!$U8*(IF(ADRYr2!$AI8=Lookups!$E$114,ADRYr2!$AJ8,IF(ADRYr2!$AK8=Lookups!$E$114,ADRYr2!$AL8,IF(ADRYr2!$AM8=Lookups!$E$114,ADRYr2!$AN8,0)))))</f>
        <v/>
      </c>
      <c r="AJ8" s="45" t="str">
        <f t="shared" si="25"/>
        <v/>
      </c>
      <c r="AK8" s="45">
        <f>IF($G8="",0,AI8*ADRYr2!$P8)</f>
        <v>0</v>
      </c>
      <c r="AL8" s="45" t="str">
        <f t="shared" si="26"/>
        <v/>
      </c>
      <c r="AM8" s="45" t="str">
        <f>IF($G8="","",$G8*ADRYr2!$Q8*ADRYr2!$U8*(IF(ADRYr2!$AI8=Lookups!$E$113,ADRYr2!$AJ8,IF(ADRYr2!$AK8=Lookups!$E$113,ADRYr2!$AL8,IF(ADRYr2!$AM8=Lookups!$E$113,ADRYr2!$AN8,0)))))</f>
        <v/>
      </c>
      <c r="AN8" s="45" t="str">
        <f t="shared" si="27"/>
        <v/>
      </c>
      <c r="AO8" s="45">
        <f>IF($G8="",0,AM8*ADRYr2!$P8)</f>
        <v>0</v>
      </c>
      <c r="AP8" s="45" t="str">
        <f t="shared" si="28"/>
        <v/>
      </c>
      <c r="AQ8" s="45" t="str">
        <f>IF($G8="","",$G8*ADRYr2!$Q8*ADRYr2!$U8*(IF(ADRYr2!$AI8=Lookups!$E$115,ADRYr2!$AJ8,IF(ADRYr2!$AK8=Lookups!$E$115,ADRYr2!$AL8,IF(ADRYr2!$AM8=Lookups!$E$115,ADRYr2!$AN8,0)))))</f>
        <v/>
      </c>
      <c r="AR8" s="45" t="str">
        <f t="shared" si="29"/>
        <v/>
      </c>
      <c r="AS8" s="45" t="str">
        <f>IF($G8="","",AQ8*ADRYr2!$P8)</f>
        <v/>
      </c>
      <c r="AT8" s="45" t="str">
        <f t="shared" si="30"/>
        <v/>
      </c>
      <c r="AU8" s="45" t="str">
        <f>IF($G8="","",$G8*ADRYr2!$Q8*ADRYr2!$U8*(IF(ADRYr2!$AI8=Lookups!$E$116,ADRYr2!$AJ8,IF(ADRYr2!$AK8=Lookups!$E$116,ADRYr2!$AL8,IF(ADRYr2!$AM8=Lookups!$E$116,ADRYr2!$AN8,0)))))</f>
        <v/>
      </c>
      <c r="AV8" s="45" t="str">
        <f t="shared" si="31"/>
        <v/>
      </c>
      <c r="AW8" s="45" t="str">
        <f>IF($G8="","",AU8*ADRYr2!$P8)</f>
        <v/>
      </c>
      <c r="AX8" s="45" t="str">
        <f t="shared" si="32"/>
        <v/>
      </c>
      <c r="AY8" s="45">
        <f t="shared" si="33"/>
        <v>0</v>
      </c>
      <c r="AZ8" s="45">
        <f t="shared" si="33"/>
        <v>0</v>
      </c>
      <c r="BA8" s="101" t="str">
        <f>IF($G8="","",$G8*ADRYr2!$P8*ADRYr2!$Q8*ADRYr2!$U8*ADRYr2!AO8)</f>
        <v/>
      </c>
      <c r="BB8" s="102" t="str">
        <f>IF($G8="","",$G8*ADRYr2!$P8*ADRYr2!$Q8*ADRYr2!$U8*ADRYr2!AP8)</f>
        <v/>
      </c>
      <c r="BC8" s="100" t="str">
        <f t="shared" si="34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5"/>
        <v/>
      </c>
      <c r="BO8" s="31" t="str">
        <f t="shared" si="35"/>
        <v/>
      </c>
      <c r="BP8" s="1129" t="str">
        <f t="shared" si="6"/>
        <v/>
      </c>
      <c r="BQ8" s="28" t="str">
        <f t="shared" si="7"/>
        <v/>
      </c>
      <c r="BR8" s="1129" t="str">
        <f t="shared" si="8"/>
        <v/>
      </c>
      <c r="BS8" s="1129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6"/>
        <v/>
      </c>
      <c r="BX8" s="29" t="str">
        <f t="shared" si="37"/>
        <v/>
      </c>
      <c r="BY8" s="28" t="str">
        <f>IF($G8="","",$G8*(IF(ADRYr2!$AI8=BY$4,ADRYr2!$AJ8,IF(ADRYr2!$AK8=BY$4,ADRYr2!$AL8,IF(ADRYr2!$AM8=BY$4,ADRYr2!$AN8,0))))*(INDEX(avoidedcosttbl2,$H8,BY$2)+(($H8-ROUNDDOWN($H8,0))*(INDEX(avoidedcosttbl2,ROUNDUP($H8,0),BY$2)-(INDEX(avoidedcosttbl2,ROUNDDOWN($H8,0),BY$2)))))*ADRYr2!P8*ADRYr2!Q8*ADRYr2!U8)</f>
        <v/>
      </c>
      <c r="BZ8" s="28" t="str">
        <f>IF($G8="","",$G8*(IF(ADRYr2!$AI8=BZ$4,ADRYr2!$AJ8,IF(ADRYr2!$AK8=BZ$4,ADRYr2!$AL8,IF(ADRYr2!$AM8=BZ$4,ADRYr2!$AN8,0))))*(INDEX(avoidedcosttbl2,$H8,BZ$2)+(($H8-ROUNDDOWN($H8,0))*(INDEX(avoidedcosttbl2,ROUNDUP($H8,0),BZ$2)-(INDEX(avoidedcosttbl2,ROUNDDOWN($H8,0),BZ$2)))))*ADRYr2!P8*ADRYr2!Q8*ADRYr2!U8)</f>
        <v/>
      </c>
      <c r="CA8" s="28" t="str">
        <f>IF($G8="","",$G8*(IF(ADRYr2!$AI8=CA$4,ADRYr2!$AJ8,IF(ADRYr2!$AK8=CA$4,ADRYr2!$AL8,IF(ADRYr2!$AM8=CA$4,ADRYr2!$AN8,0))))*(INDEX(avoidedcosttbl2,$H8,CA$2)+(($H8-ROUNDDOWN($H8,0))*(INDEX(avoidedcosttbl2,ROUNDUP($H8,0),CA$2)-(INDEX(avoidedcosttbl2,ROUNDDOWN($H8,0),CA$2)))))*ADRYr2!P8*ADRYr2!Q8*ADRYr2!U8)</f>
        <v/>
      </c>
      <c r="CB8" s="28" t="str">
        <f>IF($G8="","",$G8*(IF(ADRYr2!$AI8=CB$4,ADRYr2!$AJ8,IF(ADRYr2!$AK8=CB$4,ADRYr2!$AL8,IF(ADRYr2!$AM8=CB$4,ADRYr2!$AN8,0))))*(INDEX(avoidedcosttbl2,$H8,CB$2)+(($H8-ROUNDDOWN($H8,0))*(INDEX(avoidedcosttbl2,ROUNDUP($H8,0),CB$2)-(INDEX(avoidedcosttbl2,ROUNDDOWN($H8,0),CB$2)))))*ADRYr2!P8*ADRYr2!Q8*ADRYr2!U8)</f>
        <v/>
      </c>
      <c r="CC8" s="28" t="str">
        <f>IF($G8="","",$G8*(IF(ADRYr2!$AI8=CC$4,ADRYr2!$AJ8,IF(ADRYr2!$AK8=CC$4,ADRYr2!$AL8,IF(ADRYr2!$AM8=CC$4,ADRYr2!$AN8,0))))*(INDEX(avoidedcosttbl2,$H8,CC$2)+(($H8-ROUNDDOWN($H8,0))*(INDEX(avoidedcosttbl2,ROUNDUP($H8,0),CC$2)-(INDEX(avoidedcosttbl2,ROUNDDOWN($H8,0),CC$2)))))*ADRYr2!P8*ADRYr2!Q8*ADRYr2!U8)</f>
        <v/>
      </c>
      <c r="CD8" s="28" t="str">
        <f>IF($G8="","",$G8*(IF(ADRYr2!$AI8=CD$4,ADRYr2!$AJ8,IF(ADRYr2!$AK8=CD$4,ADRYr2!$AL8,IF(ADRYr2!$AM8=CD$4,ADRYr2!$AN8,0))))*(INDEX(avoidedcosttbl2,$H8,CD$2)+(($H8-ROUNDDOWN($H8,0))*(INDEX(avoidedcosttbl2,ROUNDUP($H8,0),CD$2)-(INDEX(avoidedcosttbl2,ROUNDDOWN($H8,0),CD$2)))))*ADRYr2!P8*ADRYr2!Q8*ADRYr2!U8)</f>
        <v/>
      </c>
      <c r="CE8" s="28" t="str">
        <f>IF($G8="","",$G8*(IF(ADRYr2!$AI8=CE$4,ADRYr2!$AJ8,IF(ADRYr2!$AK8=CE$4,ADRYr2!$AL8,IF(ADRYr2!$AM8=CE$4,ADRYr2!$AN8,0))))*(INDEX(avoidedcosttbl2,$H8,CE$2)+(($H8-ROUNDDOWN($H8,0))*(INDEX(avoidedcosttbl2,ROUNDUP($H8,0),CE$2)-(INDEX(avoidedcosttbl2,ROUNDDOWN($H8,0),CE$2)))))*ADRYr2!P8*ADRYr2!Q8*ADRYr2!U8)</f>
        <v/>
      </c>
      <c r="CF8" s="41" t="str">
        <f t="shared" si="38"/>
        <v/>
      </c>
      <c r="CG8" s="30" t="str">
        <f t="shared" si="11"/>
        <v/>
      </c>
      <c r="CH8" s="30" t="str">
        <f>IF($G8="","",$G8*(IF(ADRYr2!$AI8=BY$4,ADRYr2!$AJ8,IF(ADRYr2!$AK8=BY$4,ADRYr2!$AL8,IF(ADRYr2!$AM8=BY$4,ADRYr2!$AN8,0))))*(INDEX(avoidedcosttbl2,$H8,CH$2)+(($H8-ROUNDDOWN($H8,0))*(INDEX(avoidedcosttbl2,ROUNDUP($H8,0),CH$2)-(INDEX(avoidedcosttbl2,ROUNDDOWN($H8,0),CH$2)))))*ADRYr2!P8*ADRYr2!Q8*ADRYr2!U8)</f>
        <v/>
      </c>
      <c r="CI8" s="30" t="str">
        <f>IF($G8="","",$G8*(IF(ADRYr2!$AI8=BZ$4,ADRYr2!$AJ8,IF(ADRYr2!$AK8=BZ$4,ADRYr2!$AL8,IF(ADRYr2!$AM8=BZ$4,ADRYr2!$AN8,0))))*(INDEX(avoidedcosttbl2,$H8,CI$2)+(($H8-ROUNDDOWN($H8,0))*(INDEX(avoidedcosttbl2,ROUNDUP($H8,0),CI$2)-(INDEX(avoidedcosttbl2,ROUNDDOWN($H8,0),CI$2)))))*ADRYr2!P8*ADRYr2!Q8*ADRYr2!U8)</f>
        <v/>
      </c>
      <c r="CJ8" s="30" t="str">
        <f>IF($G8="","",$G8*(IF(ADRYr2!$AI8=CA$4,ADRYr2!$AJ8,IF(ADRYr2!$AK8=CA$4,ADRYr2!$AL8,IF(ADRYr2!$AM8=CA$4,ADRYr2!$AN8,0))))*(INDEX(avoidedcosttbl2,$H8,CJ$2)+(($H8-ROUNDDOWN($H8,0))*(INDEX(avoidedcosttbl2,ROUNDUP($H8,0),CJ$2)-(INDEX(avoidedcosttbl2,ROUNDDOWN($H8,0),CJ$2)))))*ADRYr2!P8*ADRYr2!Q8*ADRYr2!U8)</f>
        <v/>
      </c>
      <c r="CK8" s="30" t="str">
        <f>IF($G8="","",$G8*(IF(ADRYr2!$AI8=CB$4,ADRYr2!$AJ8,IF(ADRYr2!$AK8=CB$4,ADRYr2!$AL8,IF(ADRYr2!$AM8=CB$4,ADRYr2!$AN8,0))))*(INDEX(avoidedcosttbl2,$H8,CK$2)+(($H8-ROUNDDOWN($H8,0))*(INDEX(avoidedcosttbl2,ROUNDUP($H8,0),CK$2)-(INDEX(avoidedcosttbl2,ROUNDDOWN($H8,0),CK$2)))))*ADRYr2!P8*ADRYr2!Q8*ADRYr2!U8)</f>
        <v/>
      </c>
      <c r="CL8" s="30" t="str">
        <f>IF($G8="","",$G8*(IF(ADRYr2!$AI8=CC$4,ADRYr2!$AJ8,IF(ADRYr2!$AK8=CC$4,ADRYr2!$AL8,IF(ADRYr2!$AM8=CC$4,ADRYr2!$AN8,0))))*(INDEX(avoidedcosttbl2,$H8,CL$2)+(($H8-ROUNDDOWN($H8,0))*(INDEX(avoidedcosttbl2,ROUNDUP($H8,0),CL$2)-(INDEX(avoidedcosttbl2,ROUNDDOWN($H8,0),CL$2)))))*ADRYr2!P8*ADRYr2!Q8*ADRYr2!U8)</f>
        <v/>
      </c>
      <c r="CM8" s="30" t="str">
        <f>IF($G8="","",$G8*(IF(ADRYr2!$AI8=CD$4,ADRYr2!$AJ8,IF(ADRYr2!$AK8=CD$4,ADRYr2!$AL8,IF(ADRYr2!$AM8=CD$4,ADRYr2!$AN8,0))))*(INDEX(avoidedcosttbl2,$H8,CM$2)+(($H8-ROUNDDOWN($H8,0))*(INDEX(avoidedcosttbl2,ROUNDUP($H8,0),CM$2)-(INDEX(avoidedcosttbl2,ROUNDDOWN($H8,0),CM$2)))))*ADRYr2!P8*ADRYr2!Q8*ADRYr2!U8)</f>
        <v/>
      </c>
      <c r="CN8" s="30" t="str">
        <f>IF($G8="","",$G8*(IF(ADRYr2!$AI8=CE$4,ADRYr2!$AJ8,IF(ADRYr2!$AK8=CE$4,ADRYr2!$AL8,IF(ADRYr2!$AM8=CE$4,ADRYr2!$AN8,0))))*(INDEX(avoidedcosttbl2,$H8,CN$2)+(($H8-ROUNDDOWN($H8,0))*(INDEX(avoidedcosttbl2,ROUNDUP($H8,0),CN$2)-(INDEX(avoidedcosttbl2,ROUNDDOWN($H8,0),CN$2)))))*ADRYr2!P8*ADRYr2!Q8*ADRYr2!U8)</f>
        <v/>
      </c>
      <c r="CO8" s="220" t="str">
        <f t="shared" si="39"/>
        <v/>
      </c>
      <c r="CP8" s="220" t="str">
        <f t="shared" si="40"/>
        <v/>
      </c>
      <c r="CQ8" s="157" t="str">
        <f>IF($G8="","",$G8*(IF(ADRYr2!$AI8=CQ$4,ADRYr2!$AJ8,IF(ADRYr2!$AK8=CQ$4,ADRYr2!$AL8,IF(ADRYr2!$AM8=CQ$4,ADRYr2!$AN8,0))))*(INDEX(avoidedcosttbl2,$H8,CQ$2)+(($H8-ROUNDDOWN($H8,0))*(INDEX(avoidedcosttbl2,ROUNDUP($H8,0),CQ$2)-(INDEX(avoidedcosttbl2,ROUNDDOWN($H8,0),CQ$2)))))*ADRYr2!$P8*ADRYr2!$Q8*ADRYr2!$U8)</f>
        <v/>
      </c>
      <c r="CR8" s="28" t="str">
        <f>IF($G8="","",G8*(IF(ADRYr2!$AI8=CR$4,ADRYr2!$AJ8,IF(ADRYr2!$AK8=CR$4,ADRYr2!$AL8,IF(ADRYr2!$AM8=CR$4,ADRYr2!$AN8,0))))*(INDEX(avoidedcosttbl2,$H8,CR$2)+(($H8-ROUNDDOWN($H8,0))*(INDEX(avoidedcosttbl2,ROUNDUP($H8,0),CR$2)-(INDEX(avoidedcosttbl2,ROUNDDOWN($H8,0),CR$2)))))*ADRYr2!$P8*ADRYr2!$Q8*ADRYr2!$U8)</f>
        <v/>
      </c>
      <c r="CS8" s="28" t="str">
        <f>IF($G8="","",G8*(IF(ADRYr2!$AI8=CS$4,ADRYr2!$AJ8,IF(ADRYr2!$AK8=CS$4,ADRYr2!$AL8,IF(ADRYr2!$AM8=CS$4,ADRYr2!$AN8,0))))*(INDEX(avoidedcosttbl2,$H8,CS$2)+(($H8-ROUNDDOWN($H8,0))*(INDEX(avoidedcosttbl2,ROUNDUP($H8,0),CS$2)-(INDEX(avoidedcosttbl2,ROUNDDOWN($H8,0),CS$2)))))*ADRYr2!$P8*ADRYr2!$Q8*ADRYr2!$U8)</f>
        <v/>
      </c>
      <c r="CT8" s="28" t="str">
        <f t="shared" si="12"/>
        <v/>
      </c>
      <c r="CU8" s="28" t="str">
        <f>IF($G8="","",G8*(IF(ADRYr2!$AI8=CU$4,ADRYr2!$AJ8,IF(ADRYr2!$AK8=CU$4,ADRYr2!$AL8,IF(ADRYr2!$AM8=CU$4,ADRYr2!$AN8,0))))*(INDEX(avoidedcosttbl2,$H8,CU$2)+(($H8-ROUNDDOWN($H8,0))*(INDEX(avoidedcosttbl2,ROUNDUP($H8,0),CU$2)-(INDEX(avoidedcosttbl2,ROUNDDOWN($H8,0),CU$2)))))*ADRYr2!$P8*ADRYr2!$Q8*ADRYr2!$U8)</f>
        <v/>
      </c>
      <c r="CV8" s="28" t="str">
        <f>IF($G8="","",G8*(IF(ADRYr2!$AI8=CV$4,ADRYr2!$AJ8,IF(ADRYr2!$AK8=CV$4,ADRYr2!$AL8,IF(ADRYr2!$AM8=CV$4,ADRYr2!$AN8,0))))*(INDEX(avoidedcosttbl2,$H8,CV$2)+(($H8-ROUNDDOWN($H8,0))*(INDEX(avoidedcosttbl2,ROUNDUP($H8,0),CV$2)-(INDEX(avoidedcosttbl2,ROUNDDOWN($H8,0),CV$2)))))*ADRYr2!$P8*ADRYr2!$Q8*ADRYr2!$U8)</f>
        <v/>
      </c>
      <c r="CW8" s="28" t="str">
        <f>IF($G8="","",G8*(IF(ADRYr2!$AI8=CW$4,ADRYr2!$AJ8,IF(ADRYr2!$AK8=CW$4,ADRYr2!$AL8,IF(ADRYr2!$AM8=CW$4,ADRYr2!$AN8,0))))*(INDEX(avoidedcosttbl2,$H8,CW$2)+(($H8-ROUNDDOWN($H8,0))*(INDEX(avoidedcosttbl2,ROUNDUP($H8,0),CW$2)-(INDEX(avoidedcosttbl2,ROUNDDOWN($H8,0),CW$2)))))*ADRYr2!$P8*ADRYr2!$Q8*ADRYr2!$U8)</f>
        <v/>
      </c>
      <c r="CX8" s="28" t="str">
        <f>IF($G8="","",G8*(IF(ADRYr2!$AI8=CX$4,ADRYr2!$AJ8,IF(ADRYr2!$AK8=CX$4,ADRYr2!$AL8,IF(ADRYr2!$AM8=CX$4,ADRYr2!$AN8,0))))*(INDEX(avoidedcosttbl2,$H8,CX$2)+(($H8-ROUNDDOWN($H8,0))*(INDEX(avoidedcosttbl2,ROUNDUP($H8,0),CX$2)-(INDEX(avoidedcosttbl2,ROUNDDOWN($H8,0),CX$2)))))*ADRYr2!$P8*ADRYr2!$Q8*ADRYr2!$U8)</f>
        <v/>
      </c>
      <c r="CY8" s="28" t="str">
        <f t="shared" si="13"/>
        <v/>
      </c>
      <c r="CZ8" s="32" t="str">
        <f t="shared" si="14"/>
        <v/>
      </c>
      <c r="DA8" s="84" t="str">
        <f t="shared" si="41"/>
        <v/>
      </c>
      <c r="DB8" s="81" t="str">
        <f>IF(NEIadder="Yes",IF($G8="","",INDEX(Lookups!$G$68:$G$70,MATCH($A8,Lookups!$E$68:$E$70,0))*(SUM(CP8:CX8,BX8))),"")</f>
        <v/>
      </c>
      <c r="DC8" s="263" t="str">
        <f t="shared" si="15"/>
        <v/>
      </c>
      <c r="DD8" s="166" t="str">
        <f t="shared" si="16"/>
        <v/>
      </c>
      <c r="DE8" s="82">
        <f t="shared" si="42"/>
        <v>0</v>
      </c>
      <c r="DF8" s="760" t="str">
        <f>IF($G8="","",(1+WntPeakEnergyLL)*(INDEX(avoidedcosttbl2,$H8,DF$2)+(($H8-ROUNDDOWN($H8,0))*(INDEX(avoidedcosttbl2,ROUNDUP($H8,0),DF$2)-(INDEX(avoidedcosttbl2,ROUNDDOWN($H8,0),DF$2)))))*$P8*1000*ADRYr2!Z8)</f>
        <v/>
      </c>
      <c r="DG8" s="760" t="str">
        <f>IF($G8="","",(1+WntOffPeakEnergyLL)*(INDEX(avoidedcosttbl2,$H8,DG$2)+(($H8-ROUNDDOWN($H8,0))*(INDEX(avoidedcosttbl2,ROUNDUP($H8,0),DG$2)-(INDEX(avoidedcosttbl2,ROUNDDOWN($H8,0),DG$2)))))*$P8*1000*ADRYr2!AA8)</f>
        <v/>
      </c>
      <c r="DH8" s="760" t="str">
        <f>IF($G8="","",(1+SumPeakEnergyLL)*(INDEX(avoidedcosttbl2,$H8,DH$2)+(($H8-ROUNDDOWN($H8,0))*(INDEX(avoidedcosttbl2,ROUNDUP($H8,0),DH$2)-(INDEX(avoidedcosttbl2,ROUNDDOWN($H8,0),DH$2)))))*$P8*1000*ADRYr2!AB8)</f>
        <v/>
      </c>
      <c r="DI8" s="760" t="str">
        <f>IF($G8="","",(1+SumOffPeakEnergyLL)*(INDEX(avoidedcosttbl2,$H8,DI$2)+(($H8-ROUNDDOWN($H8,0))*(INDEX(avoidedcosttbl2,ROUNDUP($H8,0),DI$2)-(INDEX(avoidedcosttbl2,ROUNDDOWN($H8,0),DI$2)))))*$P8*1000*ADRYr2!AC8)</f>
        <v/>
      </c>
      <c r="DJ8" s="29" t="str">
        <f t="shared" si="43"/>
        <v/>
      </c>
      <c r="DK8" s="161" t="str">
        <f t="shared" si="44"/>
        <v/>
      </c>
      <c r="DL8" s="1375" t="str">
        <f t="shared" si="45"/>
        <v/>
      </c>
      <c r="DM8" s="1375" t="str">
        <f t="shared" si="46"/>
        <v/>
      </c>
      <c r="DN8" s="43" t="str">
        <f t="shared" si="47"/>
        <v/>
      </c>
      <c r="DO8" s="1131" t="str">
        <f>IF($G8="","",ADRYr2!AQ8)</f>
        <v/>
      </c>
      <c r="DP8" s="1133" t="str">
        <f>IF($G8="","",ADRYr2!AR8)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48"/>
        <v/>
      </c>
      <c r="DU8" s="1135" t="str">
        <f>IF($G8="","",ADRYr2!AS8)</f>
        <v/>
      </c>
      <c r="DV8" s="1136" t="str">
        <f>IF($G8="","",ADRYr2!AT8)</f>
        <v/>
      </c>
      <c r="DW8" s="1344" t="str">
        <f>IF($G8="","",INDEX(AvoidedEnergy!$H$4:$H$10,MATCH($DO8,AvoidedEnergy!$A$4:$A$10,0)))</f>
        <v/>
      </c>
    </row>
    <row r="9" spans="1:127">
      <c r="A9" s="160" t="str">
        <f>IF(ADRYr2!$B9=0,"",ADRYr2!A9)</f>
        <v>A - Residential</v>
      </c>
      <c r="B9" s="9" t="str">
        <f>IF(ADRYr2!$B9=0,"",ADRYr2!B9)</f>
        <v>A5 - Residential Active Demand Response</v>
      </c>
      <c r="C9" s="9" t="str">
        <f>IF(ADRYr2!$B9=0,"",ADRYr2!C9)</f>
        <v>A5a - Residential Active Demand Response</v>
      </c>
      <c r="D9" s="9" t="str">
        <f>IF(ADRYr2!$B9=0,"",ADRYr2!D9)</f>
        <v>Storage Daily Dispatch Upfront Incentive (savings) Winter</v>
      </c>
      <c r="E9" s="9">
        <f>IF(ADRYr2!$B9=0,"",ADRYr2!E9)</f>
        <v>0</v>
      </c>
      <c r="F9" s="11" t="str">
        <f>IF(ADRYr2!$B9=0,"",ADRYr2!F9)</f>
        <v>Behavior</v>
      </c>
      <c r="G9" s="12" t="str">
        <f>IF(ADRYr2!$G9&lt;&gt;0,ADRYr2!G9,"")</f>
        <v/>
      </c>
      <c r="H9" s="1125" t="str">
        <f>IF($G9="","",ROUND(ADRYr2!H9,0))</f>
        <v/>
      </c>
      <c r="I9" s="47" t="str">
        <f>IF($G9="","",ADRYr2!I9*ADRYr2!P9*G9)</f>
        <v/>
      </c>
      <c r="J9" s="47" t="str">
        <f>IF($G9="","",ADRYr2!J9*G9)</f>
        <v/>
      </c>
      <c r="K9" s="47" t="str">
        <f t="shared" si="17"/>
        <v/>
      </c>
      <c r="L9" s="27" t="str">
        <f>IF($G9="","",ADRYr2!V9*G9/1000)</f>
        <v/>
      </c>
      <c r="M9" s="27" t="str">
        <f>IF($G9="","",L9*ADRYr2!$Q9*ADRYr2!$R9)</f>
        <v/>
      </c>
      <c r="N9" s="27" t="str">
        <f t="shared" si="18"/>
        <v/>
      </c>
      <c r="O9" s="27" t="str">
        <f t="shared" si="19"/>
        <v/>
      </c>
      <c r="P9" s="27" t="str">
        <f>IF($G9="","",M9*ADRYr2!P9)</f>
        <v/>
      </c>
      <c r="Q9" s="27" t="str">
        <f t="shared" si="20"/>
        <v/>
      </c>
      <c r="R9" s="27" t="str">
        <f>IF($G9="","",$Q9*ADRYr2!Z9)</f>
        <v/>
      </c>
      <c r="S9" s="27" t="str">
        <f>IF($G9="","",$Q9*ADRYr2!AA9)</f>
        <v/>
      </c>
      <c r="T9" s="27" t="str">
        <f>IF($G9="","",$Q9*ADRYr2!AB9)</f>
        <v/>
      </c>
      <c r="U9" s="27" t="str">
        <f>IF($G9="","",$Q9*ADRYr2!AC9)</f>
        <v/>
      </c>
      <c r="V9" s="27" t="str">
        <f>IF($G9="","",G9*ADRYr2!$AD9*ADRYr2!$P9*ADRYr2!$Q9)</f>
        <v/>
      </c>
      <c r="W9" s="27" t="str">
        <f>IF($G9="","",$G9*ADRYr2!$AD9*ADRYr2!$AF9*ADRYr2!Q9*ADRYr2!$S9)</f>
        <v/>
      </c>
      <c r="X9" s="27" t="str">
        <f>IF($G9="","",$G9*ADRYr2!$AD9*ADRYr2!$AF9*ADRYr2!P9*ADRYr2!Q9*ADRYr2!$S9)</f>
        <v/>
      </c>
      <c r="Y9" s="27" t="str">
        <f>IF($G9="","",$G9*ADRYr2!$AD9*ADRYr2!$AE9*ADRYr2!Q9*ADRYr2!$T9)</f>
        <v/>
      </c>
      <c r="Z9" s="27" t="str">
        <f>IF($G9="","",$G9*ADRYr2!$AD9*ADRYr2!$AE9*ADRYr2!P9*ADRYr2!Q9*ADRYr2!$T9)</f>
        <v/>
      </c>
      <c r="AA9" s="45" t="str">
        <f>IF($G9="","",$G9*ADRYr2!$Q9*ADRYr2!$U9*(IF(IFERROR(SEARCH("NG", ADRYr2!$AI9),0),ADRYr2!$AJ9,0)+IF(IFERROR(SEARCH("NG", ADRYr2!$AK9),0),ADRYr2!$AL9,0)+IF(IFERROR(SEARCH("NG", ADRYr2!$AM9),0),ADRYr2!$AN9,0)))</f>
        <v/>
      </c>
      <c r="AB9" s="45" t="str">
        <f t="shared" si="21"/>
        <v/>
      </c>
      <c r="AC9" s="45">
        <f>IF($G9="",0,AA9*ADRYr2!$P9)</f>
        <v>0</v>
      </c>
      <c r="AD9" s="45" t="str">
        <f t="shared" si="22"/>
        <v/>
      </c>
      <c r="AE9" s="45" t="str">
        <f>IF($G9="","",$G9*ADRYr2!$Q9*ADRYr2!$U9*(IF(IFERROR(SEARCH("Oil", ADRYr2!$AI9), 0),ADRYr2!$AJ9,0)+IF(IFERROR(SEARCH("Oil", ADRYr2!$AK9), 0),ADRYr2!$AL9,0)+IF(IFERROR(SEARCH("Oil", ADRYr2!$AM9), 0),ADRYr2!$AN9,0)))</f>
        <v/>
      </c>
      <c r="AF9" s="45" t="str">
        <f t="shared" si="23"/>
        <v/>
      </c>
      <c r="AG9" s="45">
        <f>IF($G9="",0,AE9*ADRYr2!$P9)</f>
        <v>0</v>
      </c>
      <c r="AH9" s="45" t="str">
        <f t="shared" si="24"/>
        <v/>
      </c>
      <c r="AI9" s="45" t="str">
        <f>IF($G9="","",$G9*ADRYr2!$Q9*ADRYr2!$U9*(IF(ADRYr2!$AI9=Lookups!$E$114,ADRYr2!$AJ9,IF(ADRYr2!$AK9=Lookups!$E$114,ADRYr2!$AL9,IF(ADRYr2!$AM9=Lookups!$E$114,ADRYr2!$AN9,0)))))</f>
        <v/>
      </c>
      <c r="AJ9" s="45" t="str">
        <f t="shared" si="25"/>
        <v/>
      </c>
      <c r="AK9" s="45">
        <f>IF($G9="",0,AI9*ADRYr2!$P9)</f>
        <v>0</v>
      </c>
      <c r="AL9" s="45" t="str">
        <f t="shared" si="26"/>
        <v/>
      </c>
      <c r="AM9" s="45" t="str">
        <f>IF($G9="","",$G9*ADRYr2!$Q9*ADRYr2!$U9*(IF(ADRYr2!$AI9=Lookups!$E$113,ADRYr2!$AJ9,IF(ADRYr2!$AK9=Lookups!$E$113,ADRYr2!$AL9,IF(ADRYr2!$AM9=Lookups!$E$113,ADRYr2!$AN9,0)))))</f>
        <v/>
      </c>
      <c r="AN9" s="45" t="str">
        <f t="shared" si="27"/>
        <v/>
      </c>
      <c r="AO9" s="45">
        <f>IF($G9="",0,AM9*ADRYr2!$P9)</f>
        <v>0</v>
      </c>
      <c r="AP9" s="45" t="str">
        <f t="shared" si="28"/>
        <v/>
      </c>
      <c r="AQ9" s="45" t="str">
        <f>IF($G9="","",$G9*ADRYr2!$Q9*ADRYr2!$U9*(IF(ADRYr2!$AI9=Lookups!$E$115,ADRYr2!$AJ9,IF(ADRYr2!$AK9=Lookups!$E$115,ADRYr2!$AL9,IF(ADRYr2!$AM9=Lookups!$E$115,ADRYr2!$AN9,0)))))</f>
        <v/>
      </c>
      <c r="AR9" s="45" t="str">
        <f t="shared" si="29"/>
        <v/>
      </c>
      <c r="AS9" s="45" t="str">
        <f>IF($G9="","",AQ9*ADRYr2!$P9)</f>
        <v/>
      </c>
      <c r="AT9" s="45" t="str">
        <f t="shared" si="30"/>
        <v/>
      </c>
      <c r="AU9" s="45" t="str">
        <f>IF($G9="","",$G9*ADRYr2!$Q9*ADRYr2!$U9*(IF(ADRYr2!$AI9=Lookups!$E$116,ADRYr2!$AJ9,IF(ADRYr2!$AK9=Lookups!$E$116,ADRYr2!$AL9,IF(ADRYr2!$AM9=Lookups!$E$116,ADRYr2!$AN9,0)))))</f>
        <v/>
      </c>
      <c r="AV9" s="45" t="str">
        <f t="shared" si="31"/>
        <v/>
      </c>
      <c r="AW9" s="45" t="str">
        <f>IF($G9="","",AU9*ADRYr2!$P9)</f>
        <v/>
      </c>
      <c r="AX9" s="45" t="str">
        <f t="shared" si="32"/>
        <v/>
      </c>
      <c r="AY9" s="45">
        <f t="shared" si="33"/>
        <v>0</v>
      </c>
      <c r="AZ9" s="45">
        <f t="shared" si="33"/>
        <v>0</v>
      </c>
      <c r="BA9" s="101" t="str">
        <f>IF($G9="","",$G9*ADRYr2!$P9*ADRYr2!$Q9*ADRYr2!$U9*ADRYr2!AO9)</f>
        <v/>
      </c>
      <c r="BB9" s="102" t="str">
        <f>IF($G9="","",$G9*ADRYr2!$P9*ADRYr2!$Q9*ADRYr2!$U9*ADRYr2!AP9)</f>
        <v/>
      </c>
      <c r="BC9" s="100" t="str">
        <f t="shared" si="34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5"/>
        <v/>
      </c>
      <c r="BO9" s="31" t="str">
        <f t="shared" si="35"/>
        <v/>
      </c>
      <c r="BP9" s="1129" t="str">
        <f t="shared" si="6"/>
        <v/>
      </c>
      <c r="BQ9" s="28" t="str">
        <f t="shared" si="7"/>
        <v/>
      </c>
      <c r="BR9" s="1129" t="str">
        <f t="shared" si="8"/>
        <v/>
      </c>
      <c r="BS9" s="1129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6"/>
        <v/>
      </c>
      <c r="BX9" s="29" t="str">
        <f t="shared" si="37"/>
        <v/>
      </c>
      <c r="BY9" s="28" t="str">
        <f>IF($G9="","",$G9*(IF(ADRYr2!$AI9=BY$4,ADRYr2!$AJ9,IF(ADRYr2!$AK9=BY$4,ADRYr2!$AL9,IF(ADRYr2!$AM9=BY$4,ADRYr2!$AN9,0))))*(INDEX(avoidedcosttbl2,$H9,BY$2)+(($H9-ROUNDDOWN($H9,0))*(INDEX(avoidedcosttbl2,ROUNDUP($H9,0),BY$2)-(INDEX(avoidedcosttbl2,ROUNDDOWN($H9,0),BY$2)))))*ADRYr2!P9*ADRYr2!Q9*ADRYr2!U9)</f>
        <v/>
      </c>
      <c r="BZ9" s="28" t="str">
        <f>IF($G9="","",$G9*(IF(ADRYr2!$AI9=BZ$4,ADRYr2!$AJ9,IF(ADRYr2!$AK9=BZ$4,ADRYr2!$AL9,IF(ADRYr2!$AM9=BZ$4,ADRYr2!$AN9,0))))*(INDEX(avoidedcosttbl2,$H9,BZ$2)+(($H9-ROUNDDOWN($H9,0))*(INDEX(avoidedcosttbl2,ROUNDUP($H9,0),BZ$2)-(INDEX(avoidedcosttbl2,ROUNDDOWN($H9,0),BZ$2)))))*ADRYr2!P9*ADRYr2!Q9*ADRYr2!U9)</f>
        <v/>
      </c>
      <c r="CA9" s="28" t="str">
        <f>IF($G9="","",$G9*(IF(ADRYr2!$AI9=CA$4,ADRYr2!$AJ9,IF(ADRYr2!$AK9=CA$4,ADRYr2!$AL9,IF(ADRYr2!$AM9=CA$4,ADRYr2!$AN9,0))))*(INDEX(avoidedcosttbl2,$H9,CA$2)+(($H9-ROUNDDOWN($H9,0))*(INDEX(avoidedcosttbl2,ROUNDUP($H9,0),CA$2)-(INDEX(avoidedcosttbl2,ROUNDDOWN($H9,0),CA$2)))))*ADRYr2!P9*ADRYr2!Q9*ADRYr2!U9)</f>
        <v/>
      </c>
      <c r="CB9" s="28" t="str">
        <f>IF($G9="","",$G9*(IF(ADRYr2!$AI9=CB$4,ADRYr2!$AJ9,IF(ADRYr2!$AK9=CB$4,ADRYr2!$AL9,IF(ADRYr2!$AM9=CB$4,ADRYr2!$AN9,0))))*(INDEX(avoidedcosttbl2,$H9,CB$2)+(($H9-ROUNDDOWN($H9,0))*(INDEX(avoidedcosttbl2,ROUNDUP($H9,0),CB$2)-(INDEX(avoidedcosttbl2,ROUNDDOWN($H9,0),CB$2)))))*ADRYr2!P9*ADRYr2!Q9*ADRYr2!U9)</f>
        <v/>
      </c>
      <c r="CC9" s="28" t="str">
        <f>IF($G9="","",$G9*(IF(ADRYr2!$AI9=CC$4,ADRYr2!$AJ9,IF(ADRYr2!$AK9=CC$4,ADRYr2!$AL9,IF(ADRYr2!$AM9=CC$4,ADRYr2!$AN9,0))))*(INDEX(avoidedcosttbl2,$H9,CC$2)+(($H9-ROUNDDOWN($H9,0))*(INDEX(avoidedcosttbl2,ROUNDUP($H9,0),CC$2)-(INDEX(avoidedcosttbl2,ROUNDDOWN($H9,0),CC$2)))))*ADRYr2!P9*ADRYr2!Q9*ADRYr2!U9)</f>
        <v/>
      </c>
      <c r="CD9" s="28" t="str">
        <f>IF($G9="","",$G9*(IF(ADRYr2!$AI9=CD$4,ADRYr2!$AJ9,IF(ADRYr2!$AK9=CD$4,ADRYr2!$AL9,IF(ADRYr2!$AM9=CD$4,ADRYr2!$AN9,0))))*(INDEX(avoidedcosttbl2,$H9,CD$2)+(($H9-ROUNDDOWN($H9,0))*(INDEX(avoidedcosttbl2,ROUNDUP($H9,0),CD$2)-(INDEX(avoidedcosttbl2,ROUNDDOWN($H9,0),CD$2)))))*ADRYr2!P9*ADRYr2!Q9*ADRYr2!U9)</f>
        <v/>
      </c>
      <c r="CE9" s="28" t="str">
        <f>IF($G9="","",$G9*(IF(ADRYr2!$AI9=CE$4,ADRYr2!$AJ9,IF(ADRYr2!$AK9=CE$4,ADRYr2!$AL9,IF(ADRYr2!$AM9=CE$4,ADRYr2!$AN9,0))))*(INDEX(avoidedcosttbl2,$H9,CE$2)+(($H9-ROUNDDOWN($H9,0))*(INDEX(avoidedcosttbl2,ROUNDUP($H9,0),CE$2)-(INDEX(avoidedcosttbl2,ROUNDDOWN($H9,0),CE$2)))))*ADRYr2!P9*ADRYr2!Q9*ADRYr2!U9)</f>
        <v/>
      </c>
      <c r="CF9" s="41" t="str">
        <f t="shared" si="38"/>
        <v/>
      </c>
      <c r="CG9" s="30" t="str">
        <f t="shared" si="11"/>
        <v/>
      </c>
      <c r="CH9" s="30" t="str">
        <f>IF($G9="","",$G9*(IF(ADRYr2!$AI9=BY$4,ADRYr2!$AJ9,IF(ADRYr2!$AK9=BY$4,ADRYr2!$AL9,IF(ADRYr2!$AM9=BY$4,ADRYr2!$AN9,0))))*(INDEX(avoidedcosttbl2,$H9,CH$2)+(($H9-ROUNDDOWN($H9,0))*(INDEX(avoidedcosttbl2,ROUNDUP($H9,0),CH$2)-(INDEX(avoidedcosttbl2,ROUNDDOWN($H9,0),CH$2)))))*ADRYr2!P9*ADRYr2!Q9*ADRYr2!U9)</f>
        <v/>
      </c>
      <c r="CI9" s="30" t="str">
        <f>IF($G9="","",$G9*(IF(ADRYr2!$AI9=BZ$4,ADRYr2!$AJ9,IF(ADRYr2!$AK9=BZ$4,ADRYr2!$AL9,IF(ADRYr2!$AM9=BZ$4,ADRYr2!$AN9,0))))*(INDEX(avoidedcosttbl2,$H9,CI$2)+(($H9-ROUNDDOWN($H9,0))*(INDEX(avoidedcosttbl2,ROUNDUP($H9,0),CI$2)-(INDEX(avoidedcosttbl2,ROUNDDOWN($H9,0),CI$2)))))*ADRYr2!P9*ADRYr2!Q9*ADRYr2!U9)</f>
        <v/>
      </c>
      <c r="CJ9" s="30" t="str">
        <f>IF($G9="","",$G9*(IF(ADRYr2!$AI9=CA$4,ADRYr2!$AJ9,IF(ADRYr2!$AK9=CA$4,ADRYr2!$AL9,IF(ADRYr2!$AM9=CA$4,ADRYr2!$AN9,0))))*(INDEX(avoidedcosttbl2,$H9,CJ$2)+(($H9-ROUNDDOWN($H9,0))*(INDEX(avoidedcosttbl2,ROUNDUP($H9,0),CJ$2)-(INDEX(avoidedcosttbl2,ROUNDDOWN($H9,0),CJ$2)))))*ADRYr2!P9*ADRYr2!Q9*ADRYr2!U9)</f>
        <v/>
      </c>
      <c r="CK9" s="30" t="str">
        <f>IF($G9="","",$G9*(IF(ADRYr2!$AI9=CB$4,ADRYr2!$AJ9,IF(ADRYr2!$AK9=CB$4,ADRYr2!$AL9,IF(ADRYr2!$AM9=CB$4,ADRYr2!$AN9,0))))*(INDEX(avoidedcosttbl2,$H9,CK$2)+(($H9-ROUNDDOWN($H9,0))*(INDEX(avoidedcosttbl2,ROUNDUP($H9,0),CK$2)-(INDEX(avoidedcosttbl2,ROUNDDOWN($H9,0),CK$2)))))*ADRYr2!P9*ADRYr2!Q9*ADRYr2!U9)</f>
        <v/>
      </c>
      <c r="CL9" s="30" t="str">
        <f>IF($G9="","",$G9*(IF(ADRYr2!$AI9=CC$4,ADRYr2!$AJ9,IF(ADRYr2!$AK9=CC$4,ADRYr2!$AL9,IF(ADRYr2!$AM9=CC$4,ADRYr2!$AN9,0))))*(INDEX(avoidedcosttbl2,$H9,CL$2)+(($H9-ROUNDDOWN($H9,0))*(INDEX(avoidedcosttbl2,ROUNDUP($H9,0),CL$2)-(INDEX(avoidedcosttbl2,ROUNDDOWN($H9,0),CL$2)))))*ADRYr2!P9*ADRYr2!Q9*ADRYr2!U9)</f>
        <v/>
      </c>
      <c r="CM9" s="30" t="str">
        <f>IF($G9="","",$G9*(IF(ADRYr2!$AI9=CD$4,ADRYr2!$AJ9,IF(ADRYr2!$AK9=CD$4,ADRYr2!$AL9,IF(ADRYr2!$AM9=CD$4,ADRYr2!$AN9,0))))*(INDEX(avoidedcosttbl2,$H9,CM$2)+(($H9-ROUNDDOWN($H9,0))*(INDEX(avoidedcosttbl2,ROUNDUP($H9,0),CM$2)-(INDEX(avoidedcosttbl2,ROUNDDOWN($H9,0),CM$2)))))*ADRYr2!P9*ADRYr2!Q9*ADRYr2!U9)</f>
        <v/>
      </c>
      <c r="CN9" s="30" t="str">
        <f>IF($G9="","",$G9*(IF(ADRYr2!$AI9=CE$4,ADRYr2!$AJ9,IF(ADRYr2!$AK9=CE$4,ADRYr2!$AL9,IF(ADRYr2!$AM9=CE$4,ADRYr2!$AN9,0))))*(INDEX(avoidedcosttbl2,$H9,CN$2)+(($H9-ROUNDDOWN($H9,0))*(INDEX(avoidedcosttbl2,ROUNDUP($H9,0),CN$2)-(INDEX(avoidedcosttbl2,ROUNDDOWN($H9,0),CN$2)))))*ADRYr2!P9*ADRYr2!Q9*ADRYr2!U9)</f>
        <v/>
      </c>
      <c r="CO9" s="220" t="str">
        <f t="shared" si="39"/>
        <v/>
      </c>
      <c r="CP9" s="220" t="str">
        <f t="shared" si="40"/>
        <v/>
      </c>
      <c r="CQ9" s="157" t="str">
        <f>IF($G9="","",$G9*(IF(ADRYr2!$AI9=CQ$4,ADRYr2!$AJ9,IF(ADRYr2!$AK9=CQ$4,ADRYr2!$AL9,IF(ADRYr2!$AM9=CQ$4,ADRYr2!$AN9,0))))*(INDEX(avoidedcosttbl2,$H9,CQ$2)+(($H9-ROUNDDOWN($H9,0))*(INDEX(avoidedcosttbl2,ROUNDUP($H9,0),CQ$2)-(INDEX(avoidedcosttbl2,ROUNDDOWN($H9,0),CQ$2)))))*ADRYr2!$P9*ADRYr2!$Q9*ADRYr2!$U9)</f>
        <v/>
      </c>
      <c r="CR9" s="28" t="str">
        <f>IF($G9="","",G9*(IF(ADRYr2!$AI9=CR$4,ADRYr2!$AJ9,IF(ADRYr2!$AK9=CR$4,ADRYr2!$AL9,IF(ADRYr2!$AM9=CR$4,ADRYr2!$AN9,0))))*(INDEX(avoidedcosttbl2,$H9,CR$2)+(($H9-ROUNDDOWN($H9,0))*(INDEX(avoidedcosttbl2,ROUNDUP($H9,0),CR$2)-(INDEX(avoidedcosttbl2,ROUNDDOWN($H9,0),CR$2)))))*ADRYr2!$P9*ADRYr2!$Q9*ADRYr2!$U9)</f>
        <v/>
      </c>
      <c r="CS9" s="28" t="str">
        <f>IF($G9="","",G9*(IF(ADRYr2!$AI9=CS$4,ADRYr2!$AJ9,IF(ADRYr2!$AK9=CS$4,ADRYr2!$AL9,IF(ADRYr2!$AM9=CS$4,ADRYr2!$AN9,0))))*(INDEX(avoidedcosttbl2,$H9,CS$2)+(($H9-ROUNDDOWN($H9,0))*(INDEX(avoidedcosttbl2,ROUNDUP($H9,0),CS$2)-(INDEX(avoidedcosttbl2,ROUNDDOWN($H9,0),CS$2)))))*ADRYr2!$P9*ADRYr2!$Q9*ADRYr2!$U9)</f>
        <v/>
      </c>
      <c r="CT9" s="28" t="str">
        <f t="shared" si="12"/>
        <v/>
      </c>
      <c r="CU9" s="28" t="str">
        <f>IF($G9="","",G9*(IF(ADRYr2!$AI9=CU$4,ADRYr2!$AJ9,IF(ADRYr2!$AK9=CU$4,ADRYr2!$AL9,IF(ADRYr2!$AM9=CU$4,ADRYr2!$AN9,0))))*(INDEX(avoidedcosttbl2,$H9,CU$2)+(($H9-ROUNDDOWN($H9,0))*(INDEX(avoidedcosttbl2,ROUNDUP($H9,0),CU$2)-(INDEX(avoidedcosttbl2,ROUNDDOWN($H9,0),CU$2)))))*ADRYr2!$P9*ADRYr2!$Q9*ADRYr2!$U9)</f>
        <v/>
      </c>
      <c r="CV9" s="28" t="str">
        <f>IF($G9="","",G9*(IF(ADRYr2!$AI9=CV$4,ADRYr2!$AJ9,IF(ADRYr2!$AK9=CV$4,ADRYr2!$AL9,IF(ADRYr2!$AM9=CV$4,ADRYr2!$AN9,0))))*(INDEX(avoidedcosttbl2,$H9,CV$2)+(($H9-ROUNDDOWN($H9,0))*(INDEX(avoidedcosttbl2,ROUNDUP($H9,0),CV$2)-(INDEX(avoidedcosttbl2,ROUNDDOWN($H9,0),CV$2)))))*ADRYr2!$P9*ADRYr2!$Q9*ADRYr2!$U9)</f>
        <v/>
      </c>
      <c r="CW9" s="28" t="str">
        <f>IF($G9="","",G9*(IF(ADRYr2!$AI9=CW$4,ADRYr2!$AJ9,IF(ADRYr2!$AK9=CW$4,ADRYr2!$AL9,IF(ADRYr2!$AM9=CW$4,ADRYr2!$AN9,0))))*(INDEX(avoidedcosttbl2,$H9,CW$2)+(($H9-ROUNDDOWN($H9,0))*(INDEX(avoidedcosttbl2,ROUNDUP($H9,0),CW$2)-(INDEX(avoidedcosttbl2,ROUNDDOWN($H9,0),CW$2)))))*ADRYr2!$P9*ADRYr2!$Q9*ADRYr2!$U9)</f>
        <v/>
      </c>
      <c r="CX9" s="28" t="str">
        <f>IF($G9="","",G9*(IF(ADRYr2!$AI9=CX$4,ADRYr2!$AJ9,IF(ADRYr2!$AK9=CX$4,ADRYr2!$AL9,IF(ADRYr2!$AM9=CX$4,ADRYr2!$AN9,0))))*(INDEX(avoidedcosttbl2,$H9,CX$2)+(($H9-ROUNDDOWN($H9,0))*(INDEX(avoidedcosttbl2,ROUNDUP($H9,0),CX$2)-(INDEX(avoidedcosttbl2,ROUNDDOWN($H9,0),CX$2)))))*ADRYr2!$P9*ADRYr2!$Q9*ADRYr2!$U9)</f>
        <v/>
      </c>
      <c r="CY9" s="28" t="str">
        <f t="shared" si="13"/>
        <v/>
      </c>
      <c r="CZ9" s="32" t="str">
        <f t="shared" si="14"/>
        <v/>
      </c>
      <c r="DA9" s="84" t="str">
        <f t="shared" si="41"/>
        <v/>
      </c>
      <c r="DB9" s="81" t="str">
        <f>IF(NEIadder="Yes",IF($G9="","",INDEX(Lookups!$G$68:$G$70,MATCH($A9,Lookups!$E$68:$E$70,0))*(SUM(CP9:CX9,BX9))),"")</f>
        <v/>
      </c>
      <c r="DC9" s="263" t="str">
        <f t="shared" si="15"/>
        <v/>
      </c>
      <c r="DD9" s="166" t="str">
        <f t="shared" si="16"/>
        <v/>
      </c>
      <c r="DE9" s="82">
        <f t="shared" si="42"/>
        <v>0</v>
      </c>
      <c r="DF9" s="760" t="str">
        <f>IF($G9="","",(1+WntPeakEnergyLL)*(INDEX(avoidedcosttbl2,$H9,DF$2)+(($H9-ROUNDDOWN($H9,0))*(INDEX(avoidedcosttbl2,ROUNDUP($H9,0),DF$2)-(INDEX(avoidedcosttbl2,ROUNDDOWN($H9,0),DF$2)))))*$P9*1000*ADRYr2!Z9)</f>
        <v/>
      </c>
      <c r="DG9" s="760" t="str">
        <f>IF($G9="","",(1+WntOffPeakEnergyLL)*(INDEX(avoidedcosttbl2,$H9,DG$2)+(($H9-ROUNDDOWN($H9,0))*(INDEX(avoidedcosttbl2,ROUNDUP($H9,0),DG$2)-(INDEX(avoidedcosttbl2,ROUNDDOWN($H9,0),DG$2)))))*$P9*1000*ADRYr2!AA9)</f>
        <v/>
      </c>
      <c r="DH9" s="760" t="str">
        <f>IF($G9="","",(1+SumPeakEnergyLL)*(INDEX(avoidedcosttbl2,$H9,DH$2)+(($H9-ROUNDDOWN($H9,0))*(INDEX(avoidedcosttbl2,ROUNDUP($H9,0),DH$2)-(INDEX(avoidedcosttbl2,ROUNDDOWN($H9,0),DH$2)))))*$P9*1000*ADRYr2!AB9)</f>
        <v/>
      </c>
      <c r="DI9" s="760" t="str">
        <f>IF($G9="","",(1+SumOffPeakEnergyLL)*(INDEX(avoidedcosttbl2,$H9,DI$2)+(($H9-ROUNDDOWN($H9,0))*(INDEX(avoidedcosttbl2,ROUNDUP($H9,0),DI$2)-(INDEX(avoidedcosttbl2,ROUNDDOWN($H9,0),DI$2)))))*$P9*1000*ADRYr2!AC9)</f>
        <v/>
      </c>
      <c r="DJ9" s="29" t="str">
        <f t="shared" si="43"/>
        <v/>
      </c>
      <c r="DK9" s="161" t="str">
        <f t="shared" si="44"/>
        <v/>
      </c>
      <c r="DL9" s="1375" t="str">
        <f t="shared" si="45"/>
        <v/>
      </c>
      <c r="DM9" s="1375" t="str">
        <f t="shared" si="46"/>
        <v/>
      </c>
      <c r="DN9" s="43" t="str">
        <f t="shared" si="47"/>
        <v/>
      </c>
      <c r="DO9" s="1131" t="str">
        <f>IF($G9="","",ADRYr2!AQ9)</f>
        <v/>
      </c>
      <c r="DP9" s="1133" t="str">
        <f>IF($G9="","",ADRYr2!AR9)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48"/>
        <v/>
      </c>
      <c r="DU9" s="1135" t="str">
        <f>IF($G9="","",ADRYr2!AS9)</f>
        <v/>
      </c>
      <c r="DV9" s="1136" t="str">
        <f>IF($G9="","",ADRYr2!AT9)</f>
        <v/>
      </c>
      <c r="DW9" s="1344" t="str">
        <f>IF($G9="","",INDEX(AvoidedEnergy!$H$4:$H$10,MATCH($DO9,AvoidedEnergy!$A$4:$A$10,0)))</f>
        <v/>
      </c>
    </row>
    <row r="10" spans="1:127">
      <c r="A10" s="160" t="str">
        <f>IF(ADRYr2!$B10=0,"",ADRYr2!A10)</f>
        <v>A - Residential</v>
      </c>
      <c r="B10" s="9" t="str">
        <f>IF(ADRYr2!$B10=0,"",ADRYr2!B10)</f>
        <v>A5 - Residential Active Demand Response</v>
      </c>
      <c r="C10" s="9" t="str">
        <f>IF(ADRYr2!$B10=0,"",ADRYr2!C10)</f>
        <v>A5a - Residential Active Demand Response</v>
      </c>
      <c r="D10" s="9" t="str">
        <f>IF(ADRYr2!$B10=0,"",ADRYr2!D10)</f>
        <v>Storage Daily Dispatch Upfront Incentive (consumption) Winter</v>
      </c>
      <c r="E10" s="9">
        <f>IF(ADRYr2!$B10=0,"",ADRYr2!E10)</f>
        <v>0</v>
      </c>
      <c r="F10" s="11" t="str">
        <f>IF(ADRYr2!$B10=0,"",ADRYr2!F10)</f>
        <v>Behavior</v>
      </c>
      <c r="G10" s="12" t="str">
        <f>IF(ADRYr2!$G10&lt;&gt;0,ADRYr2!G10,"")</f>
        <v/>
      </c>
      <c r="H10" s="1125" t="str">
        <f>IF($G10="","",ROUND(ADRYr2!H10,0))</f>
        <v/>
      </c>
      <c r="I10" s="47" t="str">
        <f>IF($G10="","",ADRYr2!I10*ADRYr2!P10*G10)</f>
        <v/>
      </c>
      <c r="J10" s="47" t="str">
        <f>IF($G10="","",ADRYr2!J10*G10)</f>
        <v/>
      </c>
      <c r="K10" s="47" t="str">
        <f t="shared" si="17"/>
        <v/>
      </c>
      <c r="L10" s="27" t="str">
        <f>IF($G10="","",ADRYr2!V10*G10/1000)</f>
        <v/>
      </c>
      <c r="M10" s="27" t="str">
        <f>IF($G10="","",L10*ADRYr2!$Q10*ADRYr2!$R10)</f>
        <v/>
      </c>
      <c r="N10" s="27" t="str">
        <f t="shared" si="18"/>
        <v/>
      </c>
      <c r="O10" s="27" t="str">
        <f t="shared" si="19"/>
        <v/>
      </c>
      <c r="P10" s="27" t="str">
        <f>IF($G10="","",M10*ADRYr2!P10)</f>
        <v/>
      </c>
      <c r="Q10" s="27" t="str">
        <f t="shared" si="20"/>
        <v/>
      </c>
      <c r="R10" s="27" t="str">
        <f>IF($G10="","",$Q10*ADRYr2!Z10)</f>
        <v/>
      </c>
      <c r="S10" s="27" t="str">
        <f>IF($G10="","",$Q10*ADRYr2!AA10)</f>
        <v/>
      </c>
      <c r="T10" s="27" t="str">
        <f>IF($G10="","",$Q10*ADRYr2!AB10)</f>
        <v/>
      </c>
      <c r="U10" s="27" t="str">
        <f>IF($G10="","",$Q10*ADRYr2!AC10)</f>
        <v/>
      </c>
      <c r="V10" s="27" t="str">
        <f>IF($G10="","",G10*ADRYr2!$AD10*ADRYr2!$P10*ADRYr2!$Q10)</f>
        <v/>
      </c>
      <c r="W10" s="27" t="str">
        <f>IF($G10="","",$G10*ADRYr2!$AD10*ADRYr2!$AF10*ADRYr2!Q10*ADRYr2!$S10)</f>
        <v/>
      </c>
      <c r="X10" s="27" t="str">
        <f>IF($G10="","",$G10*ADRYr2!$AD10*ADRYr2!$AF10*ADRYr2!P10*ADRYr2!Q10*ADRYr2!$S10)</f>
        <v/>
      </c>
      <c r="Y10" s="27" t="str">
        <f>IF($G10="","",$G10*ADRYr2!$AD10*ADRYr2!$AE10*ADRYr2!Q10*ADRYr2!$T10)</f>
        <v/>
      </c>
      <c r="Z10" s="27" t="str">
        <f>IF($G10="","",$G10*ADRYr2!$AD10*ADRYr2!$AE10*ADRYr2!P10*ADRYr2!Q10*ADRYr2!$T10)</f>
        <v/>
      </c>
      <c r="AA10" s="45" t="str">
        <f>IF($G10="","",$G10*ADRYr2!$Q10*ADRYr2!$U10*(IF(IFERROR(SEARCH("NG", ADRYr2!$AI10),0),ADRYr2!$AJ10,0)+IF(IFERROR(SEARCH("NG", ADRYr2!$AK10),0),ADRYr2!$AL10,0)+IF(IFERROR(SEARCH("NG", ADRYr2!$AM10),0),ADRYr2!$AN10,0)))</f>
        <v/>
      </c>
      <c r="AB10" s="45" t="str">
        <f t="shared" si="21"/>
        <v/>
      </c>
      <c r="AC10" s="45">
        <f>IF($G10="",0,AA10*ADRYr2!$P10)</f>
        <v>0</v>
      </c>
      <c r="AD10" s="45" t="str">
        <f t="shared" si="22"/>
        <v/>
      </c>
      <c r="AE10" s="45" t="str">
        <f>IF($G10="","",$G10*ADRYr2!$Q10*ADRYr2!$U10*(IF(IFERROR(SEARCH("Oil", ADRYr2!$AI10), 0),ADRYr2!$AJ10,0)+IF(IFERROR(SEARCH("Oil", ADRYr2!$AK10), 0),ADRYr2!$AL10,0)+IF(IFERROR(SEARCH("Oil", ADRYr2!$AM10), 0),ADRYr2!$AN10,0)))</f>
        <v/>
      </c>
      <c r="AF10" s="45" t="str">
        <f t="shared" si="23"/>
        <v/>
      </c>
      <c r="AG10" s="45">
        <f>IF($G10="",0,AE10*ADRYr2!$P10)</f>
        <v>0</v>
      </c>
      <c r="AH10" s="45" t="str">
        <f t="shared" si="24"/>
        <v/>
      </c>
      <c r="AI10" s="45" t="str">
        <f>IF($G10="","",$G10*ADRYr2!$Q10*ADRYr2!$U10*(IF(ADRYr2!$AI10=Lookups!$E$114,ADRYr2!$AJ10,IF(ADRYr2!$AK10=Lookups!$E$114,ADRYr2!$AL10,IF(ADRYr2!$AM10=Lookups!$E$114,ADRYr2!$AN10,0)))))</f>
        <v/>
      </c>
      <c r="AJ10" s="45" t="str">
        <f t="shared" si="25"/>
        <v/>
      </c>
      <c r="AK10" s="45">
        <f>IF($G10="",0,AI10*ADRYr2!$P10)</f>
        <v>0</v>
      </c>
      <c r="AL10" s="45" t="str">
        <f t="shared" si="26"/>
        <v/>
      </c>
      <c r="AM10" s="45" t="str">
        <f>IF($G10="","",$G10*ADRYr2!$Q10*ADRYr2!$U10*(IF(ADRYr2!$AI10=Lookups!$E$113,ADRYr2!$AJ10,IF(ADRYr2!$AK10=Lookups!$E$113,ADRYr2!$AL10,IF(ADRYr2!$AM10=Lookups!$E$113,ADRYr2!$AN10,0)))))</f>
        <v/>
      </c>
      <c r="AN10" s="45" t="str">
        <f t="shared" si="27"/>
        <v/>
      </c>
      <c r="AO10" s="45">
        <f>IF($G10="",0,AM10*ADRYr2!$P10)</f>
        <v>0</v>
      </c>
      <c r="AP10" s="45" t="str">
        <f t="shared" si="28"/>
        <v/>
      </c>
      <c r="AQ10" s="45" t="str">
        <f>IF($G10="","",$G10*ADRYr2!$Q10*ADRYr2!$U10*(IF(ADRYr2!$AI10=Lookups!$E$115,ADRYr2!$AJ10,IF(ADRYr2!$AK10=Lookups!$E$115,ADRYr2!$AL10,IF(ADRYr2!$AM10=Lookups!$E$115,ADRYr2!$AN10,0)))))</f>
        <v/>
      </c>
      <c r="AR10" s="45" t="str">
        <f t="shared" si="29"/>
        <v/>
      </c>
      <c r="AS10" s="45" t="str">
        <f>IF($G10="","",AQ10*ADRYr2!$P10)</f>
        <v/>
      </c>
      <c r="AT10" s="45" t="str">
        <f t="shared" si="30"/>
        <v/>
      </c>
      <c r="AU10" s="45" t="str">
        <f>IF($G10="","",$G10*ADRYr2!$Q10*ADRYr2!$U10*(IF(ADRYr2!$AI10=Lookups!$E$116,ADRYr2!$AJ10,IF(ADRYr2!$AK10=Lookups!$E$116,ADRYr2!$AL10,IF(ADRYr2!$AM10=Lookups!$E$116,ADRYr2!$AN10,0)))))</f>
        <v/>
      </c>
      <c r="AV10" s="45" t="str">
        <f t="shared" si="31"/>
        <v/>
      </c>
      <c r="AW10" s="45" t="str">
        <f>IF($G10="","",AU10*ADRYr2!$P10)</f>
        <v/>
      </c>
      <c r="AX10" s="45" t="str">
        <f t="shared" si="32"/>
        <v/>
      </c>
      <c r="AY10" s="45">
        <f t="shared" si="33"/>
        <v>0</v>
      </c>
      <c r="AZ10" s="45">
        <f t="shared" si="33"/>
        <v>0</v>
      </c>
      <c r="BA10" s="101" t="str">
        <f>IF($G10="","",$G10*ADRYr2!$P10*ADRYr2!$Q10*ADRYr2!$U10*ADRYr2!AO10)</f>
        <v/>
      </c>
      <c r="BB10" s="102" t="str">
        <f>IF($G10="","",$G10*ADRYr2!$P10*ADRYr2!$Q10*ADRYr2!$U10*ADRYr2!AP10)</f>
        <v/>
      </c>
      <c r="BC10" s="100" t="str">
        <f t="shared" si="34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5"/>
        <v/>
      </c>
      <c r="BO10" s="31" t="str">
        <f t="shared" si="35"/>
        <v/>
      </c>
      <c r="BP10" s="1129" t="str">
        <f t="shared" si="6"/>
        <v/>
      </c>
      <c r="BQ10" s="28" t="str">
        <f t="shared" si="7"/>
        <v/>
      </c>
      <c r="BR10" s="1129" t="str">
        <f t="shared" si="8"/>
        <v/>
      </c>
      <c r="BS10" s="1129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6"/>
        <v/>
      </c>
      <c r="BX10" s="29" t="str">
        <f t="shared" si="37"/>
        <v/>
      </c>
      <c r="BY10" s="28" t="str">
        <f>IF($G10="","",$G10*(IF(ADRYr2!$AI10=BY$4,ADRYr2!$AJ10,IF(ADRYr2!$AK10=BY$4,ADRYr2!$AL10,IF(ADRYr2!$AM10=BY$4,ADRYr2!$AN10,0))))*(INDEX(avoidedcosttbl2,$H10,BY$2)+(($H10-ROUNDDOWN($H10,0))*(INDEX(avoidedcosttbl2,ROUNDUP($H10,0),BY$2)-(INDEX(avoidedcosttbl2,ROUNDDOWN($H10,0),BY$2)))))*ADRYr2!P10*ADRYr2!Q10*ADRYr2!U10)</f>
        <v/>
      </c>
      <c r="BZ10" s="28" t="str">
        <f>IF($G10="","",$G10*(IF(ADRYr2!$AI10=BZ$4,ADRYr2!$AJ10,IF(ADRYr2!$AK10=BZ$4,ADRYr2!$AL10,IF(ADRYr2!$AM10=BZ$4,ADRYr2!$AN10,0))))*(INDEX(avoidedcosttbl2,$H10,BZ$2)+(($H10-ROUNDDOWN($H10,0))*(INDEX(avoidedcosttbl2,ROUNDUP($H10,0),BZ$2)-(INDEX(avoidedcosttbl2,ROUNDDOWN($H10,0),BZ$2)))))*ADRYr2!P10*ADRYr2!Q10*ADRYr2!U10)</f>
        <v/>
      </c>
      <c r="CA10" s="28" t="str">
        <f>IF($G10="","",$G10*(IF(ADRYr2!$AI10=CA$4,ADRYr2!$AJ10,IF(ADRYr2!$AK10=CA$4,ADRYr2!$AL10,IF(ADRYr2!$AM10=CA$4,ADRYr2!$AN10,0))))*(INDEX(avoidedcosttbl2,$H10,CA$2)+(($H10-ROUNDDOWN($H10,0))*(INDEX(avoidedcosttbl2,ROUNDUP($H10,0),CA$2)-(INDEX(avoidedcosttbl2,ROUNDDOWN($H10,0),CA$2)))))*ADRYr2!P10*ADRYr2!Q10*ADRYr2!U10)</f>
        <v/>
      </c>
      <c r="CB10" s="28" t="str">
        <f>IF($G10="","",$G10*(IF(ADRYr2!$AI10=CB$4,ADRYr2!$AJ10,IF(ADRYr2!$AK10=CB$4,ADRYr2!$AL10,IF(ADRYr2!$AM10=CB$4,ADRYr2!$AN10,0))))*(INDEX(avoidedcosttbl2,$H10,CB$2)+(($H10-ROUNDDOWN($H10,0))*(INDEX(avoidedcosttbl2,ROUNDUP($H10,0),CB$2)-(INDEX(avoidedcosttbl2,ROUNDDOWN($H10,0),CB$2)))))*ADRYr2!P10*ADRYr2!Q10*ADRYr2!U10)</f>
        <v/>
      </c>
      <c r="CC10" s="28" t="str">
        <f>IF($G10="","",$G10*(IF(ADRYr2!$AI10=CC$4,ADRYr2!$AJ10,IF(ADRYr2!$AK10=CC$4,ADRYr2!$AL10,IF(ADRYr2!$AM10=CC$4,ADRYr2!$AN10,0))))*(INDEX(avoidedcosttbl2,$H10,CC$2)+(($H10-ROUNDDOWN($H10,0))*(INDEX(avoidedcosttbl2,ROUNDUP($H10,0),CC$2)-(INDEX(avoidedcosttbl2,ROUNDDOWN($H10,0),CC$2)))))*ADRYr2!P10*ADRYr2!Q10*ADRYr2!U10)</f>
        <v/>
      </c>
      <c r="CD10" s="28" t="str">
        <f>IF($G10="","",$G10*(IF(ADRYr2!$AI10=CD$4,ADRYr2!$AJ10,IF(ADRYr2!$AK10=CD$4,ADRYr2!$AL10,IF(ADRYr2!$AM10=CD$4,ADRYr2!$AN10,0))))*(INDEX(avoidedcosttbl2,$H10,CD$2)+(($H10-ROUNDDOWN($H10,0))*(INDEX(avoidedcosttbl2,ROUNDUP($H10,0),CD$2)-(INDEX(avoidedcosttbl2,ROUNDDOWN($H10,0),CD$2)))))*ADRYr2!P10*ADRYr2!Q10*ADRYr2!U10)</f>
        <v/>
      </c>
      <c r="CE10" s="28" t="str">
        <f>IF($G10="","",$G10*(IF(ADRYr2!$AI10=CE$4,ADRYr2!$AJ10,IF(ADRYr2!$AK10=CE$4,ADRYr2!$AL10,IF(ADRYr2!$AM10=CE$4,ADRYr2!$AN10,0))))*(INDEX(avoidedcosttbl2,$H10,CE$2)+(($H10-ROUNDDOWN($H10,0))*(INDEX(avoidedcosttbl2,ROUNDUP($H10,0),CE$2)-(INDEX(avoidedcosttbl2,ROUNDDOWN($H10,0),CE$2)))))*ADRYr2!P10*ADRYr2!Q10*ADRYr2!U10)</f>
        <v/>
      </c>
      <c r="CF10" s="41" t="str">
        <f t="shared" si="38"/>
        <v/>
      </c>
      <c r="CG10" s="30" t="str">
        <f t="shared" si="11"/>
        <v/>
      </c>
      <c r="CH10" s="30" t="str">
        <f>IF($G10="","",$G10*(IF(ADRYr2!$AI10=BY$4,ADRYr2!$AJ10,IF(ADRYr2!$AK10=BY$4,ADRYr2!$AL10,IF(ADRYr2!$AM10=BY$4,ADRYr2!$AN10,0))))*(INDEX(avoidedcosttbl2,$H10,CH$2)+(($H10-ROUNDDOWN($H10,0))*(INDEX(avoidedcosttbl2,ROUNDUP($H10,0),CH$2)-(INDEX(avoidedcosttbl2,ROUNDDOWN($H10,0),CH$2)))))*ADRYr2!P10*ADRYr2!Q10*ADRYr2!U10)</f>
        <v/>
      </c>
      <c r="CI10" s="30" t="str">
        <f>IF($G10="","",$G10*(IF(ADRYr2!$AI10=BZ$4,ADRYr2!$AJ10,IF(ADRYr2!$AK10=BZ$4,ADRYr2!$AL10,IF(ADRYr2!$AM10=BZ$4,ADRYr2!$AN10,0))))*(INDEX(avoidedcosttbl2,$H10,CI$2)+(($H10-ROUNDDOWN($H10,0))*(INDEX(avoidedcosttbl2,ROUNDUP($H10,0),CI$2)-(INDEX(avoidedcosttbl2,ROUNDDOWN($H10,0),CI$2)))))*ADRYr2!P10*ADRYr2!Q10*ADRYr2!U10)</f>
        <v/>
      </c>
      <c r="CJ10" s="30" t="str">
        <f>IF($G10="","",$G10*(IF(ADRYr2!$AI10=CA$4,ADRYr2!$AJ10,IF(ADRYr2!$AK10=CA$4,ADRYr2!$AL10,IF(ADRYr2!$AM10=CA$4,ADRYr2!$AN10,0))))*(INDEX(avoidedcosttbl2,$H10,CJ$2)+(($H10-ROUNDDOWN($H10,0))*(INDEX(avoidedcosttbl2,ROUNDUP($H10,0),CJ$2)-(INDEX(avoidedcosttbl2,ROUNDDOWN($H10,0),CJ$2)))))*ADRYr2!P10*ADRYr2!Q10*ADRYr2!U10)</f>
        <v/>
      </c>
      <c r="CK10" s="30" t="str">
        <f>IF($G10="","",$G10*(IF(ADRYr2!$AI10=CB$4,ADRYr2!$AJ10,IF(ADRYr2!$AK10=CB$4,ADRYr2!$AL10,IF(ADRYr2!$AM10=CB$4,ADRYr2!$AN10,0))))*(INDEX(avoidedcosttbl2,$H10,CK$2)+(($H10-ROUNDDOWN($H10,0))*(INDEX(avoidedcosttbl2,ROUNDUP($H10,0),CK$2)-(INDEX(avoidedcosttbl2,ROUNDDOWN($H10,0),CK$2)))))*ADRYr2!P10*ADRYr2!Q10*ADRYr2!U10)</f>
        <v/>
      </c>
      <c r="CL10" s="30" t="str">
        <f>IF($G10="","",$G10*(IF(ADRYr2!$AI10=CC$4,ADRYr2!$AJ10,IF(ADRYr2!$AK10=CC$4,ADRYr2!$AL10,IF(ADRYr2!$AM10=CC$4,ADRYr2!$AN10,0))))*(INDEX(avoidedcosttbl2,$H10,CL$2)+(($H10-ROUNDDOWN($H10,0))*(INDEX(avoidedcosttbl2,ROUNDUP($H10,0),CL$2)-(INDEX(avoidedcosttbl2,ROUNDDOWN($H10,0),CL$2)))))*ADRYr2!P10*ADRYr2!Q10*ADRYr2!U10)</f>
        <v/>
      </c>
      <c r="CM10" s="30" t="str">
        <f>IF($G10="","",$G10*(IF(ADRYr2!$AI10=CD$4,ADRYr2!$AJ10,IF(ADRYr2!$AK10=CD$4,ADRYr2!$AL10,IF(ADRYr2!$AM10=CD$4,ADRYr2!$AN10,0))))*(INDEX(avoidedcosttbl2,$H10,CM$2)+(($H10-ROUNDDOWN($H10,0))*(INDEX(avoidedcosttbl2,ROUNDUP($H10,0),CM$2)-(INDEX(avoidedcosttbl2,ROUNDDOWN($H10,0),CM$2)))))*ADRYr2!P10*ADRYr2!Q10*ADRYr2!U10)</f>
        <v/>
      </c>
      <c r="CN10" s="30" t="str">
        <f>IF($G10="","",$G10*(IF(ADRYr2!$AI10=CE$4,ADRYr2!$AJ10,IF(ADRYr2!$AK10=CE$4,ADRYr2!$AL10,IF(ADRYr2!$AM10=CE$4,ADRYr2!$AN10,0))))*(INDEX(avoidedcosttbl2,$H10,CN$2)+(($H10-ROUNDDOWN($H10,0))*(INDEX(avoidedcosttbl2,ROUNDUP($H10,0),CN$2)-(INDEX(avoidedcosttbl2,ROUNDDOWN($H10,0),CN$2)))))*ADRYr2!P10*ADRYr2!Q10*ADRYr2!U10)</f>
        <v/>
      </c>
      <c r="CO10" s="220" t="str">
        <f t="shared" si="39"/>
        <v/>
      </c>
      <c r="CP10" s="220" t="str">
        <f t="shared" si="40"/>
        <v/>
      </c>
      <c r="CQ10" s="157" t="str">
        <f>IF($G10="","",$G10*(IF(ADRYr2!$AI10=CQ$4,ADRYr2!$AJ10,IF(ADRYr2!$AK10=CQ$4,ADRYr2!$AL10,IF(ADRYr2!$AM10=CQ$4,ADRYr2!$AN10,0))))*(INDEX(avoidedcosttbl2,$H10,CQ$2)+(($H10-ROUNDDOWN($H10,0))*(INDEX(avoidedcosttbl2,ROUNDUP($H10,0),CQ$2)-(INDEX(avoidedcosttbl2,ROUNDDOWN($H10,0),CQ$2)))))*ADRYr2!$P10*ADRYr2!$Q10*ADRYr2!$U10)</f>
        <v/>
      </c>
      <c r="CR10" s="28" t="str">
        <f>IF($G10="","",G10*(IF(ADRYr2!$AI10=CR$4,ADRYr2!$AJ10,IF(ADRYr2!$AK10=CR$4,ADRYr2!$AL10,IF(ADRYr2!$AM10=CR$4,ADRYr2!$AN10,0))))*(INDEX(avoidedcosttbl2,$H10,CR$2)+(($H10-ROUNDDOWN($H10,0))*(INDEX(avoidedcosttbl2,ROUNDUP($H10,0),CR$2)-(INDEX(avoidedcosttbl2,ROUNDDOWN($H10,0),CR$2)))))*ADRYr2!$P10*ADRYr2!$Q10*ADRYr2!$U10)</f>
        <v/>
      </c>
      <c r="CS10" s="28" t="str">
        <f>IF($G10="","",G10*(IF(ADRYr2!$AI10=CS$4,ADRYr2!$AJ10,IF(ADRYr2!$AK10=CS$4,ADRYr2!$AL10,IF(ADRYr2!$AM10=CS$4,ADRYr2!$AN10,0))))*(INDEX(avoidedcosttbl2,$H10,CS$2)+(($H10-ROUNDDOWN($H10,0))*(INDEX(avoidedcosttbl2,ROUNDUP($H10,0),CS$2)-(INDEX(avoidedcosttbl2,ROUNDDOWN($H10,0),CS$2)))))*ADRYr2!$P10*ADRYr2!$Q10*ADRYr2!$U10)</f>
        <v/>
      </c>
      <c r="CT10" s="28" t="str">
        <f t="shared" si="12"/>
        <v/>
      </c>
      <c r="CU10" s="28" t="str">
        <f>IF($G10="","",G10*(IF(ADRYr2!$AI10=CU$4,ADRYr2!$AJ10,IF(ADRYr2!$AK10=CU$4,ADRYr2!$AL10,IF(ADRYr2!$AM10=CU$4,ADRYr2!$AN10,0))))*(INDEX(avoidedcosttbl2,$H10,CU$2)+(($H10-ROUNDDOWN($H10,0))*(INDEX(avoidedcosttbl2,ROUNDUP($H10,0),CU$2)-(INDEX(avoidedcosttbl2,ROUNDDOWN($H10,0),CU$2)))))*ADRYr2!$P10*ADRYr2!$Q10*ADRYr2!$U10)</f>
        <v/>
      </c>
      <c r="CV10" s="28" t="str">
        <f>IF($G10="","",G10*(IF(ADRYr2!$AI10=CV$4,ADRYr2!$AJ10,IF(ADRYr2!$AK10=CV$4,ADRYr2!$AL10,IF(ADRYr2!$AM10=CV$4,ADRYr2!$AN10,0))))*(INDEX(avoidedcosttbl2,$H10,CV$2)+(($H10-ROUNDDOWN($H10,0))*(INDEX(avoidedcosttbl2,ROUNDUP($H10,0),CV$2)-(INDEX(avoidedcosttbl2,ROUNDDOWN($H10,0),CV$2)))))*ADRYr2!$P10*ADRYr2!$Q10*ADRYr2!$U10)</f>
        <v/>
      </c>
      <c r="CW10" s="28" t="str">
        <f>IF($G10="","",G10*(IF(ADRYr2!$AI10=CW$4,ADRYr2!$AJ10,IF(ADRYr2!$AK10=CW$4,ADRYr2!$AL10,IF(ADRYr2!$AM10=CW$4,ADRYr2!$AN10,0))))*(INDEX(avoidedcosttbl2,$H10,CW$2)+(($H10-ROUNDDOWN($H10,0))*(INDEX(avoidedcosttbl2,ROUNDUP($H10,0),CW$2)-(INDEX(avoidedcosttbl2,ROUNDDOWN($H10,0),CW$2)))))*ADRYr2!$P10*ADRYr2!$Q10*ADRYr2!$U10)</f>
        <v/>
      </c>
      <c r="CX10" s="28" t="str">
        <f>IF($G10="","",G10*(IF(ADRYr2!$AI10=CX$4,ADRYr2!$AJ10,IF(ADRYr2!$AK10=CX$4,ADRYr2!$AL10,IF(ADRYr2!$AM10=CX$4,ADRYr2!$AN10,0))))*(INDEX(avoidedcosttbl2,$H10,CX$2)+(($H10-ROUNDDOWN($H10,0))*(INDEX(avoidedcosttbl2,ROUNDUP($H10,0),CX$2)-(INDEX(avoidedcosttbl2,ROUNDDOWN($H10,0),CX$2)))))*ADRYr2!$P10*ADRYr2!$Q10*ADRYr2!$U10)</f>
        <v/>
      </c>
      <c r="CY10" s="28" t="str">
        <f t="shared" si="13"/>
        <v/>
      </c>
      <c r="CZ10" s="32" t="str">
        <f t="shared" si="14"/>
        <v/>
      </c>
      <c r="DA10" s="84" t="str">
        <f t="shared" si="41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15"/>
        <v/>
      </c>
      <c r="DD10" s="166" t="str">
        <f t="shared" si="16"/>
        <v/>
      </c>
      <c r="DE10" s="82">
        <f>SUM(DB10:DD10)</f>
        <v>0</v>
      </c>
      <c r="DF10" s="760" t="str">
        <f>IF($G10="","",(1+WntPeakEnergyLL)*(INDEX(avoidedcosttbl2,$H10,DF$2)+(($H10-ROUNDDOWN($H10,0))*(INDEX(avoidedcosttbl2,ROUNDUP($H10,0),DF$2)-(INDEX(avoidedcosttbl2,ROUNDDOWN($H10,0),DF$2)))))*$P10*1000*ADRYr2!Z10)</f>
        <v/>
      </c>
      <c r="DG10" s="760" t="str">
        <f>IF($G10="","",(1+WntOffPeakEnergyLL)*(INDEX(avoidedcosttbl2,$H10,DG$2)+(($H10-ROUNDDOWN($H10,0))*(INDEX(avoidedcosttbl2,ROUNDUP($H10,0),DG$2)-(INDEX(avoidedcosttbl2,ROUNDDOWN($H10,0),DG$2)))))*$P10*1000*ADRYr2!AA10)</f>
        <v/>
      </c>
      <c r="DH10" s="760" t="str">
        <f>IF($G10="","",(1+SumPeakEnergyLL)*(INDEX(avoidedcosttbl2,$H10,DH$2)+(($H10-ROUNDDOWN($H10,0))*(INDEX(avoidedcosttbl2,ROUNDUP($H10,0),DH$2)-(INDEX(avoidedcosttbl2,ROUNDDOWN($H10,0),DH$2)))))*$P10*1000*ADRYr2!AB10)</f>
        <v/>
      </c>
      <c r="DI10" s="760" t="str">
        <f>IF($G10="","",(1+SumOffPeakEnergyLL)*(INDEX(avoidedcosttbl2,$H10,DI$2)+(($H10-ROUNDDOWN($H10,0))*(INDEX(avoidedcosttbl2,ROUNDUP($H10,0),DI$2)-(INDEX(avoidedcosttbl2,ROUNDDOWN($H10,0),DI$2)))))*$P10*1000*ADRYr2!AC10)</f>
        <v/>
      </c>
      <c r="DJ10" s="29" t="str">
        <f t="shared" si="43"/>
        <v/>
      </c>
      <c r="DK10" s="161" t="str">
        <f t="shared" si="44"/>
        <v/>
      </c>
      <c r="DL10" s="1375" t="str">
        <f t="shared" si="45"/>
        <v/>
      </c>
      <c r="DM10" s="1375" t="str">
        <f t="shared" si="46"/>
        <v/>
      </c>
      <c r="DN10" s="43" t="str">
        <f t="shared" si="47"/>
        <v/>
      </c>
      <c r="DO10" s="1131" t="str">
        <f>IF($G10="","",ADRYr2!AQ10)</f>
        <v/>
      </c>
      <c r="DP10" s="1133" t="str">
        <f>IF($G10="","",ADRYr2!AR10)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48"/>
        <v/>
      </c>
      <c r="DU10" s="1135" t="str">
        <f>IF($G10="","",ADRYr2!AS10)</f>
        <v/>
      </c>
      <c r="DV10" s="1136" t="str">
        <f>IF($G10="","",ADRYr2!AT10)</f>
        <v/>
      </c>
      <c r="DW10" s="1344" t="str">
        <f>IF($G10="","",INDEX(AvoidedEnergy!$H$4:$H$10,MATCH($DO10,AvoidedEnergy!$A$4:$A$10,0)))</f>
        <v/>
      </c>
    </row>
    <row r="11" spans="1:127">
      <c r="A11" s="160" t="str">
        <f>IF(ADRYr2!$B11=0,"",ADRYr2!A11)</f>
        <v>A - Residential</v>
      </c>
      <c r="B11" s="9" t="str">
        <f>IF(ADRYr2!$B11=0,"",ADRYr2!B11)</f>
        <v>A5 - Residential Active Demand Response</v>
      </c>
      <c r="C11" s="9" t="str">
        <f>IF(ADRYr2!$B11=0,"",ADRYr2!C11)</f>
        <v>A5a - Residential Active Demand Response</v>
      </c>
      <c r="D11" s="9" t="str">
        <f>IF(ADRYr2!$B11=0,"",ADRYr2!D11)</f>
        <v>Storage Daily Dispatch P4P (savings) Summer</v>
      </c>
      <c r="E11" s="9" t="str">
        <f>IF(ADRYr2!$B11=0,"",ADRYr2!E11)</f>
        <v>E21A5a002</v>
      </c>
      <c r="F11" s="11" t="str">
        <f>IF(ADRYr2!$B11=0,"",ADRYr2!F11)</f>
        <v>Behavior</v>
      </c>
      <c r="G11" s="12" t="str">
        <f>IF(ADRYr2!$G11&lt;&gt;0,ADRYr2!G11,"")</f>
        <v/>
      </c>
      <c r="H11" s="1125" t="str">
        <f>IF($G11="","",ROUND(ADRYr2!H11,0))</f>
        <v/>
      </c>
      <c r="I11" s="47" t="str">
        <f>IF($G11="","",ADRYr2!I11*ADRYr2!P11*G11)</f>
        <v/>
      </c>
      <c r="J11" s="47" t="str">
        <f>IF($G11="","",ADRYr2!J11*G11)</f>
        <v/>
      </c>
      <c r="K11" s="47" t="str">
        <f t="shared" si="17"/>
        <v/>
      </c>
      <c r="L11" s="27" t="str">
        <f>IF($G11="","",ADRYr2!V11*G11/1000)</f>
        <v/>
      </c>
      <c r="M11" s="27" t="str">
        <f>IF($G11="","",L11*ADRYr2!$Q11*ADRYr2!$R11)</f>
        <v/>
      </c>
      <c r="N11" s="27" t="str">
        <f t="shared" si="18"/>
        <v/>
      </c>
      <c r="O11" s="27" t="str">
        <f t="shared" si="19"/>
        <v/>
      </c>
      <c r="P11" s="27" t="str">
        <f>IF($G11="","",M11*ADRYr2!P11)</f>
        <v/>
      </c>
      <c r="Q11" s="27" t="str">
        <f t="shared" si="20"/>
        <v/>
      </c>
      <c r="R11" s="27" t="str">
        <f>IF($G11="","",$Q11*ADRYr2!Z11)</f>
        <v/>
      </c>
      <c r="S11" s="27" t="str">
        <f>IF($G11="","",$Q11*ADRYr2!AA11)</f>
        <v/>
      </c>
      <c r="T11" s="27" t="str">
        <f>IF($G11="","",$Q11*ADRYr2!AB11)</f>
        <v/>
      </c>
      <c r="U11" s="27" t="str">
        <f>IF($G11="","",$Q11*ADRYr2!AC11)</f>
        <v/>
      </c>
      <c r="V11" s="27" t="str">
        <f>IF($G11="","",G11*ADRYr2!$AD11*ADRYr2!$P11*ADRYr2!$Q11)</f>
        <v/>
      </c>
      <c r="W11" s="27" t="str">
        <f>IF($G11="","",$G11*ADRYr2!$AD11*ADRYr2!$AF11*ADRYr2!Q11*ADRYr2!$S11)</f>
        <v/>
      </c>
      <c r="X11" s="27" t="str">
        <f>IF($G11="","",$G11*ADRYr2!$AD11*ADRYr2!$AF11*ADRYr2!P11*ADRYr2!Q11*ADRYr2!$S11)</f>
        <v/>
      </c>
      <c r="Y11" s="27" t="str">
        <f>IF($G11="","",$G11*ADRYr2!$AD11*ADRYr2!$AE11*ADRYr2!Q11*ADRYr2!$T11)</f>
        <v/>
      </c>
      <c r="Z11" s="27" t="str">
        <f>IF($G11="","",$G11*ADRYr2!$AD11*ADRYr2!$AE11*ADRYr2!P11*ADRYr2!Q11*ADRYr2!$T11)</f>
        <v/>
      </c>
      <c r="AA11" s="45" t="str">
        <f>IF($G11="","",$G11*ADRYr2!$Q11*ADRYr2!$U11*(IF(IFERROR(SEARCH("NG", ADRYr2!$AI11),0),ADRYr2!$AJ11,0)+IF(IFERROR(SEARCH("NG", ADRYr2!$AK11),0),ADRYr2!$AL11,0)+IF(IFERROR(SEARCH("NG", ADRYr2!$AM11),0),ADRYr2!$AN11,0)))</f>
        <v/>
      </c>
      <c r="AB11" s="45" t="str">
        <f t="shared" si="21"/>
        <v/>
      </c>
      <c r="AC11" s="45">
        <f>IF($G11="",0,AA11*ADRYr2!$P11)</f>
        <v>0</v>
      </c>
      <c r="AD11" s="45" t="str">
        <f t="shared" si="22"/>
        <v/>
      </c>
      <c r="AE11" s="45" t="str">
        <f>IF($G11="","",$G11*ADRYr2!$Q11*ADRYr2!$U11*(IF(IFERROR(SEARCH("Oil", ADRYr2!$AI11), 0),ADRYr2!$AJ11,0)+IF(IFERROR(SEARCH("Oil", ADRYr2!$AK11), 0),ADRYr2!$AL11,0)+IF(IFERROR(SEARCH("Oil", ADRYr2!$AM11), 0),ADRYr2!$AN11,0)))</f>
        <v/>
      </c>
      <c r="AF11" s="45" t="str">
        <f t="shared" si="23"/>
        <v/>
      </c>
      <c r="AG11" s="45">
        <f>IF($G11="",0,AE11*ADRYr2!$P11)</f>
        <v>0</v>
      </c>
      <c r="AH11" s="45" t="str">
        <f t="shared" si="24"/>
        <v/>
      </c>
      <c r="AI11" s="45" t="str">
        <f>IF($G11="","",$G11*ADRYr2!$Q11*ADRYr2!$U11*(IF(ADRYr2!$AI11=Lookups!$E$114,ADRYr2!$AJ11,IF(ADRYr2!$AK11=Lookups!$E$114,ADRYr2!$AL11,IF(ADRYr2!$AM11=Lookups!$E$114,ADRYr2!$AN11,0)))))</f>
        <v/>
      </c>
      <c r="AJ11" s="45" t="str">
        <f t="shared" si="25"/>
        <v/>
      </c>
      <c r="AK11" s="45">
        <f>IF($G11="",0,AI11*ADRYr2!$P11)</f>
        <v>0</v>
      </c>
      <c r="AL11" s="45" t="str">
        <f t="shared" si="26"/>
        <v/>
      </c>
      <c r="AM11" s="45" t="str">
        <f>IF($G11="","",$G11*ADRYr2!$Q11*ADRYr2!$U11*(IF(ADRYr2!$AI11=Lookups!$E$113,ADRYr2!$AJ11,IF(ADRYr2!$AK11=Lookups!$E$113,ADRYr2!$AL11,IF(ADRYr2!$AM11=Lookups!$E$113,ADRYr2!$AN11,0)))))</f>
        <v/>
      </c>
      <c r="AN11" s="45" t="str">
        <f t="shared" si="27"/>
        <v/>
      </c>
      <c r="AO11" s="45">
        <f>IF($G11="",0,AM11*ADRYr2!$P11)</f>
        <v>0</v>
      </c>
      <c r="AP11" s="45" t="str">
        <f t="shared" si="28"/>
        <v/>
      </c>
      <c r="AQ11" s="45" t="str">
        <f>IF($G11="","",$G11*ADRYr2!$Q11*ADRYr2!$U11*(IF(ADRYr2!$AI11=Lookups!$E$115,ADRYr2!$AJ11,IF(ADRYr2!$AK11=Lookups!$E$115,ADRYr2!$AL11,IF(ADRYr2!$AM11=Lookups!$E$115,ADRYr2!$AN11,0)))))</f>
        <v/>
      </c>
      <c r="AR11" s="45" t="str">
        <f t="shared" si="29"/>
        <v/>
      </c>
      <c r="AS11" s="45" t="str">
        <f>IF($G11="","",AQ11*ADRYr2!$P11)</f>
        <v/>
      </c>
      <c r="AT11" s="45" t="str">
        <f t="shared" si="30"/>
        <v/>
      </c>
      <c r="AU11" s="45" t="str">
        <f>IF($G11="","",$G11*ADRYr2!$Q11*ADRYr2!$U11*(IF(ADRYr2!$AI11=Lookups!$E$116,ADRYr2!$AJ11,IF(ADRYr2!$AK11=Lookups!$E$116,ADRYr2!$AL11,IF(ADRYr2!$AM11=Lookups!$E$116,ADRYr2!$AN11,0)))))</f>
        <v/>
      </c>
      <c r="AV11" s="45" t="str">
        <f t="shared" si="31"/>
        <v/>
      </c>
      <c r="AW11" s="45" t="str">
        <f>IF($G11="","",AU11*ADRYr2!$P11)</f>
        <v/>
      </c>
      <c r="AX11" s="45" t="str">
        <f t="shared" si="32"/>
        <v/>
      </c>
      <c r="AY11" s="45">
        <f t="shared" si="33"/>
        <v>0</v>
      </c>
      <c r="AZ11" s="45">
        <f t="shared" si="33"/>
        <v>0</v>
      </c>
      <c r="BA11" s="101" t="str">
        <f>IF($G11="","",$G11*ADRYr2!$P11*ADRYr2!$Q11*ADRYr2!$U11*ADRYr2!AO11)</f>
        <v/>
      </c>
      <c r="BB11" s="102" t="str">
        <f>IF($G11="","",$G11*ADRYr2!$P11*ADRYr2!$Q11*ADRYr2!$U11*ADRYr2!AP11)</f>
        <v/>
      </c>
      <c r="BC11" s="100" t="str">
        <f t="shared" si="34"/>
        <v/>
      </c>
      <c r="BD11" s="1126"/>
      <c r="BE11" s="1126"/>
      <c r="BF11" s="1126"/>
      <c r="BG11" s="1126"/>
      <c r="BH11" s="1127" t="str">
        <f t="shared" si="3"/>
        <v/>
      </c>
      <c r="BI11" s="1126"/>
      <c r="BJ11" s="1126"/>
      <c r="BK11" s="1126"/>
      <c r="BL11" s="1126"/>
      <c r="BM11" s="30" t="str">
        <f t="shared" si="4"/>
        <v/>
      </c>
      <c r="BN11" s="1128" t="str">
        <f t="shared" si="5"/>
        <v/>
      </c>
      <c r="BO11" s="31" t="str">
        <f t="shared" si="35"/>
        <v/>
      </c>
      <c r="BP11" s="1129" t="str">
        <f t="shared" si="6"/>
        <v/>
      </c>
      <c r="BQ11" s="28" t="str">
        <f t="shared" si="7"/>
        <v/>
      </c>
      <c r="BR11" s="1129" t="str">
        <f t="shared" si="8"/>
        <v/>
      </c>
      <c r="BS11" s="1129" t="str">
        <f t="shared" si="9"/>
        <v/>
      </c>
      <c r="BT11" s="28" t="str">
        <f t="shared" si="10"/>
        <v/>
      </c>
      <c r="BU11" s="28" t="str">
        <f t="shared" si="10"/>
        <v/>
      </c>
      <c r="BV11" s="28" t="str">
        <f t="shared" si="10"/>
        <v/>
      </c>
      <c r="BW11" s="29" t="str">
        <f t="shared" si="36"/>
        <v/>
      </c>
      <c r="BX11" s="29" t="str">
        <f t="shared" si="37"/>
        <v/>
      </c>
      <c r="BY11" s="28" t="str">
        <f>IF($G11="","",$G11*(IF(ADRYr2!$AI11=BY$4,ADRYr2!$AJ11,IF(ADRYr2!$AK11=BY$4,ADRYr2!$AL11,IF(ADRYr2!$AM11=BY$4,ADRYr2!$AN11,0))))*(INDEX(avoidedcosttbl2,$H11,BY$2)+(($H11-ROUNDDOWN($H11,0))*(INDEX(avoidedcosttbl2,ROUNDUP($H11,0),BY$2)-(INDEX(avoidedcosttbl2,ROUNDDOWN($H11,0),BY$2)))))*ADRYr2!P11*ADRYr2!Q11*ADRYr2!U11)</f>
        <v/>
      </c>
      <c r="BZ11" s="28" t="str">
        <f>IF($G11="","",$G11*(IF(ADRYr2!$AI11=BZ$4,ADRYr2!$AJ11,IF(ADRYr2!$AK11=BZ$4,ADRYr2!$AL11,IF(ADRYr2!$AM11=BZ$4,ADRYr2!$AN11,0))))*(INDEX(avoidedcosttbl2,$H11,BZ$2)+(($H11-ROUNDDOWN($H11,0))*(INDEX(avoidedcosttbl2,ROUNDUP($H11,0),BZ$2)-(INDEX(avoidedcosttbl2,ROUNDDOWN($H11,0),BZ$2)))))*ADRYr2!P11*ADRYr2!Q11*ADRYr2!U11)</f>
        <v/>
      </c>
      <c r="CA11" s="28" t="str">
        <f>IF($G11="","",$G11*(IF(ADRYr2!$AI11=CA$4,ADRYr2!$AJ11,IF(ADRYr2!$AK11=CA$4,ADRYr2!$AL11,IF(ADRYr2!$AM11=CA$4,ADRYr2!$AN11,0))))*(INDEX(avoidedcosttbl2,$H11,CA$2)+(($H11-ROUNDDOWN($H11,0))*(INDEX(avoidedcosttbl2,ROUNDUP($H11,0),CA$2)-(INDEX(avoidedcosttbl2,ROUNDDOWN($H11,0),CA$2)))))*ADRYr2!P11*ADRYr2!Q11*ADRYr2!U11)</f>
        <v/>
      </c>
      <c r="CB11" s="28" t="str">
        <f>IF($G11="","",$G11*(IF(ADRYr2!$AI11=CB$4,ADRYr2!$AJ11,IF(ADRYr2!$AK11=CB$4,ADRYr2!$AL11,IF(ADRYr2!$AM11=CB$4,ADRYr2!$AN11,0))))*(INDEX(avoidedcosttbl2,$H11,CB$2)+(($H11-ROUNDDOWN($H11,0))*(INDEX(avoidedcosttbl2,ROUNDUP($H11,0),CB$2)-(INDEX(avoidedcosttbl2,ROUNDDOWN($H11,0),CB$2)))))*ADRYr2!P11*ADRYr2!Q11*ADRYr2!U11)</f>
        <v/>
      </c>
      <c r="CC11" s="28" t="str">
        <f>IF($G11="","",$G11*(IF(ADRYr2!$AI11=CC$4,ADRYr2!$AJ11,IF(ADRYr2!$AK11=CC$4,ADRYr2!$AL11,IF(ADRYr2!$AM11=CC$4,ADRYr2!$AN11,0))))*(INDEX(avoidedcosttbl2,$H11,CC$2)+(($H11-ROUNDDOWN($H11,0))*(INDEX(avoidedcosttbl2,ROUNDUP($H11,0),CC$2)-(INDEX(avoidedcosttbl2,ROUNDDOWN($H11,0),CC$2)))))*ADRYr2!P11*ADRYr2!Q11*ADRYr2!U11)</f>
        <v/>
      </c>
      <c r="CD11" s="28" t="str">
        <f>IF($G11="","",$G11*(IF(ADRYr2!$AI11=CD$4,ADRYr2!$AJ11,IF(ADRYr2!$AK11=CD$4,ADRYr2!$AL11,IF(ADRYr2!$AM11=CD$4,ADRYr2!$AN11,0))))*(INDEX(avoidedcosttbl2,$H11,CD$2)+(($H11-ROUNDDOWN($H11,0))*(INDEX(avoidedcosttbl2,ROUNDUP($H11,0),CD$2)-(INDEX(avoidedcosttbl2,ROUNDDOWN($H11,0),CD$2)))))*ADRYr2!P11*ADRYr2!Q11*ADRYr2!U11)</f>
        <v/>
      </c>
      <c r="CE11" s="28" t="str">
        <f>IF($G11="","",$G11*(IF(ADRYr2!$AI11=CE$4,ADRYr2!$AJ11,IF(ADRYr2!$AK11=CE$4,ADRYr2!$AL11,IF(ADRYr2!$AM11=CE$4,ADRYr2!$AN11,0))))*(INDEX(avoidedcosttbl2,$H11,CE$2)+(($H11-ROUNDDOWN($H11,0))*(INDEX(avoidedcosttbl2,ROUNDUP($H11,0),CE$2)-(INDEX(avoidedcosttbl2,ROUNDDOWN($H11,0),CE$2)))))*ADRYr2!P11*ADRYr2!Q11*ADRYr2!U11)</f>
        <v/>
      </c>
      <c r="CF11" s="41" t="str">
        <f t="shared" si="38"/>
        <v/>
      </c>
      <c r="CG11" s="30" t="str">
        <f t="shared" si="11"/>
        <v/>
      </c>
      <c r="CH11" s="30" t="str">
        <f>IF($G11="","",$G11*(IF(ADRYr2!$AI11=BY$4,ADRYr2!$AJ11,IF(ADRYr2!$AK11=BY$4,ADRYr2!$AL11,IF(ADRYr2!$AM11=BY$4,ADRYr2!$AN11,0))))*(INDEX(avoidedcosttbl2,$H11,CH$2)+(($H11-ROUNDDOWN($H11,0))*(INDEX(avoidedcosttbl2,ROUNDUP($H11,0),CH$2)-(INDEX(avoidedcosttbl2,ROUNDDOWN($H11,0),CH$2)))))*ADRYr2!P11*ADRYr2!Q11*ADRYr2!U11)</f>
        <v/>
      </c>
      <c r="CI11" s="30" t="str">
        <f>IF($G11="","",$G11*(IF(ADRYr2!$AI11=BZ$4,ADRYr2!$AJ11,IF(ADRYr2!$AK11=BZ$4,ADRYr2!$AL11,IF(ADRYr2!$AM11=BZ$4,ADRYr2!$AN11,0))))*(INDEX(avoidedcosttbl2,$H11,CI$2)+(($H11-ROUNDDOWN($H11,0))*(INDEX(avoidedcosttbl2,ROUNDUP($H11,0),CI$2)-(INDEX(avoidedcosttbl2,ROUNDDOWN($H11,0),CI$2)))))*ADRYr2!P11*ADRYr2!Q11*ADRYr2!U11)</f>
        <v/>
      </c>
      <c r="CJ11" s="30" t="str">
        <f>IF($G11="","",$G11*(IF(ADRYr2!$AI11=CA$4,ADRYr2!$AJ11,IF(ADRYr2!$AK11=CA$4,ADRYr2!$AL11,IF(ADRYr2!$AM11=CA$4,ADRYr2!$AN11,0))))*(INDEX(avoidedcosttbl2,$H11,CJ$2)+(($H11-ROUNDDOWN($H11,0))*(INDEX(avoidedcosttbl2,ROUNDUP($H11,0),CJ$2)-(INDEX(avoidedcosttbl2,ROUNDDOWN($H11,0),CJ$2)))))*ADRYr2!P11*ADRYr2!Q11*ADRYr2!U11)</f>
        <v/>
      </c>
      <c r="CK11" s="30" t="str">
        <f>IF($G11="","",$G11*(IF(ADRYr2!$AI11=CB$4,ADRYr2!$AJ11,IF(ADRYr2!$AK11=CB$4,ADRYr2!$AL11,IF(ADRYr2!$AM11=CB$4,ADRYr2!$AN11,0))))*(INDEX(avoidedcosttbl2,$H11,CK$2)+(($H11-ROUNDDOWN($H11,0))*(INDEX(avoidedcosttbl2,ROUNDUP($H11,0),CK$2)-(INDEX(avoidedcosttbl2,ROUNDDOWN($H11,0),CK$2)))))*ADRYr2!P11*ADRYr2!Q11*ADRYr2!U11)</f>
        <v/>
      </c>
      <c r="CL11" s="30" t="str">
        <f>IF($G11="","",$G11*(IF(ADRYr2!$AI11=CC$4,ADRYr2!$AJ11,IF(ADRYr2!$AK11=CC$4,ADRYr2!$AL11,IF(ADRYr2!$AM11=CC$4,ADRYr2!$AN11,0))))*(INDEX(avoidedcosttbl2,$H11,CL$2)+(($H11-ROUNDDOWN($H11,0))*(INDEX(avoidedcosttbl2,ROUNDUP($H11,0),CL$2)-(INDEX(avoidedcosttbl2,ROUNDDOWN($H11,0),CL$2)))))*ADRYr2!P11*ADRYr2!Q11*ADRYr2!U11)</f>
        <v/>
      </c>
      <c r="CM11" s="30" t="str">
        <f>IF($G11="","",$G11*(IF(ADRYr2!$AI11=CD$4,ADRYr2!$AJ11,IF(ADRYr2!$AK11=CD$4,ADRYr2!$AL11,IF(ADRYr2!$AM11=CD$4,ADRYr2!$AN11,0))))*(INDEX(avoidedcosttbl2,$H11,CM$2)+(($H11-ROUNDDOWN($H11,0))*(INDEX(avoidedcosttbl2,ROUNDUP($H11,0),CM$2)-(INDEX(avoidedcosttbl2,ROUNDDOWN($H11,0),CM$2)))))*ADRYr2!P11*ADRYr2!Q11*ADRYr2!U11)</f>
        <v/>
      </c>
      <c r="CN11" s="30" t="str">
        <f>IF($G11="","",$G11*(IF(ADRYr2!$AI11=CE$4,ADRYr2!$AJ11,IF(ADRYr2!$AK11=CE$4,ADRYr2!$AL11,IF(ADRYr2!$AM11=CE$4,ADRYr2!$AN11,0))))*(INDEX(avoidedcosttbl2,$H11,CN$2)+(($H11-ROUNDDOWN($H11,0))*(INDEX(avoidedcosttbl2,ROUNDUP($H11,0),CN$2)-(INDEX(avoidedcosttbl2,ROUNDDOWN($H11,0),CN$2)))))*ADRYr2!P11*ADRYr2!Q11*ADRYr2!U11)</f>
        <v/>
      </c>
      <c r="CO11" s="220" t="str">
        <f t="shared" si="39"/>
        <v/>
      </c>
      <c r="CP11" s="220" t="str">
        <f t="shared" si="40"/>
        <v/>
      </c>
      <c r="CQ11" s="157" t="str">
        <f>IF($G11="","",$G11*(IF(ADRYr2!$AI11=CQ$4,ADRYr2!$AJ11,IF(ADRYr2!$AK11=CQ$4,ADRYr2!$AL11,IF(ADRYr2!$AM11=CQ$4,ADRYr2!$AN11,0))))*(INDEX(avoidedcosttbl2,$H11,CQ$2)+(($H11-ROUNDDOWN($H11,0))*(INDEX(avoidedcosttbl2,ROUNDUP($H11,0),CQ$2)-(INDEX(avoidedcosttbl2,ROUNDDOWN($H11,0),CQ$2)))))*ADRYr2!$P11*ADRYr2!$Q11*ADRYr2!$U11)</f>
        <v/>
      </c>
      <c r="CR11" s="28" t="str">
        <f>IF($G11="","",G11*(IF(ADRYr2!$AI11=CR$4,ADRYr2!$AJ11,IF(ADRYr2!$AK11=CR$4,ADRYr2!$AL11,IF(ADRYr2!$AM11=CR$4,ADRYr2!$AN11,0))))*(INDEX(avoidedcosttbl2,$H11,CR$2)+(($H11-ROUNDDOWN($H11,0))*(INDEX(avoidedcosttbl2,ROUNDUP($H11,0),CR$2)-(INDEX(avoidedcosttbl2,ROUNDDOWN($H11,0),CR$2)))))*ADRYr2!$P11*ADRYr2!$Q11*ADRYr2!$U11)</f>
        <v/>
      </c>
      <c r="CS11" s="28" t="str">
        <f>IF($G11="","",G11*(IF(ADRYr2!$AI11=CS$4,ADRYr2!$AJ11,IF(ADRYr2!$AK11=CS$4,ADRYr2!$AL11,IF(ADRYr2!$AM11=CS$4,ADRYr2!$AN11,0))))*(INDEX(avoidedcosttbl2,$H11,CS$2)+(($H11-ROUNDDOWN($H11,0))*(INDEX(avoidedcosttbl2,ROUNDUP($H11,0),CS$2)-(INDEX(avoidedcosttbl2,ROUNDDOWN($H11,0),CS$2)))))*ADRYr2!$P11*ADRYr2!$Q11*ADRYr2!$U11)</f>
        <v/>
      </c>
      <c r="CT11" s="28" t="str">
        <f t="shared" si="12"/>
        <v/>
      </c>
      <c r="CU11" s="28" t="str">
        <f>IF($G11="","",G11*(IF(ADRYr2!$AI11=CU$4,ADRYr2!$AJ11,IF(ADRYr2!$AK11=CU$4,ADRYr2!$AL11,IF(ADRYr2!$AM11=CU$4,ADRYr2!$AN11,0))))*(INDEX(avoidedcosttbl2,$H11,CU$2)+(($H11-ROUNDDOWN($H11,0))*(INDEX(avoidedcosttbl2,ROUNDUP($H11,0),CU$2)-(INDEX(avoidedcosttbl2,ROUNDDOWN($H11,0),CU$2)))))*ADRYr2!$P11*ADRYr2!$Q11*ADRYr2!$U11)</f>
        <v/>
      </c>
      <c r="CV11" s="28" t="str">
        <f>IF($G11="","",G11*(IF(ADRYr2!$AI11=CV$4,ADRYr2!$AJ11,IF(ADRYr2!$AK11=CV$4,ADRYr2!$AL11,IF(ADRYr2!$AM11=CV$4,ADRYr2!$AN11,0))))*(INDEX(avoidedcosttbl2,$H11,CV$2)+(($H11-ROUNDDOWN($H11,0))*(INDEX(avoidedcosttbl2,ROUNDUP($H11,0),CV$2)-(INDEX(avoidedcosttbl2,ROUNDDOWN($H11,0),CV$2)))))*ADRYr2!$P11*ADRYr2!$Q11*ADRYr2!$U11)</f>
        <v/>
      </c>
      <c r="CW11" s="28" t="str">
        <f>IF($G11="","",G11*(IF(ADRYr2!$AI11=CW$4,ADRYr2!$AJ11,IF(ADRYr2!$AK11=CW$4,ADRYr2!$AL11,IF(ADRYr2!$AM11=CW$4,ADRYr2!$AN11,0))))*(INDEX(avoidedcosttbl2,$H11,CW$2)+(($H11-ROUNDDOWN($H11,0))*(INDEX(avoidedcosttbl2,ROUNDUP($H11,0),CW$2)-(INDEX(avoidedcosttbl2,ROUNDDOWN($H11,0),CW$2)))))*ADRYr2!$P11*ADRYr2!$Q11*ADRYr2!$U11)</f>
        <v/>
      </c>
      <c r="CX11" s="28" t="str">
        <f>IF($G11="","",G11*(IF(ADRYr2!$AI11=CX$4,ADRYr2!$AJ11,IF(ADRYr2!$AK11=CX$4,ADRYr2!$AL11,IF(ADRYr2!$AM11=CX$4,ADRYr2!$AN11,0))))*(INDEX(avoidedcosttbl2,$H11,CX$2)+(($H11-ROUNDDOWN($H11,0))*(INDEX(avoidedcosttbl2,ROUNDUP($H11,0),CX$2)-(INDEX(avoidedcosttbl2,ROUNDDOWN($H11,0),CX$2)))))*ADRYr2!$P11*ADRYr2!$Q11*ADRYr2!$U11)</f>
        <v/>
      </c>
      <c r="CY11" s="28" t="str">
        <f t="shared" si="13"/>
        <v/>
      </c>
      <c r="CZ11" s="32" t="str">
        <f t="shared" si="14"/>
        <v/>
      </c>
      <c r="DA11" s="84" t="str">
        <f t="shared" si="41"/>
        <v/>
      </c>
      <c r="DB11" s="81" t="str">
        <f>IF(NEIadder="Yes",IF($G11="","",INDEX(Lookups!$G$68:$G$70,MATCH($A11,Lookups!$E$68:$E$70,0))*(SUM(CP11:CX11,BX11))),"")</f>
        <v/>
      </c>
      <c r="DC11" s="263" t="str">
        <f t="shared" si="15"/>
        <v/>
      </c>
      <c r="DD11" s="166" t="str">
        <f t="shared" si="16"/>
        <v/>
      </c>
      <c r="DE11" s="82">
        <f>SUM(DB11:DD11)</f>
        <v>0</v>
      </c>
      <c r="DF11" s="760" t="str">
        <f>IF($G11="","",(1+WntPeakEnergyLL)*(INDEX(avoidedcosttbl2,$H11,DF$2)+(($H11-ROUNDDOWN($H11,0))*(INDEX(avoidedcosttbl2,ROUNDUP($H11,0),DF$2)-(INDEX(avoidedcosttbl2,ROUNDDOWN($H11,0),DF$2)))))*$P11*1000*ADRYr2!Z11)</f>
        <v/>
      </c>
      <c r="DG11" s="760" t="str">
        <f>IF($G11="","",(1+WntOffPeakEnergyLL)*(INDEX(avoidedcosttbl2,$H11,DG$2)+(($H11-ROUNDDOWN($H11,0))*(INDEX(avoidedcosttbl2,ROUNDUP($H11,0),DG$2)-(INDEX(avoidedcosttbl2,ROUNDDOWN($H11,0),DG$2)))))*$P11*1000*ADRYr2!AA11)</f>
        <v/>
      </c>
      <c r="DH11" s="760" t="str">
        <f>IF($G11="","",(1+SumPeakEnergyLL)*(INDEX(avoidedcosttbl2,$H11,DH$2)+(($H11-ROUNDDOWN($H11,0))*(INDEX(avoidedcosttbl2,ROUNDUP($H11,0),DH$2)-(INDEX(avoidedcosttbl2,ROUNDDOWN($H11,0),DH$2)))))*$P11*1000*ADRYr2!AB11)</f>
        <v/>
      </c>
      <c r="DI11" s="760" t="str">
        <f>IF($G11="","",(1+SumOffPeakEnergyLL)*(INDEX(avoidedcosttbl2,$H11,DI$2)+(($H11-ROUNDDOWN($H11,0))*(INDEX(avoidedcosttbl2,ROUNDUP($H11,0),DI$2)-(INDEX(avoidedcosttbl2,ROUNDDOWN($H11,0),DI$2)))))*$P11*1000*ADRYr2!AC11)</f>
        <v/>
      </c>
      <c r="DJ11" s="29" t="str">
        <f t="shared" si="43"/>
        <v/>
      </c>
      <c r="DK11" s="161" t="str">
        <f t="shared" si="44"/>
        <v/>
      </c>
      <c r="DL11" s="1375" t="str">
        <f t="shared" si="45"/>
        <v/>
      </c>
      <c r="DM11" s="1375" t="str">
        <f t="shared" si="46"/>
        <v/>
      </c>
      <c r="DN11" s="43" t="str">
        <f t="shared" si="47"/>
        <v/>
      </c>
      <c r="DO11" s="1131" t="str">
        <f>IF($G11="","",ADRYr2!AQ11)</f>
        <v/>
      </c>
      <c r="DP11" s="1133" t="str">
        <f>IF($G11="","",ADRYr2!AR11)</f>
        <v/>
      </c>
      <c r="DQ11" s="1135" t="str">
        <f>IF($G11="","",IF($DP11="Yes",COLUMN(AESC!$L$10),IF($DP11="No","Using AvoidedDemand tab",IF($DP11="Mixed",COLUMN(AESC!$N$10)))))</f>
        <v/>
      </c>
      <c r="DR11" s="1135" t="str">
        <f>IF($G11="","",IF($DP11="Yes",COLUMN(AESC!$P$10),IF($DP11="No","Using AvoidedDemand tab",IF($DP11="Mixed",COLUMN(AESC!$R$10)))))</f>
        <v/>
      </c>
      <c r="DS11" s="1135" t="str">
        <f>IF($G11="","",IF($DP11="Yes",COLUMN(AESC!$S$10),IF($DP11="No",COLUMN(AESC!$T$10),IF($DP11="Mixed",COLUMN(AESC!$U$10)))))</f>
        <v/>
      </c>
      <c r="DT11" s="1135" t="str">
        <f t="shared" si="48"/>
        <v/>
      </c>
      <c r="DU11" s="1135" t="str">
        <f>IF($G11="","",ADRYr2!AS11)</f>
        <v/>
      </c>
      <c r="DV11" s="1136" t="str">
        <f>IF($G11="","",ADRYr2!AT11)</f>
        <v/>
      </c>
      <c r="DW11" s="1344" t="str">
        <f>IF($G11="","",INDEX(AvoidedEnergy!$H$4:$H$10,MATCH($DO11,AvoidedEnergy!$A$4:$A$10,0)))</f>
        <v/>
      </c>
    </row>
    <row r="12" spans="1:127">
      <c r="A12" s="160" t="str">
        <f>IF(ADRYr2!$B12=0,"",ADRYr2!A12)</f>
        <v>A - Residential</v>
      </c>
      <c r="B12" s="9" t="str">
        <f>IF(ADRYr2!$B12=0,"",ADRYr2!B12)</f>
        <v>A5 - Residential Active Demand Response</v>
      </c>
      <c r="C12" s="9" t="str">
        <f>IF(ADRYr2!$B12=0,"",ADRYr2!C12)</f>
        <v>A5a - Residential Active Demand Response</v>
      </c>
      <c r="D12" s="9" t="str">
        <f>IF(ADRYr2!$B12=0,"",ADRYr2!D12)</f>
        <v>Storage Daily Dispatch P4P (consumption) Summer</v>
      </c>
      <c r="E12" s="9" t="str">
        <f>IF(ADRYr2!$B12=0,"",ADRYr2!E12)</f>
        <v>E21A5a003</v>
      </c>
      <c r="F12" s="11" t="str">
        <f>IF(ADRYr2!$B12=0,"",ADRYr2!F12)</f>
        <v>Behavior</v>
      </c>
      <c r="G12" s="12" t="str">
        <f>IF(ADRYr2!$G12&lt;&gt;0,ADRYr2!G12,"")</f>
        <v/>
      </c>
      <c r="H12" s="1125" t="str">
        <f>IF($G12="","",ROUND(ADRYr2!H12,0))</f>
        <v/>
      </c>
      <c r="I12" s="47" t="str">
        <f>IF($G12="","",ADRYr2!I12*ADRYr2!P12*G12)</f>
        <v/>
      </c>
      <c r="J12" s="47" t="str">
        <f>IF($G12="","",ADRYr2!J12*G12)</f>
        <v/>
      </c>
      <c r="K12" s="47" t="str">
        <f t="shared" si="17"/>
        <v/>
      </c>
      <c r="L12" s="27" t="str">
        <f>IF($G12="","",ADRYr2!V12*G12/1000)</f>
        <v/>
      </c>
      <c r="M12" s="27" t="str">
        <f>IF($G12="","",L12*ADRYr2!$Q12*ADRYr2!$R12)</f>
        <v/>
      </c>
      <c r="N12" s="27" t="str">
        <f t="shared" si="18"/>
        <v/>
      </c>
      <c r="O12" s="27" t="str">
        <f t="shared" si="19"/>
        <v/>
      </c>
      <c r="P12" s="27" t="str">
        <f>IF($G12="","",M12*ADRYr2!P12)</f>
        <v/>
      </c>
      <c r="Q12" s="27" t="str">
        <f t="shared" si="20"/>
        <v/>
      </c>
      <c r="R12" s="27" t="str">
        <f>IF($G12="","",$Q12*ADRYr2!Z12)</f>
        <v/>
      </c>
      <c r="S12" s="27" t="str">
        <f>IF($G12="","",$Q12*ADRYr2!AA12)</f>
        <v/>
      </c>
      <c r="T12" s="27" t="str">
        <f>IF($G12="","",$Q12*ADRYr2!AB12)</f>
        <v/>
      </c>
      <c r="U12" s="27" t="str">
        <f>IF($G12="","",$Q12*ADRYr2!AC12)</f>
        <v/>
      </c>
      <c r="V12" s="27" t="str">
        <f>IF($G12="","",G12*ADRYr2!$AD12*ADRYr2!$P12*ADRYr2!$Q12)</f>
        <v/>
      </c>
      <c r="W12" s="27" t="str">
        <f>IF($G12="","",$G12*ADRYr2!$AD12*ADRYr2!$AF12*ADRYr2!Q12*ADRYr2!$S12)</f>
        <v/>
      </c>
      <c r="X12" s="27" t="str">
        <f>IF($G12="","",$G12*ADRYr2!$AD12*ADRYr2!$AF12*ADRYr2!P12*ADRYr2!Q12*ADRYr2!$S12)</f>
        <v/>
      </c>
      <c r="Y12" s="27" t="str">
        <f>IF($G12="","",$G12*ADRYr2!$AD12*ADRYr2!$AE12*ADRYr2!Q12*ADRYr2!$T12)</f>
        <v/>
      </c>
      <c r="Z12" s="27" t="str">
        <f>IF($G12="","",$G12*ADRYr2!$AD12*ADRYr2!$AE12*ADRYr2!P12*ADRYr2!Q12*ADRYr2!$T12)</f>
        <v/>
      </c>
      <c r="AA12" s="45" t="str">
        <f>IF($G12="","",$G12*ADRYr2!$Q12*ADRYr2!$U12*(IF(IFERROR(SEARCH("NG", ADRYr2!$AI12),0),ADRYr2!$AJ12,0)+IF(IFERROR(SEARCH("NG", ADRYr2!$AK12),0),ADRYr2!$AL12,0)+IF(IFERROR(SEARCH("NG", ADRYr2!$AM12),0),ADRYr2!$AN12,0)))</f>
        <v/>
      </c>
      <c r="AB12" s="45" t="str">
        <f t="shared" si="21"/>
        <v/>
      </c>
      <c r="AC12" s="45">
        <f>IF($G12="",0,AA12*ADRYr2!$P12)</f>
        <v>0</v>
      </c>
      <c r="AD12" s="45" t="str">
        <f t="shared" si="22"/>
        <v/>
      </c>
      <c r="AE12" s="45" t="str">
        <f>IF($G12="","",$G12*ADRYr2!$Q12*ADRYr2!$U12*(IF(IFERROR(SEARCH("Oil", ADRYr2!$AI12), 0),ADRYr2!$AJ12,0)+IF(IFERROR(SEARCH("Oil", ADRYr2!$AK12), 0),ADRYr2!$AL12,0)+IF(IFERROR(SEARCH("Oil", ADRYr2!$AM12), 0),ADRYr2!$AN12,0)))</f>
        <v/>
      </c>
      <c r="AF12" s="45" t="str">
        <f t="shared" si="23"/>
        <v/>
      </c>
      <c r="AG12" s="45">
        <f>IF($G12="",0,AE12*ADRYr2!$P12)</f>
        <v>0</v>
      </c>
      <c r="AH12" s="45" t="str">
        <f t="shared" si="24"/>
        <v/>
      </c>
      <c r="AI12" s="45" t="str">
        <f>IF($G12="","",$G12*ADRYr2!$Q12*ADRYr2!$U12*(IF(ADRYr2!$AI12=Lookups!$E$114,ADRYr2!$AJ12,IF(ADRYr2!$AK12=Lookups!$E$114,ADRYr2!$AL12,IF(ADRYr2!$AM12=Lookups!$E$114,ADRYr2!$AN12,0)))))</f>
        <v/>
      </c>
      <c r="AJ12" s="45" t="str">
        <f t="shared" si="25"/>
        <v/>
      </c>
      <c r="AK12" s="45">
        <f>IF($G12="",0,AI12*ADRYr2!$P12)</f>
        <v>0</v>
      </c>
      <c r="AL12" s="45" t="str">
        <f t="shared" si="26"/>
        <v/>
      </c>
      <c r="AM12" s="45" t="str">
        <f>IF($G12="","",$G12*ADRYr2!$Q12*ADRYr2!$U12*(IF(ADRYr2!$AI12=Lookups!$E$113,ADRYr2!$AJ12,IF(ADRYr2!$AK12=Lookups!$E$113,ADRYr2!$AL12,IF(ADRYr2!$AM12=Lookups!$E$113,ADRYr2!$AN12,0)))))</f>
        <v/>
      </c>
      <c r="AN12" s="45" t="str">
        <f t="shared" si="27"/>
        <v/>
      </c>
      <c r="AO12" s="45">
        <f>IF($G12="",0,AM12*ADRYr2!$P12)</f>
        <v>0</v>
      </c>
      <c r="AP12" s="45" t="str">
        <f t="shared" si="28"/>
        <v/>
      </c>
      <c r="AQ12" s="45" t="str">
        <f>IF($G12="","",$G12*ADRYr2!$Q12*ADRYr2!$U12*(IF(ADRYr2!$AI12=Lookups!$E$115,ADRYr2!$AJ12,IF(ADRYr2!$AK12=Lookups!$E$115,ADRYr2!$AL12,IF(ADRYr2!$AM12=Lookups!$E$115,ADRYr2!$AN12,0)))))</f>
        <v/>
      </c>
      <c r="AR12" s="45" t="str">
        <f t="shared" si="29"/>
        <v/>
      </c>
      <c r="AS12" s="45" t="str">
        <f>IF($G12="","",AQ12*ADRYr2!$P12)</f>
        <v/>
      </c>
      <c r="AT12" s="45" t="str">
        <f t="shared" si="30"/>
        <v/>
      </c>
      <c r="AU12" s="45" t="str">
        <f>IF($G12="","",$G12*ADRYr2!$Q12*ADRYr2!$U12*(IF(ADRYr2!$AI12=Lookups!$E$116,ADRYr2!$AJ12,IF(ADRYr2!$AK12=Lookups!$E$116,ADRYr2!$AL12,IF(ADRYr2!$AM12=Lookups!$E$116,ADRYr2!$AN12,0)))))</f>
        <v/>
      </c>
      <c r="AV12" s="45" t="str">
        <f t="shared" si="31"/>
        <v/>
      </c>
      <c r="AW12" s="45" t="str">
        <f>IF($G12="","",AU12*ADRYr2!$P12)</f>
        <v/>
      </c>
      <c r="AX12" s="45" t="str">
        <f t="shared" si="32"/>
        <v/>
      </c>
      <c r="AY12" s="45">
        <f t="shared" si="33"/>
        <v>0</v>
      </c>
      <c r="AZ12" s="45">
        <f t="shared" si="33"/>
        <v>0</v>
      </c>
      <c r="BA12" s="101" t="str">
        <f>IF($G12="","",$G12*ADRYr2!$P12*ADRYr2!$Q12*ADRYr2!$U12*ADRYr2!AO12)</f>
        <v/>
      </c>
      <c r="BB12" s="102" t="str">
        <f>IF($G12="","",$G12*ADRYr2!$P12*ADRYr2!$Q12*ADRYr2!$U12*ADRYr2!AP12)</f>
        <v/>
      </c>
      <c r="BC12" s="100" t="str">
        <f t="shared" si="34"/>
        <v/>
      </c>
      <c r="BD12" s="1126"/>
      <c r="BE12" s="1126"/>
      <c r="BF12" s="1126"/>
      <c r="BG12" s="1126"/>
      <c r="BH12" s="1127" t="str">
        <f t="shared" si="3"/>
        <v/>
      </c>
      <c r="BI12" s="1126"/>
      <c r="BJ12" s="1126"/>
      <c r="BK12" s="1126"/>
      <c r="BL12" s="1126"/>
      <c r="BM12" s="30" t="str">
        <f t="shared" si="4"/>
        <v/>
      </c>
      <c r="BN12" s="1128" t="str">
        <f t="shared" si="5"/>
        <v/>
      </c>
      <c r="BO12" s="31" t="str">
        <f t="shared" si="35"/>
        <v/>
      </c>
      <c r="BP12" s="1129" t="str">
        <f t="shared" si="6"/>
        <v/>
      </c>
      <c r="BQ12" s="28" t="str">
        <f t="shared" si="7"/>
        <v/>
      </c>
      <c r="BR12" s="1129" t="str">
        <f t="shared" si="8"/>
        <v/>
      </c>
      <c r="BS12" s="1129" t="str">
        <f t="shared" si="9"/>
        <v/>
      </c>
      <c r="BT12" s="28" t="str">
        <f t="shared" si="10"/>
        <v/>
      </c>
      <c r="BU12" s="28" t="str">
        <f t="shared" si="10"/>
        <v/>
      </c>
      <c r="BV12" s="28" t="str">
        <f t="shared" si="10"/>
        <v/>
      </c>
      <c r="BW12" s="29" t="str">
        <f t="shared" si="36"/>
        <v/>
      </c>
      <c r="BX12" s="29" t="str">
        <f t="shared" si="37"/>
        <v/>
      </c>
      <c r="BY12" s="28" t="str">
        <f>IF($G12="","",$G12*(IF(ADRYr2!$AI12=BY$4,ADRYr2!$AJ12,IF(ADRYr2!$AK12=BY$4,ADRYr2!$AL12,IF(ADRYr2!$AM12=BY$4,ADRYr2!$AN12,0))))*(INDEX(avoidedcosttbl2,$H12,BY$2)+(($H12-ROUNDDOWN($H12,0))*(INDEX(avoidedcosttbl2,ROUNDUP($H12,0),BY$2)-(INDEX(avoidedcosttbl2,ROUNDDOWN($H12,0),BY$2)))))*ADRYr2!P12*ADRYr2!Q12*ADRYr2!U12)</f>
        <v/>
      </c>
      <c r="BZ12" s="28" t="str">
        <f>IF($G12="","",$G12*(IF(ADRYr2!$AI12=BZ$4,ADRYr2!$AJ12,IF(ADRYr2!$AK12=BZ$4,ADRYr2!$AL12,IF(ADRYr2!$AM12=BZ$4,ADRYr2!$AN12,0))))*(INDEX(avoidedcosttbl2,$H12,BZ$2)+(($H12-ROUNDDOWN($H12,0))*(INDEX(avoidedcosttbl2,ROUNDUP($H12,0),BZ$2)-(INDEX(avoidedcosttbl2,ROUNDDOWN($H12,0),BZ$2)))))*ADRYr2!P12*ADRYr2!Q12*ADRYr2!U12)</f>
        <v/>
      </c>
      <c r="CA12" s="28" t="str">
        <f>IF($G12="","",$G12*(IF(ADRYr2!$AI12=CA$4,ADRYr2!$AJ12,IF(ADRYr2!$AK12=CA$4,ADRYr2!$AL12,IF(ADRYr2!$AM12=CA$4,ADRYr2!$AN12,0))))*(INDEX(avoidedcosttbl2,$H12,CA$2)+(($H12-ROUNDDOWN($H12,0))*(INDEX(avoidedcosttbl2,ROUNDUP($H12,0),CA$2)-(INDEX(avoidedcosttbl2,ROUNDDOWN($H12,0),CA$2)))))*ADRYr2!P12*ADRYr2!Q12*ADRYr2!U12)</f>
        <v/>
      </c>
      <c r="CB12" s="28" t="str">
        <f>IF($G12="","",$G12*(IF(ADRYr2!$AI12=CB$4,ADRYr2!$AJ12,IF(ADRYr2!$AK12=CB$4,ADRYr2!$AL12,IF(ADRYr2!$AM12=CB$4,ADRYr2!$AN12,0))))*(INDEX(avoidedcosttbl2,$H12,CB$2)+(($H12-ROUNDDOWN($H12,0))*(INDEX(avoidedcosttbl2,ROUNDUP($H12,0),CB$2)-(INDEX(avoidedcosttbl2,ROUNDDOWN($H12,0),CB$2)))))*ADRYr2!P12*ADRYr2!Q12*ADRYr2!U12)</f>
        <v/>
      </c>
      <c r="CC12" s="28" t="str">
        <f>IF($G12="","",$G12*(IF(ADRYr2!$AI12=CC$4,ADRYr2!$AJ12,IF(ADRYr2!$AK12=CC$4,ADRYr2!$AL12,IF(ADRYr2!$AM12=CC$4,ADRYr2!$AN12,0))))*(INDEX(avoidedcosttbl2,$H12,CC$2)+(($H12-ROUNDDOWN($H12,0))*(INDEX(avoidedcosttbl2,ROUNDUP($H12,0),CC$2)-(INDEX(avoidedcosttbl2,ROUNDDOWN($H12,0),CC$2)))))*ADRYr2!P12*ADRYr2!Q12*ADRYr2!U12)</f>
        <v/>
      </c>
      <c r="CD12" s="28" t="str">
        <f>IF($G12="","",$G12*(IF(ADRYr2!$AI12=CD$4,ADRYr2!$AJ12,IF(ADRYr2!$AK12=CD$4,ADRYr2!$AL12,IF(ADRYr2!$AM12=CD$4,ADRYr2!$AN12,0))))*(INDEX(avoidedcosttbl2,$H12,CD$2)+(($H12-ROUNDDOWN($H12,0))*(INDEX(avoidedcosttbl2,ROUNDUP($H12,0),CD$2)-(INDEX(avoidedcosttbl2,ROUNDDOWN($H12,0),CD$2)))))*ADRYr2!P12*ADRYr2!Q12*ADRYr2!U12)</f>
        <v/>
      </c>
      <c r="CE12" s="28" t="str">
        <f>IF($G12="","",$G12*(IF(ADRYr2!$AI12=CE$4,ADRYr2!$AJ12,IF(ADRYr2!$AK12=CE$4,ADRYr2!$AL12,IF(ADRYr2!$AM12=CE$4,ADRYr2!$AN12,0))))*(INDEX(avoidedcosttbl2,$H12,CE$2)+(($H12-ROUNDDOWN($H12,0))*(INDEX(avoidedcosttbl2,ROUNDUP($H12,0),CE$2)-(INDEX(avoidedcosttbl2,ROUNDDOWN($H12,0),CE$2)))))*ADRYr2!P12*ADRYr2!Q12*ADRYr2!U12)</f>
        <v/>
      </c>
      <c r="CF12" s="41" t="str">
        <f t="shared" si="38"/>
        <v/>
      </c>
      <c r="CG12" s="30" t="str">
        <f t="shared" si="11"/>
        <v/>
      </c>
      <c r="CH12" s="30" t="str">
        <f>IF($G12="","",$G12*(IF(ADRYr2!$AI12=BY$4,ADRYr2!$AJ12,IF(ADRYr2!$AK12=BY$4,ADRYr2!$AL12,IF(ADRYr2!$AM12=BY$4,ADRYr2!$AN12,0))))*(INDEX(avoidedcosttbl2,$H12,CH$2)+(($H12-ROUNDDOWN($H12,0))*(INDEX(avoidedcosttbl2,ROUNDUP($H12,0),CH$2)-(INDEX(avoidedcosttbl2,ROUNDDOWN($H12,0),CH$2)))))*ADRYr2!P12*ADRYr2!Q12*ADRYr2!U12)</f>
        <v/>
      </c>
      <c r="CI12" s="30" t="str">
        <f>IF($G12="","",$G12*(IF(ADRYr2!$AI12=BZ$4,ADRYr2!$AJ12,IF(ADRYr2!$AK12=BZ$4,ADRYr2!$AL12,IF(ADRYr2!$AM12=BZ$4,ADRYr2!$AN12,0))))*(INDEX(avoidedcosttbl2,$H12,CI$2)+(($H12-ROUNDDOWN($H12,0))*(INDEX(avoidedcosttbl2,ROUNDUP($H12,0),CI$2)-(INDEX(avoidedcosttbl2,ROUNDDOWN($H12,0),CI$2)))))*ADRYr2!P12*ADRYr2!Q12*ADRYr2!U12)</f>
        <v/>
      </c>
      <c r="CJ12" s="30" t="str">
        <f>IF($G12="","",$G12*(IF(ADRYr2!$AI12=CA$4,ADRYr2!$AJ12,IF(ADRYr2!$AK12=CA$4,ADRYr2!$AL12,IF(ADRYr2!$AM12=CA$4,ADRYr2!$AN12,0))))*(INDEX(avoidedcosttbl2,$H12,CJ$2)+(($H12-ROUNDDOWN($H12,0))*(INDEX(avoidedcosttbl2,ROUNDUP($H12,0),CJ$2)-(INDEX(avoidedcosttbl2,ROUNDDOWN($H12,0),CJ$2)))))*ADRYr2!P12*ADRYr2!Q12*ADRYr2!U12)</f>
        <v/>
      </c>
      <c r="CK12" s="30" t="str">
        <f>IF($G12="","",$G12*(IF(ADRYr2!$AI12=CB$4,ADRYr2!$AJ12,IF(ADRYr2!$AK12=CB$4,ADRYr2!$AL12,IF(ADRYr2!$AM12=CB$4,ADRYr2!$AN12,0))))*(INDEX(avoidedcosttbl2,$H12,CK$2)+(($H12-ROUNDDOWN($H12,0))*(INDEX(avoidedcosttbl2,ROUNDUP($H12,0),CK$2)-(INDEX(avoidedcosttbl2,ROUNDDOWN($H12,0),CK$2)))))*ADRYr2!P12*ADRYr2!Q12*ADRYr2!U12)</f>
        <v/>
      </c>
      <c r="CL12" s="30" t="str">
        <f>IF($G12="","",$G12*(IF(ADRYr2!$AI12=CC$4,ADRYr2!$AJ12,IF(ADRYr2!$AK12=CC$4,ADRYr2!$AL12,IF(ADRYr2!$AM12=CC$4,ADRYr2!$AN12,0))))*(INDEX(avoidedcosttbl2,$H12,CL$2)+(($H12-ROUNDDOWN($H12,0))*(INDEX(avoidedcosttbl2,ROUNDUP($H12,0),CL$2)-(INDEX(avoidedcosttbl2,ROUNDDOWN($H12,0),CL$2)))))*ADRYr2!P12*ADRYr2!Q12*ADRYr2!U12)</f>
        <v/>
      </c>
      <c r="CM12" s="30" t="str">
        <f>IF($G12="","",$G12*(IF(ADRYr2!$AI12=CD$4,ADRYr2!$AJ12,IF(ADRYr2!$AK12=CD$4,ADRYr2!$AL12,IF(ADRYr2!$AM12=CD$4,ADRYr2!$AN12,0))))*(INDEX(avoidedcosttbl2,$H12,CM$2)+(($H12-ROUNDDOWN($H12,0))*(INDEX(avoidedcosttbl2,ROUNDUP($H12,0),CM$2)-(INDEX(avoidedcosttbl2,ROUNDDOWN($H12,0),CM$2)))))*ADRYr2!P12*ADRYr2!Q12*ADRYr2!U12)</f>
        <v/>
      </c>
      <c r="CN12" s="30" t="str">
        <f>IF($G12="","",$G12*(IF(ADRYr2!$AI12=CE$4,ADRYr2!$AJ12,IF(ADRYr2!$AK12=CE$4,ADRYr2!$AL12,IF(ADRYr2!$AM12=CE$4,ADRYr2!$AN12,0))))*(INDEX(avoidedcosttbl2,$H12,CN$2)+(($H12-ROUNDDOWN($H12,0))*(INDEX(avoidedcosttbl2,ROUNDUP($H12,0),CN$2)-(INDEX(avoidedcosttbl2,ROUNDDOWN($H12,0),CN$2)))))*ADRYr2!P12*ADRYr2!Q12*ADRYr2!U12)</f>
        <v/>
      </c>
      <c r="CO12" s="220" t="str">
        <f t="shared" si="39"/>
        <v/>
      </c>
      <c r="CP12" s="220" t="str">
        <f t="shared" si="40"/>
        <v/>
      </c>
      <c r="CQ12" s="157" t="str">
        <f>IF($G12="","",$G12*(IF(ADRYr2!$AI12=CQ$4,ADRYr2!$AJ12,IF(ADRYr2!$AK12=CQ$4,ADRYr2!$AL12,IF(ADRYr2!$AM12=CQ$4,ADRYr2!$AN12,0))))*(INDEX(avoidedcosttbl2,$H12,CQ$2)+(($H12-ROUNDDOWN($H12,0))*(INDEX(avoidedcosttbl2,ROUNDUP($H12,0),CQ$2)-(INDEX(avoidedcosttbl2,ROUNDDOWN($H12,0),CQ$2)))))*ADRYr2!$P12*ADRYr2!$Q12*ADRYr2!$U12)</f>
        <v/>
      </c>
      <c r="CR12" s="28" t="str">
        <f>IF($G12="","",G12*(IF(ADRYr2!$AI12=CR$4,ADRYr2!$AJ12,IF(ADRYr2!$AK12=CR$4,ADRYr2!$AL12,IF(ADRYr2!$AM12=CR$4,ADRYr2!$AN12,0))))*(INDEX(avoidedcosttbl2,$H12,CR$2)+(($H12-ROUNDDOWN($H12,0))*(INDEX(avoidedcosttbl2,ROUNDUP($H12,0),CR$2)-(INDEX(avoidedcosttbl2,ROUNDDOWN($H12,0),CR$2)))))*ADRYr2!$P12*ADRYr2!$Q12*ADRYr2!$U12)</f>
        <v/>
      </c>
      <c r="CS12" s="28" t="str">
        <f>IF($G12="","",G12*(IF(ADRYr2!$AI12=CS$4,ADRYr2!$AJ12,IF(ADRYr2!$AK12=CS$4,ADRYr2!$AL12,IF(ADRYr2!$AM12=CS$4,ADRYr2!$AN12,0))))*(INDEX(avoidedcosttbl2,$H12,CS$2)+(($H12-ROUNDDOWN($H12,0))*(INDEX(avoidedcosttbl2,ROUNDUP($H12,0),CS$2)-(INDEX(avoidedcosttbl2,ROUNDDOWN($H12,0),CS$2)))))*ADRYr2!$P12*ADRYr2!$Q12*ADRYr2!$U12)</f>
        <v/>
      </c>
      <c r="CT12" s="28" t="str">
        <f t="shared" si="12"/>
        <v/>
      </c>
      <c r="CU12" s="28" t="str">
        <f>IF($G12="","",G12*(IF(ADRYr2!$AI12=CU$4,ADRYr2!$AJ12,IF(ADRYr2!$AK12=CU$4,ADRYr2!$AL12,IF(ADRYr2!$AM12=CU$4,ADRYr2!$AN12,0))))*(INDEX(avoidedcosttbl2,$H12,CU$2)+(($H12-ROUNDDOWN($H12,0))*(INDEX(avoidedcosttbl2,ROUNDUP($H12,0),CU$2)-(INDEX(avoidedcosttbl2,ROUNDDOWN($H12,0),CU$2)))))*ADRYr2!$P12*ADRYr2!$Q12*ADRYr2!$U12)</f>
        <v/>
      </c>
      <c r="CV12" s="28" t="str">
        <f>IF($G12="","",G12*(IF(ADRYr2!$AI12=CV$4,ADRYr2!$AJ12,IF(ADRYr2!$AK12=CV$4,ADRYr2!$AL12,IF(ADRYr2!$AM12=CV$4,ADRYr2!$AN12,0))))*(INDEX(avoidedcosttbl2,$H12,CV$2)+(($H12-ROUNDDOWN($H12,0))*(INDEX(avoidedcosttbl2,ROUNDUP($H12,0),CV$2)-(INDEX(avoidedcosttbl2,ROUNDDOWN($H12,0),CV$2)))))*ADRYr2!$P12*ADRYr2!$Q12*ADRYr2!$U12)</f>
        <v/>
      </c>
      <c r="CW12" s="28" t="str">
        <f>IF($G12="","",G12*(IF(ADRYr2!$AI12=CW$4,ADRYr2!$AJ12,IF(ADRYr2!$AK12=CW$4,ADRYr2!$AL12,IF(ADRYr2!$AM12=CW$4,ADRYr2!$AN12,0))))*(INDEX(avoidedcosttbl2,$H12,CW$2)+(($H12-ROUNDDOWN($H12,0))*(INDEX(avoidedcosttbl2,ROUNDUP($H12,0),CW$2)-(INDEX(avoidedcosttbl2,ROUNDDOWN($H12,0),CW$2)))))*ADRYr2!$P12*ADRYr2!$Q12*ADRYr2!$U12)</f>
        <v/>
      </c>
      <c r="CX12" s="28" t="str">
        <f>IF($G12="","",G12*(IF(ADRYr2!$AI12=CX$4,ADRYr2!$AJ12,IF(ADRYr2!$AK12=CX$4,ADRYr2!$AL12,IF(ADRYr2!$AM12=CX$4,ADRYr2!$AN12,0))))*(INDEX(avoidedcosttbl2,$H12,CX$2)+(($H12-ROUNDDOWN($H12,0))*(INDEX(avoidedcosttbl2,ROUNDUP($H12,0),CX$2)-(INDEX(avoidedcosttbl2,ROUNDDOWN($H12,0),CX$2)))))*ADRYr2!$P12*ADRYr2!$Q12*ADRYr2!$U12)</f>
        <v/>
      </c>
      <c r="CY12" s="28" t="str">
        <f t="shared" si="13"/>
        <v/>
      </c>
      <c r="CZ12" s="32" t="str">
        <f t="shared" si="14"/>
        <v/>
      </c>
      <c r="DA12" s="84" t="str">
        <f t="shared" si="41"/>
        <v/>
      </c>
      <c r="DB12" s="81" t="str">
        <f>IF(NEIadder="Yes",IF($G12="","",INDEX(Lookups!$G$68:$G$70,MATCH($A12,Lookups!$E$68:$E$70,0))*(SUM(CP12:CX12,BX12))),"")</f>
        <v/>
      </c>
      <c r="DC12" s="263" t="str">
        <f t="shared" si="15"/>
        <v/>
      </c>
      <c r="DD12" s="166" t="str">
        <f t="shared" si="16"/>
        <v/>
      </c>
      <c r="DE12" s="82">
        <f t="shared" si="42"/>
        <v>0</v>
      </c>
      <c r="DF12" s="760" t="str">
        <f>IF($G12="","",(1+WntPeakEnergyLL)*(INDEX(avoidedcosttbl2,$H12,DF$2)+(($H12-ROUNDDOWN($H12,0))*(INDEX(avoidedcosttbl2,ROUNDUP($H12,0),DF$2)-(INDEX(avoidedcosttbl2,ROUNDDOWN($H12,0),DF$2)))))*$P12*1000*ADRYr2!Z12)</f>
        <v/>
      </c>
      <c r="DG12" s="760" t="str">
        <f>IF($G12="","",(1+WntOffPeakEnergyLL)*(INDEX(avoidedcosttbl2,$H12,DG$2)+(($H12-ROUNDDOWN($H12,0))*(INDEX(avoidedcosttbl2,ROUNDUP($H12,0),DG$2)-(INDEX(avoidedcosttbl2,ROUNDDOWN($H12,0),DG$2)))))*$P12*1000*ADRYr2!AA12)</f>
        <v/>
      </c>
      <c r="DH12" s="760" t="str">
        <f>IF($G12="","",(1+SumPeakEnergyLL)*(INDEX(avoidedcosttbl2,$H12,DH$2)+(($H12-ROUNDDOWN($H12,0))*(INDEX(avoidedcosttbl2,ROUNDUP($H12,0),DH$2)-(INDEX(avoidedcosttbl2,ROUNDDOWN($H12,0),DH$2)))))*$P12*1000*ADRYr2!AB12)</f>
        <v/>
      </c>
      <c r="DI12" s="760" t="str">
        <f>IF($G12="","",(1+SumOffPeakEnergyLL)*(INDEX(avoidedcosttbl2,$H12,DI$2)+(($H12-ROUNDDOWN($H12,0))*(INDEX(avoidedcosttbl2,ROUNDUP($H12,0),DI$2)-(INDEX(avoidedcosttbl2,ROUNDDOWN($H12,0),DI$2)))))*$P12*1000*ADRYr2!AC12)</f>
        <v/>
      </c>
      <c r="DJ12" s="29" t="str">
        <f t="shared" si="43"/>
        <v/>
      </c>
      <c r="DK12" s="161" t="str">
        <f t="shared" si="44"/>
        <v/>
      </c>
      <c r="DL12" s="1375" t="str">
        <f t="shared" si="45"/>
        <v/>
      </c>
      <c r="DM12" s="1375" t="str">
        <f t="shared" si="46"/>
        <v/>
      </c>
      <c r="DN12" s="43" t="str">
        <f t="shared" si="47"/>
        <v/>
      </c>
      <c r="DO12" s="1131" t="str">
        <f>IF($G12="","",ADRYr2!AQ12)</f>
        <v/>
      </c>
      <c r="DP12" s="1133" t="str">
        <f>IF($G12="","",ADRYr2!AR12)</f>
        <v/>
      </c>
      <c r="DQ12" s="1135" t="str">
        <f>IF($G12="","",IF($DP12="Yes",COLUMN(AESC!$L$10),IF($DP12="No","Using AvoidedDemand tab",IF($DP12="Mixed",COLUMN(AESC!$N$10)))))</f>
        <v/>
      </c>
      <c r="DR12" s="1135" t="str">
        <f>IF($G12="","",IF($DP12="Yes",COLUMN(AESC!$P$10),IF($DP12="No","Using AvoidedDemand tab",IF($DP12="Mixed",COLUMN(AESC!$R$10)))))</f>
        <v/>
      </c>
      <c r="DS12" s="1135" t="str">
        <f>IF($G12="","",IF($DP12="Yes",COLUMN(AESC!$S$10),IF($DP12="No",COLUMN(AESC!$T$10),IF($DP12="Mixed",COLUMN(AESC!$U$10)))))</f>
        <v/>
      </c>
      <c r="DT12" s="1135" t="str">
        <f t="shared" si="48"/>
        <v/>
      </c>
      <c r="DU12" s="1135" t="str">
        <f>IF($G12="","",ADRYr2!AS12)</f>
        <v/>
      </c>
      <c r="DV12" s="1136" t="str">
        <f>IF($G12="","",ADRYr2!AT12)</f>
        <v/>
      </c>
      <c r="DW12" s="1344" t="str">
        <f>IF($G12="","",INDEX(AvoidedEnergy!$H$4:$H$10,MATCH($DO12,AvoidedEnergy!$A$4:$A$10,0)))</f>
        <v/>
      </c>
    </row>
    <row r="13" spans="1:127">
      <c r="A13" s="160" t="str">
        <f>IF(ADRYr2!$B13=0,"",ADRYr2!A13)</f>
        <v>A - Residential</v>
      </c>
      <c r="B13" s="9" t="str">
        <f>IF(ADRYr2!$B13=0,"",ADRYr2!B13)</f>
        <v>A5 - Residential Active Demand Response</v>
      </c>
      <c r="C13" s="9" t="str">
        <f>IF(ADRYr2!$B13=0,"",ADRYr2!C13)</f>
        <v>A5a - Residential Active Demand Response</v>
      </c>
      <c r="D13" s="9" t="str">
        <f>IF(ADRYr2!$B13=0,"",ADRYr2!D13)</f>
        <v>Storage Targeted Dispatch P4P (savings) Winter</v>
      </c>
      <c r="E13" s="9">
        <f>IF(ADRYr2!$B13=0,"",ADRYr2!E13)</f>
        <v>0</v>
      </c>
      <c r="F13" s="11" t="str">
        <f>IF(ADRYr2!$B13=0,"",ADRYr2!F13)</f>
        <v>Behavior</v>
      </c>
      <c r="G13" s="12" t="str">
        <f>IF(ADRYr2!$G13&lt;&gt;0,ADRYr2!G13,"")</f>
        <v/>
      </c>
      <c r="H13" s="1125" t="str">
        <f>IF($G13="","",ROUND(ADRYr2!H13,0))</f>
        <v/>
      </c>
      <c r="I13" s="47" t="str">
        <f>IF($G13="","",ADRYr2!I13*ADRYr2!P13*G13)</f>
        <v/>
      </c>
      <c r="J13" s="47" t="str">
        <f>IF($G13="","",ADRYr2!J13*G13)</f>
        <v/>
      </c>
      <c r="K13" s="47" t="str">
        <f t="shared" si="17"/>
        <v/>
      </c>
      <c r="L13" s="27" t="str">
        <f>IF($G13="","",ADRYr2!V13*G13/1000)</f>
        <v/>
      </c>
      <c r="M13" s="27" t="str">
        <f>IF($G13="","",L13*ADRYr2!$Q13*ADRYr2!$R13)</f>
        <v/>
      </c>
      <c r="N13" s="27" t="str">
        <f t="shared" si="18"/>
        <v/>
      </c>
      <c r="O13" s="27" t="str">
        <f t="shared" si="19"/>
        <v/>
      </c>
      <c r="P13" s="27" t="str">
        <f>IF($G13="","",M13*ADRYr2!P13)</f>
        <v/>
      </c>
      <c r="Q13" s="27" t="str">
        <f t="shared" si="20"/>
        <v/>
      </c>
      <c r="R13" s="27" t="str">
        <f>IF($G13="","",$Q13*ADRYr2!Z13)</f>
        <v/>
      </c>
      <c r="S13" s="27" t="str">
        <f>IF($G13="","",$Q13*ADRYr2!AA13)</f>
        <v/>
      </c>
      <c r="T13" s="27" t="str">
        <f>IF($G13="","",$Q13*ADRYr2!AB13)</f>
        <v/>
      </c>
      <c r="U13" s="27" t="str">
        <f>IF($G13="","",$Q13*ADRYr2!AC13)</f>
        <v/>
      </c>
      <c r="V13" s="27" t="str">
        <f>IF($G13="","",G13*ADRYr2!$AD13*ADRYr2!$P13*ADRYr2!$Q13)</f>
        <v/>
      </c>
      <c r="W13" s="27" t="str">
        <f>IF($G13="","",$G13*ADRYr2!$AD13*ADRYr2!$AF13*ADRYr2!Q13*ADRYr2!$S13)</f>
        <v/>
      </c>
      <c r="X13" s="27" t="str">
        <f>IF($G13="","",$G13*ADRYr2!$AD13*ADRYr2!$AF13*ADRYr2!P13*ADRYr2!Q13*ADRYr2!$S13)</f>
        <v/>
      </c>
      <c r="Y13" s="27" t="str">
        <f>IF($G13="","",$G13*ADRYr2!$AD13*ADRYr2!$AE13*ADRYr2!Q13*ADRYr2!$T13)</f>
        <v/>
      </c>
      <c r="Z13" s="27" t="str">
        <f>IF($G13="","",$G13*ADRYr2!$AD13*ADRYr2!$AE13*ADRYr2!P13*ADRYr2!Q13*ADRYr2!$T13)</f>
        <v/>
      </c>
      <c r="AA13" s="45" t="str">
        <f>IF($G13="","",$G13*ADRYr2!$Q13*ADRYr2!$U13*(IF(IFERROR(SEARCH("NG", ADRYr2!$AI13),0),ADRYr2!$AJ13,0)+IF(IFERROR(SEARCH("NG", ADRYr2!$AK13),0),ADRYr2!$AL13,0)+IF(IFERROR(SEARCH("NG", ADRYr2!$AM13),0),ADRYr2!$AN13,0)))</f>
        <v/>
      </c>
      <c r="AB13" s="45" t="str">
        <f t="shared" si="21"/>
        <v/>
      </c>
      <c r="AC13" s="45">
        <f>IF($G13="",0,AA13*ADRYr2!$P13)</f>
        <v>0</v>
      </c>
      <c r="AD13" s="45" t="str">
        <f t="shared" si="22"/>
        <v/>
      </c>
      <c r="AE13" s="45" t="str">
        <f>IF($G13="","",$G13*ADRYr2!$Q13*ADRYr2!$U13*(IF(IFERROR(SEARCH("Oil", ADRYr2!$AI13), 0),ADRYr2!$AJ13,0)+IF(IFERROR(SEARCH("Oil", ADRYr2!$AK13), 0),ADRYr2!$AL13,0)+IF(IFERROR(SEARCH("Oil", ADRYr2!$AM13), 0),ADRYr2!$AN13,0)))</f>
        <v/>
      </c>
      <c r="AF13" s="45" t="str">
        <f t="shared" si="23"/>
        <v/>
      </c>
      <c r="AG13" s="45">
        <f>IF($G13="",0,AE13*ADRYr2!$P13)</f>
        <v>0</v>
      </c>
      <c r="AH13" s="45" t="str">
        <f t="shared" si="24"/>
        <v/>
      </c>
      <c r="AI13" s="45" t="str">
        <f>IF($G13="","",$G13*ADRYr2!$Q13*ADRYr2!$U13*(IF(ADRYr2!$AI13=Lookups!$E$114,ADRYr2!$AJ13,IF(ADRYr2!$AK13=Lookups!$E$114,ADRYr2!$AL13,IF(ADRYr2!$AM13=Lookups!$E$114,ADRYr2!$AN13,0)))))</f>
        <v/>
      </c>
      <c r="AJ13" s="45" t="str">
        <f t="shared" si="25"/>
        <v/>
      </c>
      <c r="AK13" s="45">
        <f>IF($G13="",0,AI13*ADRYr2!$P13)</f>
        <v>0</v>
      </c>
      <c r="AL13" s="45" t="str">
        <f t="shared" si="26"/>
        <v/>
      </c>
      <c r="AM13" s="45" t="str">
        <f>IF($G13="","",$G13*ADRYr2!$Q13*ADRYr2!$U13*(IF(ADRYr2!$AI13=Lookups!$E$113,ADRYr2!$AJ13,IF(ADRYr2!$AK13=Lookups!$E$113,ADRYr2!$AL13,IF(ADRYr2!$AM13=Lookups!$E$113,ADRYr2!$AN13,0)))))</f>
        <v/>
      </c>
      <c r="AN13" s="45" t="str">
        <f t="shared" si="27"/>
        <v/>
      </c>
      <c r="AO13" s="45">
        <f>IF($G13="",0,AM13*ADRYr2!$P13)</f>
        <v>0</v>
      </c>
      <c r="AP13" s="45" t="str">
        <f t="shared" si="28"/>
        <v/>
      </c>
      <c r="AQ13" s="45" t="str">
        <f>IF($G13="","",$G13*ADRYr2!$Q13*ADRYr2!$U13*(IF(ADRYr2!$AI13=Lookups!$E$115,ADRYr2!$AJ13,IF(ADRYr2!$AK13=Lookups!$E$115,ADRYr2!$AL13,IF(ADRYr2!$AM13=Lookups!$E$115,ADRYr2!$AN13,0)))))</f>
        <v/>
      </c>
      <c r="AR13" s="45" t="str">
        <f t="shared" si="29"/>
        <v/>
      </c>
      <c r="AS13" s="45" t="str">
        <f>IF($G13="","",AQ13*ADRYr2!$P13)</f>
        <v/>
      </c>
      <c r="AT13" s="45" t="str">
        <f t="shared" si="30"/>
        <v/>
      </c>
      <c r="AU13" s="45" t="str">
        <f>IF($G13="","",$G13*ADRYr2!$Q13*ADRYr2!$U13*(IF(ADRYr2!$AI13=Lookups!$E$116,ADRYr2!$AJ13,IF(ADRYr2!$AK13=Lookups!$E$116,ADRYr2!$AL13,IF(ADRYr2!$AM13=Lookups!$E$116,ADRYr2!$AN13,0)))))</f>
        <v/>
      </c>
      <c r="AV13" s="45" t="str">
        <f t="shared" si="31"/>
        <v/>
      </c>
      <c r="AW13" s="45" t="str">
        <f>IF($G13="","",AU13*ADRYr2!$P13)</f>
        <v/>
      </c>
      <c r="AX13" s="45" t="str">
        <f t="shared" si="32"/>
        <v/>
      </c>
      <c r="AY13" s="45">
        <f t="shared" si="33"/>
        <v>0</v>
      </c>
      <c r="AZ13" s="45">
        <f t="shared" si="33"/>
        <v>0</v>
      </c>
      <c r="BA13" s="101" t="str">
        <f>IF($G13="","",$G13*ADRYr2!$P13*ADRYr2!$Q13*ADRYr2!$U13*ADRYr2!AO13)</f>
        <v/>
      </c>
      <c r="BB13" s="102" t="str">
        <f>IF($G13="","",$G13*ADRYr2!$P13*ADRYr2!$Q13*ADRYr2!$U13*ADRYr2!AP13)</f>
        <v/>
      </c>
      <c r="BC13" s="100" t="str">
        <f t="shared" si="34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5"/>
        <v/>
      </c>
      <c r="BO13" s="31" t="str">
        <f t="shared" si="35"/>
        <v/>
      </c>
      <c r="BP13" s="1129" t="str">
        <f t="shared" si="6"/>
        <v/>
      </c>
      <c r="BQ13" s="28" t="str">
        <f t="shared" si="7"/>
        <v/>
      </c>
      <c r="BR13" s="1129" t="str">
        <f t="shared" si="8"/>
        <v/>
      </c>
      <c r="BS13" s="1129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6"/>
        <v/>
      </c>
      <c r="BX13" s="29" t="str">
        <f t="shared" si="37"/>
        <v/>
      </c>
      <c r="BY13" s="28" t="str">
        <f>IF($G13="","",$G13*(IF(ADRYr2!$AI13=BY$4,ADRYr2!$AJ13,IF(ADRYr2!$AK13=BY$4,ADRYr2!$AL13,IF(ADRYr2!$AM13=BY$4,ADRYr2!$AN13,0))))*(INDEX(avoidedcosttbl2,$H13,BY$2)+(($H13-ROUNDDOWN($H13,0))*(INDEX(avoidedcosttbl2,ROUNDUP($H13,0),BY$2)-(INDEX(avoidedcosttbl2,ROUNDDOWN($H13,0),BY$2)))))*ADRYr2!P13*ADRYr2!Q13*ADRYr2!U13)</f>
        <v/>
      </c>
      <c r="BZ13" s="28" t="str">
        <f>IF($G13="","",$G13*(IF(ADRYr2!$AI13=BZ$4,ADRYr2!$AJ13,IF(ADRYr2!$AK13=BZ$4,ADRYr2!$AL13,IF(ADRYr2!$AM13=BZ$4,ADRYr2!$AN13,0))))*(INDEX(avoidedcosttbl2,$H13,BZ$2)+(($H13-ROUNDDOWN($H13,0))*(INDEX(avoidedcosttbl2,ROUNDUP($H13,0),BZ$2)-(INDEX(avoidedcosttbl2,ROUNDDOWN($H13,0),BZ$2)))))*ADRYr2!P13*ADRYr2!Q13*ADRYr2!U13)</f>
        <v/>
      </c>
      <c r="CA13" s="28" t="str">
        <f>IF($G13="","",$G13*(IF(ADRYr2!$AI13=CA$4,ADRYr2!$AJ13,IF(ADRYr2!$AK13=CA$4,ADRYr2!$AL13,IF(ADRYr2!$AM13=CA$4,ADRYr2!$AN13,0))))*(INDEX(avoidedcosttbl2,$H13,CA$2)+(($H13-ROUNDDOWN($H13,0))*(INDEX(avoidedcosttbl2,ROUNDUP($H13,0),CA$2)-(INDEX(avoidedcosttbl2,ROUNDDOWN($H13,0),CA$2)))))*ADRYr2!P13*ADRYr2!Q13*ADRYr2!U13)</f>
        <v/>
      </c>
      <c r="CB13" s="28" t="str">
        <f>IF($G13="","",$G13*(IF(ADRYr2!$AI13=CB$4,ADRYr2!$AJ13,IF(ADRYr2!$AK13=CB$4,ADRYr2!$AL13,IF(ADRYr2!$AM13=CB$4,ADRYr2!$AN13,0))))*(INDEX(avoidedcosttbl2,$H13,CB$2)+(($H13-ROUNDDOWN($H13,0))*(INDEX(avoidedcosttbl2,ROUNDUP($H13,0),CB$2)-(INDEX(avoidedcosttbl2,ROUNDDOWN($H13,0),CB$2)))))*ADRYr2!P13*ADRYr2!Q13*ADRYr2!U13)</f>
        <v/>
      </c>
      <c r="CC13" s="28" t="str">
        <f>IF($G13="","",$G13*(IF(ADRYr2!$AI13=CC$4,ADRYr2!$AJ13,IF(ADRYr2!$AK13=CC$4,ADRYr2!$AL13,IF(ADRYr2!$AM13=CC$4,ADRYr2!$AN13,0))))*(INDEX(avoidedcosttbl2,$H13,CC$2)+(($H13-ROUNDDOWN($H13,0))*(INDEX(avoidedcosttbl2,ROUNDUP($H13,0),CC$2)-(INDEX(avoidedcosttbl2,ROUNDDOWN($H13,0),CC$2)))))*ADRYr2!P13*ADRYr2!Q13*ADRYr2!U13)</f>
        <v/>
      </c>
      <c r="CD13" s="28" t="str">
        <f>IF($G13="","",$G13*(IF(ADRYr2!$AI13=CD$4,ADRYr2!$AJ13,IF(ADRYr2!$AK13=CD$4,ADRYr2!$AL13,IF(ADRYr2!$AM13=CD$4,ADRYr2!$AN13,0))))*(INDEX(avoidedcosttbl2,$H13,CD$2)+(($H13-ROUNDDOWN($H13,0))*(INDEX(avoidedcosttbl2,ROUNDUP($H13,0),CD$2)-(INDEX(avoidedcosttbl2,ROUNDDOWN($H13,0),CD$2)))))*ADRYr2!P13*ADRYr2!Q13*ADRYr2!U13)</f>
        <v/>
      </c>
      <c r="CE13" s="28" t="str">
        <f>IF($G13="","",$G13*(IF(ADRYr2!$AI13=CE$4,ADRYr2!$AJ13,IF(ADRYr2!$AK13=CE$4,ADRYr2!$AL13,IF(ADRYr2!$AM13=CE$4,ADRYr2!$AN13,0))))*(INDEX(avoidedcosttbl2,$H13,CE$2)+(($H13-ROUNDDOWN($H13,0))*(INDEX(avoidedcosttbl2,ROUNDUP($H13,0),CE$2)-(INDEX(avoidedcosttbl2,ROUNDDOWN($H13,0),CE$2)))))*ADRYr2!P13*ADRYr2!Q13*ADRYr2!U13)</f>
        <v/>
      </c>
      <c r="CF13" s="41" t="str">
        <f t="shared" si="38"/>
        <v/>
      </c>
      <c r="CG13" s="30" t="str">
        <f t="shared" si="11"/>
        <v/>
      </c>
      <c r="CH13" s="30" t="str">
        <f>IF($G13="","",$G13*(IF(ADRYr2!$AI13=BY$4,ADRYr2!$AJ13,IF(ADRYr2!$AK13=BY$4,ADRYr2!$AL13,IF(ADRYr2!$AM13=BY$4,ADRYr2!$AN13,0))))*(INDEX(avoidedcosttbl2,$H13,CH$2)+(($H13-ROUNDDOWN($H13,0))*(INDEX(avoidedcosttbl2,ROUNDUP($H13,0),CH$2)-(INDEX(avoidedcosttbl2,ROUNDDOWN($H13,0),CH$2)))))*ADRYr2!P13*ADRYr2!Q13*ADRYr2!U13)</f>
        <v/>
      </c>
      <c r="CI13" s="30" t="str">
        <f>IF($G13="","",$G13*(IF(ADRYr2!$AI13=BZ$4,ADRYr2!$AJ13,IF(ADRYr2!$AK13=BZ$4,ADRYr2!$AL13,IF(ADRYr2!$AM13=BZ$4,ADRYr2!$AN13,0))))*(INDEX(avoidedcosttbl2,$H13,CI$2)+(($H13-ROUNDDOWN($H13,0))*(INDEX(avoidedcosttbl2,ROUNDUP($H13,0),CI$2)-(INDEX(avoidedcosttbl2,ROUNDDOWN($H13,0),CI$2)))))*ADRYr2!P13*ADRYr2!Q13*ADRYr2!U13)</f>
        <v/>
      </c>
      <c r="CJ13" s="30" t="str">
        <f>IF($G13="","",$G13*(IF(ADRYr2!$AI13=CA$4,ADRYr2!$AJ13,IF(ADRYr2!$AK13=CA$4,ADRYr2!$AL13,IF(ADRYr2!$AM13=CA$4,ADRYr2!$AN13,0))))*(INDEX(avoidedcosttbl2,$H13,CJ$2)+(($H13-ROUNDDOWN($H13,0))*(INDEX(avoidedcosttbl2,ROUNDUP($H13,0),CJ$2)-(INDEX(avoidedcosttbl2,ROUNDDOWN($H13,0),CJ$2)))))*ADRYr2!P13*ADRYr2!Q13*ADRYr2!U13)</f>
        <v/>
      </c>
      <c r="CK13" s="30" t="str">
        <f>IF($G13="","",$G13*(IF(ADRYr2!$AI13=CB$4,ADRYr2!$AJ13,IF(ADRYr2!$AK13=CB$4,ADRYr2!$AL13,IF(ADRYr2!$AM13=CB$4,ADRYr2!$AN13,0))))*(INDEX(avoidedcosttbl2,$H13,CK$2)+(($H13-ROUNDDOWN($H13,0))*(INDEX(avoidedcosttbl2,ROUNDUP($H13,0),CK$2)-(INDEX(avoidedcosttbl2,ROUNDDOWN($H13,0),CK$2)))))*ADRYr2!P13*ADRYr2!Q13*ADRYr2!U13)</f>
        <v/>
      </c>
      <c r="CL13" s="30" t="str">
        <f>IF($G13="","",$G13*(IF(ADRYr2!$AI13=CC$4,ADRYr2!$AJ13,IF(ADRYr2!$AK13=CC$4,ADRYr2!$AL13,IF(ADRYr2!$AM13=CC$4,ADRYr2!$AN13,0))))*(INDEX(avoidedcosttbl2,$H13,CL$2)+(($H13-ROUNDDOWN($H13,0))*(INDEX(avoidedcosttbl2,ROUNDUP($H13,0),CL$2)-(INDEX(avoidedcosttbl2,ROUNDDOWN($H13,0),CL$2)))))*ADRYr2!P13*ADRYr2!Q13*ADRYr2!U13)</f>
        <v/>
      </c>
      <c r="CM13" s="30" t="str">
        <f>IF($G13="","",$G13*(IF(ADRYr2!$AI13=CD$4,ADRYr2!$AJ13,IF(ADRYr2!$AK13=CD$4,ADRYr2!$AL13,IF(ADRYr2!$AM13=CD$4,ADRYr2!$AN13,0))))*(INDEX(avoidedcosttbl2,$H13,CM$2)+(($H13-ROUNDDOWN($H13,0))*(INDEX(avoidedcosttbl2,ROUNDUP($H13,0),CM$2)-(INDEX(avoidedcosttbl2,ROUNDDOWN($H13,0),CM$2)))))*ADRYr2!P13*ADRYr2!Q13*ADRYr2!U13)</f>
        <v/>
      </c>
      <c r="CN13" s="30" t="str">
        <f>IF($G13="","",$G13*(IF(ADRYr2!$AI13=CE$4,ADRYr2!$AJ13,IF(ADRYr2!$AK13=CE$4,ADRYr2!$AL13,IF(ADRYr2!$AM13=CE$4,ADRYr2!$AN13,0))))*(INDEX(avoidedcosttbl2,$H13,CN$2)+(($H13-ROUNDDOWN($H13,0))*(INDEX(avoidedcosttbl2,ROUNDUP($H13,0),CN$2)-(INDEX(avoidedcosttbl2,ROUNDDOWN($H13,0),CN$2)))))*ADRYr2!P13*ADRYr2!Q13*ADRYr2!U13)</f>
        <v/>
      </c>
      <c r="CO13" s="220" t="str">
        <f t="shared" si="39"/>
        <v/>
      </c>
      <c r="CP13" s="220" t="str">
        <f t="shared" si="40"/>
        <v/>
      </c>
      <c r="CQ13" s="157" t="str">
        <f>IF($G13="","",$G13*(IF(ADRYr2!$AI13=CQ$4,ADRYr2!$AJ13,IF(ADRYr2!$AK13=CQ$4,ADRYr2!$AL13,IF(ADRYr2!$AM13=CQ$4,ADRYr2!$AN13,0))))*(INDEX(avoidedcosttbl2,$H13,CQ$2)+(($H13-ROUNDDOWN($H13,0))*(INDEX(avoidedcosttbl2,ROUNDUP($H13,0),CQ$2)-(INDEX(avoidedcosttbl2,ROUNDDOWN($H13,0),CQ$2)))))*ADRYr2!$P13*ADRYr2!$Q13*ADRYr2!$U13)</f>
        <v/>
      </c>
      <c r="CR13" s="28" t="str">
        <f>IF($G13="","",G13*(IF(ADRYr2!$AI13=CR$4,ADRYr2!$AJ13,IF(ADRYr2!$AK13=CR$4,ADRYr2!$AL13,IF(ADRYr2!$AM13=CR$4,ADRYr2!$AN13,0))))*(INDEX(avoidedcosttbl2,$H13,CR$2)+(($H13-ROUNDDOWN($H13,0))*(INDEX(avoidedcosttbl2,ROUNDUP($H13,0),CR$2)-(INDEX(avoidedcosttbl2,ROUNDDOWN($H13,0),CR$2)))))*ADRYr2!$P13*ADRYr2!$Q13*ADRYr2!$U13)</f>
        <v/>
      </c>
      <c r="CS13" s="28" t="str">
        <f>IF($G13="","",G13*(IF(ADRYr2!$AI13=CS$4,ADRYr2!$AJ13,IF(ADRYr2!$AK13=CS$4,ADRYr2!$AL13,IF(ADRYr2!$AM13=CS$4,ADRYr2!$AN13,0))))*(INDEX(avoidedcosttbl2,$H13,CS$2)+(($H13-ROUNDDOWN($H13,0))*(INDEX(avoidedcosttbl2,ROUNDUP($H13,0),CS$2)-(INDEX(avoidedcosttbl2,ROUNDDOWN($H13,0),CS$2)))))*ADRYr2!$P13*ADRYr2!$Q13*ADRYr2!$U13)</f>
        <v/>
      </c>
      <c r="CT13" s="28" t="str">
        <f t="shared" si="12"/>
        <v/>
      </c>
      <c r="CU13" s="28" t="str">
        <f>IF($G13="","",G13*(IF(ADRYr2!$AI13=CU$4,ADRYr2!$AJ13,IF(ADRYr2!$AK13=CU$4,ADRYr2!$AL13,IF(ADRYr2!$AM13=CU$4,ADRYr2!$AN13,0))))*(INDEX(avoidedcosttbl2,$H13,CU$2)+(($H13-ROUNDDOWN($H13,0))*(INDEX(avoidedcosttbl2,ROUNDUP($H13,0),CU$2)-(INDEX(avoidedcosttbl2,ROUNDDOWN($H13,0),CU$2)))))*ADRYr2!$P13*ADRYr2!$Q13*ADRYr2!$U13)</f>
        <v/>
      </c>
      <c r="CV13" s="28" t="str">
        <f>IF($G13="","",G13*(IF(ADRYr2!$AI13=CV$4,ADRYr2!$AJ13,IF(ADRYr2!$AK13=CV$4,ADRYr2!$AL13,IF(ADRYr2!$AM13=CV$4,ADRYr2!$AN13,0))))*(INDEX(avoidedcosttbl2,$H13,CV$2)+(($H13-ROUNDDOWN($H13,0))*(INDEX(avoidedcosttbl2,ROUNDUP($H13,0),CV$2)-(INDEX(avoidedcosttbl2,ROUNDDOWN($H13,0),CV$2)))))*ADRYr2!$P13*ADRYr2!$Q13*ADRYr2!$U13)</f>
        <v/>
      </c>
      <c r="CW13" s="28" t="str">
        <f>IF($G13="","",G13*(IF(ADRYr2!$AI13=CW$4,ADRYr2!$AJ13,IF(ADRYr2!$AK13=CW$4,ADRYr2!$AL13,IF(ADRYr2!$AM13=CW$4,ADRYr2!$AN13,0))))*(INDEX(avoidedcosttbl2,$H13,CW$2)+(($H13-ROUNDDOWN($H13,0))*(INDEX(avoidedcosttbl2,ROUNDUP($H13,0),CW$2)-(INDEX(avoidedcosttbl2,ROUNDDOWN($H13,0),CW$2)))))*ADRYr2!$P13*ADRYr2!$Q13*ADRYr2!$U13)</f>
        <v/>
      </c>
      <c r="CX13" s="28" t="str">
        <f>IF($G13="","",G13*(IF(ADRYr2!$AI13=CX$4,ADRYr2!$AJ13,IF(ADRYr2!$AK13=CX$4,ADRYr2!$AL13,IF(ADRYr2!$AM13=CX$4,ADRYr2!$AN13,0))))*(INDEX(avoidedcosttbl2,$H13,CX$2)+(($H13-ROUNDDOWN($H13,0))*(INDEX(avoidedcosttbl2,ROUNDUP($H13,0),CX$2)-(INDEX(avoidedcosttbl2,ROUNDDOWN($H13,0),CX$2)))))*ADRYr2!$P13*ADRYr2!$Q13*ADRYr2!$U13)</f>
        <v/>
      </c>
      <c r="CY13" s="28" t="str">
        <f t="shared" si="13"/>
        <v/>
      </c>
      <c r="CZ13" s="32" t="str">
        <f t="shared" si="14"/>
        <v/>
      </c>
      <c r="DA13" s="84" t="str">
        <f t="shared" si="41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15"/>
        <v/>
      </c>
      <c r="DD13" s="166" t="str">
        <f t="shared" si="16"/>
        <v/>
      </c>
      <c r="DE13" s="82">
        <f t="shared" si="42"/>
        <v>0</v>
      </c>
      <c r="DF13" s="760" t="str">
        <f>IF($G13="","",(1+WntPeakEnergyLL)*(INDEX(avoidedcosttbl2,$H13,DF$2)+(($H13-ROUNDDOWN($H13,0))*(INDEX(avoidedcosttbl2,ROUNDUP($H13,0),DF$2)-(INDEX(avoidedcosttbl2,ROUNDDOWN($H13,0),DF$2)))))*$P13*1000*ADRYr2!Z13)</f>
        <v/>
      </c>
      <c r="DG13" s="760" t="str">
        <f>IF($G13="","",(1+WntOffPeakEnergyLL)*(INDEX(avoidedcosttbl2,$H13,DG$2)+(($H13-ROUNDDOWN($H13,0))*(INDEX(avoidedcosttbl2,ROUNDUP($H13,0),DG$2)-(INDEX(avoidedcosttbl2,ROUNDDOWN($H13,0),DG$2)))))*$P13*1000*ADRYr2!AA13)</f>
        <v/>
      </c>
      <c r="DH13" s="760" t="str">
        <f>IF($G13="","",(1+SumPeakEnergyLL)*(INDEX(avoidedcosttbl2,$H13,DH$2)+(($H13-ROUNDDOWN($H13,0))*(INDEX(avoidedcosttbl2,ROUNDUP($H13,0),DH$2)-(INDEX(avoidedcosttbl2,ROUNDDOWN($H13,0),DH$2)))))*$P13*1000*ADRYr2!AB13)</f>
        <v/>
      </c>
      <c r="DI13" s="760" t="str">
        <f>IF($G13="","",(1+SumOffPeakEnergyLL)*(INDEX(avoidedcosttbl2,$H13,DI$2)+(($H13-ROUNDDOWN($H13,0))*(INDEX(avoidedcosttbl2,ROUNDUP($H13,0),DI$2)-(INDEX(avoidedcosttbl2,ROUNDDOWN($H13,0),DI$2)))))*$P13*1000*ADRYr2!AC13)</f>
        <v/>
      </c>
      <c r="DJ13" s="29" t="str">
        <f t="shared" si="43"/>
        <v/>
      </c>
      <c r="DK13" s="161" t="str">
        <f t="shared" si="44"/>
        <v/>
      </c>
      <c r="DL13" s="1375" t="str">
        <f t="shared" si="45"/>
        <v/>
      </c>
      <c r="DM13" s="1375" t="str">
        <f t="shared" si="46"/>
        <v/>
      </c>
      <c r="DN13" s="43" t="str">
        <f t="shared" si="47"/>
        <v/>
      </c>
      <c r="DO13" s="1131" t="str">
        <f>IF($G13="","",ADRYr2!AQ13)</f>
        <v/>
      </c>
      <c r="DP13" s="1133" t="str">
        <f>IF($G13="","",ADRYr2!AR13)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48"/>
        <v/>
      </c>
      <c r="DU13" s="1135" t="str">
        <f>IF($G13="","",ADRYr2!AS13)</f>
        <v/>
      </c>
      <c r="DV13" s="1136" t="str">
        <f>IF($G13="","",ADRYr2!AT13)</f>
        <v/>
      </c>
      <c r="DW13" s="1344" t="str">
        <f>IF($G13="","",INDEX(AvoidedEnergy!$H$4:$H$10,MATCH($DO13,AvoidedEnergy!$A$4:$A$10,0)))</f>
        <v/>
      </c>
    </row>
    <row r="14" spans="1:127">
      <c r="A14" s="160" t="str">
        <f>IF(ADRYr2!$B14=0,"",ADRYr2!A14)</f>
        <v>A - Residential</v>
      </c>
      <c r="B14" s="9" t="str">
        <f>IF(ADRYr2!$B14=0,"",ADRYr2!B14)</f>
        <v>A5 - Residential Active Demand Response</v>
      </c>
      <c r="C14" s="9" t="str">
        <f>IF(ADRYr2!$B14=0,"",ADRYr2!C14)</f>
        <v>A5a - Residential Active Demand Response</v>
      </c>
      <c r="D14" s="9" t="str">
        <f>IF(ADRYr2!$B14=0,"",ADRYr2!D14)</f>
        <v>Storage Targeted Dispatch P4P (consumption) Winter</v>
      </c>
      <c r="E14" s="9">
        <f>IF(ADRYr2!$B14=0,"",ADRYr2!E14)</f>
        <v>0</v>
      </c>
      <c r="F14" s="11" t="str">
        <f>IF(ADRYr2!$B14=0,"",ADRYr2!F14)</f>
        <v>Behavior</v>
      </c>
      <c r="G14" s="12" t="str">
        <f>IF(ADRYr2!$G14&lt;&gt;0,ADRYr2!G14,"")</f>
        <v/>
      </c>
      <c r="H14" s="1125" t="str">
        <f>IF($G14="","",ROUND(ADRYr2!H14,0))</f>
        <v/>
      </c>
      <c r="I14" s="47" t="str">
        <f>IF($G14="","",ADRYr2!I14*ADRYr2!P14*G14)</f>
        <v/>
      </c>
      <c r="J14" s="47" t="str">
        <f>IF($G14="","",ADRYr2!J14*G14)</f>
        <v/>
      </c>
      <c r="K14" s="47" t="str">
        <f t="shared" si="17"/>
        <v/>
      </c>
      <c r="L14" s="27" t="str">
        <f>IF($G14="","",ADRYr2!V14*G14/1000)</f>
        <v/>
      </c>
      <c r="M14" s="27" t="str">
        <f>IF($G14="","",L14*ADRYr2!$Q14*ADRYr2!$R14)</f>
        <v/>
      </c>
      <c r="N14" s="27" t="str">
        <f t="shared" si="18"/>
        <v/>
      </c>
      <c r="O14" s="27" t="str">
        <f t="shared" si="19"/>
        <v/>
      </c>
      <c r="P14" s="27" t="str">
        <f>IF($G14="","",M14*ADRYr2!P14)</f>
        <v/>
      </c>
      <c r="Q14" s="27" t="str">
        <f t="shared" si="20"/>
        <v/>
      </c>
      <c r="R14" s="27" t="str">
        <f>IF($G14="","",$Q14*ADRYr2!Z14)</f>
        <v/>
      </c>
      <c r="S14" s="27" t="str">
        <f>IF($G14="","",$Q14*ADRYr2!AA14)</f>
        <v/>
      </c>
      <c r="T14" s="27" t="str">
        <f>IF($G14="","",$Q14*ADRYr2!AB14)</f>
        <v/>
      </c>
      <c r="U14" s="27" t="str">
        <f>IF($G14="","",$Q14*ADRYr2!AC14)</f>
        <v/>
      </c>
      <c r="V14" s="27" t="str">
        <f>IF($G14="","",G14*ADRYr2!$AD14*ADRYr2!$P14*ADRYr2!$Q14)</f>
        <v/>
      </c>
      <c r="W14" s="27" t="str">
        <f>IF($G14="","",$G14*ADRYr2!$AD14*ADRYr2!$AF14*ADRYr2!Q14*ADRYr2!$S14)</f>
        <v/>
      </c>
      <c r="X14" s="27" t="str">
        <f>IF($G14="","",$G14*ADRYr2!$AD14*ADRYr2!$AF14*ADRYr2!P14*ADRYr2!Q14*ADRYr2!$S14)</f>
        <v/>
      </c>
      <c r="Y14" s="27" t="str">
        <f>IF($G14="","",$G14*ADRYr2!$AD14*ADRYr2!$AE14*ADRYr2!Q14*ADRYr2!$T14)</f>
        <v/>
      </c>
      <c r="Z14" s="27" t="str">
        <f>IF($G14="","",$G14*ADRYr2!$AD14*ADRYr2!$AE14*ADRYr2!P14*ADRYr2!Q14*ADRYr2!$T14)</f>
        <v/>
      </c>
      <c r="AA14" s="45" t="str">
        <f>IF($G14="","",$G14*ADRYr2!$Q14*ADRYr2!$U14*(IF(IFERROR(SEARCH("NG", ADRYr2!$AI14),0),ADRYr2!$AJ14,0)+IF(IFERROR(SEARCH("NG", ADRYr2!$AK14),0),ADRYr2!$AL14,0)+IF(IFERROR(SEARCH("NG", ADRYr2!$AM14),0),ADRYr2!$AN14,0)))</f>
        <v/>
      </c>
      <c r="AB14" s="45" t="str">
        <f t="shared" si="21"/>
        <v/>
      </c>
      <c r="AC14" s="45">
        <f>IF($G14="",0,AA14*ADRYr2!$P14)</f>
        <v>0</v>
      </c>
      <c r="AD14" s="45" t="str">
        <f t="shared" si="22"/>
        <v/>
      </c>
      <c r="AE14" s="45" t="str">
        <f>IF($G14="","",$G14*ADRYr2!$Q14*ADRYr2!$U14*(IF(IFERROR(SEARCH("Oil", ADRYr2!$AI14), 0),ADRYr2!$AJ14,0)+IF(IFERROR(SEARCH("Oil", ADRYr2!$AK14), 0),ADRYr2!$AL14,0)+IF(IFERROR(SEARCH("Oil", ADRYr2!$AM14), 0),ADRYr2!$AN14,0)))</f>
        <v/>
      </c>
      <c r="AF14" s="45" t="str">
        <f t="shared" si="23"/>
        <v/>
      </c>
      <c r="AG14" s="45">
        <f>IF($G14="",0,AE14*ADRYr2!$P14)</f>
        <v>0</v>
      </c>
      <c r="AH14" s="45" t="str">
        <f t="shared" si="24"/>
        <v/>
      </c>
      <c r="AI14" s="45" t="str">
        <f>IF($G14="","",$G14*ADRYr2!$Q14*ADRYr2!$U14*(IF(ADRYr2!$AI14=Lookups!$E$114,ADRYr2!$AJ14,IF(ADRYr2!$AK14=Lookups!$E$114,ADRYr2!$AL14,IF(ADRYr2!$AM14=Lookups!$E$114,ADRYr2!$AN14,0)))))</f>
        <v/>
      </c>
      <c r="AJ14" s="45" t="str">
        <f t="shared" si="25"/>
        <v/>
      </c>
      <c r="AK14" s="45">
        <f>IF($G14="",0,AI14*ADRYr2!$P14)</f>
        <v>0</v>
      </c>
      <c r="AL14" s="45" t="str">
        <f t="shared" si="26"/>
        <v/>
      </c>
      <c r="AM14" s="45" t="str">
        <f>IF($G14="","",$G14*ADRYr2!$Q14*ADRYr2!$U14*(IF(ADRYr2!$AI14=Lookups!$E$113,ADRYr2!$AJ14,IF(ADRYr2!$AK14=Lookups!$E$113,ADRYr2!$AL14,IF(ADRYr2!$AM14=Lookups!$E$113,ADRYr2!$AN14,0)))))</f>
        <v/>
      </c>
      <c r="AN14" s="45" t="str">
        <f t="shared" si="27"/>
        <v/>
      </c>
      <c r="AO14" s="45">
        <f>IF($G14="",0,AM14*ADRYr2!$P14)</f>
        <v>0</v>
      </c>
      <c r="AP14" s="45" t="str">
        <f t="shared" si="28"/>
        <v/>
      </c>
      <c r="AQ14" s="45" t="str">
        <f>IF($G14="","",$G14*ADRYr2!$Q14*ADRYr2!$U14*(IF(ADRYr2!$AI14=Lookups!$E$115,ADRYr2!$AJ14,IF(ADRYr2!$AK14=Lookups!$E$115,ADRYr2!$AL14,IF(ADRYr2!$AM14=Lookups!$E$115,ADRYr2!$AN14,0)))))</f>
        <v/>
      </c>
      <c r="AR14" s="45" t="str">
        <f t="shared" si="29"/>
        <v/>
      </c>
      <c r="AS14" s="45" t="str">
        <f>IF($G14="","",AQ14*ADRYr2!$P14)</f>
        <v/>
      </c>
      <c r="AT14" s="45" t="str">
        <f t="shared" si="30"/>
        <v/>
      </c>
      <c r="AU14" s="45" t="str">
        <f>IF($G14="","",$G14*ADRYr2!$Q14*ADRYr2!$U14*(IF(ADRYr2!$AI14=Lookups!$E$116,ADRYr2!$AJ14,IF(ADRYr2!$AK14=Lookups!$E$116,ADRYr2!$AL14,IF(ADRYr2!$AM14=Lookups!$E$116,ADRYr2!$AN14,0)))))</f>
        <v/>
      </c>
      <c r="AV14" s="45" t="str">
        <f t="shared" si="31"/>
        <v/>
      </c>
      <c r="AW14" s="45" t="str">
        <f>IF($G14="","",AU14*ADRYr2!$P14)</f>
        <v/>
      </c>
      <c r="AX14" s="45" t="str">
        <f t="shared" si="32"/>
        <v/>
      </c>
      <c r="AY14" s="45">
        <f t="shared" si="33"/>
        <v>0</v>
      </c>
      <c r="AZ14" s="45">
        <f t="shared" si="33"/>
        <v>0</v>
      </c>
      <c r="BA14" s="101" t="str">
        <f>IF($G14="","",$G14*ADRYr2!$P14*ADRYr2!$Q14*ADRYr2!$U14*ADRYr2!AO14)</f>
        <v/>
      </c>
      <c r="BB14" s="102" t="str">
        <f>IF($G14="","",$G14*ADRYr2!$P14*ADRYr2!$Q14*ADRYr2!$U14*ADRYr2!AP14)</f>
        <v/>
      </c>
      <c r="BC14" s="100" t="str">
        <f t="shared" si="34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5"/>
        <v/>
      </c>
      <c r="BO14" s="31" t="str">
        <f t="shared" si="35"/>
        <v/>
      </c>
      <c r="BP14" s="1129" t="str">
        <f t="shared" si="6"/>
        <v/>
      </c>
      <c r="BQ14" s="28" t="str">
        <f t="shared" si="7"/>
        <v/>
      </c>
      <c r="BR14" s="1129" t="str">
        <f t="shared" si="8"/>
        <v/>
      </c>
      <c r="BS14" s="1129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6"/>
        <v/>
      </c>
      <c r="BX14" s="29" t="str">
        <f t="shared" si="37"/>
        <v/>
      </c>
      <c r="BY14" s="28" t="str">
        <f>IF($G14="","",$G14*(IF(ADRYr2!$AI14=BY$4,ADRYr2!$AJ14,IF(ADRYr2!$AK14=BY$4,ADRYr2!$AL14,IF(ADRYr2!$AM14=BY$4,ADRYr2!$AN14,0))))*(INDEX(avoidedcosttbl2,$H14,BY$2)+(($H14-ROUNDDOWN($H14,0))*(INDEX(avoidedcosttbl2,ROUNDUP($H14,0),BY$2)-(INDEX(avoidedcosttbl2,ROUNDDOWN($H14,0),BY$2)))))*ADRYr2!P14*ADRYr2!Q14*ADRYr2!U14)</f>
        <v/>
      </c>
      <c r="BZ14" s="28" t="str">
        <f>IF($G14="","",$G14*(IF(ADRYr2!$AI14=BZ$4,ADRYr2!$AJ14,IF(ADRYr2!$AK14=BZ$4,ADRYr2!$AL14,IF(ADRYr2!$AM14=BZ$4,ADRYr2!$AN14,0))))*(INDEX(avoidedcosttbl2,$H14,BZ$2)+(($H14-ROUNDDOWN($H14,0))*(INDEX(avoidedcosttbl2,ROUNDUP($H14,0),BZ$2)-(INDEX(avoidedcosttbl2,ROUNDDOWN($H14,0),BZ$2)))))*ADRYr2!P14*ADRYr2!Q14*ADRYr2!U14)</f>
        <v/>
      </c>
      <c r="CA14" s="28" t="str">
        <f>IF($G14="","",$G14*(IF(ADRYr2!$AI14=CA$4,ADRYr2!$AJ14,IF(ADRYr2!$AK14=CA$4,ADRYr2!$AL14,IF(ADRYr2!$AM14=CA$4,ADRYr2!$AN14,0))))*(INDEX(avoidedcosttbl2,$H14,CA$2)+(($H14-ROUNDDOWN($H14,0))*(INDEX(avoidedcosttbl2,ROUNDUP($H14,0),CA$2)-(INDEX(avoidedcosttbl2,ROUNDDOWN($H14,0),CA$2)))))*ADRYr2!P14*ADRYr2!Q14*ADRYr2!U14)</f>
        <v/>
      </c>
      <c r="CB14" s="28" t="str">
        <f>IF($G14="","",$G14*(IF(ADRYr2!$AI14=CB$4,ADRYr2!$AJ14,IF(ADRYr2!$AK14=CB$4,ADRYr2!$AL14,IF(ADRYr2!$AM14=CB$4,ADRYr2!$AN14,0))))*(INDEX(avoidedcosttbl2,$H14,CB$2)+(($H14-ROUNDDOWN($H14,0))*(INDEX(avoidedcosttbl2,ROUNDUP($H14,0),CB$2)-(INDEX(avoidedcosttbl2,ROUNDDOWN($H14,0),CB$2)))))*ADRYr2!P14*ADRYr2!Q14*ADRYr2!U14)</f>
        <v/>
      </c>
      <c r="CC14" s="28" t="str">
        <f>IF($G14="","",$G14*(IF(ADRYr2!$AI14=CC$4,ADRYr2!$AJ14,IF(ADRYr2!$AK14=CC$4,ADRYr2!$AL14,IF(ADRYr2!$AM14=CC$4,ADRYr2!$AN14,0))))*(INDEX(avoidedcosttbl2,$H14,CC$2)+(($H14-ROUNDDOWN($H14,0))*(INDEX(avoidedcosttbl2,ROUNDUP($H14,0),CC$2)-(INDEX(avoidedcosttbl2,ROUNDDOWN($H14,0),CC$2)))))*ADRYr2!P14*ADRYr2!Q14*ADRYr2!U14)</f>
        <v/>
      </c>
      <c r="CD14" s="28" t="str">
        <f>IF($G14="","",$G14*(IF(ADRYr2!$AI14=CD$4,ADRYr2!$AJ14,IF(ADRYr2!$AK14=CD$4,ADRYr2!$AL14,IF(ADRYr2!$AM14=CD$4,ADRYr2!$AN14,0))))*(INDEX(avoidedcosttbl2,$H14,CD$2)+(($H14-ROUNDDOWN($H14,0))*(INDEX(avoidedcosttbl2,ROUNDUP($H14,0),CD$2)-(INDEX(avoidedcosttbl2,ROUNDDOWN($H14,0),CD$2)))))*ADRYr2!P14*ADRYr2!Q14*ADRYr2!U14)</f>
        <v/>
      </c>
      <c r="CE14" s="28" t="str">
        <f>IF($G14="","",$G14*(IF(ADRYr2!$AI14=CE$4,ADRYr2!$AJ14,IF(ADRYr2!$AK14=CE$4,ADRYr2!$AL14,IF(ADRYr2!$AM14=CE$4,ADRYr2!$AN14,0))))*(INDEX(avoidedcosttbl2,$H14,CE$2)+(($H14-ROUNDDOWN($H14,0))*(INDEX(avoidedcosttbl2,ROUNDUP($H14,0),CE$2)-(INDEX(avoidedcosttbl2,ROUNDDOWN($H14,0),CE$2)))))*ADRYr2!P14*ADRYr2!Q14*ADRYr2!U14)</f>
        <v/>
      </c>
      <c r="CF14" s="41" t="str">
        <f t="shared" si="38"/>
        <v/>
      </c>
      <c r="CG14" s="30" t="str">
        <f t="shared" si="11"/>
        <v/>
      </c>
      <c r="CH14" s="30" t="str">
        <f>IF($G14="","",$G14*(IF(ADRYr2!$AI14=BY$4,ADRYr2!$AJ14,IF(ADRYr2!$AK14=BY$4,ADRYr2!$AL14,IF(ADRYr2!$AM14=BY$4,ADRYr2!$AN14,0))))*(INDEX(avoidedcosttbl2,$H14,CH$2)+(($H14-ROUNDDOWN($H14,0))*(INDEX(avoidedcosttbl2,ROUNDUP($H14,0),CH$2)-(INDEX(avoidedcosttbl2,ROUNDDOWN($H14,0),CH$2)))))*ADRYr2!P14*ADRYr2!Q14*ADRYr2!U14)</f>
        <v/>
      </c>
      <c r="CI14" s="30" t="str">
        <f>IF($G14="","",$G14*(IF(ADRYr2!$AI14=BZ$4,ADRYr2!$AJ14,IF(ADRYr2!$AK14=BZ$4,ADRYr2!$AL14,IF(ADRYr2!$AM14=BZ$4,ADRYr2!$AN14,0))))*(INDEX(avoidedcosttbl2,$H14,CI$2)+(($H14-ROUNDDOWN($H14,0))*(INDEX(avoidedcosttbl2,ROUNDUP($H14,0),CI$2)-(INDEX(avoidedcosttbl2,ROUNDDOWN($H14,0),CI$2)))))*ADRYr2!P14*ADRYr2!Q14*ADRYr2!U14)</f>
        <v/>
      </c>
      <c r="CJ14" s="30" t="str">
        <f>IF($G14="","",$G14*(IF(ADRYr2!$AI14=CA$4,ADRYr2!$AJ14,IF(ADRYr2!$AK14=CA$4,ADRYr2!$AL14,IF(ADRYr2!$AM14=CA$4,ADRYr2!$AN14,0))))*(INDEX(avoidedcosttbl2,$H14,CJ$2)+(($H14-ROUNDDOWN($H14,0))*(INDEX(avoidedcosttbl2,ROUNDUP($H14,0),CJ$2)-(INDEX(avoidedcosttbl2,ROUNDDOWN($H14,0),CJ$2)))))*ADRYr2!P14*ADRYr2!Q14*ADRYr2!U14)</f>
        <v/>
      </c>
      <c r="CK14" s="30" t="str">
        <f>IF($G14="","",$G14*(IF(ADRYr2!$AI14=CB$4,ADRYr2!$AJ14,IF(ADRYr2!$AK14=CB$4,ADRYr2!$AL14,IF(ADRYr2!$AM14=CB$4,ADRYr2!$AN14,0))))*(INDEX(avoidedcosttbl2,$H14,CK$2)+(($H14-ROUNDDOWN($H14,0))*(INDEX(avoidedcosttbl2,ROUNDUP($H14,0),CK$2)-(INDEX(avoidedcosttbl2,ROUNDDOWN($H14,0),CK$2)))))*ADRYr2!P14*ADRYr2!Q14*ADRYr2!U14)</f>
        <v/>
      </c>
      <c r="CL14" s="30" t="str">
        <f>IF($G14="","",$G14*(IF(ADRYr2!$AI14=CC$4,ADRYr2!$AJ14,IF(ADRYr2!$AK14=CC$4,ADRYr2!$AL14,IF(ADRYr2!$AM14=CC$4,ADRYr2!$AN14,0))))*(INDEX(avoidedcosttbl2,$H14,CL$2)+(($H14-ROUNDDOWN($H14,0))*(INDEX(avoidedcosttbl2,ROUNDUP($H14,0),CL$2)-(INDEX(avoidedcosttbl2,ROUNDDOWN($H14,0),CL$2)))))*ADRYr2!P14*ADRYr2!Q14*ADRYr2!U14)</f>
        <v/>
      </c>
      <c r="CM14" s="30" t="str">
        <f>IF($G14="","",$G14*(IF(ADRYr2!$AI14=CD$4,ADRYr2!$AJ14,IF(ADRYr2!$AK14=CD$4,ADRYr2!$AL14,IF(ADRYr2!$AM14=CD$4,ADRYr2!$AN14,0))))*(INDEX(avoidedcosttbl2,$H14,CM$2)+(($H14-ROUNDDOWN($H14,0))*(INDEX(avoidedcosttbl2,ROUNDUP($H14,0),CM$2)-(INDEX(avoidedcosttbl2,ROUNDDOWN($H14,0),CM$2)))))*ADRYr2!P14*ADRYr2!Q14*ADRYr2!U14)</f>
        <v/>
      </c>
      <c r="CN14" s="30" t="str">
        <f>IF($G14="","",$G14*(IF(ADRYr2!$AI14=CE$4,ADRYr2!$AJ14,IF(ADRYr2!$AK14=CE$4,ADRYr2!$AL14,IF(ADRYr2!$AM14=CE$4,ADRYr2!$AN14,0))))*(INDEX(avoidedcosttbl2,$H14,CN$2)+(($H14-ROUNDDOWN($H14,0))*(INDEX(avoidedcosttbl2,ROUNDUP($H14,0),CN$2)-(INDEX(avoidedcosttbl2,ROUNDDOWN($H14,0),CN$2)))))*ADRYr2!P14*ADRYr2!Q14*ADRYr2!U14)</f>
        <v/>
      </c>
      <c r="CO14" s="220" t="str">
        <f t="shared" si="39"/>
        <v/>
      </c>
      <c r="CP14" s="220" t="str">
        <f t="shared" si="40"/>
        <v/>
      </c>
      <c r="CQ14" s="157" t="str">
        <f>IF($G14="","",$G14*(IF(ADRYr2!$AI14=CQ$4,ADRYr2!$AJ14,IF(ADRYr2!$AK14=CQ$4,ADRYr2!$AL14,IF(ADRYr2!$AM14=CQ$4,ADRYr2!$AN14,0))))*(INDEX(avoidedcosttbl2,$H14,CQ$2)+(($H14-ROUNDDOWN($H14,0))*(INDEX(avoidedcosttbl2,ROUNDUP($H14,0),CQ$2)-(INDEX(avoidedcosttbl2,ROUNDDOWN($H14,0),CQ$2)))))*ADRYr2!$P14*ADRYr2!$Q14*ADRYr2!$U14)</f>
        <v/>
      </c>
      <c r="CR14" s="28" t="str">
        <f>IF($G14="","",G14*(IF(ADRYr2!$AI14=CR$4,ADRYr2!$AJ14,IF(ADRYr2!$AK14=CR$4,ADRYr2!$AL14,IF(ADRYr2!$AM14=CR$4,ADRYr2!$AN14,0))))*(INDEX(avoidedcosttbl2,$H14,CR$2)+(($H14-ROUNDDOWN($H14,0))*(INDEX(avoidedcosttbl2,ROUNDUP($H14,0),CR$2)-(INDEX(avoidedcosttbl2,ROUNDDOWN($H14,0),CR$2)))))*ADRYr2!$P14*ADRYr2!$Q14*ADRYr2!$U14)</f>
        <v/>
      </c>
      <c r="CS14" s="28" t="str">
        <f>IF($G14="","",G14*(IF(ADRYr2!$AI14=CS$4,ADRYr2!$AJ14,IF(ADRYr2!$AK14=CS$4,ADRYr2!$AL14,IF(ADRYr2!$AM14=CS$4,ADRYr2!$AN14,0))))*(INDEX(avoidedcosttbl2,$H14,CS$2)+(($H14-ROUNDDOWN($H14,0))*(INDEX(avoidedcosttbl2,ROUNDUP($H14,0),CS$2)-(INDEX(avoidedcosttbl2,ROUNDDOWN($H14,0),CS$2)))))*ADRYr2!$P14*ADRYr2!$Q14*ADRYr2!$U14)</f>
        <v/>
      </c>
      <c r="CT14" s="28" t="str">
        <f t="shared" si="12"/>
        <v/>
      </c>
      <c r="CU14" s="28" t="str">
        <f>IF($G14="","",G14*(IF(ADRYr2!$AI14=CU$4,ADRYr2!$AJ14,IF(ADRYr2!$AK14=CU$4,ADRYr2!$AL14,IF(ADRYr2!$AM14=CU$4,ADRYr2!$AN14,0))))*(INDEX(avoidedcosttbl2,$H14,CU$2)+(($H14-ROUNDDOWN($H14,0))*(INDEX(avoidedcosttbl2,ROUNDUP($H14,0),CU$2)-(INDEX(avoidedcosttbl2,ROUNDDOWN($H14,0),CU$2)))))*ADRYr2!$P14*ADRYr2!$Q14*ADRYr2!$U14)</f>
        <v/>
      </c>
      <c r="CV14" s="28" t="str">
        <f>IF($G14="","",G14*(IF(ADRYr2!$AI14=CV$4,ADRYr2!$AJ14,IF(ADRYr2!$AK14=CV$4,ADRYr2!$AL14,IF(ADRYr2!$AM14=CV$4,ADRYr2!$AN14,0))))*(INDEX(avoidedcosttbl2,$H14,CV$2)+(($H14-ROUNDDOWN($H14,0))*(INDEX(avoidedcosttbl2,ROUNDUP($H14,0),CV$2)-(INDEX(avoidedcosttbl2,ROUNDDOWN($H14,0),CV$2)))))*ADRYr2!$P14*ADRYr2!$Q14*ADRYr2!$U14)</f>
        <v/>
      </c>
      <c r="CW14" s="28" t="str">
        <f>IF($G14="","",G14*(IF(ADRYr2!$AI14=CW$4,ADRYr2!$AJ14,IF(ADRYr2!$AK14=CW$4,ADRYr2!$AL14,IF(ADRYr2!$AM14=CW$4,ADRYr2!$AN14,0))))*(INDEX(avoidedcosttbl2,$H14,CW$2)+(($H14-ROUNDDOWN($H14,0))*(INDEX(avoidedcosttbl2,ROUNDUP($H14,0),CW$2)-(INDEX(avoidedcosttbl2,ROUNDDOWN($H14,0),CW$2)))))*ADRYr2!$P14*ADRYr2!$Q14*ADRYr2!$U14)</f>
        <v/>
      </c>
      <c r="CX14" s="28" t="str">
        <f>IF($G14="","",G14*(IF(ADRYr2!$AI14=CX$4,ADRYr2!$AJ14,IF(ADRYr2!$AK14=CX$4,ADRYr2!$AL14,IF(ADRYr2!$AM14=CX$4,ADRYr2!$AN14,0))))*(INDEX(avoidedcosttbl2,$H14,CX$2)+(($H14-ROUNDDOWN($H14,0))*(INDEX(avoidedcosttbl2,ROUNDUP($H14,0),CX$2)-(INDEX(avoidedcosttbl2,ROUNDDOWN($H14,0),CX$2)))))*ADRYr2!$P14*ADRYr2!$Q14*ADRYr2!$U14)</f>
        <v/>
      </c>
      <c r="CY14" s="28" t="str">
        <f t="shared" si="13"/>
        <v/>
      </c>
      <c r="CZ14" s="32" t="str">
        <f t="shared" si="14"/>
        <v/>
      </c>
      <c r="DA14" s="84" t="str">
        <f t="shared" si="41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15"/>
        <v/>
      </c>
      <c r="DD14" s="166" t="str">
        <f t="shared" si="16"/>
        <v/>
      </c>
      <c r="DE14" s="82">
        <f t="shared" si="42"/>
        <v>0</v>
      </c>
      <c r="DF14" s="760" t="str">
        <f>IF($G14="","",(1+WntPeakEnergyLL)*(INDEX(avoidedcosttbl2,$H14,DF$2)+(($H14-ROUNDDOWN($H14,0))*(INDEX(avoidedcosttbl2,ROUNDUP($H14,0),DF$2)-(INDEX(avoidedcosttbl2,ROUNDDOWN($H14,0),DF$2)))))*$P14*1000*ADRYr2!Z14)</f>
        <v/>
      </c>
      <c r="DG14" s="760" t="str">
        <f>IF($G14="","",(1+WntOffPeakEnergyLL)*(INDEX(avoidedcosttbl2,$H14,DG$2)+(($H14-ROUNDDOWN($H14,0))*(INDEX(avoidedcosttbl2,ROUNDUP($H14,0),DG$2)-(INDEX(avoidedcosttbl2,ROUNDDOWN($H14,0),DG$2)))))*$P14*1000*ADRYr2!AA14)</f>
        <v/>
      </c>
      <c r="DH14" s="760" t="str">
        <f>IF($G14="","",(1+SumPeakEnergyLL)*(INDEX(avoidedcosttbl2,$H14,DH$2)+(($H14-ROUNDDOWN($H14,0))*(INDEX(avoidedcosttbl2,ROUNDUP($H14,0),DH$2)-(INDEX(avoidedcosttbl2,ROUNDDOWN($H14,0),DH$2)))))*$P14*1000*ADRYr2!AB14)</f>
        <v/>
      </c>
      <c r="DI14" s="760" t="str">
        <f>IF($G14="","",(1+SumOffPeakEnergyLL)*(INDEX(avoidedcosttbl2,$H14,DI$2)+(($H14-ROUNDDOWN($H14,0))*(INDEX(avoidedcosttbl2,ROUNDUP($H14,0),DI$2)-(INDEX(avoidedcosttbl2,ROUNDDOWN($H14,0),DI$2)))))*$P14*1000*ADRYr2!AC14)</f>
        <v/>
      </c>
      <c r="DJ14" s="29" t="str">
        <f t="shared" si="43"/>
        <v/>
      </c>
      <c r="DK14" s="161" t="str">
        <f t="shared" si="44"/>
        <v/>
      </c>
      <c r="DL14" s="1375" t="str">
        <f t="shared" si="45"/>
        <v/>
      </c>
      <c r="DM14" s="1375" t="str">
        <f t="shared" si="46"/>
        <v/>
      </c>
      <c r="DN14" s="43" t="str">
        <f t="shared" si="47"/>
        <v/>
      </c>
      <c r="DO14" s="1131" t="str">
        <f>IF($G14="","",ADRYr2!AQ14)</f>
        <v/>
      </c>
      <c r="DP14" s="1133" t="str">
        <f>IF($G14="","",ADRYr2!AR14)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48"/>
        <v/>
      </c>
      <c r="DU14" s="1135" t="str">
        <f>IF($G14="","",ADRYr2!AS14)</f>
        <v/>
      </c>
      <c r="DV14" s="1136" t="str">
        <f>IF($G14="","",ADRYr2!AT14)</f>
        <v/>
      </c>
      <c r="DW14" s="1344" t="str">
        <f>IF($G14="","",INDEX(AvoidedEnergy!$H$4:$H$10,MATCH($DO14,AvoidedEnergy!$A$4:$A$10,0)))</f>
        <v/>
      </c>
    </row>
    <row r="15" spans="1:127">
      <c r="A15" s="160" t="str">
        <f>IF(ADRYr2!$B15=0,"",ADRYr2!A15)</f>
        <v>A - Residential</v>
      </c>
      <c r="B15" s="9" t="str">
        <f>IF(ADRYr2!$B15=0,"",ADRYr2!B15)</f>
        <v>A5 - Residential Active Demand Response</v>
      </c>
      <c r="C15" s="9" t="str">
        <f>IF(ADRYr2!$B15=0,"",ADRYr2!C15)</f>
        <v>A5a - Residential Active Demand Response</v>
      </c>
      <c r="D15" s="9" t="str">
        <f>IF(ADRYr2!$B15=0,"",ADRYr2!D15)</f>
        <v>EV Load Management Summer</v>
      </c>
      <c r="E15" s="9">
        <f>IF(ADRYr2!$B15=0,"",ADRYr2!E15)</f>
        <v>0</v>
      </c>
      <c r="F15" s="11" t="str">
        <f>IF(ADRYr2!$B15=0,"",ADRYr2!F15)</f>
        <v>Behavior</v>
      </c>
      <c r="G15" s="12" t="str">
        <f>IF(ADRYr2!$G15&lt;&gt;0,ADRYr2!G15,"")</f>
        <v/>
      </c>
      <c r="H15" s="1125" t="str">
        <f>IF($G15="","",ROUND(ADRYr2!H15,0))</f>
        <v/>
      </c>
      <c r="I15" s="47" t="str">
        <f>IF($G15="","",ADRYr2!I15*ADRYr2!P15*G15)</f>
        <v/>
      </c>
      <c r="J15" s="47" t="str">
        <f>IF($G15="","",ADRYr2!J15*G15)</f>
        <v/>
      </c>
      <c r="K15" s="47" t="str">
        <f t="shared" si="17"/>
        <v/>
      </c>
      <c r="L15" s="27" t="str">
        <f>IF($G15="","",ADRYr2!V15*G15/1000)</f>
        <v/>
      </c>
      <c r="M15" s="27" t="str">
        <f>IF($G15="","",L15*ADRYr2!$Q15*ADRYr2!$R15)</f>
        <v/>
      </c>
      <c r="N15" s="27" t="str">
        <f t="shared" si="18"/>
        <v/>
      </c>
      <c r="O15" s="27" t="str">
        <f t="shared" si="19"/>
        <v/>
      </c>
      <c r="P15" s="27" t="str">
        <f>IF($G15="","",M15*ADRYr2!P15)</f>
        <v/>
      </c>
      <c r="Q15" s="27" t="str">
        <f t="shared" si="20"/>
        <v/>
      </c>
      <c r="R15" s="27" t="str">
        <f>IF($G15="","",$Q15*ADRYr2!Z15)</f>
        <v/>
      </c>
      <c r="S15" s="27" t="str">
        <f>IF($G15="","",$Q15*ADRYr2!AA15)</f>
        <v/>
      </c>
      <c r="T15" s="27" t="str">
        <f>IF($G15="","",$Q15*ADRYr2!AB15)</f>
        <v/>
      </c>
      <c r="U15" s="27" t="str">
        <f>IF($G15="","",$Q15*ADRYr2!AC15)</f>
        <v/>
      </c>
      <c r="V15" s="27" t="str">
        <f>IF($G15="","",G15*ADRYr2!$AD15*ADRYr2!$P15*ADRYr2!$Q15)</f>
        <v/>
      </c>
      <c r="W15" s="27" t="str">
        <f>IF($G15="","",$G15*ADRYr2!$AD15*ADRYr2!$AF15*ADRYr2!Q15*ADRYr2!$S15)</f>
        <v/>
      </c>
      <c r="X15" s="27" t="str">
        <f>IF($G15="","",$G15*ADRYr2!$AD15*ADRYr2!$AF15*ADRYr2!P15*ADRYr2!Q15*ADRYr2!$S15)</f>
        <v/>
      </c>
      <c r="Y15" s="27" t="str">
        <f>IF($G15="","",$G15*ADRYr2!$AD15*ADRYr2!$AE15*ADRYr2!Q15*ADRYr2!$T15)</f>
        <v/>
      </c>
      <c r="Z15" s="27" t="str">
        <f>IF($G15="","",$G15*ADRYr2!$AD15*ADRYr2!$AE15*ADRYr2!P15*ADRYr2!Q15*ADRYr2!$T15)</f>
        <v/>
      </c>
      <c r="AA15" s="45" t="str">
        <f>IF($G15="","",$G15*ADRYr2!$Q15*ADRYr2!$U15*(IF(IFERROR(SEARCH("NG", ADRYr2!$AI15),0),ADRYr2!$AJ15,0)+IF(IFERROR(SEARCH("NG", ADRYr2!$AK15),0),ADRYr2!$AL15,0)+IF(IFERROR(SEARCH("NG", ADRYr2!$AM15),0),ADRYr2!$AN15,0)))</f>
        <v/>
      </c>
      <c r="AB15" s="45" t="str">
        <f t="shared" si="21"/>
        <v/>
      </c>
      <c r="AC15" s="45">
        <f>IF($G15="",0,AA15*ADRYr2!$P15)</f>
        <v>0</v>
      </c>
      <c r="AD15" s="45" t="str">
        <f t="shared" si="22"/>
        <v/>
      </c>
      <c r="AE15" s="45" t="str">
        <f>IF($G15="","",$G15*ADRYr2!$Q15*ADRYr2!$U15*(IF(IFERROR(SEARCH("Oil", ADRYr2!$AI15), 0),ADRYr2!$AJ15,0)+IF(IFERROR(SEARCH("Oil", ADRYr2!$AK15), 0),ADRYr2!$AL15,0)+IF(IFERROR(SEARCH("Oil", ADRYr2!$AM15), 0),ADRYr2!$AN15,0)))</f>
        <v/>
      </c>
      <c r="AF15" s="45" t="str">
        <f t="shared" si="23"/>
        <v/>
      </c>
      <c r="AG15" s="45">
        <f>IF($G15="",0,AE15*ADRYr2!$P15)</f>
        <v>0</v>
      </c>
      <c r="AH15" s="45" t="str">
        <f t="shared" si="24"/>
        <v/>
      </c>
      <c r="AI15" s="45" t="str">
        <f>IF($G15="","",$G15*ADRYr2!$Q15*ADRYr2!$U15*(IF(ADRYr2!$AI15=Lookups!$E$114,ADRYr2!$AJ15,IF(ADRYr2!$AK15=Lookups!$E$114,ADRYr2!$AL15,IF(ADRYr2!$AM15=Lookups!$E$114,ADRYr2!$AN15,0)))))</f>
        <v/>
      </c>
      <c r="AJ15" s="45" t="str">
        <f t="shared" si="25"/>
        <v/>
      </c>
      <c r="AK15" s="45">
        <f>IF($G15="",0,AI15*ADRYr2!$P15)</f>
        <v>0</v>
      </c>
      <c r="AL15" s="45" t="str">
        <f t="shared" si="26"/>
        <v/>
      </c>
      <c r="AM15" s="45" t="str">
        <f>IF($G15="","",$G15*ADRYr2!$Q15*ADRYr2!$U15*(IF(ADRYr2!$AI15=Lookups!$E$113,ADRYr2!$AJ15,IF(ADRYr2!$AK15=Lookups!$E$113,ADRYr2!$AL15,IF(ADRYr2!$AM15=Lookups!$E$113,ADRYr2!$AN15,0)))))</f>
        <v/>
      </c>
      <c r="AN15" s="45" t="str">
        <f t="shared" si="27"/>
        <v/>
      </c>
      <c r="AO15" s="45">
        <f>IF($G15="",0,AM15*ADRYr2!$P15)</f>
        <v>0</v>
      </c>
      <c r="AP15" s="45" t="str">
        <f t="shared" si="28"/>
        <v/>
      </c>
      <c r="AQ15" s="45" t="str">
        <f>IF($G15="","",$G15*ADRYr2!$Q15*ADRYr2!$U15*(IF(ADRYr2!$AI15=Lookups!$E$115,ADRYr2!$AJ15,IF(ADRYr2!$AK15=Lookups!$E$115,ADRYr2!$AL15,IF(ADRYr2!$AM15=Lookups!$E$115,ADRYr2!$AN15,0)))))</f>
        <v/>
      </c>
      <c r="AR15" s="45" t="str">
        <f t="shared" si="29"/>
        <v/>
      </c>
      <c r="AS15" s="45" t="str">
        <f>IF($G15="","",AQ15*ADRYr2!$P15)</f>
        <v/>
      </c>
      <c r="AT15" s="45" t="str">
        <f t="shared" si="30"/>
        <v/>
      </c>
      <c r="AU15" s="45" t="str">
        <f>IF($G15="","",$G15*ADRYr2!$Q15*ADRYr2!$U15*(IF(ADRYr2!$AI15=Lookups!$E$116,ADRYr2!$AJ15,IF(ADRYr2!$AK15=Lookups!$E$116,ADRYr2!$AL15,IF(ADRYr2!$AM15=Lookups!$E$116,ADRYr2!$AN15,0)))))</f>
        <v/>
      </c>
      <c r="AV15" s="45" t="str">
        <f t="shared" si="31"/>
        <v/>
      </c>
      <c r="AW15" s="45" t="str">
        <f>IF($G15="","",AU15*ADRYr2!$P15)</f>
        <v/>
      </c>
      <c r="AX15" s="45" t="str">
        <f t="shared" si="32"/>
        <v/>
      </c>
      <c r="AY15" s="45">
        <f t="shared" si="33"/>
        <v>0</v>
      </c>
      <c r="AZ15" s="45">
        <f t="shared" si="33"/>
        <v>0</v>
      </c>
      <c r="BA15" s="101" t="str">
        <f>IF($G15="","",$G15*ADRYr2!$P15*ADRYr2!$Q15*ADRYr2!$U15*ADRYr2!AO15)</f>
        <v/>
      </c>
      <c r="BB15" s="102" t="str">
        <f>IF($G15="","",$G15*ADRYr2!$P15*ADRYr2!$Q15*ADRYr2!$U15*ADRYr2!AP15)</f>
        <v/>
      </c>
      <c r="BC15" s="100" t="str">
        <f t="shared" si="34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5"/>
        <v/>
      </c>
      <c r="BO15" s="31" t="str">
        <f t="shared" si="35"/>
        <v/>
      </c>
      <c r="BP15" s="1129" t="str">
        <f t="shared" si="6"/>
        <v/>
      </c>
      <c r="BQ15" s="28" t="str">
        <f t="shared" si="7"/>
        <v/>
      </c>
      <c r="BR15" s="1129" t="str">
        <f t="shared" si="8"/>
        <v/>
      </c>
      <c r="BS15" s="1129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6"/>
        <v/>
      </c>
      <c r="BX15" s="29" t="str">
        <f t="shared" si="37"/>
        <v/>
      </c>
      <c r="BY15" s="28" t="str">
        <f>IF($G15="","",$G15*(IF(ADRYr2!$AI15=BY$4,ADRYr2!$AJ15,IF(ADRYr2!$AK15=BY$4,ADRYr2!$AL15,IF(ADRYr2!$AM15=BY$4,ADRYr2!$AN15,0))))*(INDEX(avoidedcosttbl2,$H15,BY$2)+(($H15-ROUNDDOWN($H15,0))*(INDEX(avoidedcosttbl2,ROUNDUP($H15,0),BY$2)-(INDEX(avoidedcosttbl2,ROUNDDOWN($H15,0),BY$2)))))*ADRYr2!P15*ADRYr2!Q15*ADRYr2!U15)</f>
        <v/>
      </c>
      <c r="BZ15" s="28" t="str">
        <f>IF($G15="","",$G15*(IF(ADRYr2!$AI15=BZ$4,ADRYr2!$AJ15,IF(ADRYr2!$AK15=BZ$4,ADRYr2!$AL15,IF(ADRYr2!$AM15=BZ$4,ADRYr2!$AN15,0))))*(INDEX(avoidedcosttbl2,$H15,BZ$2)+(($H15-ROUNDDOWN($H15,0))*(INDEX(avoidedcosttbl2,ROUNDUP($H15,0),BZ$2)-(INDEX(avoidedcosttbl2,ROUNDDOWN($H15,0),BZ$2)))))*ADRYr2!P15*ADRYr2!Q15*ADRYr2!U15)</f>
        <v/>
      </c>
      <c r="CA15" s="28" t="str">
        <f>IF($G15="","",$G15*(IF(ADRYr2!$AI15=CA$4,ADRYr2!$AJ15,IF(ADRYr2!$AK15=CA$4,ADRYr2!$AL15,IF(ADRYr2!$AM15=CA$4,ADRYr2!$AN15,0))))*(INDEX(avoidedcosttbl2,$H15,CA$2)+(($H15-ROUNDDOWN($H15,0))*(INDEX(avoidedcosttbl2,ROUNDUP($H15,0),CA$2)-(INDEX(avoidedcosttbl2,ROUNDDOWN($H15,0),CA$2)))))*ADRYr2!P15*ADRYr2!Q15*ADRYr2!U15)</f>
        <v/>
      </c>
      <c r="CB15" s="28" t="str">
        <f>IF($G15="","",$G15*(IF(ADRYr2!$AI15=CB$4,ADRYr2!$AJ15,IF(ADRYr2!$AK15=CB$4,ADRYr2!$AL15,IF(ADRYr2!$AM15=CB$4,ADRYr2!$AN15,0))))*(INDEX(avoidedcosttbl2,$H15,CB$2)+(($H15-ROUNDDOWN($H15,0))*(INDEX(avoidedcosttbl2,ROUNDUP($H15,0),CB$2)-(INDEX(avoidedcosttbl2,ROUNDDOWN($H15,0),CB$2)))))*ADRYr2!P15*ADRYr2!Q15*ADRYr2!U15)</f>
        <v/>
      </c>
      <c r="CC15" s="28" t="str">
        <f>IF($G15="","",$G15*(IF(ADRYr2!$AI15=CC$4,ADRYr2!$AJ15,IF(ADRYr2!$AK15=CC$4,ADRYr2!$AL15,IF(ADRYr2!$AM15=CC$4,ADRYr2!$AN15,0))))*(INDEX(avoidedcosttbl2,$H15,CC$2)+(($H15-ROUNDDOWN($H15,0))*(INDEX(avoidedcosttbl2,ROUNDUP($H15,0),CC$2)-(INDEX(avoidedcosttbl2,ROUNDDOWN($H15,0),CC$2)))))*ADRYr2!P15*ADRYr2!Q15*ADRYr2!U15)</f>
        <v/>
      </c>
      <c r="CD15" s="28" t="str">
        <f>IF($G15="","",$G15*(IF(ADRYr2!$AI15=CD$4,ADRYr2!$AJ15,IF(ADRYr2!$AK15=CD$4,ADRYr2!$AL15,IF(ADRYr2!$AM15=CD$4,ADRYr2!$AN15,0))))*(INDEX(avoidedcosttbl2,$H15,CD$2)+(($H15-ROUNDDOWN($H15,0))*(INDEX(avoidedcosttbl2,ROUNDUP($H15,0),CD$2)-(INDEX(avoidedcosttbl2,ROUNDDOWN($H15,0),CD$2)))))*ADRYr2!P15*ADRYr2!Q15*ADRYr2!U15)</f>
        <v/>
      </c>
      <c r="CE15" s="28" t="str">
        <f>IF($G15="","",$G15*(IF(ADRYr2!$AI15=CE$4,ADRYr2!$AJ15,IF(ADRYr2!$AK15=CE$4,ADRYr2!$AL15,IF(ADRYr2!$AM15=CE$4,ADRYr2!$AN15,0))))*(INDEX(avoidedcosttbl2,$H15,CE$2)+(($H15-ROUNDDOWN($H15,0))*(INDEX(avoidedcosttbl2,ROUNDUP($H15,0),CE$2)-(INDEX(avoidedcosttbl2,ROUNDDOWN($H15,0),CE$2)))))*ADRYr2!P15*ADRYr2!Q15*ADRYr2!U15)</f>
        <v/>
      </c>
      <c r="CF15" s="41" t="str">
        <f t="shared" si="38"/>
        <v/>
      </c>
      <c r="CG15" s="30" t="str">
        <f t="shared" si="11"/>
        <v/>
      </c>
      <c r="CH15" s="30" t="str">
        <f>IF($G15="","",$G15*(IF(ADRYr2!$AI15=BY$4,ADRYr2!$AJ15,IF(ADRYr2!$AK15=BY$4,ADRYr2!$AL15,IF(ADRYr2!$AM15=BY$4,ADRYr2!$AN15,0))))*(INDEX(avoidedcosttbl2,$H15,CH$2)+(($H15-ROUNDDOWN($H15,0))*(INDEX(avoidedcosttbl2,ROUNDUP($H15,0),CH$2)-(INDEX(avoidedcosttbl2,ROUNDDOWN($H15,0),CH$2)))))*ADRYr2!P15*ADRYr2!Q15*ADRYr2!U15)</f>
        <v/>
      </c>
      <c r="CI15" s="30" t="str">
        <f>IF($G15="","",$G15*(IF(ADRYr2!$AI15=BZ$4,ADRYr2!$AJ15,IF(ADRYr2!$AK15=BZ$4,ADRYr2!$AL15,IF(ADRYr2!$AM15=BZ$4,ADRYr2!$AN15,0))))*(INDEX(avoidedcosttbl2,$H15,CI$2)+(($H15-ROUNDDOWN($H15,0))*(INDEX(avoidedcosttbl2,ROUNDUP($H15,0),CI$2)-(INDEX(avoidedcosttbl2,ROUNDDOWN($H15,0),CI$2)))))*ADRYr2!P15*ADRYr2!Q15*ADRYr2!U15)</f>
        <v/>
      </c>
      <c r="CJ15" s="30" t="str">
        <f>IF($G15="","",$G15*(IF(ADRYr2!$AI15=CA$4,ADRYr2!$AJ15,IF(ADRYr2!$AK15=CA$4,ADRYr2!$AL15,IF(ADRYr2!$AM15=CA$4,ADRYr2!$AN15,0))))*(INDEX(avoidedcosttbl2,$H15,CJ$2)+(($H15-ROUNDDOWN($H15,0))*(INDEX(avoidedcosttbl2,ROUNDUP($H15,0),CJ$2)-(INDEX(avoidedcosttbl2,ROUNDDOWN($H15,0),CJ$2)))))*ADRYr2!P15*ADRYr2!Q15*ADRYr2!U15)</f>
        <v/>
      </c>
      <c r="CK15" s="30" t="str">
        <f>IF($G15="","",$G15*(IF(ADRYr2!$AI15=CB$4,ADRYr2!$AJ15,IF(ADRYr2!$AK15=CB$4,ADRYr2!$AL15,IF(ADRYr2!$AM15=CB$4,ADRYr2!$AN15,0))))*(INDEX(avoidedcosttbl2,$H15,CK$2)+(($H15-ROUNDDOWN($H15,0))*(INDEX(avoidedcosttbl2,ROUNDUP($H15,0),CK$2)-(INDEX(avoidedcosttbl2,ROUNDDOWN($H15,0),CK$2)))))*ADRYr2!P15*ADRYr2!Q15*ADRYr2!U15)</f>
        <v/>
      </c>
      <c r="CL15" s="30" t="str">
        <f>IF($G15="","",$G15*(IF(ADRYr2!$AI15=CC$4,ADRYr2!$AJ15,IF(ADRYr2!$AK15=CC$4,ADRYr2!$AL15,IF(ADRYr2!$AM15=CC$4,ADRYr2!$AN15,0))))*(INDEX(avoidedcosttbl2,$H15,CL$2)+(($H15-ROUNDDOWN($H15,0))*(INDEX(avoidedcosttbl2,ROUNDUP($H15,0),CL$2)-(INDEX(avoidedcosttbl2,ROUNDDOWN($H15,0),CL$2)))))*ADRYr2!P15*ADRYr2!Q15*ADRYr2!U15)</f>
        <v/>
      </c>
      <c r="CM15" s="30" t="str">
        <f>IF($G15="","",$G15*(IF(ADRYr2!$AI15=CD$4,ADRYr2!$AJ15,IF(ADRYr2!$AK15=CD$4,ADRYr2!$AL15,IF(ADRYr2!$AM15=CD$4,ADRYr2!$AN15,0))))*(INDEX(avoidedcosttbl2,$H15,CM$2)+(($H15-ROUNDDOWN($H15,0))*(INDEX(avoidedcosttbl2,ROUNDUP($H15,0),CM$2)-(INDEX(avoidedcosttbl2,ROUNDDOWN($H15,0),CM$2)))))*ADRYr2!P15*ADRYr2!Q15*ADRYr2!U15)</f>
        <v/>
      </c>
      <c r="CN15" s="30" t="str">
        <f>IF($G15="","",$G15*(IF(ADRYr2!$AI15=CE$4,ADRYr2!$AJ15,IF(ADRYr2!$AK15=CE$4,ADRYr2!$AL15,IF(ADRYr2!$AM15=CE$4,ADRYr2!$AN15,0))))*(INDEX(avoidedcosttbl2,$H15,CN$2)+(($H15-ROUNDDOWN($H15,0))*(INDEX(avoidedcosttbl2,ROUNDUP($H15,0),CN$2)-(INDEX(avoidedcosttbl2,ROUNDDOWN($H15,0),CN$2)))))*ADRYr2!P15*ADRYr2!Q15*ADRYr2!U15)</f>
        <v/>
      </c>
      <c r="CO15" s="220" t="str">
        <f t="shared" si="39"/>
        <v/>
      </c>
      <c r="CP15" s="220" t="str">
        <f t="shared" si="40"/>
        <v/>
      </c>
      <c r="CQ15" s="157" t="str">
        <f>IF($G15="","",$G15*(IF(ADRYr2!$AI15=CQ$4,ADRYr2!$AJ15,IF(ADRYr2!$AK15=CQ$4,ADRYr2!$AL15,IF(ADRYr2!$AM15=CQ$4,ADRYr2!$AN15,0))))*(INDEX(avoidedcosttbl2,$H15,CQ$2)+(($H15-ROUNDDOWN($H15,0))*(INDEX(avoidedcosttbl2,ROUNDUP($H15,0),CQ$2)-(INDEX(avoidedcosttbl2,ROUNDDOWN($H15,0),CQ$2)))))*ADRYr2!$P15*ADRYr2!$Q15*ADRYr2!$U15)</f>
        <v/>
      </c>
      <c r="CR15" s="28" t="str">
        <f>IF($G15="","",G15*(IF(ADRYr2!$AI15=CR$4,ADRYr2!$AJ15,IF(ADRYr2!$AK15=CR$4,ADRYr2!$AL15,IF(ADRYr2!$AM15=CR$4,ADRYr2!$AN15,0))))*(INDEX(avoidedcosttbl2,$H15,CR$2)+(($H15-ROUNDDOWN($H15,0))*(INDEX(avoidedcosttbl2,ROUNDUP($H15,0),CR$2)-(INDEX(avoidedcosttbl2,ROUNDDOWN($H15,0),CR$2)))))*ADRYr2!$P15*ADRYr2!$Q15*ADRYr2!$U15)</f>
        <v/>
      </c>
      <c r="CS15" s="28" t="str">
        <f>IF($G15="","",G15*(IF(ADRYr2!$AI15=CS$4,ADRYr2!$AJ15,IF(ADRYr2!$AK15=CS$4,ADRYr2!$AL15,IF(ADRYr2!$AM15=CS$4,ADRYr2!$AN15,0))))*(INDEX(avoidedcosttbl2,$H15,CS$2)+(($H15-ROUNDDOWN($H15,0))*(INDEX(avoidedcosttbl2,ROUNDUP($H15,0),CS$2)-(INDEX(avoidedcosttbl2,ROUNDDOWN($H15,0),CS$2)))))*ADRYr2!$P15*ADRYr2!$Q15*ADRYr2!$U15)</f>
        <v/>
      </c>
      <c r="CT15" s="28" t="str">
        <f t="shared" si="12"/>
        <v/>
      </c>
      <c r="CU15" s="28" t="str">
        <f>IF($G15="","",G15*(IF(ADRYr2!$AI15=CU$4,ADRYr2!$AJ15,IF(ADRYr2!$AK15=CU$4,ADRYr2!$AL15,IF(ADRYr2!$AM15=CU$4,ADRYr2!$AN15,0))))*(INDEX(avoidedcosttbl2,$H15,CU$2)+(($H15-ROUNDDOWN($H15,0))*(INDEX(avoidedcosttbl2,ROUNDUP($H15,0),CU$2)-(INDEX(avoidedcosttbl2,ROUNDDOWN($H15,0),CU$2)))))*ADRYr2!$P15*ADRYr2!$Q15*ADRYr2!$U15)</f>
        <v/>
      </c>
      <c r="CV15" s="28" t="str">
        <f>IF($G15="","",G15*(IF(ADRYr2!$AI15=CV$4,ADRYr2!$AJ15,IF(ADRYr2!$AK15=CV$4,ADRYr2!$AL15,IF(ADRYr2!$AM15=CV$4,ADRYr2!$AN15,0))))*(INDEX(avoidedcosttbl2,$H15,CV$2)+(($H15-ROUNDDOWN($H15,0))*(INDEX(avoidedcosttbl2,ROUNDUP($H15,0),CV$2)-(INDEX(avoidedcosttbl2,ROUNDDOWN($H15,0),CV$2)))))*ADRYr2!$P15*ADRYr2!$Q15*ADRYr2!$U15)</f>
        <v/>
      </c>
      <c r="CW15" s="28" t="str">
        <f>IF($G15="","",G15*(IF(ADRYr2!$AI15=CW$4,ADRYr2!$AJ15,IF(ADRYr2!$AK15=CW$4,ADRYr2!$AL15,IF(ADRYr2!$AM15=CW$4,ADRYr2!$AN15,0))))*(INDEX(avoidedcosttbl2,$H15,CW$2)+(($H15-ROUNDDOWN($H15,0))*(INDEX(avoidedcosttbl2,ROUNDUP($H15,0),CW$2)-(INDEX(avoidedcosttbl2,ROUNDDOWN($H15,0),CW$2)))))*ADRYr2!$P15*ADRYr2!$Q15*ADRYr2!$U15)</f>
        <v/>
      </c>
      <c r="CX15" s="28" t="str">
        <f>IF($G15="","",G15*(IF(ADRYr2!$AI15=CX$4,ADRYr2!$AJ15,IF(ADRYr2!$AK15=CX$4,ADRYr2!$AL15,IF(ADRYr2!$AM15=CX$4,ADRYr2!$AN15,0))))*(INDEX(avoidedcosttbl2,$H15,CX$2)+(($H15-ROUNDDOWN($H15,0))*(INDEX(avoidedcosttbl2,ROUNDUP($H15,0),CX$2)-(INDEX(avoidedcosttbl2,ROUNDDOWN($H15,0),CX$2)))))*ADRYr2!$P15*ADRYr2!$Q15*ADRYr2!$U15)</f>
        <v/>
      </c>
      <c r="CY15" s="28" t="str">
        <f t="shared" si="13"/>
        <v/>
      </c>
      <c r="CZ15" s="32" t="str">
        <f t="shared" si="14"/>
        <v/>
      </c>
      <c r="DA15" s="84" t="str">
        <f t="shared" si="41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15"/>
        <v/>
      </c>
      <c r="DD15" s="166" t="str">
        <f t="shared" si="16"/>
        <v/>
      </c>
      <c r="DE15" s="82">
        <f t="shared" si="42"/>
        <v>0</v>
      </c>
      <c r="DF15" s="760" t="str">
        <f>IF($G15="","",(1+WntPeakEnergyLL)*(INDEX(avoidedcosttbl2,$H15,DF$2)+(($H15-ROUNDDOWN($H15,0))*(INDEX(avoidedcosttbl2,ROUNDUP($H15,0),DF$2)-(INDEX(avoidedcosttbl2,ROUNDDOWN($H15,0),DF$2)))))*$P15*1000*ADRYr2!Z15)</f>
        <v/>
      </c>
      <c r="DG15" s="760" t="str">
        <f>IF($G15="","",(1+WntOffPeakEnergyLL)*(INDEX(avoidedcosttbl2,$H15,DG$2)+(($H15-ROUNDDOWN($H15,0))*(INDEX(avoidedcosttbl2,ROUNDUP($H15,0),DG$2)-(INDEX(avoidedcosttbl2,ROUNDDOWN($H15,0),DG$2)))))*$P15*1000*ADRYr2!AA15)</f>
        <v/>
      </c>
      <c r="DH15" s="760" t="str">
        <f>IF($G15="","",(1+SumPeakEnergyLL)*(INDEX(avoidedcosttbl2,$H15,DH$2)+(($H15-ROUNDDOWN($H15,0))*(INDEX(avoidedcosttbl2,ROUNDUP($H15,0),DH$2)-(INDEX(avoidedcosttbl2,ROUNDDOWN($H15,0),DH$2)))))*$P15*1000*ADRYr2!AB15)</f>
        <v/>
      </c>
      <c r="DI15" s="760" t="str">
        <f>IF($G15="","",(1+SumOffPeakEnergyLL)*(INDEX(avoidedcosttbl2,$H15,DI$2)+(($H15-ROUNDDOWN($H15,0))*(INDEX(avoidedcosttbl2,ROUNDUP($H15,0),DI$2)-(INDEX(avoidedcosttbl2,ROUNDDOWN($H15,0),DI$2)))))*$P15*1000*ADRYr2!AC15)</f>
        <v/>
      </c>
      <c r="DJ15" s="29" t="str">
        <f t="shared" si="43"/>
        <v/>
      </c>
      <c r="DK15" s="161" t="str">
        <f t="shared" si="44"/>
        <v/>
      </c>
      <c r="DL15" s="1375" t="str">
        <f t="shared" si="45"/>
        <v/>
      </c>
      <c r="DM15" s="1375" t="str">
        <f t="shared" si="46"/>
        <v/>
      </c>
      <c r="DN15" s="43" t="str">
        <f t="shared" si="47"/>
        <v/>
      </c>
      <c r="DO15" s="1131" t="str">
        <f>IF($G15="","",ADRYr2!AQ15)</f>
        <v/>
      </c>
      <c r="DP15" s="1133" t="str">
        <f>IF($G15="","",ADRYr2!AR15)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48"/>
        <v/>
      </c>
      <c r="DU15" s="1135" t="str">
        <f>IF($G15="","",ADRYr2!AS15)</f>
        <v/>
      </c>
      <c r="DV15" s="1136" t="str">
        <f>IF($G15="","",ADRYr2!AT15)</f>
        <v/>
      </c>
      <c r="DW15" s="1344" t="str">
        <f>IF($G15="","",INDEX(AvoidedEnergy!$H$4:$H$10,MATCH($DO15,AvoidedEnergy!$A$4:$A$10,0)))</f>
        <v/>
      </c>
    </row>
    <row r="16" spans="1:127">
      <c r="A16" s="160" t="str">
        <f>IF(ADRYr2!$B16=0,"",ADRYr2!A16)</f>
        <v>A - Residential</v>
      </c>
      <c r="B16" s="9" t="str">
        <f>IF(ADRYr2!$B16=0,"",ADRYr2!B16)</f>
        <v>A5 - Residential Active Demand Response</v>
      </c>
      <c r="C16" s="9" t="str">
        <f>IF(ADRYr2!$B16=0,"",ADRYr2!C16)</f>
        <v>A5a - Residential Active Demand Response</v>
      </c>
      <c r="D16" s="9" t="str">
        <f>IF(ADRYr2!$B16=0,"",ADRYr2!D16)</f>
        <v>EV Load Management Winter</v>
      </c>
      <c r="E16" s="9">
        <f>IF(ADRYr2!$B16=0,"",ADRYr2!E16)</f>
        <v>0</v>
      </c>
      <c r="F16" s="11" t="str">
        <f>IF(ADRYr2!$B16=0,"",ADRYr2!F16)</f>
        <v>Behavior</v>
      </c>
      <c r="G16" s="12" t="str">
        <f>IF(ADRYr2!$G16&lt;&gt;0,ADRYr2!G16,"")</f>
        <v/>
      </c>
      <c r="H16" s="1125" t="str">
        <f>IF($G16="","",ROUND(ADRYr2!H16,0))</f>
        <v/>
      </c>
      <c r="I16" s="47" t="str">
        <f>IF($G16="","",ADRYr2!I16*ADRYr2!P16*G16)</f>
        <v/>
      </c>
      <c r="J16" s="47" t="str">
        <f>IF($G16="","",ADRYr2!J16*G16)</f>
        <v/>
      </c>
      <c r="K16" s="47" t="str">
        <f t="shared" si="17"/>
        <v/>
      </c>
      <c r="L16" s="27" t="str">
        <f>IF($G16="","",ADRYr2!V16*G16/1000)</f>
        <v/>
      </c>
      <c r="M16" s="27" t="str">
        <f>IF($G16="","",L16*ADRYr2!$Q16*ADRYr2!$R16)</f>
        <v/>
      </c>
      <c r="N16" s="27" t="str">
        <f t="shared" si="18"/>
        <v/>
      </c>
      <c r="O16" s="27" t="str">
        <f t="shared" si="19"/>
        <v/>
      </c>
      <c r="P16" s="27" t="str">
        <f>IF($G16="","",M16*ADRYr2!P16)</f>
        <v/>
      </c>
      <c r="Q16" s="27" t="str">
        <f t="shared" si="20"/>
        <v/>
      </c>
      <c r="R16" s="27" t="str">
        <f>IF($G16="","",$Q16*ADRYr2!Z16)</f>
        <v/>
      </c>
      <c r="S16" s="27" t="str">
        <f>IF($G16="","",$Q16*ADRYr2!AA16)</f>
        <v/>
      </c>
      <c r="T16" s="27" t="str">
        <f>IF($G16="","",$Q16*ADRYr2!AB16)</f>
        <v/>
      </c>
      <c r="U16" s="27" t="str">
        <f>IF($G16="","",$Q16*ADRYr2!AC16)</f>
        <v/>
      </c>
      <c r="V16" s="27" t="str">
        <f>IF($G16="","",G16*ADRYr2!$AD16*ADRYr2!$P16*ADRYr2!$Q16)</f>
        <v/>
      </c>
      <c r="W16" s="27" t="str">
        <f>IF($G16="","",$G16*ADRYr2!$AD16*ADRYr2!$AF16*ADRYr2!Q16*ADRYr2!$S16)</f>
        <v/>
      </c>
      <c r="X16" s="27" t="str">
        <f>IF($G16="","",$G16*ADRYr2!$AD16*ADRYr2!$AF16*ADRYr2!P16*ADRYr2!Q16*ADRYr2!$S16)</f>
        <v/>
      </c>
      <c r="Y16" s="27" t="str">
        <f>IF($G16="","",$G16*ADRYr2!$AD16*ADRYr2!$AE16*ADRYr2!Q16*ADRYr2!$T16)</f>
        <v/>
      </c>
      <c r="Z16" s="27" t="str">
        <f>IF($G16="","",$G16*ADRYr2!$AD16*ADRYr2!$AE16*ADRYr2!P16*ADRYr2!Q16*ADRYr2!$T16)</f>
        <v/>
      </c>
      <c r="AA16" s="45" t="str">
        <f>IF($G16="","",$G16*ADRYr2!$Q16*ADRYr2!$U16*(IF(IFERROR(SEARCH("NG", ADRYr2!$AI16),0),ADRYr2!$AJ16,0)+IF(IFERROR(SEARCH("NG", ADRYr2!$AK16),0),ADRYr2!$AL16,0)+IF(IFERROR(SEARCH("NG", ADRYr2!$AM16),0),ADRYr2!$AN16,0)))</f>
        <v/>
      </c>
      <c r="AB16" s="45" t="str">
        <f t="shared" si="21"/>
        <v/>
      </c>
      <c r="AC16" s="45">
        <f>IF($G16="",0,AA16*ADRYr2!$P16)</f>
        <v>0</v>
      </c>
      <c r="AD16" s="45" t="str">
        <f t="shared" si="22"/>
        <v/>
      </c>
      <c r="AE16" s="45" t="str">
        <f>IF($G16="","",$G16*ADRYr2!$Q16*ADRYr2!$U16*(IF(IFERROR(SEARCH("Oil", ADRYr2!$AI16), 0),ADRYr2!$AJ16,0)+IF(IFERROR(SEARCH("Oil", ADRYr2!$AK16), 0),ADRYr2!$AL16,0)+IF(IFERROR(SEARCH("Oil", ADRYr2!$AM16), 0),ADRYr2!$AN16,0)))</f>
        <v/>
      </c>
      <c r="AF16" s="45" t="str">
        <f t="shared" si="23"/>
        <v/>
      </c>
      <c r="AG16" s="45">
        <f>IF($G16="",0,AE16*ADRYr2!$P16)</f>
        <v>0</v>
      </c>
      <c r="AH16" s="45" t="str">
        <f t="shared" si="24"/>
        <v/>
      </c>
      <c r="AI16" s="45" t="str">
        <f>IF($G16="","",$G16*ADRYr2!$Q16*ADRYr2!$U16*(IF(ADRYr2!$AI16=Lookups!$E$114,ADRYr2!$AJ16,IF(ADRYr2!$AK16=Lookups!$E$114,ADRYr2!$AL16,IF(ADRYr2!$AM16=Lookups!$E$114,ADRYr2!$AN16,0)))))</f>
        <v/>
      </c>
      <c r="AJ16" s="45" t="str">
        <f t="shared" si="25"/>
        <v/>
      </c>
      <c r="AK16" s="45">
        <f>IF($G16="",0,AI16*ADRYr2!$P16)</f>
        <v>0</v>
      </c>
      <c r="AL16" s="45" t="str">
        <f t="shared" si="26"/>
        <v/>
      </c>
      <c r="AM16" s="45" t="str">
        <f>IF($G16="","",$G16*ADRYr2!$Q16*ADRYr2!$U16*(IF(ADRYr2!$AI16=Lookups!$E$113,ADRYr2!$AJ16,IF(ADRYr2!$AK16=Lookups!$E$113,ADRYr2!$AL16,IF(ADRYr2!$AM16=Lookups!$E$113,ADRYr2!$AN16,0)))))</f>
        <v/>
      </c>
      <c r="AN16" s="45" t="str">
        <f t="shared" si="27"/>
        <v/>
      </c>
      <c r="AO16" s="45">
        <f>IF($G16="",0,AM16*ADRYr2!$P16)</f>
        <v>0</v>
      </c>
      <c r="AP16" s="45" t="str">
        <f t="shared" si="28"/>
        <v/>
      </c>
      <c r="AQ16" s="45" t="str">
        <f>IF($G16="","",$G16*ADRYr2!$Q16*ADRYr2!$U16*(IF(ADRYr2!$AI16=Lookups!$E$115,ADRYr2!$AJ16,IF(ADRYr2!$AK16=Lookups!$E$115,ADRYr2!$AL16,IF(ADRYr2!$AM16=Lookups!$E$115,ADRYr2!$AN16,0)))))</f>
        <v/>
      </c>
      <c r="AR16" s="45" t="str">
        <f t="shared" si="29"/>
        <v/>
      </c>
      <c r="AS16" s="45" t="str">
        <f>IF($G16="","",AQ16*ADRYr2!$P16)</f>
        <v/>
      </c>
      <c r="AT16" s="45" t="str">
        <f t="shared" si="30"/>
        <v/>
      </c>
      <c r="AU16" s="45" t="str">
        <f>IF($G16="","",$G16*ADRYr2!$Q16*ADRYr2!$U16*(IF(ADRYr2!$AI16=Lookups!$E$116,ADRYr2!$AJ16,IF(ADRYr2!$AK16=Lookups!$E$116,ADRYr2!$AL16,IF(ADRYr2!$AM16=Lookups!$E$116,ADRYr2!$AN16,0)))))</f>
        <v/>
      </c>
      <c r="AV16" s="45" t="str">
        <f t="shared" si="31"/>
        <v/>
      </c>
      <c r="AW16" s="45" t="str">
        <f>IF($G16="","",AU16*ADRYr2!$P16)</f>
        <v/>
      </c>
      <c r="AX16" s="45" t="str">
        <f t="shared" si="32"/>
        <v/>
      </c>
      <c r="AY16" s="45">
        <f t="shared" si="33"/>
        <v>0</v>
      </c>
      <c r="AZ16" s="45">
        <f t="shared" si="33"/>
        <v>0</v>
      </c>
      <c r="BA16" s="101" t="str">
        <f>IF($G16="","",$G16*ADRYr2!$P16*ADRYr2!$Q16*ADRYr2!$U16*ADRYr2!AO16)</f>
        <v/>
      </c>
      <c r="BB16" s="102" t="str">
        <f>IF($G16="","",$G16*ADRYr2!$P16*ADRYr2!$Q16*ADRYr2!$U16*ADRYr2!AP16)</f>
        <v/>
      </c>
      <c r="BC16" s="100" t="str">
        <f t="shared" si="34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5"/>
        <v/>
      </c>
      <c r="BO16" s="31" t="str">
        <f t="shared" si="35"/>
        <v/>
      </c>
      <c r="BP16" s="1129" t="str">
        <f t="shared" si="6"/>
        <v/>
      </c>
      <c r="BQ16" s="28" t="str">
        <f t="shared" si="7"/>
        <v/>
      </c>
      <c r="BR16" s="1129" t="str">
        <f t="shared" si="8"/>
        <v/>
      </c>
      <c r="BS16" s="1129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6"/>
        <v/>
      </c>
      <c r="BX16" s="29" t="str">
        <f t="shared" si="37"/>
        <v/>
      </c>
      <c r="BY16" s="28" t="str">
        <f>IF($G16="","",$G16*(IF(ADRYr2!$AI16=BY$4,ADRYr2!$AJ16,IF(ADRYr2!$AK16=BY$4,ADRYr2!$AL16,IF(ADRYr2!$AM16=BY$4,ADRYr2!$AN16,0))))*(INDEX(avoidedcosttbl2,$H16,BY$2)+(($H16-ROUNDDOWN($H16,0))*(INDEX(avoidedcosttbl2,ROUNDUP($H16,0),BY$2)-(INDEX(avoidedcosttbl2,ROUNDDOWN($H16,0),BY$2)))))*ADRYr2!P16*ADRYr2!Q16*ADRYr2!U16)</f>
        <v/>
      </c>
      <c r="BZ16" s="28" t="str">
        <f>IF($G16="","",$G16*(IF(ADRYr2!$AI16=BZ$4,ADRYr2!$AJ16,IF(ADRYr2!$AK16=BZ$4,ADRYr2!$AL16,IF(ADRYr2!$AM16=BZ$4,ADRYr2!$AN16,0))))*(INDEX(avoidedcosttbl2,$H16,BZ$2)+(($H16-ROUNDDOWN($H16,0))*(INDEX(avoidedcosttbl2,ROUNDUP($H16,0),BZ$2)-(INDEX(avoidedcosttbl2,ROUNDDOWN($H16,0),BZ$2)))))*ADRYr2!P16*ADRYr2!Q16*ADRYr2!U16)</f>
        <v/>
      </c>
      <c r="CA16" s="28" t="str">
        <f>IF($G16="","",$G16*(IF(ADRYr2!$AI16=CA$4,ADRYr2!$AJ16,IF(ADRYr2!$AK16=CA$4,ADRYr2!$AL16,IF(ADRYr2!$AM16=CA$4,ADRYr2!$AN16,0))))*(INDEX(avoidedcosttbl2,$H16,CA$2)+(($H16-ROUNDDOWN($H16,0))*(INDEX(avoidedcosttbl2,ROUNDUP($H16,0),CA$2)-(INDEX(avoidedcosttbl2,ROUNDDOWN($H16,0),CA$2)))))*ADRYr2!P16*ADRYr2!Q16*ADRYr2!U16)</f>
        <v/>
      </c>
      <c r="CB16" s="28" t="str">
        <f>IF($G16="","",$G16*(IF(ADRYr2!$AI16=CB$4,ADRYr2!$AJ16,IF(ADRYr2!$AK16=CB$4,ADRYr2!$AL16,IF(ADRYr2!$AM16=CB$4,ADRYr2!$AN16,0))))*(INDEX(avoidedcosttbl2,$H16,CB$2)+(($H16-ROUNDDOWN($H16,0))*(INDEX(avoidedcosttbl2,ROUNDUP($H16,0),CB$2)-(INDEX(avoidedcosttbl2,ROUNDDOWN($H16,0),CB$2)))))*ADRYr2!P16*ADRYr2!Q16*ADRYr2!U16)</f>
        <v/>
      </c>
      <c r="CC16" s="28" t="str">
        <f>IF($G16="","",$G16*(IF(ADRYr2!$AI16=CC$4,ADRYr2!$AJ16,IF(ADRYr2!$AK16=CC$4,ADRYr2!$AL16,IF(ADRYr2!$AM16=CC$4,ADRYr2!$AN16,0))))*(INDEX(avoidedcosttbl2,$H16,CC$2)+(($H16-ROUNDDOWN($H16,0))*(INDEX(avoidedcosttbl2,ROUNDUP($H16,0),CC$2)-(INDEX(avoidedcosttbl2,ROUNDDOWN($H16,0),CC$2)))))*ADRYr2!P16*ADRYr2!Q16*ADRYr2!U16)</f>
        <v/>
      </c>
      <c r="CD16" s="28" t="str">
        <f>IF($G16="","",$G16*(IF(ADRYr2!$AI16=CD$4,ADRYr2!$AJ16,IF(ADRYr2!$AK16=CD$4,ADRYr2!$AL16,IF(ADRYr2!$AM16=CD$4,ADRYr2!$AN16,0))))*(INDEX(avoidedcosttbl2,$H16,CD$2)+(($H16-ROUNDDOWN($H16,0))*(INDEX(avoidedcosttbl2,ROUNDUP($H16,0),CD$2)-(INDEX(avoidedcosttbl2,ROUNDDOWN($H16,0),CD$2)))))*ADRYr2!P16*ADRYr2!Q16*ADRYr2!U16)</f>
        <v/>
      </c>
      <c r="CE16" s="28" t="str">
        <f>IF($G16="","",$G16*(IF(ADRYr2!$AI16=CE$4,ADRYr2!$AJ16,IF(ADRYr2!$AK16=CE$4,ADRYr2!$AL16,IF(ADRYr2!$AM16=CE$4,ADRYr2!$AN16,0))))*(INDEX(avoidedcosttbl2,$H16,CE$2)+(($H16-ROUNDDOWN($H16,0))*(INDEX(avoidedcosttbl2,ROUNDUP($H16,0),CE$2)-(INDEX(avoidedcosttbl2,ROUNDDOWN($H16,0),CE$2)))))*ADRYr2!P16*ADRYr2!Q16*ADRYr2!U16)</f>
        <v/>
      </c>
      <c r="CF16" s="41" t="str">
        <f t="shared" si="38"/>
        <v/>
      </c>
      <c r="CG16" s="30" t="str">
        <f t="shared" si="11"/>
        <v/>
      </c>
      <c r="CH16" s="30" t="str">
        <f>IF($G16="","",$G16*(IF(ADRYr2!$AI16=BY$4,ADRYr2!$AJ16,IF(ADRYr2!$AK16=BY$4,ADRYr2!$AL16,IF(ADRYr2!$AM16=BY$4,ADRYr2!$AN16,0))))*(INDEX(avoidedcosttbl2,$H16,CH$2)+(($H16-ROUNDDOWN($H16,0))*(INDEX(avoidedcosttbl2,ROUNDUP($H16,0),CH$2)-(INDEX(avoidedcosttbl2,ROUNDDOWN($H16,0),CH$2)))))*ADRYr2!P16*ADRYr2!Q16*ADRYr2!U16)</f>
        <v/>
      </c>
      <c r="CI16" s="30" t="str">
        <f>IF($G16="","",$G16*(IF(ADRYr2!$AI16=BZ$4,ADRYr2!$AJ16,IF(ADRYr2!$AK16=BZ$4,ADRYr2!$AL16,IF(ADRYr2!$AM16=BZ$4,ADRYr2!$AN16,0))))*(INDEX(avoidedcosttbl2,$H16,CI$2)+(($H16-ROUNDDOWN($H16,0))*(INDEX(avoidedcosttbl2,ROUNDUP($H16,0),CI$2)-(INDEX(avoidedcosttbl2,ROUNDDOWN($H16,0),CI$2)))))*ADRYr2!P16*ADRYr2!Q16*ADRYr2!U16)</f>
        <v/>
      </c>
      <c r="CJ16" s="30" t="str">
        <f>IF($G16="","",$G16*(IF(ADRYr2!$AI16=CA$4,ADRYr2!$AJ16,IF(ADRYr2!$AK16=CA$4,ADRYr2!$AL16,IF(ADRYr2!$AM16=CA$4,ADRYr2!$AN16,0))))*(INDEX(avoidedcosttbl2,$H16,CJ$2)+(($H16-ROUNDDOWN($H16,0))*(INDEX(avoidedcosttbl2,ROUNDUP($H16,0),CJ$2)-(INDEX(avoidedcosttbl2,ROUNDDOWN($H16,0),CJ$2)))))*ADRYr2!P16*ADRYr2!Q16*ADRYr2!U16)</f>
        <v/>
      </c>
      <c r="CK16" s="30" t="str">
        <f>IF($G16="","",$G16*(IF(ADRYr2!$AI16=CB$4,ADRYr2!$AJ16,IF(ADRYr2!$AK16=CB$4,ADRYr2!$AL16,IF(ADRYr2!$AM16=CB$4,ADRYr2!$AN16,0))))*(INDEX(avoidedcosttbl2,$H16,CK$2)+(($H16-ROUNDDOWN($H16,0))*(INDEX(avoidedcosttbl2,ROUNDUP($H16,0),CK$2)-(INDEX(avoidedcosttbl2,ROUNDDOWN($H16,0),CK$2)))))*ADRYr2!P16*ADRYr2!Q16*ADRYr2!U16)</f>
        <v/>
      </c>
      <c r="CL16" s="30" t="str">
        <f>IF($G16="","",$G16*(IF(ADRYr2!$AI16=CC$4,ADRYr2!$AJ16,IF(ADRYr2!$AK16=CC$4,ADRYr2!$AL16,IF(ADRYr2!$AM16=CC$4,ADRYr2!$AN16,0))))*(INDEX(avoidedcosttbl2,$H16,CL$2)+(($H16-ROUNDDOWN($H16,0))*(INDEX(avoidedcosttbl2,ROUNDUP($H16,0),CL$2)-(INDEX(avoidedcosttbl2,ROUNDDOWN($H16,0),CL$2)))))*ADRYr2!P16*ADRYr2!Q16*ADRYr2!U16)</f>
        <v/>
      </c>
      <c r="CM16" s="30" t="str">
        <f>IF($G16="","",$G16*(IF(ADRYr2!$AI16=CD$4,ADRYr2!$AJ16,IF(ADRYr2!$AK16=CD$4,ADRYr2!$AL16,IF(ADRYr2!$AM16=CD$4,ADRYr2!$AN16,0))))*(INDEX(avoidedcosttbl2,$H16,CM$2)+(($H16-ROUNDDOWN($H16,0))*(INDEX(avoidedcosttbl2,ROUNDUP($H16,0),CM$2)-(INDEX(avoidedcosttbl2,ROUNDDOWN($H16,0),CM$2)))))*ADRYr2!P16*ADRYr2!Q16*ADRYr2!U16)</f>
        <v/>
      </c>
      <c r="CN16" s="30" t="str">
        <f>IF($G16="","",$G16*(IF(ADRYr2!$AI16=CE$4,ADRYr2!$AJ16,IF(ADRYr2!$AK16=CE$4,ADRYr2!$AL16,IF(ADRYr2!$AM16=CE$4,ADRYr2!$AN16,0))))*(INDEX(avoidedcosttbl2,$H16,CN$2)+(($H16-ROUNDDOWN($H16,0))*(INDEX(avoidedcosttbl2,ROUNDUP($H16,0),CN$2)-(INDEX(avoidedcosttbl2,ROUNDDOWN($H16,0),CN$2)))))*ADRYr2!P16*ADRYr2!Q16*ADRYr2!U16)</f>
        <v/>
      </c>
      <c r="CO16" s="220" t="str">
        <f t="shared" si="39"/>
        <v/>
      </c>
      <c r="CP16" s="220" t="str">
        <f t="shared" si="40"/>
        <v/>
      </c>
      <c r="CQ16" s="157" t="str">
        <f>IF($G16="","",$G16*(IF(ADRYr2!$AI16=CQ$4,ADRYr2!$AJ16,IF(ADRYr2!$AK16=CQ$4,ADRYr2!$AL16,IF(ADRYr2!$AM16=CQ$4,ADRYr2!$AN16,0))))*(INDEX(avoidedcosttbl2,$H16,CQ$2)+(($H16-ROUNDDOWN($H16,0))*(INDEX(avoidedcosttbl2,ROUNDUP($H16,0),CQ$2)-(INDEX(avoidedcosttbl2,ROUNDDOWN($H16,0),CQ$2)))))*ADRYr2!$P16*ADRYr2!$Q16*ADRYr2!$U16)</f>
        <v/>
      </c>
      <c r="CR16" s="28" t="str">
        <f>IF($G16="","",G16*(IF(ADRYr2!$AI16=CR$4,ADRYr2!$AJ16,IF(ADRYr2!$AK16=CR$4,ADRYr2!$AL16,IF(ADRYr2!$AM16=CR$4,ADRYr2!$AN16,0))))*(INDEX(avoidedcosttbl2,$H16,CR$2)+(($H16-ROUNDDOWN($H16,0))*(INDEX(avoidedcosttbl2,ROUNDUP($H16,0),CR$2)-(INDEX(avoidedcosttbl2,ROUNDDOWN($H16,0),CR$2)))))*ADRYr2!$P16*ADRYr2!$Q16*ADRYr2!$U16)</f>
        <v/>
      </c>
      <c r="CS16" s="28" t="str">
        <f>IF($G16="","",G16*(IF(ADRYr2!$AI16=CS$4,ADRYr2!$AJ16,IF(ADRYr2!$AK16=CS$4,ADRYr2!$AL16,IF(ADRYr2!$AM16=CS$4,ADRYr2!$AN16,0))))*(INDEX(avoidedcosttbl2,$H16,CS$2)+(($H16-ROUNDDOWN($H16,0))*(INDEX(avoidedcosttbl2,ROUNDUP($H16,0),CS$2)-(INDEX(avoidedcosttbl2,ROUNDDOWN($H16,0),CS$2)))))*ADRYr2!$P16*ADRYr2!$Q16*ADRYr2!$U16)</f>
        <v/>
      </c>
      <c r="CT16" s="28" t="str">
        <f t="shared" si="12"/>
        <v/>
      </c>
      <c r="CU16" s="28" t="str">
        <f>IF($G16="","",G16*(IF(ADRYr2!$AI16=CU$4,ADRYr2!$AJ16,IF(ADRYr2!$AK16=CU$4,ADRYr2!$AL16,IF(ADRYr2!$AM16=CU$4,ADRYr2!$AN16,0))))*(INDEX(avoidedcosttbl2,$H16,CU$2)+(($H16-ROUNDDOWN($H16,0))*(INDEX(avoidedcosttbl2,ROUNDUP($H16,0),CU$2)-(INDEX(avoidedcosttbl2,ROUNDDOWN($H16,0),CU$2)))))*ADRYr2!$P16*ADRYr2!$Q16*ADRYr2!$U16)</f>
        <v/>
      </c>
      <c r="CV16" s="28" t="str">
        <f>IF($G16="","",G16*(IF(ADRYr2!$AI16=CV$4,ADRYr2!$AJ16,IF(ADRYr2!$AK16=CV$4,ADRYr2!$AL16,IF(ADRYr2!$AM16=CV$4,ADRYr2!$AN16,0))))*(INDEX(avoidedcosttbl2,$H16,CV$2)+(($H16-ROUNDDOWN($H16,0))*(INDEX(avoidedcosttbl2,ROUNDUP($H16,0),CV$2)-(INDEX(avoidedcosttbl2,ROUNDDOWN($H16,0),CV$2)))))*ADRYr2!$P16*ADRYr2!$Q16*ADRYr2!$U16)</f>
        <v/>
      </c>
      <c r="CW16" s="28" t="str">
        <f>IF($G16="","",G16*(IF(ADRYr2!$AI16=CW$4,ADRYr2!$AJ16,IF(ADRYr2!$AK16=CW$4,ADRYr2!$AL16,IF(ADRYr2!$AM16=CW$4,ADRYr2!$AN16,0))))*(INDEX(avoidedcosttbl2,$H16,CW$2)+(($H16-ROUNDDOWN($H16,0))*(INDEX(avoidedcosttbl2,ROUNDUP($H16,0),CW$2)-(INDEX(avoidedcosttbl2,ROUNDDOWN($H16,0),CW$2)))))*ADRYr2!$P16*ADRYr2!$Q16*ADRYr2!$U16)</f>
        <v/>
      </c>
      <c r="CX16" s="28" t="str">
        <f>IF($G16="","",G16*(IF(ADRYr2!$AI16=CX$4,ADRYr2!$AJ16,IF(ADRYr2!$AK16=CX$4,ADRYr2!$AL16,IF(ADRYr2!$AM16=CX$4,ADRYr2!$AN16,0))))*(INDEX(avoidedcosttbl2,$H16,CX$2)+(($H16-ROUNDDOWN($H16,0))*(INDEX(avoidedcosttbl2,ROUNDUP($H16,0),CX$2)-(INDEX(avoidedcosttbl2,ROUNDDOWN($H16,0),CX$2)))))*ADRYr2!$P16*ADRYr2!$Q16*ADRYr2!$U16)</f>
        <v/>
      </c>
      <c r="CY16" s="28" t="str">
        <f t="shared" si="13"/>
        <v/>
      </c>
      <c r="CZ16" s="32" t="str">
        <f t="shared" si="14"/>
        <v/>
      </c>
      <c r="DA16" s="84" t="str">
        <f t="shared" si="41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15"/>
        <v/>
      </c>
      <c r="DD16" s="166" t="str">
        <f t="shared" si="16"/>
        <v/>
      </c>
      <c r="DE16" s="82">
        <f t="shared" si="42"/>
        <v>0</v>
      </c>
      <c r="DF16" s="760" t="str">
        <f>IF($G16="","",(1+WntPeakEnergyLL)*(INDEX(avoidedcosttbl2,$H16,DF$2)+(($H16-ROUNDDOWN($H16,0))*(INDEX(avoidedcosttbl2,ROUNDUP($H16,0),DF$2)-(INDEX(avoidedcosttbl2,ROUNDDOWN($H16,0),DF$2)))))*$P16*1000*ADRYr2!Z16)</f>
        <v/>
      </c>
      <c r="DG16" s="760" t="str">
        <f>IF($G16="","",(1+WntOffPeakEnergyLL)*(INDEX(avoidedcosttbl2,$H16,DG$2)+(($H16-ROUNDDOWN($H16,0))*(INDEX(avoidedcosttbl2,ROUNDUP($H16,0),DG$2)-(INDEX(avoidedcosttbl2,ROUNDDOWN($H16,0),DG$2)))))*$P16*1000*ADRYr2!AA16)</f>
        <v/>
      </c>
      <c r="DH16" s="760" t="str">
        <f>IF($G16="","",(1+SumPeakEnergyLL)*(INDEX(avoidedcosttbl2,$H16,DH$2)+(($H16-ROUNDDOWN($H16,0))*(INDEX(avoidedcosttbl2,ROUNDUP($H16,0),DH$2)-(INDEX(avoidedcosttbl2,ROUNDDOWN($H16,0),DH$2)))))*$P16*1000*ADRYr2!AB16)</f>
        <v/>
      </c>
      <c r="DI16" s="760" t="str">
        <f>IF($G16="","",(1+SumOffPeakEnergyLL)*(INDEX(avoidedcosttbl2,$H16,DI$2)+(($H16-ROUNDDOWN($H16,0))*(INDEX(avoidedcosttbl2,ROUNDUP($H16,0),DI$2)-(INDEX(avoidedcosttbl2,ROUNDDOWN($H16,0),DI$2)))))*$P16*1000*ADRYr2!AC16)</f>
        <v/>
      </c>
      <c r="DJ16" s="29" t="str">
        <f t="shared" si="43"/>
        <v/>
      </c>
      <c r="DK16" s="161" t="str">
        <f t="shared" si="44"/>
        <v/>
      </c>
      <c r="DL16" s="1375" t="str">
        <f t="shared" si="45"/>
        <v/>
      </c>
      <c r="DM16" s="1375" t="str">
        <f t="shared" si="46"/>
        <v/>
      </c>
      <c r="DN16" s="43" t="str">
        <f t="shared" si="47"/>
        <v/>
      </c>
      <c r="DO16" s="1131" t="str">
        <f>IF($G16="","",ADRYr2!AQ16)</f>
        <v/>
      </c>
      <c r="DP16" s="1133" t="str">
        <f>IF($G16="","",ADRYr2!AR16)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48"/>
        <v/>
      </c>
      <c r="DU16" s="1135" t="str">
        <f>IF($G16="","",ADRYr2!AS16)</f>
        <v/>
      </c>
      <c r="DV16" s="1136" t="str">
        <f>IF($G16="","",ADRYr2!AT16)</f>
        <v/>
      </c>
      <c r="DW16" s="1344" t="str">
        <f>IF($G16="","",INDEX(AvoidedEnergy!$H$4:$H$10,MATCH($DO16,AvoidedEnergy!$A$4:$A$10,0)))</f>
        <v/>
      </c>
    </row>
    <row r="17" spans="1:127">
      <c r="A17" s="160" t="str">
        <f>IF(ADRYr2!$B17=0,"",ADRYr2!A17)</f>
        <v>B - Low-Income</v>
      </c>
      <c r="B17" s="9" t="str">
        <f>IF(ADRYr2!$B17=0,"",ADRYr2!B17)</f>
        <v>Home Energy Assistance</v>
      </c>
      <c r="C17" s="9" t="str">
        <f>IF(ADRYr2!$B17=0,"",ADRYr2!C17)</f>
        <v>Res Demand Response</v>
      </c>
      <c r="D17" s="9" t="str">
        <f>IF(ADRYr2!$B17=0,"",ADRYr2!D17)</f>
        <v>Direct Load Control Targeted Dispatch Upfront/Annual Incentive Summer</v>
      </c>
      <c r="E17" s="9">
        <f>IF(ADRYr2!$B17=0,"",ADRYr2!E17)</f>
        <v>0</v>
      </c>
      <c r="F17" s="11" t="str">
        <f>IF(ADRYr2!$B17=0,"",ADRYr2!F17)</f>
        <v>Behavior</v>
      </c>
      <c r="G17" s="12" t="str">
        <f>IF(ADRYr2!$G17&lt;&gt;0,ADRYr2!G17,"")</f>
        <v/>
      </c>
      <c r="H17" s="1125" t="str">
        <f>IF($G17="","",ROUND(ADRYr2!H17,0))</f>
        <v/>
      </c>
      <c r="I17" s="47" t="str">
        <f>IF($G17="","",ADRYr2!I17*ADRYr2!P17*G17)</f>
        <v/>
      </c>
      <c r="J17" s="47" t="str">
        <f>IF($G17="","",ADRYr2!J17*G17)</f>
        <v/>
      </c>
      <c r="K17" s="47" t="str">
        <f t="shared" si="17"/>
        <v/>
      </c>
      <c r="L17" s="27" t="str">
        <f>IF($G17="","",ADRYr2!V17*G17/1000)</f>
        <v/>
      </c>
      <c r="M17" s="27" t="str">
        <f>IF($G17="","",L17*ADRYr2!$Q17*ADRYr2!$R17)</f>
        <v/>
      </c>
      <c r="N17" s="27" t="str">
        <f t="shared" si="18"/>
        <v/>
      </c>
      <c r="O17" s="27" t="str">
        <f t="shared" si="19"/>
        <v/>
      </c>
      <c r="P17" s="27" t="str">
        <f>IF($G17="","",M17*ADRYr2!P17)</f>
        <v/>
      </c>
      <c r="Q17" s="27" t="str">
        <f t="shared" si="20"/>
        <v/>
      </c>
      <c r="R17" s="27" t="str">
        <f>IF($G17="","",$Q17*ADRYr2!Z17)</f>
        <v/>
      </c>
      <c r="S17" s="27" t="str">
        <f>IF($G17="","",$Q17*ADRYr2!AA17)</f>
        <v/>
      </c>
      <c r="T17" s="27" t="str">
        <f>IF($G17="","",$Q17*ADRYr2!AB17)</f>
        <v/>
      </c>
      <c r="U17" s="27" t="str">
        <f>IF($G17="","",$Q17*ADRYr2!AC17)</f>
        <v/>
      </c>
      <c r="V17" s="27" t="str">
        <f>IF($G17="","",G17*ADRYr2!$AD17*ADRYr2!$P17*ADRYr2!$Q17)</f>
        <v/>
      </c>
      <c r="W17" s="27" t="str">
        <f>IF($G17="","",$G17*ADRYr2!$AD17*ADRYr2!$AF17*ADRYr2!Q17*ADRYr2!$S17)</f>
        <v/>
      </c>
      <c r="X17" s="27" t="str">
        <f>IF($G17="","",$G17*ADRYr2!$AD17*ADRYr2!$AF17*ADRYr2!P17*ADRYr2!Q17*ADRYr2!$S17)</f>
        <v/>
      </c>
      <c r="Y17" s="27" t="str">
        <f>IF($G17="","",$G17*ADRYr2!$AD17*ADRYr2!$AE17*ADRYr2!Q17*ADRYr2!$T17)</f>
        <v/>
      </c>
      <c r="Z17" s="27" t="str">
        <f>IF($G17="","",$G17*ADRYr2!$AD17*ADRYr2!$AE17*ADRYr2!P17*ADRYr2!Q17*ADRYr2!$T17)</f>
        <v/>
      </c>
      <c r="AA17" s="45" t="str">
        <f>IF($G17="","",$G17*ADRYr2!$Q17*ADRYr2!$U17*(IF(IFERROR(SEARCH("NG", ADRYr2!$AI17),0),ADRYr2!$AJ17,0)+IF(IFERROR(SEARCH("NG", ADRYr2!$AK17),0),ADRYr2!$AL17,0)+IF(IFERROR(SEARCH("NG", ADRYr2!$AM17),0),ADRYr2!$AN17,0)))</f>
        <v/>
      </c>
      <c r="AB17" s="45" t="str">
        <f t="shared" si="21"/>
        <v/>
      </c>
      <c r="AC17" s="45">
        <f>IF($G17="",0,AA17*ADRYr2!$P17)</f>
        <v>0</v>
      </c>
      <c r="AD17" s="45" t="str">
        <f t="shared" si="22"/>
        <v/>
      </c>
      <c r="AE17" s="45" t="str">
        <f>IF($G17="","",$G17*ADRYr2!$Q17*ADRYr2!$U17*(IF(IFERROR(SEARCH("Oil", ADRYr2!$AI17), 0),ADRYr2!$AJ17,0)+IF(IFERROR(SEARCH("Oil", ADRYr2!$AK17), 0),ADRYr2!$AL17,0)+IF(IFERROR(SEARCH("Oil", ADRYr2!$AM17), 0),ADRYr2!$AN17,0)))</f>
        <v/>
      </c>
      <c r="AF17" s="45" t="str">
        <f t="shared" si="23"/>
        <v/>
      </c>
      <c r="AG17" s="45">
        <f>IF($G17="",0,AE17*ADRYr2!$P17)</f>
        <v>0</v>
      </c>
      <c r="AH17" s="45" t="str">
        <f t="shared" si="24"/>
        <v/>
      </c>
      <c r="AI17" s="45" t="str">
        <f>IF($G17="","",$G17*ADRYr2!$Q17*ADRYr2!$U17*(IF(ADRYr2!$AI17=Lookups!$E$114,ADRYr2!$AJ17,IF(ADRYr2!$AK17=Lookups!$E$114,ADRYr2!$AL17,IF(ADRYr2!$AM17=Lookups!$E$114,ADRYr2!$AN17,0)))))</f>
        <v/>
      </c>
      <c r="AJ17" s="45" t="str">
        <f t="shared" si="25"/>
        <v/>
      </c>
      <c r="AK17" s="45">
        <f>IF($G17="",0,AI17*ADRYr2!$P17)</f>
        <v>0</v>
      </c>
      <c r="AL17" s="45" t="str">
        <f t="shared" si="26"/>
        <v/>
      </c>
      <c r="AM17" s="45" t="str">
        <f>IF($G17="","",$G17*ADRYr2!$Q17*ADRYr2!$U17*(IF(ADRYr2!$AI17=Lookups!$E$113,ADRYr2!$AJ17,IF(ADRYr2!$AK17=Lookups!$E$113,ADRYr2!$AL17,IF(ADRYr2!$AM17=Lookups!$E$113,ADRYr2!$AN17,0)))))</f>
        <v/>
      </c>
      <c r="AN17" s="45" t="str">
        <f t="shared" si="27"/>
        <v/>
      </c>
      <c r="AO17" s="45">
        <f>IF($G17="",0,AM17*ADRYr2!$P17)</f>
        <v>0</v>
      </c>
      <c r="AP17" s="45" t="str">
        <f t="shared" si="28"/>
        <v/>
      </c>
      <c r="AQ17" s="45" t="str">
        <f>IF($G17="","",$G17*ADRYr2!$Q17*ADRYr2!$U17*(IF(ADRYr2!$AI17=Lookups!$E$115,ADRYr2!$AJ17,IF(ADRYr2!$AK17=Lookups!$E$115,ADRYr2!$AL17,IF(ADRYr2!$AM17=Lookups!$E$115,ADRYr2!$AN17,0)))))</f>
        <v/>
      </c>
      <c r="AR17" s="45" t="str">
        <f t="shared" si="29"/>
        <v/>
      </c>
      <c r="AS17" s="45" t="str">
        <f>IF($G17="","",AQ17*ADRYr2!$P17)</f>
        <v/>
      </c>
      <c r="AT17" s="45" t="str">
        <f t="shared" si="30"/>
        <v/>
      </c>
      <c r="AU17" s="45" t="str">
        <f>IF($G17="","",$G17*ADRYr2!$Q17*ADRYr2!$U17*(IF(ADRYr2!$AI17=Lookups!$E$116,ADRYr2!$AJ17,IF(ADRYr2!$AK17=Lookups!$E$116,ADRYr2!$AL17,IF(ADRYr2!$AM17=Lookups!$E$116,ADRYr2!$AN17,0)))))</f>
        <v/>
      </c>
      <c r="AV17" s="45" t="str">
        <f t="shared" si="31"/>
        <v/>
      </c>
      <c r="AW17" s="45" t="str">
        <f>IF($G17="","",AU17*ADRYr2!$P17)</f>
        <v/>
      </c>
      <c r="AX17" s="45" t="str">
        <f t="shared" si="32"/>
        <v/>
      </c>
      <c r="AY17" s="45">
        <f t="shared" si="33"/>
        <v>0</v>
      </c>
      <c r="AZ17" s="45">
        <f t="shared" si="33"/>
        <v>0</v>
      </c>
      <c r="BA17" s="101" t="str">
        <f>IF($G17="","",$G17*ADRYr2!$P17*ADRYr2!$Q17*ADRYr2!$U17*ADRYr2!AO17)</f>
        <v/>
      </c>
      <c r="BB17" s="102" t="str">
        <f>IF($G17="","",$G17*ADRYr2!$P17*ADRYr2!$Q17*ADRYr2!$U17*ADRYr2!AP17)</f>
        <v/>
      </c>
      <c r="BC17" s="100" t="str">
        <f t="shared" si="34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5"/>
        <v/>
      </c>
      <c r="BO17" s="31" t="str">
        <f t="shared" si="35"/>
        <v/>
      </c>
      <c r="BP17" s="1129" t="str">
        <f t="shared" si="6"/>
        <v/>
      </c>
      <c r="BQ17" s="28" t="str">
        <f t="shared" si="7"/>
        <v/>
      </c>
      <c r="BR17" s="1129" t="str">
        <f t="shared" si="8"/>
        <v/>
      </c>
      <c r="BS17" s="1129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6"/>
        <v/>
      </c>
      <c r="BX17" s="29" t="str">
        <f t="shared" si="37"/>
        <v/>
      </c>
      <c r="BY17" s="28" t="str">
        <f>IF($G17="","",$G17*(IF(ADRYr2!$AI17=BY$4,ADRYr2!$AJ17,IF(ADRYr2!$AK17=BY$4,ADRYr2!$AL17,IF(ADRYr2!$AM17=BY$4,ADRYr2!$AN17,0))))*(INDEX(avoidedcosttbl2,$H17,BY$2)+(($H17-ROUNDDOWN($H17,0))*(INDEX(avoidedcosttbl2,ROUNDUP($H17,0),BY$2)-(INDEX(avoidedcosttbl2,ROUNDDOWN($H17,0),BY$2)))))*ADRYr2!P17*ADRYr2!Q17*ADRYr2!U17)</f>
        <v/>
      </c>
      <c r="BZ17" s="28" t="str">
        <f>IF($G17="","",$G17*(IF(ADRYr2!$AI17=BZ$4,ADRYr2!$AJ17,IF(ADRYr2!$AK17=BZ$4,ADRYr2!$AL17,IF(ADRYr2!$AM17=BZ$4,ADRYr2!$AN17,0))))*(INDEX(avoidedcosttbl2,$H17,BZ$2)+(($H17-ROUNDDOWN($H17,0))*(INDEX(avoidedcosttbl2,ROUNDUP($H17,0),BZ$2)-(INDEX(avoidedcosttbl2,ROUNDDOWN($H17,0),BZ$2)))))*ADRYr2!P17*ADRYr2!Q17*ADRYr2!U17)</f>
        <v/>
      </c>
      <c r="CA17" s="28" t="str">
        <f>IF($G17="","",$G17*(IF(ADRYr2!$AI17=CA$4,ADRYr2!$AJ17,IF(ADRYr2!$AK17=CA$4,ADRYr2!$AL17,IF(ADRYr2!$AM17=CA$4,ADRYr2!$AN17,0))))*(INDEX(avoidedcosttbl2,$H17,CA$2)+(($H17-ROUNDDOWN($H17,0))*(INDEX(avoidedcosttbl2,ROUNDUP($H17,0),CA$2)-(INDEX(avoidedcosttbl2,ROUNDDOWN($H17,0),CA$2)))))*ADRYr2!P17*ADRYr2!Q17*ADRYr2!U17)</f>
        <v/>
      </c>
      <c r="CB17" s="28" t="str">
        <f>IF($G17="","",$G17*(IF(ADRYr2!$AI17=CB$4,ADRYr2!$AJ17,IF(ADRYr2!$AK17=CB$4,ADRYr2!$AL17,IF(ADRYr2!$AM17=CB$4,ADRYr2!$AN17,0))))*(INDEX(avoidedcosttbl2,$H17,CB$2)+(($H17-ROUNDDOWN($H17,0))*(INDEX(avoidedcosttbl2,ROUNDUP($H17,0),CB$2)-(INDEX(avoidedcosttbl2,ROUNDDOWN($H17,0),CB$2)))))*ADRYr2!P17*ADRYr2!Q17*ADRYr2!U17)</f>
        <v/>
      </c>
      <c r="CC17" s="28" t="str">
        <f>IF($G17="","",$G17*(IF(ADRYr2!$AI17=CC$4,ADRYr2!$AJ17,IF(ADRYr2!$AK17=CC$4,ADRYr2!$AL17,IF(ADRYr2!$AM17=CC$4,ADRYr2!$AN17,0))))*(INDEX(avoidedcosttbl2,$H17,CC$2)+(($H17-ROUNDDOWN($H17,0))*(INDEX(avoidedcosttbl2,ROUNDUP($H17,0),CC$2)-(INDEX(avoidedcosttbl2,ROUNDDOWN($H17,0),CC$2)))))*ADRYr2!P17*ADRYr2!Q17*ADRYr2!U17)</f>
        <v/>
      </c>
      <c r="CD17" s="28" t="str">
        <f>IF($G17="","",$G17*(IF(ADRYr2!$AI17=CD$4,ADRYr2!$AJ17,IF(ADRYr2!$AK17=CD$4,ADRYr2!$AL17,IF(ADRYr2!$AM17=CD$4,ADRYr2!$AN17,0))))*(INDEX(avoidedcosttbl2,$H17,CD$2)+(($H17-ROUNDDOWN($H17,0))*(INDEX(avoidedcosttbl2,ROUNDUP($H17,0),CD$2)-(INDEX(avoidedcosttbl2,ROUNDDOWN($H17,0),CD$2)))))*ADRYr2!P17*ADRYr2!Q17*ADRYr2!U17)</f>
        <v/>
      </c>
      <c r="CE17" s="28" t="str">
        <f>IF($G17="","",$G17*(IF(ADRYr2!$AI17=CE$4,ADRYr2!$AJ17,IF(ADRYr2!$AK17=CE$4,ADRYr2!$AL17,IF(ADRYr2!$AM17=CE$4,ADRYr2!$AN17,0))))*(INDEX(avoidedcosttbl2,$H17,CE$2)+(($H17-ROUNDDOWN($H17,0))*(INDEX(avoidedcosttbl2,ROUNDUP($H17,0),CE$2)-(INDEX(avoidedcosttbl2,ROUNDDOWN($H17,0),CE$2)))))*ADRYr2!P17*ADRYr2!Q17*ADRYr2!U17)</f>
        <v/>
      </c>
      <c r="CF17" s="41" t="str">
        <f t="shared" si="38"/>
        <v/>
      </c>
      <c r="CG17" s="30" t="str">
        <f t="shared" si="11"/>
        <v/>
      </c>
      <c r="CH17" s="30" t="str">
        <f>IF($G17="","",$G17*(IF(ADRYr2!$AI17=BY$4,ADRYr2!$AJ17,IF(ADRYr2!$AK17=BY$4,ADRYr2!$AL17,IF(ADRYr2!$AM17=BY$4,ADRYr2!$AN17,0))))*(INDEX(avoidedcosttbl2,$H17,CH$2)+(($H17-ROUNDDOWN($H17,0))*(INDEX(avoidedcosttbl2,ROUNDUP($H17,0),CH$2)-(INDEX(avoidedcosttbl2,ROUNDDOWN($H17,0),CH$2)))))*ADRYr2!P17*ADRYr2!Q17*ADRYr2!U17)</f>
        <v/>
      </c>
      <c r="CI17" s="30" t="str">
        <f>IF($G17="","",$G17*(IF(ADRYr2!$AI17=BZ$4,ADRYr2!$AJ17,IF(ADRYr2!$AK17=BZ$4,ADRYr2!$AL17,IF(ADRYr2!$AM17=BZ$4,ADRYr2!$AN17,0))))*(INDEX(avoidedcosttbl2,$H17,CI$2)+(($H17-ROUNDDOWN($H17,0))*(INDEX(avoidedcosttbl2,ROUNDUP($H17,0),CI$2)-(INDEX(avoidedcosttbl2,ROUNDDOWN($H17,0),CI$2)))))*ADRYr2!P17*ADRYr2!Q17*ADRYr2!U17)</f>
        <v/>
      </c>
      <c r="CJ17" s="30" t="str">
        <f>IF($G17="","",$G17*(IF(ADRYr2!$AI17=CA$4,ADRYr2!$AJ17,IF(ADRYr2!$AK17=CA$4,ADRYr2!$AL17,IF(ADRYr2!$AM17=CA$4,ADRYr2!$AN17,0))))*(INDEX(avoidedcosttbl2,$H17,CJ$2)+(($H17-ROUNDDOWN($H17,0))*(INDEX(avoidedcosttbl2,ROUNDUP($H17,0),CJ$2)-(INDEX(avoidedcosttbl2,ROUNDDOWN($H17,0),CJ$2)))))*ADRYr2!P17*ADRYr2!Q17*ADRYr2!U17)</f>
        <v/>
      </c>
      <c r="CK17" s="30" t="str">
        <f>IF($G17="","",$G17*(IF(ADRYr2!$AI17=CB$4,ADRYr2!$AJ17,IF(ADRYr2!$AK17=CB$4,ADRYr2!$AL17,IF(ADRYr2!$AM17=CB$4,ADRYr2!$AN17,0))))*(INDEX(avoidedcosttbl2,$H17,CK$2)+(($H17-ROUNDDOWN($H17,0))*(INDEX(avoidedcosttbl2,ROUNDUP($H17,0),CK$2)-(INDEX(avoidedcosttbl2,ROUNDDOWN($H17,0),CK$2)))))*ADRYr2!P17*ADRYr2!Q17*ADRYr2!U17)</f>
        <v/>
      </c>
      <c r="CL17" s="30" t="str">
        <f>IF($G17="","",$G17*(IF(ADRYr2!$AI17=CC$4,ADRYr2!$AJ17,IF(ADRYr2!$AK17=CC$4,ADRYr2!$AL17,IF(ADRYr2!$AM17=CC$4,ADRYr2!$AN17,0))))*(INDEX(avoidedcosttbl2,$H17,CL$2)+(($H17-ROUNDDOWN($H17,0))*(INDEX(avoidedcosttbl2,ROUNDUP($H17,0),CL$2)-(INDEX(avoidedcosttbl2,ROUNDDOWN($H17,0),CL$2)))))*ADRYr2!P17*ADRYr2!Q17*ADRYr2!U17)</f>
        <v/>
      </c>
      <c r="CM17" s="30" t="str">
        <f>IF($G17="","",$G17*(IF(ADRYr2!$AI17=CD$4,ADRYr2!$AJ17,IF(ADRYr2!$AK17=CD$4,ADRYr2!$AL17,IF(ADRYr2!$AM17=CD$4,ADRYr2!$AN17,0))))*(INDEX(avoidedcosttbl2,$H17,CM$2)+(($H17-ROUNDDOWN($H17,0))*(INDEX(avoidedcosttbl2,ROUNDUP($H17,0),CM$2)-(INDEX(avoidedcosttbl2,ROUNDDOWN($H17,0),CM$2)))))*ADRYr2!P17*ADRYr2!Q17*ADRYr2!U17)</f>
        <v/>
      </c>
      <c r="CN17" s="30" t="str">
        <f>IF($G17="","",$G17*(IF(ADRYr2!$AI17=CE$4,ADRYr2!$AJ17,IF(ADRYr2!$AK17=CE$4,ADRYr2!$AL17,IF(ADRYr2!$AM17=CE$4,ADRYr2!$AN17,0))))*(INDEX(avoidedcosttbl2,$H17,CN$2)+(($H17-ROUNDDOWN($H17,0))*(INDEX(avoidedcosttbl2,ROUNDUP($H17,0),CN$2)-(INDEX(avoidedcosttbl2,ROUNDDOWN($H17,0),CN$2)))))*ADRYr2!P17*ADRYr2!Q17*ADRYr2!U17)</f>
        <v/>
      </c>
      <c r="CO17" s="220" t="str">
        <f t="shared" si="39"/>
        <v/>
      </c>
      <c r="CP17" s="220" t="str">
        <f t="shared" si="40"/>
        <v/>
      </c>
      <c r="CQ17" s="157" t="str">
        <f>IF($G17="","",$G17*(IF(ADRYr2!$AI17=CQ$4,ADRYr2!$AJ17,IF(ADRYr2!$AK17=CQ$4,ADRYr2!$AL17,IF(ADRYr2!$AM17=CQ$4,ADRYr2!$AN17,0))))*(INDEX(avoidedcosttbl2,$H17,CQ$2)+(($H17-ROUNDDOWN($H17,0))*(INDEX(avoidedcosttbl2,ROUNDUP($H17,0),CQ$2)-(INDEX(avoidedcosttbl2,ROUNDDOWN($H17,0),CQ$2)))))*ADRYr2!$P17*ADRYr2!$Q17*ADRYr2!$U17)</f>
        <v/>
      </c>
      <c r="CR17" s="28" t="str">
        <f>IF($G17="","",G17*(IF(ADRYr2!$AI17=CR$4,ADRYr2!$AJ17,IF(ADRYr2!$AK17=CR$4,ADRYr2!$AL17,IF(ADRYr2!$AM17=CR$4,ADRYr2!$AN17,0))))*(INDEX(avoidedcosttbl2,$H17,CR$2)+(($H17-ROUNDDOWN($H17,0))*(INDEX(avoidedcosttbl2,ROUNDUP($H17,0),CR$2)-(INDEX(avoidedcosttbl2,ROUNDDOWN($H17,0),CR$2)))))*ADRYr2!$P17*ADRYr2!$Q17*ADRYr2!$U17)</f>
        <v/>
      </c>
      <c r="CS17" s="28" t="str">
        <f>IF($G17="","",G17*(IF(ADRYr2!$AI17=CS$4,ADRYr2!$AJ17,IF(ADRYr2!$AK17=CS$4,ADRYr2!$AL17,IF(ADRYr2!$AM17=CS$4,ADRYr2!$AN17,0))))*(INDEX(avoidedcosttbl2,$H17,CS$2)+(($H17-ROUNDDOWN($H17,0))*(INDEX(avoidedcosttbl2,ROUNDUP($H17,0),CS$2)-(INDEX(avoidedcosttbl2,ROUNDDOWN($H17,0),CS$2)))))*ADRYr2!$P17*ADRYr2!$Q17*ADRYr2!$U17)</f>
        <v/>
      </c>
      <c r="CT17" s="28" t="str">
        <f t="shared" si="12"/>
        <v/>
      </c>
      <c r="CU17" s="28" t="str">
        <f>IF($G17="","",G17*(IF(ADRYr2!$AI17=CU$4,ADRYr2!$AJ17,IF(ADRYr2!$AK17=CU$4,ADRYr2!$AL17,IF(ADRYr2!$AM17=CU$4,ADRYr2!$AN17,0))))*(INDEX(avoidedcosttbl2,$H17,CU$2)+(($H17-ROUNDDOWN($H17,0))*(INDEX(avoidedcosttbl2,ROUNDUP($H17,0),CU$2)-(INDEX(avoidedcosttbl2,ROUNDDOWN($H17,0),CU$2)))))*ADRYr2!$P17*ADRYr2!$Q17*ADRYr2!$U17)</f>
        <v/>
      </c>
      <c r="CV17" s="28" t="str">
        <f>IF($G17="","",G17*(IF(ADRYr2!$AI17=CV$4,ADRYr2!$AJ17,IF(ADRYr2!$AK17=CV$4,ADRYr2!$AL17,IF(ADRYr2!$AM17=CV$4,ADRYr2!$AN17,0))))*(INDEX(avoidedcosttbl2,$H17,CV$2)+(($H17-ROUNDDOWN($H17,0))*(INDEX(avoidedcosttbl2,ROUNDUP($H17,0),CV$2)-(INDEX(avoidedcosttbl2,ROUNDDOWN($H17,0),CV$2)))))*ADRYr2!$P17*ADRYr2!$Q17*ADRYr2!$U17)</f>
        <v/>
      </c>
      <c r="CW17" s="28" t="str">
        <f>IF($G17="","",G17*(IF(ADRYr2!$AI17=CW$4,ADRYr2!$AJ17,IF(ADRYr2!$AK17=CW$4,ADRYr2!$AL17,IF(ADRYr2!$AM17=CW$4,ADRYr2!$AN17,0))))*(INDEX(avoidedcosttbl2,$H17,CW$2)+(($H17-ROUNDDOWN($H17,0))*(INDEX(avoidedcosttbl2,ROUNDUP($H17,0),CW$2)-(INDEX(avoidedcosttbl2,ROUNDDOWN($H17,0),CW$2)))))*ADRYr2!$P17*ADRYr2!$Q17*ADRYr2!$U17)</f>
        <v/>
      </c>
      <c r="CX17" s="28" t="str">
        <f>IF($G17="","",G17*(IF(ADRYr2!$AI17=CX$4,ADRYr2!$AJ17,IF(ADRYr2!$AK17=CX$4,ADRYr2!$AL17,IF(ADRYr2!$AM17=CX$4,ADRYr2!$AN17,0))))*(INDEX(avoidedcosttbl2,$H17,CX$2)+(($H17-ROUNDDOWN($H17,0))*(INDEX(avoidedcosttbl2,ROUNDUP($H17,0),CX$2)-(INDEX(avoidedcosttbl2,ROUNDDOWN($H17,0),CX$2)))))*ADRYr2!$P17*ADRYr2!$Q17*ADRYr2!$U17)</f>
        <v/>
      </c>
      <c r="CY17" s="28" t="str">
        <f t="shared" si="13"/>
        <v/>
      </c>
      <c r="CZ17" s="32" t="str">
        <f t="shared" si="14"/>
        <v/>
      </c>
      <c r="DA17" s="84" t="str">
        <f t="shared" si="41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15"/>
        <v/>
      </c>
      <c r="DD17" s="166" t="str">
        <f t="shared" si="16"/>
        <v/>
      </c>
      <c r="DE17" s="82">
        <f t="shared" si="42"/>
        <v>0</v>
      </c>
      <c r="DF17" s="760" t="str">
        <f>IF($G17="","",(1+WntPeakEnergyLL)*(INDEX(avoidedcosttbl2,$H17,DF$2)+(($H17-ROUNDDOWN($H17,0))*(INDEX(avoidedcosttbl2,ROUNDUP($H17,0),DF$2)-(INDEX(avoidedcosttbl2,ROUNDDOWN($H17,0),DF$2)))))*$P17*1000*ADRYr2!Z17)</f>
        <v/>
      </c>
      <c r="DG17" s="760" t="str">
        <f>IF($G17="","",(1+WntOffPeakEnergyLL)*(INDEX(avoidedcosttbl2,$H17,DG$2)+(($H17-ROUNDDOWN($H17,0))*(INDEX(avoidedcosttbl2,ROUNDUP($H17,0),DG$2)-(INDEX(avoidedcosttbl2,ROUNDDOWN($H17,0),DG$2)))))*$P17*1000*ADRYr2!AA17)</f>
        <v/>
      </c>
      <c r="DH17" s="760" t="str">
        <f>IF($G17="","",(1+SumPeakEnergyLL)*(INDEX(avoidedcosttbl2,$H17,DH$2)+(($H17-ROUNDDOWN($H17,0))*(INDEX(avoidedcosttbl2,ROUNDUP($H17,0),DH$2)-(INDEX(avoidedcosttbl2,ROUNDDOWN($H17,0),DH$2)))))*$P17*1000*ADRYr2!AB17)</f>
        <v/>
      </c>
      <c r="DI17" s="760" t="str">
        <f>IF($G17="","",(1+SumOffPeakEnergyLL)*(INDEX(avoidedcosttbl2,$H17,DI$2)+(($H17-ROUNDDOWN($H17,0))*(INDEX(avoidedcosttbl2,ROUNDUP($H17,0),DI$2)-(INDEX(avoidedcosttbl2,ROUNDDOWN($H17,0),DI$2)))))*$P17*1000*ADRYr2!AC17)</f>
        <v/>
      </c>
      <c r="DJ17" s="29" t="str">
        <f t="shared" si="43"/>
        <v/>
      </c>
      <c r="DK17" s="161" t="str">
        <f t="shared" si="44"/>
        <v/>
      </c>
      <c r="DL17" s="1375" t="str">
        <f t="shared" si="45"/>
        <v/>
      </c>
      <c r="DM17" s="1375" t="str">
        <f t="shared" si="46"/>
        <v/>
      </c>
      <c r="DN17" s="43" t="str">
        <f t="shared" si="47"/>
        <v/>
      </c>
      <c r="DO17" s="1131" t="str">
        <f>IF($G17="","",ADRYr2!AQ17)</f>
        <v/>
      </c>
      <c r="DP17" s="1133" t="str">
        <f>IF($G17="","",ADRYr2!AR17)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48"/>
        <v/>
      </c>
      <c r="DU17" s="1135" t="str">
        <f>IF($G17="","",ADRYr2!AS17)</f>
        <v/>
      </c>
      <c r="DV17" s="1136" t="str">
        <f>IF($G17="","",ADRYr2!AT17)</f>
        <v/>
      </c>
      <c r="DW17" s="1344" t="str">
        <f>IF($G17="","",INDEX(AvoidedEnergy!$H$4:$H$10,MATCH($DO17,AvoidedEnergy!$A$4:$A$10,0)))</f>
        <v/>
      </c>
    </row>
    <row r="18" spans="1:127">
      <c r="A18" s="160" t="str">
        <f>IF(ADRYr2!$B18=0,"",ADRYr2!A18)</f>
        <v>B - Low-Income</v>
      </c>
      <c r="B18" s="9" t="str">
        <f>IF(ADRYr2!$B18=0,"",ADRYr2!B18)</f>
        <v>Home Energy Assistance</v>
      </c>
      <c r="C18" s="9" t="str">
        <f>IF(ADRYr2!$B18=0,"",ADRYr2!C18)</f>
        <v>Res Demand Response</v>
      </c>
      <c r="D18" s="9" t="str">
        <f>IF(ADRYr2!$B18=0,"",ADRYr2!D18)</f>
        <v>Behavior DR</v>
      </c>
      <c r="E18" s="9">
        <f>IF(ADRYr2!$B18=0,"",ADRYr2!E18)</f>
        <v>0</v>
      </c>
      <c r="F18" s="11" t="str">
        <f>IF(ADRYr2!$B18=0,"",ADRYr2!F18)</f>
        <v>Behavior</v>
      </c>
      <c r="G18" s="12" t="str">
        <f>IF(ADRYr2!$G18&lt;&gt;0,ADRYr2!G18,"")</f>
        <v/>
      </c>
      <c r="H18" s="1125" t="str">
        <f>IF($G18="","",ROUND(ADRYr2!H18,0))</f>
        <v/>
      </c>
      <c r="I18" s="47" t="str">
        <f>IF($G18="","",ADRYr2!I18*ADRYr2!P18*G18)</f>
        <v/>
      </c>
      <c r="J18" s="47" t="str">
        <f>IF($G18="","",ADRYr2!J18*G18)</f>
        <v/>
      </c>
      <c r="K18" s="47" t="str">
        <f t="shared" si="17"/>
        <v/>
      </c>
      <c r="L18" s="27" t="str">
        <f>IF($G18="","",ADRYr2!V18*G18/1000)</f>
        <v/>
      </c>
      <c r="M18" s="27" t="str">
        <f>IF($G18="","",L18*ADRYr2!$Q18*ADRYr2!$R18)</f>
        <v/>
      </c>
      <c r="N18" s="27" t="str">
        <f t="shared" si="18"/>
        <v/>
      </c>
      <c r="O18" s="27" t="str">
        <f t="shared" si="19"/>
        <v/>
      </c>
      <c r="P18" s="27" t="str">
        <f>IF($G18="","",M18*ADRYr2!P18)</f>
        <v/>
      </c>
      <c r="Q18" s="27" t="str">
        <f t="shared" si="20"/>
        <v/>
      </c>
      <c r="R18" s="27" t="str">
        <f>IF($G18="","",$Q18*ADRYr2!Z18)</f>
        <v/>
      </c>
      <c r="S18" s="27" t="str">
        <f>IF($G18="","",$Q18*ADRYr2!AA18)</f>
        <v/>
      </c>
      <c r="T18" s="27" t="str">
        <f>IF($G18="","",$Q18*ADRYr2!AB18)</f>
        <v/>
      </c>
      <c r="U18" s="27" t="str">
        <f>IF($G18="","",$Q18*ADRYr2!AC18)</f>
        <v/>
      </c>
      <c r="V18" s="27" t="str">
        <f>IF($G18="","",G18*ADRYr2!$AD18*ADRYr2!$P18*ADRYr2!$Q18)</f>
        <v/>
      </c>
      <c r="W18" s="27" t="str">
        <f>IF($G18="","",$G18*ADRYr2!$AD18*ADRYr2!$AF18*ADRYr2!Q18*ADRYr2!$S18)</f>
        <v/>
      </c>
      <c r="X18" s="27" t="str">
        <f>IF($G18="","",$G18*ADRYr2!$AD18*ADRYr2!$AF18*ADRYr2!P18*ADRYr2!Q18*ADRYr2!$S18)</f>
        <v/>
      </c>
      <c r="Y18" s="27" t="str">
        <f>IF($G18="","",$G18*ADRYr2!$AD18*ADRYr2!$AE18*ADRYr2!Q18*ADRYr2!$T18)</f>
        <v/>
      </c>
      <c r="Z18" s="27" t="str">
        <f>IF($G18="","",$G18*ADRYr2!$AD18*ADRYr2!$AE18*ADRYr2!P18*ADRYr2!Q18*ADRYr2!$T18)</f>
        <v/>
      </c>
      <c r="AA18" s="45" t="str">
        <f>IF($G18="","",$G18*ADRYr2!$Q18*ADRYr2!$U18*(IF(IFERROR(SEARCH("NG", ADRYr2!$AI18),0),ADRYr2!$AJ18,0)+IF(IFERROR(SEARCH("NG", ADRYr2!$AK18),0),ADRYr2!$AL18,0)+IF(IFERROR(SEARCH("NG", ADRYr2!$AM18),0),ADRYr2!$AN18,0)))</f>
        <v/>
      </c>
      <c r="AB18" s="45" t="str">
        <f t="shared" si="21"/>
        <v/>
      </c>
      <c r="AC18" s="45">
        <f>IF($G18="",0,AA18*ADRYr2!$P18)</f>
        <v>0</v>
      </c>
      <c r="AD18" s="45" t="str">
        <f t="shared" si="22"/>
        <v/>
      </c>
      <c r="AE18" s="45" t="str">
        <f>IF($G18="","",$G18*ADRYr2!$Q18*ADRYr2!$U18*(IF(IFERROR(SEARCH("Oil", ADRYr2!$AI18), 0),ADRYr2!$AJ18,0)+IF(IFERROR(SEARCH("Oil", ADRYr2!$AK18), 0),ADRYr2!$AL18,0)+IF(IFERROR(SEARCH("Oil", ADRYr2!$AM18), 0),ADRYr2!$AN18,0)))</f>
        <v/>
      </c>
      <c r="AF18" s="45" t="str">
        <f t="shared" si="23"/>
        <v/>
      </c>
      <c r="AG18" s="45">
        <f>IF($G18="",0,AE18*ADRYr2!$P18)</f>
        <v>0</v>
      </c>
      <c r="AH18" s="45" t="str">
        <f t="shared" si="24"/>
        <v/>
      </c>
      <c r="AI18" s="45" t="str">
        <f>IF($G18="","",$G18*ADRYr2!$Q18*ADRYr2!$U18*(IF(ADRYr2!$AI18=Lookups!$E$114,ADRYr2!$AJ18,IF(ADRYr2!$AK18=Lookups!$E$114,ADRYr2!$AL18,IF(ADRYr2!$AM18=Lookups!$E$114,ADRYr2!$AN18,0)))))</f>
        <v/>
      </c>
      <c r="AJ18" s="45" t="str">
        <f t="shared" si="25"/>
        <v/>
      </c>
      <c r="AK18" s="45">
        <f>IF($G18="",0,AI18*ADRYr2!$P18)</f>
        <v>0</v>
      </c>
      <c r="AL18" s="45" t="str">
        <f t="shared" si="26"/>
        <v/>
      </c>
      <c r="AM18" s="45" t="str">
        <f>IF($G18="","",$G18*ADRYr2!$Q18*ADRYr2!$U18*(IF(ADRYr2!$AI18=Lookups!$E$113,ADRYr2!$AJ18,IF(ADRYr2!$AK18=Lookups!$E$113,ADRYr2!$AL18,IF(ADRYr2!$AM18=Lookups!$E$113,ADRYr2!$AN18,0)))))</f>
        <v/>
      </c>
      <c r="AN18" s="45" t="str">
        <f t="shared" si="27"/>
        <v/>
      </c>
      <c r="AO18" s="45">
        <f>IF($G18="",0,AM18*ADRYr2!$P18)</f>
        <v>0</v>
      </c>
      <c r="AP18" s="45" t="str">
        <f t="shared" si="28"/>
        <v/>
      </c>
      <c r="AQ18" s="45" t="str">
        <f>IF($G18="","",$G18*ADRYr2!$Q18*ADRYr2!$U18*(IF(ADRYr2!$AI18=Lookups!$E$115,ADRYr2!$AJ18,IF(ADRYr2!$AK18=Lookups!$E$115,ADRYr2!$AL18,IF(ADRYr2!$AM18=Lookups!$E$115,ADRYr2!$AN18,0)))))</f>
        <v/>
      </c>
      <c r="AR18" s="45" t="str">
        <f t="shared" si="29"/>
        <v/>
      </c>
      <c r="AS18" s="45" t="str">
        <f>IF($G18="","",AQ18*ADRYr2!$P18)</f>
        <v/>
      </c>
      <c r="AT18" s="45" t="str">
        <f t="shared" si="30"/>
        <v/>
      </c>
      <c r="AU18" s="45" t="str">
        <f>IF($G18="","",$G18*ADRYr2!$Q18*ADRYr2!$U18*(IF(ADRYr2!$AI18=Lookups!$E$116,ADRYr2!$AJ18,IF(ADRYr2!$AK18=Lookups!$E$116,ADRYr2!$AL18,IF(ADRYr2!$AM18=Lookups!$E$116,ADRYr2!$AN18,0)))))</f>
        <v/>
      </c>
      <c r="AV18" s="45" t="str">
        <f t="shared" si="31"/>
        <v/>
      </c>
      <c r="AW18" s="45" t="str">
        <f>IF($G18="","",AU18*ADRYr2!$P18)</f>
        <v/>
      </c>
      <c r="AX18" s="45" t="str">
        <f t="shared" si="32"/>
        <v/>
      </c>
      <c r="AY18" s="45">
        <f t="shared" si="33"/>
        <v>0</v>
      </c>
      <c r="AZ18" s="45">
        <f t="shared" si="33"/>
        <v>0</v>
      </c>
      <c r="BA18" s="101" t="str">
        <f>IF($G18="","",$G18*ADRYr2!$P18*ADRYr2!$Q18*ADRYr2!$U18*ADRYr2!AO18)</f>
        <v/>
      </c>
      <c r="BB18" s="102" t="str">
        <f>IF($G18="","",$G18*ADRYr2!$P18*ADRYr2!$Q18*ADRYr2!$U18*ADRYr2!AP18)</f>
        <v/>
      </c>
      <c r="BC18" s="100" t="str">
        <f t="shared" si="34"/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5"/>
        <v/>
      </c>
      <c r="BO18" s="31" t="str">
        <f t="shared" si="35"/>
        <v/>
      </c>
      <c r="BP18" s="1129" t="str">
        <f t="shared" si="6"/>
        <v/>
      </c>
      <c r="BQ18" s="28" t="str">
        <f t="shared" si="7"/>
        <v/>
      </c>
      <c r="BR18" s="1129" t="str">
        <f t="shared" si="8"/>
        <v/>
      </c>
      <c r="BS18" s="1129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6"/>
        <v/>
      </c>
      <c r="BX18" s="29" t="str">
        <f t="shared" si="37"/>
        <v/>
      </c>
      <c r="BY18" s="28" t="str">
        <f>IF($G18="","",$G18*(IF(ADRYr2!$AI18=BY$4,ADRYr2!$AJ18,IF(ADRYr2!$AK18=BY$4,ADRYr2!$AL18,IF(ADRYr2!$AM18=BY$4,ADRYr2!$AN18,0))))*(INDEX(avoidedcosttbl2,$H18,BY$2)+(($H18-ROUNDDOWN($H18,0))*(INDEX(avoidedcosttbl2,ROUNDUP($H18,0),BY$2)-(INDEX(avoidedcosttbl2,ROUNDDOWN($H18,0),BY$2)))))*ADRYr2!P18*ADRYr2!Q18*ADRYr2!U18)</f>
        <v/>
      </c>
      <c r="BZ18" s="28" t="str">
        <f>IF($G18="","",$G18*(IF(ADRYr2!$AI18=BZ$4,ADRYr2!$AJ18,IF(ADRYr2!$AK18=BZ$4,ADRYr2!$AL18,IF(ADRYr2!$AM18=BZ$4,ADRYr2!$AN18,0))))*(INDEX(avoidedcosttbl2,$H18,BZ$2)+(($H18-ROUNDDOWN($H18,0))*(INDEX(avoidedcosttbl2,ROUNDUP($H18,0),BZ$2)-(INDEX(avoidedcosttbl2,ROUNDDOWN($H18,0),BZ$2)))))*ADRYr2!P18*ADRYr2!Q18*ADRYr2!U18)</f>
        <v/>
      </c>
      <c r="CA18" s="28" t="str">
        <f>IF($G18="","",$G18*(IF(ADRYr2!$AI18=CA$4,ADRYr2!$AJ18,IF(ADRYr2!$AK18=CA$4,ADRYr2!$AL18,IF(ADRYr2!$AM18=CA$4,ADRYr2!$AN18,0))))*(INDEX(avoidedcosttbl2,$H18,CA$2)+(($H18-ROUNDDOWN($H18,0))*(INDEX(avoidedcosttbl2,ROUNDUP($H18,0),CA$2)-(INDEX(avoidedcosttbl2,ROUNDDOWN($H18,0),CA$2)))))*ADRYr2!P18*ADRYr2!Q18*ADRYr2!U18)</f>
        <v/>
      </c>
      <c r="CB18" s="28" t="str">
        <f>IF($G18="","",$G18*(IF(ADRYr2!$AI18=CB$4,ADRYr2!$AJ18,IF(ADRYr2!$AK18=CB$4,ADRYr2!$AL18,IF(ADRYr2!$AM18=CB$4,ADRYr2!$AN18,0))))*(INDEX(avoidedcosttbl2,$H18,CB$2)+(($H18-ROUNDDOWN($H18,0))*(INDEX(avoidedcosttbl2,ROUNDUP($H18,0),CB$2)-(INDEX(avoidedcosttbl2,ROUNDDOWN($H18,0),CB$2)))))*ADRYr2!P18*ADRYr2!Q18*ADRYr2!U18)</f>
        <v/>
      </c>
      <c r="CC18" s="28" t="str">
        <f>IF($G18="","",$G18*(IF(ADRYr2!$AI18=CC$4,ADRYr2!$AJ18,IF(ADRYr2!$AK18=CC$4,ADRYr2!$AL18,IF(ADRYr2!$AM18=CC$4,ADRYr2!$AN18,0))))*(INDEX(avoidedcosttbl2,$H18,CC$2)+(($H18-ROUNDDOWN($H18,0))*(INDEX(avoidedcosttbl2,ROUNDUP($H18,0),CC$2)-(INDEX(avoidedcosttbl2,ROUNDDOWN($H18,0),CC$2)))))*ADRYr2!P18*ADRYr2!Q18*ADRYr2!U18)</f>
        <v/>
      </c>
      <c r="CD18" s="28" t="str">
        <f>IF($G18="","",$G18*(IF(ADRYr2!$AI18=CD$4,ADRYr2!$AJ18,IF(ADRYr2!$AK18=CD$4,ADRYr2!$AL18,IF(ADRYr2!$AM18=CD$4,ADRYr2!$AN18,0))))*(INDEX(avoidedcosttbl2,$H18,CD$2)+(($H18-ROUNDDOWN($H18,0))*(INDEX(avoidedcosttbl2,ROUNDUP($H18,0),CD$2)-(INDEX(avoidedcosttbl2,ROUNDDOWN($H18,0),CD$2)))))*ADRYr2!P18*ADRYr2!Q18*ADRYr2!U18)</f>
        <v/>
      </c>
      <c r="CE18" s="28" t="str">
        <f>IF($G18="","",$G18*(IF(ADRYr2!$AI18=CE$4,ADRYr2!$AJ18,IF(ADRYr2!$AK18=CE$4,ADRYr2!$AL18,IF(ADRYr2!$AM18=CE$4,ADRYr2!$AN18,0))))*(INDEX(avoidedcosttbl2,$H18,CE$2)+(($H18-ROUNDDOWN($H18,0))*(INDEX(avoidedcosttbl2,ROUNDUP($H18,0),CE$2)-(INDEX(avoidedcosttbl2,ROUNDDOWN($H18,0),CE$2)))))*ADRYr2!P18*ADRYr2!Q18*ADRYr2!U18)</f>
        <v/>
      </c>
      <c r="CF18" s="41" t="str">
        <f t="shared" si="38"/>
        <v/>
      </c>
      <c r="CG18" s="30" t="str">
        <f t="shared" si="11"/>
        <v/>
      </c>
      <c r="CH18" s="30" t="str">
        <f>IF($G18="","",$G18*(IF(ADRYr2!$AI18=BY$4,ADRYr2!$AJ18,IF(ADRYr2!$AK18=BY$4,ADRYr2!$AL18,IF(ADRYr2!$AM18=BY$4,ADRYr2!$AN18,0))))*(INDEX(avoidedcosttbl2,$H18,CH$2)+(($H18-ROUNDDOWN($H18,0))*(INDEX(avoidedcosttbl2,ROUNDUP($H18,0),CH$2)-(INDEX(avoidedcosttbl2,ROUNDDOWN($H18,0),CH$2)))))*ADRYr2!P18*ADRYr2!Q18*ADRYr2!U18)</f>
        <v/>
      </c>
      <c r="CI18" s="30" t="str">
        <f>IF($G18="","",$G18*(IF(ADRYr2!$AI18=BZ$4,ADRYr2!$AJ18,IF(ADRYr2!$AK18=BZ$4,ADRYr2!$AL18,IF(ADRYr2!$AM18=BZ$4,ADRYr2!$AN18,0))))*(INDEX(avoidedcosttbl2,$H18,CI$2)+(($H18-ROUNDDOWN($H18,0))*(INDEX(avoidedcosttbl2,ROUNDUP($H18,0),CI$2)-(INDEX(avoidedcosttbl2,ROUNDDOWN($H18,0),CI$2)))))*ADRYr2!P18*ADRYr2!Q18*ADRYr2!U18)</f>
        <v/>
      </c>
      <c r="CJ18" s="30" t="str">
        <f>IF($G18="","",$G18*(IF(ADRYr2!$AI18=CA$4,ADRYr2!$AJ18,IF(ADRYr2!$AK18=CA$4,ADRYr2!$AL18,IF(ADRYr2!$AM18=CA$4,ADRYr2!$AN18,0))))*(INDEX(avoidedcosttbl2,$H18,CJ$2)+(($H18-ROUNDDOWN($H18,0))*(INDEX(avoidedcosttbl2,ROUNDUP($H18,0),CJ$2)-(INDEX(avoidedcosttbl2,ROUNDDOWN($H18,0),CJ$2)))))*ADRYr2!P18*ADRYr2!Q18*ADRYr2!U18)</f>
        <v/>
      </c>
      <c r="CK18" s="30" t="str">
        <f>IF($G18="","",$G18*(IF(ADRYr2!$AI18=CB$4,ADRYr2!$AJ18,IF(ADRYr2!$AK18=CB$4,ADRYr2!$AL18,IF(ADRYr2!$AM18=CB$4,ADRYr2!$AN18,0))))*(INDEX(avoidedcosttbl2,$H18,CK$2)+(($H18-ROUNDDOWN($H18,0))*(INDEX(avoidedcosttbl2,ROUNDUP($H18,0),CK$2)-(INDEX(avoidedcosttbl2,ROUNDDOWN($H18,0),CK$2)))))*ADRYr2!P18*ADRYr2!Q18*ADRYr2!U18)</f>
        <v/>
      </c>
      <c r="CL18" s="30" t="str">
        <f>IF($G18="","",$G18*(IF(ADRYr2!$AI18=CC$4,ADRYr2!$AJ18,IF(ADRYr2!$AK18=CC$4,ADRYr2!$AL18,IF(ADRYr2!$AM18=CC$4,ADRYr2!$AN18,0))))*(INDEX(avoidedcosttbl2,$H18,CL$2)+(($H18-ROUNDDOWN($H18,0))*(INDEX(avoidedcosttbl2,ROUNDUP($H18,0),CL$2)-(INDEX(avoidedcosttbl2,ROUNDDOWN($H18,0),CL$2)))))*ADRYr2!P18*ADRYr2!Q18*ADRYr2!U18)</f>
        <v/>
      </c>
      <c r="CM18" s="30" t="str">
        <f>IF($G18="","",$G18*(IF(ADRYr2!$AI18=CD$4,ADRYr2!$AJ18,IF(ADRYr2!$AK18=CD$4,ADRYr2!$AL18,IF(ADRYr2!$AM18=CD$4,ADRYr2!$AN18,0))))*(INDEX(avoidedcosttbl2,$H18,CM$2)+(($H18-ROUNDDOWN($H18,0))*(INDEX(avoidedcosttbl2,ROUNDUP($H18,0),CM$2)-(INDEX(avoidedcosttbl2,ROUNDDOWN($H18,0),CM$2)))))*ADRYr2!P18*ADRYr2!Q18*ADRYr2!U18)</f>
        <v/>
      </c>
      <c r="CN18" s="30" t="str">
        <f>IF($G18="","",$G18*(IF(ADRYr2!$AI18=CE$4,ADRYr2!$AJ18,IF(ADRYr2!$AK18=CE$4,ADRYr2!$AL18,IF(ADRYr2!$AM18=CE$4,ADRYr2!$AN18,0))))*(INDEX(avoidedcosttbl2,$H18,CN$2)+(($H18-ROUNDDOWN($H18,0))*(INDEX(avoidedcosttbl2,ROUNDUP($H18,0),CN$2)-(INDEX(avoidedcosttbl2,ROUNDDOWN($H18,0),CN$2)))))*ADRYr2!P18*ADRYr2!Q18*ADRYr2!U18)</f>
        <v/>
      </c>
      <c r="CO18" s="220" t="str">
        <f t="shared" si="39"/>
        <v/>
      </c>
      <c r="CP18" s="220" t="str">
        <f t="shared" si="40"/>
        <v/>
      </c>
      <c r="CQ18" s="157" t="str">
        <f>IF($G18="","",$G18*(IF(ADRYr2!$AI18=CQ$4,ADRYr2!$AJ18,IF(ADRYr2!$AK18=CQ$4,ADRYr2!$AL18,IF(ADRYr2!$AM18=CQ$4,ADRYr2!$AN18,0))))*(INDEX(avoidedcosttbl2,$H18,CQ$2)+(($H18-ROUNDDOWN($H18,0))*(INDEX(avoidedcosttbl2,ROUNDUP($H18,0),CQ$2)-(INDEX(avoidedcosttbl2,ROUNDDOWN($H18,0),CQ$2)))))*ADRYr2!$P18*ADRYr2!$Q18*ADRYr2!$U18)</f>
        <v/>
      </c>
      <c r="CR18" s="28" t="str">
        <f>IF($G18="","",G18*(IF(ADRYr2!$AI18=CR$4,ADRYr2!$AJ18,IF(ADRYr2!$AK18=CR$4,ADRYr2!$AL18,IF(ADRYr2!$AM18=CR$4,ADRYr2!$AN18,0))))*(INDEX(avoidedcosttbl2,$H18,CR$2)+(($H18-ROUNDDOWN($H18,0))*(INDEX(avoidedcosttbl2,ROUNDUP($H18,0),CR$2)-(INDEX(avoidedcosttbl2,ROUNDDOWN($H18,0),CR$2)))))*ADRYr2!$P18*ADRYr2!$Q18*ADRYr2!$U18)</f>
        <v/>
      </c>
      <c r="CS18" s="28" t="str">
        <f>IF($G18="","",G18*(IF(ADRYr2!$AI18=CS$4,ADRYr2!$AJ18,IF(ADRYr2!$AK18=CS$4,ADRYr2!$AL18,IF(ADRYr2!$AM18=CS$4,ADRYr2!$AN18,0))))*(INDEX(avoidedcosttbl2,$H18,CS$2)+(($H18-ROUNDDOWN($H18,0))*(INDEX(avoidedcosttbl2,ROUNDUP($H18,0),CS$2)-(INDEX(avoidedcosttbl2,ROUNDDOWN($H18,0),CS$2)))))*ADRYr2!$P18*ADRYr2!$Q18*ADRYr2!$U18)</f>
        <v/>
      </c>
      <c r="CT18" s="28" t="str">
        <f t="shared" si="12"/>
        <v/>
      </c>
      <c r="CU18" s="28" t="str">
        <f>IF($G18="","",G18*(IF(ADRYr2!$AI18=CU$4,ADRYr2!$AJ18,IF(ADRYr2!$AK18=CU$4,ADRYr2!$AL18,IF(ADRYr2!$AM18=CU$4,ADRYr2!$AN18,0))))*(INDEX(avoidedcosttbl2,$H18,CU$2)+(($H18-ROUNDDOWN($H18,0))*(INDEX(avoidedcosttbl2,ROUNDUP($H18,0),CU$2)-(INDEX(avoidedcosttbl2,ROUNDDOWN($H18,0),CU$2)))))*ADRYr2!$P18*ADRYr2!$Q18*ADRYr2!$U18)</f>
        <v/>
      </c>
      <c r="CV18" s="28" t="str">
        <f>IF($G18="","",G18*(IF(ADRYr2!$AI18=CV$4,ADRYr2!$AJ18,IF(ADRYr2!$AK18=CV$4,ADRYr2!$AL18,IF(ADRYr2!$AM18=CV$4,ADRYr2!$AN18,0))))*(INDEX(avoidedcosttbl2,$H18,CV$2)+(($H18-ROUNDDOWN($H18,0))*(INDEX(avoidedcosttbl2,ROUNDUP($H18,0),CV$2)-(INDEX(avoidedcosttbl2,ROUNDDOWN($H18,0),CV$2)))))*ADRYr2!$P18*ADRYr2!$Q18*ADRYr2!$U18)</f>
        <v/>
      </c>
      <c r="CW18" s="28" t="str">
        <f>IF($G18="","",G18*(IF(ADRYr2!$AI18=CW$4,ADRYr2!$AJ18,IF(ADRYr2!$AK18=CW$4,ADRYr2!$AL18,IF(ADRYr2!$AM18=CW$4,ADRYr2!$AN18,0))))*(INDEX(avoidedcosttbl2,$H18,CW$2)+(($H18-ROUNDDOWN($H18,0))*(INDEX(avoidedcosttbl2,ROUNDUP($H18,0),CW$2)-(INDEX(avoidedcosttbl2,ROUNDDOWN($H18,0),CW$2)))))*ADRYr2!$P18*ADRYr2!$Q18*ADRYr2!$U18)</f>
        <v/>
      </c>
      <c r="CX18" s="28" t="str">
        <f>IF($G18="","",G18*(IF(ADRYr2!$AI18=CX$4,ADRYr2!$AJ18,IF(ADRYr2!$AK18=CX$4,ADRYr2!$AL18,IF(ADRYr2!$AM18=CX$4,ADRYr2!$AN18,0))))*(INDEX(avoidedcosttbl2,$H18,CX$2)+(($H18-ROUNDDOWN($H18,0))*(INDEX(avoidedcosttbl2,ROUNDUP($H18,0),CX$2)-(INDEX(avoidedcosttbl2,ROUNDDOWN($H18,0),CX$2)))))*ADRYr2!$P18*ADRYr2!$Q18*ADRYr2!$U18)</f>
        <v/>
      </c>
      <c r="CY18" s="28" t="str">
        <f t="shared" si="13"/>
        <v/>
      </c>
      <c r="CZ18" s="32" t="str">
        <f t="shared" si="14"/>
        <v/>
      </c>
      <c r="DA18" s="84" t="str">
        <f t="shared" si="41"/>
        <v/>
      </c>
      <c r="DB18" s="81" t="str">
        <f>IF(NEIadder="Yes",IF($G18="","",INDEX(Lookups!$G$68:$G$70,MATCH($A18,Lookups!$E$68:$E$70,0))*(SUM(CP18:CX18,BX18))),"")</f>
        <v/>
      </c>
      <c r="DC18" s="263" t="str">
        <f t="shared" si="15"/>
        <v/>
      </c>
      <c r="DD18" s="166" t="str">
        <f t="shared" si="16"/>
        <v/>
      </c>
      <c r="DE18" s="82">
        <f t="shared" si="42"/>
        <v>0</v>
      </c>
      <c r="DF18" s="760" t="str">
        <f>IF($G18="","",(1+WntPeakEnergyLL)*(INDEX(avoidedcosttbl2,$H18,DF$2)+(($H18-ROUNDDOWN($H18,0))*(INDEX(avoidedcosttbl2,ROUNDUP($H18,0),DF$2)-(INDEX(avoidedcosttbl2,ROUNDDOWN($H18,0),DF$2)))))*$P18*1000*ADRYr2!Z18)</f>
        <v/>
      </c>
      <c r="DG18" s="760" t="str">
        <f>IF($G18="","",(1+WntOffPeakEnergyLL)*(INDEX(avoidedcosttbl2,$H18,DG$2)+(($H18-ROUNDDOWN($H18,0))*(INDEX(avoidedcosttbl2,ROUNDUP($H18,0),DG$2)-(INDEX(avoidedcosttbl2,ROUNDDOWN($H18,0),DG$2)))))*$P18*1000*ADRYr2!AA18)</f>
        <v/>
      </c>
      <c r="DH18" s="760" t="str">
        <f>IF($G18="","",(1+SumPeakEnergyLL)*(INDEX(avoidedcosttbl2,$H18,DH$2)+(($H18-ROUNDDOWN($H18,0))*(INDEX(avoidedcosttbl2,ROUNDUP($H18,0),DH$2)-(INDEX(avoidedcosttbl2,ROUNDDOWN($H18,0),DH$2)))))*$P18*1000*ADRYr2!AB18)</f>
        <v/>
      </c>
      <c r="DI18" s="760" t="str">
        <f>IF($G18="","",(1+SumOffPeakEnergyLL)*(INDEX(avoidedcosttbl2,$H18,DI$2)+(($H18-ROUNDDOWN($H18,0))*(INDEX(avoidedcosttbl2,ROUNDUP($H18,0),DI$2)-(INDEX(avoidedcosttbl2,ROUNDDOWN($H18,0),DI$2)))))*$P18*1000*ADRYr2!AC18)</f>
        <v/>
      </c>
      <c r="DJ18" s="29" t="str">
        <f t="shared" si="43"/>
        <v/>
      </c>
      <c r="DK18" s="161" t="str">
        <f t="shared" si="44"/>
        <v/>
      </c>
      <c r="DL18" s="1375" t="str">
        <f t="shared" si="45"/>
        <v/>
      </c>
      <c r="DM18" s="1375" t="str">
        <f t="shared" si="46"/>
        <v/>
      </c>
      <c r="DN18" s="43" t="str">
        <f t="shared" si="47"/>
        <v/>
      </c>
      <c r="DO18" s="1131" t="str">
        <f>IF($G18="","",ADRYr2!AQ18)</f>
        <v/>
      </c>
      <c r="DP18" s="1133" t="str">
        <f>IF($G18="","",ADRYr2!AR18)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48"/>
        <v/>
      </c>
      <c r="DU18" s="1135" t="str">
        <f>IF($G18="","",ADRYr2!AS18)</f>
        <v/>
      </c>
      <c r="DV18" s="1136" t="str">
        <f>IF($G18="","",ADRYr2!AT18)</f>
        <v/>
      </c>
      <c r="DW18" s="1344" t="str">
        <f>IF($G18="","",INDEX(AvoidedEnergy!$H$4:$H$10,MATCH($DO18,AvoidedEnergy!$A$4:$A$10,0)))</f>
        <v/>
      </c>
    </row>
    <row r="19" spans="1:127">
      <c r="A19" s="160" t="str">
        <f>IF(ADRYr2!$B19=0,"",ADRYr2!A19)</f>
        <v>B - Low-Income</v>
      </c>
      <c r="B19" s="9" t="str">
        <f>IF(ADRYr2!$B19=0,"",ADRYr2!B19)</f>
        <v>Home Energy Assistance</v>
      </c>
      <c r="C19" s="9" t="str">
        <f>IF(ADRYr2!$B19=0,"",ADRYr2!C19)</f>
        <v>Res Demand Response</v>
      </c>
      <c r="D19" s="9" t="str">
        <f>IF(ADRYr2!$B19=0,"",ADRYr2!D19)</f>
        <v>Storage Daily Dispatch Upfront Incentive (savings) Summer</v>
      </c>
      <c r="E19" s="9">
        <f>IF(ADRYr2!$B19=0,"",ADRYr2!E19)</f>
        <v>0</v>
      </c>
      <c r="F19" s="11" t="str">
        <f>IF(ADRYr2!$B19=0,"",ADRYr2!F19)</f>
        <v>Behavior</v>
      </c>
      <c r="G19" s="12" t="str">
        <f>IF(ADRYr2!$G19&lt;&gt;0,ADRYr2!G19,"")</f>
        <v/>
      </c>
      <c r="H19" s="1125" t="str">
        <f>IF($G19="","",ROUND(ADRYr2!H19,0))</f>
        <v/>
      </c>
      <c r="I19" s="47" t="str">
        <f>IF($G19="","",ADRYr2!I19*ADRYr2!P19*G19)</f>
        <v/>
      </c>
      <c r="J19" s="47" t="str">
        <f>IF($G19="","",ADRYr2!J19*G19)</f>
        <v/>
      </c>
      <c r="K19" s="47" t="str">
        <f t="shared" si="17"/>
        <v/>
      </c>
      <c r="L19" s="27" t="str">
        <f>IF($G19="","",ADRYr2!V19*G19/1000)</f>
        <v/>
      </c>
      <c r="M19" s="27" t="str">
        <f>IF($G19="","",L19*ADRYr2!$Q19*ADRYr2!$R19)</f>
        <v/>
      </c>
      <c r="N19" s="27" t="str">
        <f t="shared" si="18"/>
        <v/>
      </c>
      <c r="O19" s="27" t="str">
        <f t="shared" si="19"/>
        <v/>
      </c>
      <c r="P19" s="27" t="str">
        <f>IF($G19="","",M19*ADRYr2!P19)</f>
        <v/>
      </c>
      <c r="Q19" s="27" t="str">
        <f t="shared" si="20"/>
        <v/>
      </c>
      <c r="R19" s="27" t="str">
        <f>IF($G19="","",$Q19*ADRYr2!Z19)</f>
        <v/>
      </c>
      <c r="S19" s="27" t="str">
        <f>IF($G19="","",$Q19*ADRYr2!AA19)</f>
        <v/>
      </c>
      <c r="T19" s="27" t="str">
        <f>IF($G19="","",$Q19*ADRYr2!AB19)</f>
        <v/>
      </c>
      <c r="U19" s="27" t="str">
        <f>IF($G19="","",$Q19*ADRYr2!AC19)</f>
        <v/>
      </c>
      <c r="V19" s="27" t="str">
        <f>IF($G19="","",G19*ADRYr2!$AD19*ADRYr2!$P19*ADRYr2!$Q19)</f>
        <v/>
      </c>
      <c r="W19" s="27" t="str">
        <f>IF($G19="","",$G19*ADRYr2!$AD19*ADRYr2!$AF19*ADRYr2!Q19*ADRYr2!$S19)</f>
        <v/>
      </c>
      <c r="X19" s="27" t="str">
        <f>IF($G19="","",$G19*ADRYr2!$AD19*ADRYr2!$AF19*ADRYr2!P19*ADRYr2!Q19*ADRYr2!$S19)</f>
        <v/>
      </c>
      <c r="Y19" s="27" t="str">
        <f>IF($G19="","",$G19*ADRYr2!$AD19*ADRYr2!$AE19*ADRYr2!Q19*ADRYr2!$T19)</f>
        <v/>
      </c>
      <c r="Z19" s="27" t="str">
        <f>IF($G19="","",$G19*ADRYr2!$AD19*ADRYr2!$AE19*ADRYr2!P19*ADRYr2!Q19*ADRYr2!$T19)</f>
        <v/>
      </c>
      <c r="AA19" s="45" t="str">
        <f>IF($G19="","",$G19*ADRYr2!$Q19*ADRYr2!$U19*(IF(IFERROR(SEARCH("NG", ADRYr2!$AI19),0),ADRYr2!$AJ19,0)+IF(IFERROR(SEARCH("NG", ADRYr2!$AK19),0),ADRYr2!$AL19,0)+IF(IFERROR(SEARCH("NG", ADRYr2!$AM19),0),ADRYr2!$AN19,0)))</f>
        <v/>
      </c>
      <c r="AB19" s="45" t="str">
        <f t="shared" si="21"/>
        <v/>
      </c>
      <c r="AC19" s="45">
        <f>IF($G19="",0,AA19*ADRYr2!$P19)</f>
        <v>0</v>
      </c>
      <c r="AD19" s="45" t="str">
        <f t="shared" si="22"/>
        <v/>
      </c>
      <c r="AE19" s="45" t="str">
        <f>IF($G19="","",$G19*ADRYr2!$Q19*ADRYr2!$U19*(IF(IFERROR(SEARCH("Oil", ADRYr2!$AI19), 0),ADRYr2!$AJ19,0)+IF(IFERROR(SEARCH("Oil", ADRYr2!$AK19), 0),ADRYr2!$AL19,0)+IF(IFERROR(SEARCH("Oil", ADRYr2!$AM19), 0),ADRYr2!$AN19,0)))</f>
        <v/>
      </c>
      <c r="AF19" s="45" t="str">
        <f t="shared" si="23"/>
        <v/>
      </c>
      <c r="AG19" s="45">
        <f>IF($G19="",0,AE19*ADRYr2!$P19)</f>
        <v>0</v>
      </c>
      <c r="AH19" s="45" t="str">
        <f t="shared" si="24"/>
        <v/>
      </c>
      <c r="AI19" s="45" t="str">
        <f>IF($G19="","",$G19*ADRYr2!$Q19*ADRYr2!$U19*(IF(ADRYr2!$AI19=Lookups!$E$114,ADRYr2!$AJ19,IF(ADRYr2!$AK19=Lookups!$E$114,ADRYr2!$AL19,IF(ADRYr2!$AM19=Lookups!$E$114,ADRYr2!$AN19,0)))))</f>
        <v/>
      </c>
      <c r="AJ19" s="45" t="str">
        <f t="shared" si="25"/>
        <v/>
      </c>
      <c r="AK19" s="45">
        <f>IF($G19="",0,AI19*ADRYr2!$P19)</f>
        <v>0</v>
      </c>
      <c r="AL19" s="45" t="str">
        <f t="shared" si="26"/>
        <v/>
      </c>
      <c r="AM19" s="45" t="str">
        <f>IF($G19="","",$G19*ADRYr2!$Q19*ADRYr2!$U19*(IF(ADRYr2!$AI19=Lookups!$E$113,ADRYr2!$AJ19,IF(ADRYr2!$AK19=Lookups!$E$113,ADRYr2!$AL19,IF(ADRYr2!$AM19=Lookups!$E$113,ADRYr2!$AN19,0)))))</f>
        <v/>
      </c>
      <c r="AN19" s="45" t="str">
        <f t="shared" si="27"/>
        <v/>
      </c>
      <c r="AO19" s="45">
        <f>IF($G19="",0,AM19*ADRYr2!$P19)</f>
        <v>0</v>
      </c>
      <c r="AP19" s="45" t="str">
        <f t="shared" si="28"/>
        <v/>
      </c>
      <c r="AQ19" s="45" t="str">
        <f>IF($G19="","",$G19*ADRYr2!$Q19*ADRYr2!$U19*(IF(ADRYr2!$AI19=Lookups!$E$115,ADRYr2!$AJ19,IF(ADRYr2!$AK19=Lookups!$E$115,ADRYr2!$AL19,IF(ADRYr2!$AM19=Lookups!$E$115,ADRYr2!$AN19,0)))))</f>
        <v/>
      </c>
      <c r="AR19" s="45" t="str">
        <f t="shared" si="29"/>
        <v/>
      </c>
      <c r="AS19" s="45" t="str">
        <f>IF($G19="","",AQ19*ADRYr2!$P19)</f>
        <v/>
      </c>
      <c r="AT19" s="45" t="str">
        <f t="shared" si="30"/>
        <v/>
      </c>
      <c r="AU19" s="45" t="str">
        <f>IF($G19="","",$G19*ADRYr2!$Q19*ADRYr2!$U19*(IF(ADRYr2!$AI19=Lookups!$E$116,ADRYr2!$AJ19,IF(ADRYr2!$AK19=Lookups!$E$116,ADRYr2!$AL19,IF(ADRYr2!$AM19=Lookups!$E$116,ADRYr2!$AN19,0)))))</f>
        <v/>
      </c>
      <c r="AV19" s="45" t="str">
        <f t="shared" si="31"/>
        <v/>
      </c>
      <c r="AW19" s="45" t="str">
        <f>IF($G19="","",AU19*ADRYr2!$P19)</f>
        <v/>
      </c>
      <c r="AX19" s="45" t="str">
        <f t="shared" si="32"/>
        <v/>
      </c>
      <c r="AY19" s="45">
        <f t="shared" si="33"/>
        <v>0</v>
      </c>
      <c r="AZ19" s="45">
        <f t="shared" si="33"/>
        <v>0</v>
      </c>
      <c r="BA19" s="101" t="str">
        <f>IF($G19="","",$G19*ADRYr2!$P19*ADRYr2!$Q19*ADRYr2!$U19*ADRYr2!AO19)</f>
        <v/>
      </c>
      <c r="BB19" s="102" t="str">
        <f>IF($G19="","",$G19*ADRYr2!$P19*ADRYr2!$Q19*ADRYr2!$U19*ADRYr2!AP19)</f>
        <v/>
      </c>
      <c r="BC19" s="100" t="str">
        <f t="shared" si="34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5"/>
        <v/>
      </c>
      <c r="BO19" s="31" t="str">
        <f t="shared" si="35"/>
        <v/>
      </c>
      <c r="BP19" s="1129" t="str">
        <f t="shared" si="6"/>
        <v/>
      </c>
      <c r="BQ19" s="28" t="str">
        <f t="shared" si="7"/>
        <v/>
      </c>
      <c r="BR19" s="1129" t="str">
        <f t="shared" si="8"/>
        <v/>
      </c>
      <c r="BS19" s="1129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6"/>
        <v/>
      </c>
      <c r="BX19" s="29" t="str">
        <f t="shared" si="37"/>
        <v/>
      </c>
      <c r="BY19" s="28" t="str">
        <f>IF($G19="","",$G19*(IF(ADRYr2!$AI19=BY$4,ADRYr2!$AJ19,IF(ADRYr2!$AK19=BY$4,ADRYr2!$AL19,IF(ADRYr2!$AM19=BY$4,ADRYr2!$AN19,0))))*(INDEX(avoidedcosttbl2,$H19,BY$2)+(($H19-ROUNDDOWN($H19,0))*(INDEX(avoidedcosttbl2,ROUNDUP($H19,0),BY$2)-(INDEX(avoidedcosttbl2,ROUNDDOWN($H19,0),BY$2)))))*ADRYr2!P19*ADRYr2!Q19*ADRYr2!U19)</f>
        <v/>
      </c>
      <c r="BZ19" s="28" t="str">
        <f>IF($G19="","",$G19*(IF(ADRYr2!$AI19=BZ$4,ADRYr2!$AJ19,IF(ADRYr2!$AK19=BZ$4,ADRYr2!$AL19,IF(ADRYr2!$AM19=BZ$4,ADRYr2!$AN19,0))))*(INDEX(avoidedcosttbl2,$H19,BZ$2)+(($H19-ROUNDDOWN($H19,0))*(INDEX(avoidedcosttbl2,ROUNDUP($H19,0),BZ$2)-(INDEX(avoidedcosttbl2,ROUNDDOWN($H19,0),BZ$2)))))*ADRYr2!P19*ADRYr2!Q19*ADRYr2!U19)</f>
        <v/>
      </c>
      <c r="CA19" s="28" t="str">
        <f>IF($G19="","",$G19*(IF(ADRYr2!$AI19=CA$4,ADRYr2!$AJ19,IF(ADRYr2!$AK19=CA$4,ADRYr2!$AL19,IF(ADRYr2!$AM19=CA$4,ADRYr2!$AN19,0))))*(INDEX(avoidedcosttbl2,$H19,CA$2)+(($H19-ROUNDDOWN($H19,0))*(INDEX(avoidedcosttbl2,ROUNDUP($H19,0),CA$2)-(INDEX(avoidedcosttbl2,ROUNDDOWN($H19,0),CA$2)))))*ADRYr2!P19*ADRYr2!Q19*ADRYr2!U19)</f>
        <v/>
      </c>
      <c r="CB19" s="28" t="str">
        <f>IF($G19="","",$G19*(IF(ADRYr2!$AI19=CB$4,ADRYr2!$AJ19,IF(ADRYr2!$AK19=CB$4,ADRYr2!$AL19,IF(ADRYr2!$AM19=CB$4,ADRYr2!$AN19,0))))*(INDEX(avoidedcosttbl2,$H19,CB$2)+(($H19-ROUNDDOWN($H19,0))*(INDEX(avoidedcosttbl2,ROUNDUP($H19,0),CB$2)-(INDEX(avoidedcosttbl2,ROUNDDOWN($H19,0),CB$2)))))*ADRYr2!P19*ADRYr2!Q19*ADRYr2!U19)</f>
        <v/>
      </c>
      <c r="CC19" s="28" t="str">
        <f>IF($G19="","",$G19*(IF(ADRYr2!$AI19=CC$4,ADRYr2!$AJ19,IF(ADRYr2!$AK19=CC$4,ADRYr2!$AL19,IF(ADRYr2!$AM19=CC$4,ADRYr2!$AN19,0))))*(INDEX(avoidedcosttbl2,$H19,CC$2)+(($H19-ROUNDDOWN($H19,0))*(INDEX(avoidedcosttbl2,ROUNDUP($H19,0),CC$2)-(INDEX(avoidedcosttbl2,ROUNDDOWN($H19,0),CC$2)))))*ADRYr2!P19*ADRYr2!Q19*ADRYr2!U19)</f>
        <v/>
      </c>
      <c r="CD19" s="28" t="str">
        <f>IF($G19="","",$G19*(IF(ADRYr2!$AI19=CD$4,ADRYr2!$AJ19,IF(ADRYr2!$AK19=CD$4,ADRYr2!$AL19,IF(ADRYr2!$AM19=CD$4,ADRYr2!$AN19,0))))*(INDEX(avoidedcosttbl2,$H19,CD$2)+(($H19-ROUNDDOWN($H19,0))*(INDEX(avoidedcosttbl2,ROUNDUP($H19,0),CD$2)-(INDEX(avoidedcosttbl2,ROUNDDOWN($H19,0),CD$2)))))*ADRYr2!P19*ADRYr2!Q19*ADRYr2!U19)</f>
        <v/>
      </c>
      <c r="CE19" s="28" t="str">
        <f>IF($G19="","",$G19*(IF(ADRYr2!$AI19=CE$4,ADRYr2!$AJ19,IF(ADRYr2!$AK19=CE$4,ADRYr2!$AL19,IF(ADRYr2!$AM19=CE$4,ADRYr2!$AN19,0))))*(INDEX(avoidedcosttbl2,$H19,CE$2)+(($H19-ROUNDDOWN($H19,0))*(INDEX(avoidedcosttbl2,ROUNDUP($H19,0),CE$2)-(INDEX(avoidedcosttbl2,ROUNDDOWN($H19,0),CE$2)))))*ADRYr2!P19*ADRYr2!Q19*ADRYr2!U19)</f>
        <v/>
      </c>
      <c r="CF19" s="41" t="str">
        <f t="shared" si="38"/>
        <v/>
      </c>
      <c r="CG19" s="30" t="str">
        <f t="shared" si="11"/>
        <v/>
      </c>
      <c r="CH19" s="30" t="str">
        <f>IF($G19="","",$G19*(IF(ADRYr2!$AI19=BY$4,ADRYr2!$AJ19,IF(ADRYr2!$AK19=BY$4,ADRYr2!$AL19,IF(ADRYr2!$AM19=BY$4,ADRYr2!$AN19,0))))*(INDEX(avoidedcosttbl2,$H19,CH$2)+(($H19-ROUNDDOWN($H19,0))*(INDEX(avoidedcosttbl2,ROUNDUP($H19,0),CH$2)-(INDEX(avoidedcosttbl2,ROUNDDOWN($H19,0),CH$2)))))*ADRYr2!P19*ADRYr2!Q19*ADRYr2!U19)</f>
        <v/>
      </c>
      <c r="CI19" s="30" t="str">
        <f>IF($G19="","",$G19*(IF(ADRYr2!$AI19=BZ$4,ADRYr2!$AJ19,IF(ADRYr2!$AK19=BZ$4,ADRYr2!$AL19,IF(ADRYr2!$AM19=BZ$4,ADRYr2!$AN19,0))))*(INDEX(avoidedcosttbl2,$H19,CI$2)+(($H19-ROUNDDOWN($H19,0))*(INDEX(avoidedcosttbl2,ROUNDUP($H19,0),CI$2)-(INDEX(avoidedcosttbl2,ROUNDDOWN($H19,0),CI$2)))))*ADRYr2!P19*ADRYr2!Q19*ADRYr2!U19)</f>
        <v/>
      </c>
      <c r="CJ19" s="30" t="str">
        <f>IF($G19="","",$G19*(IF(ADRYr2!$AI19=CA$4,ADRYr2!$AJ19,IF(ADRYr2!$AK19=CA$4,ADRYr2!$AL19,IF(ADRYr2!$AM19=CA$4,ADRYr2!$AN19,0))))*(INDEX(avoidedcosttbl2,$H19,CJ$2)+(($H19-ROUNDDOWN($H19,0))*(INDEX(avoidedcosttbl2,ROUNDUP($H19,0),CJ$2)-(INDEX(avoidedcosttbl2,ROUNDDOWN($H19,0),CJ$2)))))*ADRYr2!P19*ADRYr2!Q19*ADRYr2!U19)</f>
        <v/>
      </c>
      <c r="CK19" s="30" t="str">
        <f>IF($G19="","",$G19*(IF(ADRYr2!$AI19=CB$4,ADRYr2!$AJ19,IF(ADRYr2!$AK19=CB$4,ADRYr2!$AL19,IF(ADRYr2!$AM19=CB$4,ADRYr2!$AN19,0))))*(INDEX(avoidedcosttbl2,$H19,CK$2)+(($H19-ROUNDDOWN($H19,0))*(INDEX(avoidedcosttbl2,ROUNDUP($H19,0),CK$2)-(INDEX(avoidedcosttbl2,ROUNDDOWN($H19,0),CK$2)))))*ADRYr2!P19*ADRYr2!Q19*ADRYr2!U19)</f>
        <v/>
      </c>
      <c r="CL19" s="30" t="str">
        <f>IF($G19="","",$G19*(IF(ADRYr2!$AI19=CC$4,ADRYr2!$AJ19,IF(ADRYr2!$AK19=CC$4,ADRYr2!$AL19,IF(ADRYr2!$AM19=CC$4,ADRYr2!$AN19,0))))*(INDEX(avoidedcosttbl2,$H19,CL$2)+(($H19-ROUNDDOWN($H19,0))*(INDEX(avoidedcosttbl2,ROUNDUP($H19,0),CL$2)-(INDEX(avoidedcosttbl2,ROUNDDOWN($H19,0),CL$2)))))*ADRYr2!P19*ADRYr2!Q19*ADRYr2!U19)</f>
        <v/>
      </c>
      <c r="CM19" s="30" t="str">
        <f>IF($G19="","",$G19*(IF(ADRYr2!$AI19=CD$4,ADRYr2!$AJ19,IF(ADRYr2!$AK19=CD$4,ADRYr2!$AL19,IF(ADRYr2!$AM19=CD$4,ADRYr2!$AN19,0))))*(INDEX(avoidedcosttbl2,$H19,CM$2)+(($H19-ROUNDDOWN($H19,0))*(INDEX(avoidedcosttbl2,ROUNDUP($H19,0),CM$2)-(INDEX(avoidedcosttbl2,ROUNDDOWN($H19,0),CM$2)))))*ADRYr2!P19*ADRYr2!Q19*ADRYr2!U19)</f>
        <v/>
      </c>
      <c r="CN19" s="30" t="str">
        <f>IF($G19="","",$G19*(IF(ADRYr2!$AI19=CE$4,ADRYr2!$AJ19,IF(ADRYr2!$AK19=CE$4,ADRYr2!$AL19,IF(ADRYr2!$AM19=CE$4,ADRYr2!$AN19,0))))*(INDEX(avoidedcosttbl2,$H19,CN$2)+(($H19-ROUNDDOWN($H19,0))*(INDEX(avoidedcosttbl2,ROUNDUP($H19,0),CN$2)-(INDEX(avoidedcosttbl2,ROUNDDOWN($H19,0),CN$2)))))*ADRYr2!P19*ADRYr2!Q19*ADRYr2!U19)</f>
        <v/>
      </c>
      <c r="CO19" s="220" t="str">
        <f t="shared" si="39"/>
        <v/>
      </c>
      <c r="CP19" s="220" t="str">
        <f t="shared" si="40"/>
        <v/>
      </c>
      <c r="CQ19" s="157" t="str">
        <f>IF($G19="","",$G19*(IF(ADRYr2!$AI19=CQ$4,ADRYr2!$AJ19,IF(ADRYr2!$AK19=CQ$4,ADRYr2!$AL19,IF(ADRYr2!$AM19=CQ$4,ADRYr2!$AN19,0))))*(INDEX(avoidedcosttbl2,$H19,CQ$2)+(($H19-ROUNDDOWN($H19,0))*(INDEX(avoidedcosttbl2,ROUNDUP($H19,0),CQ$2)-(INDEX(avoidedcosttbl2,ROUNDDOWN($H19,0),CQ$2)))))*ADRYr2!$P19*ADRYr2!$Q19*ADRYr2!$U19)</f>
        <v/>
      </c>
      <c r="CR19" s="28" t="str">
        <f>IF($G19="","",G19*(IF(ADRYr2!$AI19=CR$4,ADRYr2!$AJ19,IF(ADRYr2!$AK19=CR$4,ADRYr2!$AL19,IF(ADRYr2!$AM19=CR$4,ADRYr2!$AN19,0))))*(INDEX(avoidedcosttbl2,$H19,CR$2)+(($H19-ROUNDDOWN($H19,0))*(INDEX(avoidedcosttbl2,ROUNDUP($H19,0),CR$2)-(INDEX(avoidedcosttbl2,ROUNDDOWN($H19,0),CR$2)))))*ADRYr2!$P19*ADRYr2!$Q19*ADRYr2!$U19)</f>
        <v/>
      </c>
      <c r="CS19" s="28" t="str">
        <f>IF($G19="","",G19*(IF(ADRYr2!$AI19=CS$4,ADRYr2!$AJ19,IF(ADRYr2!$AK19=CS$4,ADRYr2!$AL19,IF(ADRYr2!$AM19=CS$4,ADRYr2!$AN19,0))))*(INDEX(avoidedcosttbl2,$H19,CS$2)+(($H19-ROUNDDOWN($H19,0))*(INDEX(avoidedcosttbl2,ROUNDUP($H19,0),CS$2)-(INDEX(avoidedcosttbl2,ROUNDDOWN($H19,0),CS$2)))))*ADRYr2!$P19*ADRYr2!$Q19*ADRYr2!$U19)</f>
        <v/>
      </c>
      <c r="CT19" s="28" t="str">
        <f t="shared" si="12"/>
        <v/>
      </c>
      <c r="CU19" s="28" t="str">
        <f>IF($G19="","",G19*(IF(ADRYr2!$AI19=CU$4,ADRYr2!$AJ19,IF(ADRYr2!$AK19=CU$4,ADRYr2!$AL19,IF(ADRYr2!$AM19=CU$4,ADRYr2!$AN19,0))))*(INDEX(avoidedcosttbl2,$H19,CU$2)+(($H19-ROUNDDOWN($H19,0))*(INDEX(avoidedcosttbl2,ROUNDUP($H19,0),CU$2)-(INDEX(avoidedcosttbl2,ROUNDDOWN($H19,0),CU$2)))))*ADRYr2!$P19*ADRYr2!$Q19*ADRYr2!$U19)</f>
        <v/>
      </c>
      <c r="CV19" s="28" t="str">
        <f>IF($G19="","",G19*(IF(ADRYr2!$AI19=CV$4,ADRYr2!$AJ19,IF(ADRYr2!$AK19=CV$4,ADRYr2!$AL19,IF(ADRYr2!$AM19=CV$4,ADRYr2!$AN19,0))))*(INDEX(avoidedcosttbl2,$H19,CV$2)+(($H19-ROUNDDOWN($H19,0))*(INDEX(avoidedcosttbl2,ROUNDUP($H19,0),CV$2)-(INDEX(avoidedcosttbl2,ROUNDDOWN($H19,0),CV$2)))))*ADRYr2!$P19*ADRYr2!$Q19*ADRYr2!$U19)</f>
        <v/>
      </c>
      <c r="CW19" s="28" t="str">
        <f>IF($G19="","",G19*(IF(ADRYr2!$AI19=CW$4,ADRYr2!$AJ19,IF(ADRYr2!$AK19=CW$4,ADRYr2!$AL19,IF(ADRYr2!$AM19=CW$4,ADRYr2!$AN19,0))))*(INDEX(avoidedcosttbl2,$H19,CW$2)+(($H19-ROUNDDOWN($H19,0))*(INDEX(avoidedcosttbl2,ROUNDUP($H19,0),CW$2)-(INDEX(avoidedcosttbl2,ROUNDDOWN($H19,0),CW$2)))))*ADRYr2!$P19*ADRYr2!$Q19*ADRYr2!$U19)</f>
        <v/>
      </c>
      <c r="CX19" s="28" t="str">
        <f>IF($G19="","",G19*(IF(ADRYr2!$AI19=CX$4,ADRYr2!$AJ19,IF(ADRYr2!$AK19=CX$4,ADRYr2!$AL19,IF(ADRYr2!$AM19=CX$4,ADRYr2!$AN19,0))))*(INDEX(avoidedcosttbl2,$H19,CX$2)+(($H19-ROUNDDOWN($H19,0))*(INDEX(avoidedcosttbl2,ROUNDUP($H19,0),CX$2)-(INDEX(avoidedcosttbl2,ROUNDDOWN($H19,0),CX$2)))))*ADRYr2!$P19*ADRYr2!$Q19*ADRYr2!$U19)</f>
        <v/>
      </c>
      <c r="CY19" s="28" t="str">
        <f t="shared" si="13"/>
        <v/>
      </c>
      <c r="CZ19" s="32" t="str">
        <f t="shared" si="14"/>
        <v/>
      </c>
      <c r="DA19" s="84" t="str">
        <f t="shared" si="41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15"/>
        <v/>
      </c>
      <c r="DD19" s="166" t="str">
        <f t="shared" si="16"/>
        <v/>
      </c>
      <c r="DE19" s="82">
        <f t="shared" si="42"/>
        <v>0</v>
      </c>
      <c r="DF19" s="760" t="str">
        <f>IF($G19="","",(1+WntPeakEnergyLL)*(INDEX(avoidedcosttbl2,$H19,DF$2)+(($H19-ROUNDDOWN($H19,0))*(INDEX(avoidedcosttbl2,ROUNDUP($H19,0),DF$2)-(INDEX(avoidedcosttbl2,ROUNDDOWN($H19,0),DF$2)))))*$P19*1000*ADRYr2!Z19)</f>
        <v/>
      </c>
      <c r="DG19" s="760" t="str">
        <f>IF($G19="","",(1+WntOffPeakEnergyLL)*(INDEX(avoidedcosttbl2,$H19,DG$2)+(($H19-ROUNDDOWN($H19,0))*(INDEX(avoidedcosttbl2,ROUNDUP($H19,0),DG$2)-(INDEX(avoidedcosttbl2,ROUNDDOWN($H19,0),DG$2)))))*$P19*1000*ADRYr2!AA19)</f>
        <v/>
      </c>
      <c r="DH19" s="760" t="str">
        <f>IF($G19="","",(1+SumPeakEnergyLL)*(INDEX(avoidedcosttbl2,$H19,DH$2)+(($H19-ROUNDDOWN($H19,0))*(INDEX(avoidedcosttbl2,ROUNDUP($H19,0),DH$2)-(INDEX(avoidedcosttbl2,ROUNDDOWN($H19,0),DH$2)))))*$P19*1000*ADRYr2!AB19)</f>
        <v/>
      </c>
      <c r="DI19" s="760" t="str">
        <f>IF($G19="","",(1+SumOffPeakEnergyLL)*(INDEX(avoidedcosttbl2,$H19,DI$2)+(($H19-ROUNDDOWN($H19,0))*(INDEX(avoidedcosttbl2,ROUNDUP($H19,0),DI$2)-(INDEX(avoidedcosttbl2,ROUNDDOWN($H19,0),DI$2)))))*$P19*1000*ADRYr2!AC19)</f>
        <v/>
      </c>
      <c r="DJ19" s="29" t="str">
        <f t="shared" si="43"/>
        <v/>
      </c>
      <c r="DK19" s="161" t="str">
        <f t="shared" si="44"/>
        <v/>
      </c>
      <c r="DL19" s="1375" t="str">
        <f t="shared" si="45"/>
        <v/>
      </c>
      <c r="DM19" s="1375" t="str">
        <f t="shared" si="46"/>
        <v/>
      </c>
      <c r="DN19" s="43" t="str">
        <f t="shared" si="47"/>
        <v/>
      </c>
      <c r="DO19" s="1131" t="str">
        <f>IF($G19="","",ADRYr2!AQ19)</f>
        <v/>
      </c>
      <c r="DP19" s="1133" t="str">
        <f>IF($G19="","",ADRYr2!AR19)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48"/>
        <v/>
      </c>
      <c r="DU19" s="1135" t="str">
        <f>IF($G19="","",ADRYr2!AS19)</f>
        <v/>
      </c>
      <c r="DV19" s="1136" t="str">
        <f>IF($G19="","",ADRYr2!AT19)</f>
        <v/>
      </c>
      <c r="DW19" s="1344" t="str">
        <f>IF($G19="","",INDEX(AvoidedEnergy!$H$4:$H$10,MATCH($DO19,AvoidedEnergy!$A$4:$A$10,0)))</f>
        <v/>
      </c>
    </row>
    <row r="20" spans="1:127">
      <c r="A20" s="160" t="str">
        <f>IF(ADRYr2!$B20=0,"",ADRYr2!A20)</f>
        <v>B - Low-Income</v>
      </c>
      <c r="B20" s="9" t="str">
        <f>IF(ADRYr2!$B20=0,"",ADRYr2!B20)</f>
        <v>Home Energy Assistance</v>
      </c>
      <c r="C20" s="9" t="str">
        <f>IF(ADRYr2!$B20=0,"",ADRYr2!C20)</f>
        <v>Res Demand Response</v>
      </c>
      <c r="D20" s="9" t="str">
        <f>IF(ADRYr2!$B20=0,"",ADRYr2!D20)</f>
        <v>Storage Daily Dispatch Upfront Incentive (consumption) Summer</v>
      </c>
      <c r="E20" s="9">
        <f>IF(ADRYr2!$B20=0,"",ADRYr2!E20)</f>
        <v>0</v>
      </c>
      <c r="F20" s="11" t="str">
        <f>IF(ADRYr2!$B20=0,"",ADRYr2!F20)</f>
        <v>Behavior</v>
      </c>
      <c r="G20" s="12" t="str">
        <f>IF(ADRYr2!$G20&lt;&gt;0,ADRYr2!G20,"")</f>
        <v/>
      </c>
      <c r="H20" s="1125" t="str">
        <f>IF($G20="","",ROUND(ADRYr2!H20,0))</f>
        <v/>
      </c>
      <c r="I20" s="47" t="str">
        <f>IF($G20="","",ADRYr2!I20*ADRYr2!P20*G20)</f>
        <v/>
      </c>
      <c r="J20" s="47" t="str">
        <f>IF($G20="","",ADRYr2!J20*G20)</f>
        <v/>
      </c>
      <c r="K20" s="47" t="str">
        <f t="shared" si="17"/>
        <v/>
      </c>
      <c r="L20" s="27" t="str">
        <f>IF($G20="","",ADRYr2!V20*G20/1000)</f>
        <v/>
      </c>
      <c r="M20" s="27" t="str">
        <f>IF($G20="","",L20*ADRYr2!$Q20*ADRYr2!$R20)</f>
        <v/>
      </c>
      <c r="N20" s="27" t="str">
        <f t="shared" si="18"/>
        <v/>
      </c>
      <c r="O20" s="27" t="str">
        <f t="shared" si="19"/>
        <v/>
      </c>
      <c r="P20" s="27" t="str">
        <f>IF($G20="","",M20*ADRYr2!P20)</f>
        <v/>
      </c>
      <c r="Q20" s="27" t="str">
        <f t="shared" si="20"/>
        <v/>
      </c>
      <c r="R20" s="27" t="str">
        <f>IF($G20="","",$Q20*ADRYr2!Z20)</f>
        <v/>
      </c>
      <c r="S20" s="27" t="str">
        <f>IF($G20="","",$Q20*ADRYr2!AA20)</f>
        <v/>
      </c>
      <c r="T20" s="27" t="str">
        <f>IF($G20="","",$Q20*ADRYr2!AB20)</f>
        <v/>
      </c>
      <c r="U20" s="27" t="str">
        <f>IF($G20="","",$Q20*ADRYr2!AC20)</f>
        <v/>
      </c>
      <c r="V20" s="27" t="str">
        <f>IF($G20="","",G20*ADRYr2!$AD20*ADRYr2!$P20*ADRYr2!$Q20)</f>
        <v/>
      </c>
      <c r="W20" s="27" t="str">
        <f>IF($G20="","",$G20*ADRYr2!$AD20*ADRYr2!$AF20*ADRYr2!Q20*ADRYr2!$S20)</f>
        <v/>
      </c>
      <c r="X20" s="27" t="str">
        <f>IF($G20="","",$G20*ADRYr2!$AD20*ADRYr2!$AF20*ADRYr2!P20*ADRYr2!Q20*ADRYr2!$S20)</f>
        <v/>
      </c>
      <c r="Y20" s="27" t="str">
        <f>IF($G20="","",$G20*ADRYr2!$AD20*ADRYr2!$AE20*ADRYr2!Q20*ADRYr2!$T20)</f>
        <v/>
      </c>
      <c r="Z20" s="27" t="str">
        <f>IF($G20="","",$G20*ADRYr2!$AD20*ADRYr2!$AE20*ADRYr2!P20*ADRYr2!Q20*ADRYr2!$T20)</f>
        <v/>
      </c>
      <c r="AA20" s="45" t="str">
        <f>IF($G20="","",$G20*ADRYr2!$Q20*ADRYr2!$U20*(IF(IFERROR(SEARCH("NG", ADRYr2!$AI20),0),ADRYr2!$AJ20,0)+IF(IFERROR(SEARCH("NG", ADRYr2!$AK20),0),ADRYr2!$AL20,0)+IF(IFERROR(SEARCH("NG", ADRYr2!$AM20),0),ADRYr2!$AN20,0)))</f>
        <v/>
      </c>
      <c r="AB20" s="45" t="str">
        <f t="shared" si="21"/>
        <v/>
      </c>
      <c r="AC20" s="45">
        <f>IF($G20="",0,AA20*ADRYr2!$P20)</f>
        <v>0</v>
      </c>
      <c r="AD20" s="45" t="str">
        <f t="shared" si="22"/>
        <v/>
      </c>
      <c r="AE20" s="45" t="str">
        <f>IF($G20="","",$G20*ADRYr2!$Q20*ADRYr2!$U20*(IF(IFERROR(SEARCH("Oil", ADRYr2!$AI20), 0),ADRYr2!$AJ20,0)+IF(IFERROR(SEARCH("Oil", ADRYr2!$AK20), 0),ADRYr2!$AL20,0)+IF(IFERROR(SEARCH("Oil", ADRYr2!$AM20), 0),ADRYr2!$AN20,0)))</f>
        <v/>
      </c>
      <c r="AF20" s="45" t="str">
        <f t="shared" si="23"/>
        <v/>
      </c>
      <c r="AG20" s="45">
        <f>IF($G20="",0,AE20*ADRYr2!$P20)</f>
        <v>0</v>
      </c>
      <c r="AH20" s="45" t="str">
        <f t="shared" si="24"/>
        <v/>
      </c>
      <c r="AI20" s="45" t="str">
        <f>IF($G20="","",$G20*ADRYr2!$Q20*ADRYr2!$U20*(IF(ADRYr2!$AI20=Lookups!$E$114,ADRYr2!$AJ20,IF(ADRYr2!$AK20=Lookups!$E$114,ADRYr2!$AL20,IF(ADRYr2!$AM20=Lookups!$E$114,ADRYr2!$AN20,0)))))</f>
        <v/>
      </c>
      <c r="AJ20" s="45" t="str">
        <f t="shared" si="25"/>
        <v/>
      </c>
      <c r="AK20" s="45">
        <f>IF($G20="",0,AI20*ADRYr2!$P20)</f>
        <v>0</v>
      </c>
      <c r="AL20" s="45" t="str">
        <f t="shared" si="26"/>
        <v/>
      </c>
      <c r="AM20" s="45" t="str">
        <f>IF($G20="","",$G20*ADRYr2!$Q20*ADRYr2!$U20*(IF(ADRYr2!$AI20=Lookups!$E$113,ADRYr2!$AJ20,IF(ADRYr2!$AK20=Lookups!$E$113,ADRYr2!$AL20,IF(ADRYr2!$AM20=Lookups!$E$113,ADRYr2!$AN20,0)))))</f>
        <v/>
      </c>
      <c r="AN20" s="45" t="str">
        <f t="shared" si="27"/>
        <v/>
      </c>
      <c r="AO20" s="45">
        <f>IF($G20="",0,AM20*ADRYr2!$P20)</f>
        <v>0</v>
      </c>
      <c r="AP20" s="45" t="str">
        <f t="shared" si="28"/>
        <v/>
      </c>
      <c r="AQ20" s="45" t="str">
        <f>IF($G20="","",$G20*ADRYr2!$Q20*ADRYr2!$U20*(IF(ADRYr2!$AI20=Lookups!$E$115,ADRYr2!$AJ20,IF(ADRYr2!$AK20=Lookups!$E$115,ADRYr2!$AL20,IF(ADRYr2!$AM20=Lookups!$E$115,ADRYr2!$AN20,0)))))</f>
        <v/>
      </c>
      <c r="AR20" s="45" t="str">
        <f t="shared" si="29"/>
        <v/>
      </c>
      <c r="AS20" s="45" t="str">
        <f>IF($G20="","",AQ20*ADRYr2!$P20)</f>
        <v/>
      </c>
      <c r="AT20" s="45" t="str">
        <f t="shared" si="30"/>
        <v/>
      </c>
      <c r="AU20" s="45" t="str">
        <f>IF($G20="","",$G20*ADRYr2!$Q20*ADRYr2!$U20*(IF(ADRYr2!$AI20=Lookups!$E$116,ADRYr2!$AJ20,IF(ADRYr2!$AK20=Lookups!$E$116,ADRYr2!$AL20,IF(ADRYr2!$AM20=Lookups!$E$116,ADRYr2!$AN20,0)))))</f>
        <v/>
      </c>
      <c r="AV20" s="45" t="str">
        <f t="shared" si="31"/>
        <v/>
      </c>
      <c r="AW20" s="45" t="str">
        <f>IF($G20="","",AU20*ADRYr2!$P20)</f>
        <v/>
      </c>
      <c r="AX20" s="45" t="str">
        <f t="shared" si="32"/>
        <v/>
      </c>
      <c r="AY20" s="45">
        <f t="shared" si="33"/>
        <v>0</v>
      </c>
      <c r="AZ20" s="45">
        <f t="shared" si="33"/>
        <v>0</v>
      </c>
      <c r="BA20" s="101" t="str">
        <f>IF($G20="","",$G20*ADRYr2!$P20*ADRYr2!$Q20*ADRYr2!$U20*ADRYr2!AO20)</f>
        <v/>
      </c>
      <c r="BB20" s="102" t="str">
        <f>IF($G20="","",$G20*ADRYr2!$P20*ADRYr2!$Q20*ADRYr2!$U20*ADRYr2!AP20)</f>
        <v/>
      </c>
      <c r="BC20" s="100" t="str">
        <f t="shared" si="34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5"/>
        <v/>
      </c>
      <c r="BO20" s="31" t="str">
        <f t="shared" si="35"/>
        <v/>
      </c>
      <c r="BP20" s="1129" t="str">
        <f t="shared" si="6"/>
        <v/>
      </c>
      <c r="BQ20" s="28" t="str">
        <f t="shared" si="7"/>
        <v/>
      </c>
      <c r="BR20" s="1129" t="str">
        <f t="shared" si="8"/>
        <v/>
      </c>
      <c r="BS20" s="1129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6"/>
        <v/>
      </c>
      <c r="BX20" s="29" t="str">
        <f t="shared" si="37"/>
        <v/>
      </c>
      <c r="BY20" s="28" t="str">
        <f>IF($G20="","",$G20*(IF(ADRYr2!$AI20=BY$4,ADRYr2!$AJ20,IF(ADRYr2!$AK20=BY$4,ADRYr2!$AL20,IF(ADRYr2!$AM20=BY$4,ADRYr2!$AN20,0))))*(INDEX(avoidedcosttbl2,$H20,BY$2)+(($H20-ROUNDDOWN($H20,0))*(INDEX(avoidedcosttbl2,ROUNDUP($H20,0),BY$2)-(INDEX(avoidedcosttbl2,ROUNDDOWN($H20,0),BY$2)))))*ADRYr2!P20*ADRYr2!Q20*ADRYr2!U20)</f>
        <v/>
      </c>
      <c r="BZ20" s="28" t="str">
        <f>IF($G20="","",$G20*(IF(ADRYr2!$AI20=BZ$4,ADRYr2!$AJ20,IF(ADRYr2!$AK20=BZ$4,ADRYr2!$AL20,IF(ADRYr2!$AM20=BZ$4,ADRYr2!$AN20,0))))*(INDEX(avoidedcosttbl2,$H20,BZ$2)+(($H20-ROUNDDOWN($H20,0))*(INDEX(avoidedcosttbl2,ROUNDUP($H20,0),BZ$2)-(INDEX(avoidedcosttbl2,ROUNDDOWN($H20,0),BZ$2)))))*ADRYr2!P20*ADRYr2!Q20*ADRYr2!U20)</f>
        <v/>
      </c>
      <c r="CA20" s="28" t="str">
        <f>IF($G20="","",$G20*(IF(ADRYr2!$AI20=CA$4,ADRYr2!$AJ20,IF(ADRYr2!$AK20=CA$4,ADRYr2!$AL20,IF(ADRYr2!$AM20=CA$4,ADRYr2!$AN20,0))))*(INDEX(avoidedcosttbl2,$H20,CA$2)+(($H20-ROUNDDOWN($H20,0))*(INDEX(avoidedcosttbl2,ROUNDUP($H20,0),CA$2)-(INDEX(avoidedcosttbl2,ROUNDDOWN($H20,0),CA$2)))))*ADRYr2!P20*ADRYr2!Q20*ADRYr2!U20)</f>
        <v/>
      </c>
      <c r="CB20" s="28" t="str">
        <f>IF($G20="","",$G20*(IF(ADRYr2!$AI20=CB$4,ADRYr2!$AJ20,IF(ADRYr2!$AK20=CB$4,ADRYr2!$AL20,IF(ADRYr2!$AM20=CB$4,ADRYr2!$AN20,0))))*(INDEX(avoidedcosttbl2,$H20,CB$2)+(($H20-ROUNDDOWN($H20,0))*(INDEX(avoidedcosttbl2,ROUNDUP($H20,0),CB$2)-(INDEX(avoidedcosttbl2,ROUNDDOWN($H20,0),CB$2)))))*ADRYr2!P20*ADRYr2!Q20*ADRYr2!U20)</f>
        <v/>
      </c>
      <c r="CC20" s="28" t="str">
        <f>IF($G20="","",$G20*(IF(ADRYr2!$AI20=CC$4,ADRYr2!$AJ20,IF(ADRYr2!$AK20=CC$4,ADRYr2!$AL20,IF(ADRYr2!$AM20=CC$4,ADRYr2!$AN20,0))))*(INDEX(avoidedcosttbl2,$H20,CC$2)+(($H20-ROUNDDOWN($H20,0))*(INDEX(avoidedcosttbl2,ROUNDUP($H20,0),CC$2)-(INDEX(avoidedcosttbl2,ROUNDDOWN($H20,0),CC$2)))))*ADRYr2!P20*ADRYr2!Q20*ADRYr2!U20)</f>
        <v/>
      </c>
      <c r="CD20" s="28" t="str">
        <f>IF($G20="","",$G20*(IF(ADRYr2!$AI20=CD$4,ADRYr2!$AJ20,IF(ADRYr2!$AK20=CD$4,ADRYr2!$AL20,IF(ADRYr2!$AM20=CD$4,ADRYr2!$AN20,0))))*(INDEX(avoidedcosttbl2,$H20,CD$2)+(($H20-ROUNDDOWN($H20,0))*(INDEX(avoidedcosttbl2,ROUNDUP($H20,0),CD$2)-(INDEX(avoidedcosttbl2,ROUNDDOWN($H20,0),CD$2)))))*ADRYr2!P20*ADRYr2!Q20*ADRYr2!U20)</f>
        <v/>
      </c>
      <c r="CE20" s="28" t="str">
        <f>IF($G20="","",$G20*(IF(ADRYr2!$AI20=CE$4,ADRYr2!$AJ20,IF(ADRYr2!$AK20=CE$4,ADRYr2!$AL20,IF(ADRYr2!$AM20=CE$4,ADRYr2!$AN20,0))))*(INDEX(avoidedcosttbl2,$H20,CE$2)+(($H20-ROUNDDOWN($H20,0))*(INDEX(avoidedcosttbl2,ROUNDUP($H20,0),CE$2)-(INDEX(avoidedcosttbl2,ROUNDDOWN($H20,0),CE$2)))))*ADRYr2!P20*ADRYr2!Q20*ADRYr2!U20)</f>
        <v/>
      </c>
      <c r="CF20" s="41" t="str">
        <f t="shared" si="38"/>
        <v/>
      </c>
      <c r="CG20" s="30" t="str">
        <f t="shared" si="11"/>
        <v/>
      </c>
      <c r="CH20" s="30" t="str">
        <f>IF($G20="","",$G20*(IF(ADRYr2!$AI20=BY$4,ADRYr2!$AJ20,IF(ADRYr2!$AK20=BY$4,ADRYr2!$AL20,IF(ADRYr2!$AM20=BY$4,ADRYr2!$AN20,0))))*(INDEX(avoidedcosttbl2,$H20,CH$2)+(($H20-ROUNDDOWN($H20,0))*(INDEX(avoidedcosttbl2,ROUNDUP($H20,0),CH$2)-(INDEX(avoidedcosttbl2,ROUNDDOWN($H20,0),CH$2)))))*ADRYr2!P20*ADRYr2!Q20*ADRYr2!U20)</f>
        <v/>
      </c>
      <c r="CI20" s="30" t="str">
        <f>IF($G20="","",$G20*(IF(ADRYr2!$AI20=BZ$4,ADRYr2!$AJ20,IF(ADRYr2!$AK20=BZ$4,ADRYr2!$AL20,IF(ADRYr2!$AM20=BZ$4,ADRYr2!$AN20,0))))*(INDEX(avoidedcosttbl2,$H20,CI$2)+(($H20-ROUNDDOWN($H20,0))*(INDEX(avoidedcosttbl2,ROUNDUP($H20,0),CI$2)-(INDEX(avoidedcosttbl2,ROUNDDOWN($H20,0),CI$2)))))*ADRYr2!P20*ADRYr2!Q20*ADRYr2!U20)</f>
        <v/>
      </c>
      <c r="CJ20" s="30" t="str">
        <f>IF($G20="","",$G20*(IF(ADRYr2!$AI20=CA$4,ADRYr2!$AJ20,IF(ADRYr2!$AK20=CA$4,ADRYr2!$AL20,IF(ADRYr2!$AM20=CA$4,ADRYr2!$AN20,0))))*(INDEX(avoidedcosttbl2,$H20,CJ$2)+(($H20-ROUNDDOWN($H20,0))*(INDEX(avoidedcosttbl2,ROUNDUP($H20,0),CJ$2)-(INDEX(avoidedcosttbl2,ROUNDDOWN($H20,0),CJ$2)))))*ADRYr2!P20*ADRYr2!Q20*ADRYr2!U20)</f>
        <v/>
      </c>
      <c r="CK20" s="30" t="str">
        <f>IF($G20="","",$G20*(IF(ADRYr2!$AI20=CB$4,ADRYr2!$AJ20,IF(ADRYr2!$AK20=CB$4,ADRYr2!$AL20,IF(ADRYr2!$AM20=CB$4,ADRYr2!$AN20,0))))*(INDEX(avoidedcosttbl2,$H20,CK$2)+(($H20-ROUNDDOWN($H20,0))*(INDEX(avoidedcosttbl2,ROUNDUP($H20,0),CK$2)-(INDEX(avoidedcosttbl2,ROUNDDOWN($H20,0),CK$2)))))*ADRYr2!P20*ADRYr2!Q20*ADRYr2!U20)</f>
        <v/>
      </c>
      <c r="CL20" s="30" t="str">
        <f>IF($G20="","",$G20*(IF(ADRYr2!$AI20=CC$4,ADRYr2!$AJ20,IF(ADRYr2!$AK20=CC$4,ADRYr2!$AL20,IF(ADRYr2!$AM20=CC$4,ADRYr2!$AN20,0))))*(INDEX(avoidedcosttbl2,$H20,CL$2)+(($H20-ROUNDDOWN($H20,0))*(INDEX(avoidedcosttbl2,ROUNDUP($H20,0),CL$2)-(INDEX(avoidedcosttbl2,ROUNDDOWN($H20,0),CL$2)))))*ADRYr2!P20*ADRYr2!Q20*ADRYr2!U20)</f>
        <v/>
      </c>
      <c r="CM20" s="30" t="str">
        <f>IF($G20="","",$G20*(IF(ADRYr2!$AI20=CD$4,ADRYr2!$AJ20,IF(ADRYr2!$AK20=CD$4,ADRYr2!$AL20,IF(ADRYr2!$AM20=CD$4,ADRYr2!$AN20,0))))*(INDEX(avoidedcosttbl2,$H20,CM$2)+(($H20-ROUNDDOWN($H20,0))*(INDEX(avoidedcosttbl2,ROUNDUP($H20,0),CM$2)-(INDEX(avoidedcosttbl2,ROUNDDOWN($H20,0),CM$2)))))*ADRYr2!P20*ADRYr2!Q20*ADRYr2!U20)</f>
        <v/>
      </c>
      <c r="CN20" s="30" t="str">
        <f>IF($G20="","",$G20*(IF(ADRYr2!$AI20=CE$4,ADRYr2!$AJ20,IF(ADRYr2!$AK20=CE$4,ADRYr2!$AL20,IF(ADRYr2!$AM20=CE$4,ADRYr2!$AN20,0))))*(INDEX(avoidedcosttbl2,$H20,CN$2)+(($H20-ROUNDDOWN($H20,0))*(INDEX(avoidedcosttbl2,ROUNDUP($H20,0),CN$2)-(INDEX(avoidedcosttbl2,ROUNDDOWN($H20,0),CN$2)))))*ADRYr2!P20*ADRYr2!Q20*ADRYr2!U20)</f>
        <v/>
      </c>
      <c r="CO20" s="220" t="str">
        <f t="shared" si="39"/>
        <v/>
      </c>
      <c r="CP20" s="220" t="str">
        <f t="shared" si="40"/>
        <v/>
      </c>
      <c r="CQ20" s="157" t="str">
        <f>IF($G20="","",$G20*(IF(ADRYr2!$AI20=CQ$4,ADRYr2!$AJ20,IF(ADRYr2!$AK20=CQ$4,ADRYr2!$AL20,IF(ADRYr2!$AM20=CQ$4,ADRYr2!$AN20,0))))*(INDEX(avoidedcosttbl2,$H20,CQ$2)+(($H20-ROUNDDOWN($H20,0))*(INDEX(avoidedcosttbl2,ROUNDUP($H20,0),CQ$2)-(INDEX(avoidedcosttbl2,ROUNDDOWN($H20,0),CQ$2)))))*ADRYr2!$P20*ADRYr2!$Q20*ADRYr2!$U20)</f>
        <v/>
      </c>
      <c r="CR20" s="28" t="str">
        <f>IF($G20="","",G20*(IF(ADRYr2!$AI20=CR$4,ADRYr2!$AJ20,IF(ADRYr2!$AK20=CR$4,ADRYr2!$AL20,IF(ADRYr2!$AM20=CR$4,ADRYr2!$AN20,0))))*(INDEX(avoidedcosttbl2,$H20,CR$2)+(($H20-ROUNDDOWN($H20,0))*(INDEX(avoidedcosttbl2,ROUNDUP($H20,0),CR$2)-(INDEX(avoidedcosttbl2,ROUNDDOWN($H20,0),CR$2)))))*ADRYr2!$P20*ADRYr2!$Q20*ADRYr2!$U20)</f>
        <v/>
      </c>
      <c r="CS20" s="28" t="str">
        <f>IF($G20="","",G20*(IF(ADRYr2!$AI20=CS$4,ADRYr2!$AJ20,IF(ADRYr2!$AK20=CS$4,ADRYr2!$AL20,IF(ADRYr2!$AM20=CS$4,ADRYr2!$AN20,0))))*(INDEX(avoidedcosttbl2,$H20,CS$2)+(($H20-ROUNDDOWN($H20,0))*(INDEX(avoidedcosttbl2,ROUNDUP($H20,0),CS$2)-(INDEX(avoidedcosttbl2,ROUNDDOWN($H20,0),CS$2)))))*ADRYr2!$P20*ADRYr2!$Q20*ADRYr2!$U20)</f>
        <v/>
      </c>
      <c r="CT20" s="28" t="str">
        <f t="shared" si="12"/>
        <v/>
      </c>
      <c r="CU20" s="28" t="str">
        <f>IF($G20="","",G20*(IF(ADRYr2!$AI20=CU$4,ADRYr2!$AJ20,IF(ADRYr2!$AK20=CU$4,ADRYr2!$AL20,IF(ADRYr2!$AM20=CU$4,ADRYr2!$AN20,0))))*(INDEX(avoidedcosttbl2,$H20,CU$2)+(($H20-ROUNDDOWN($H20,0))*(INDEX(avoidedcosttbl2,ROUNDUP($H20,0),CU$2)-(INDEX(avoidedcosttbl2,ROUNDDOWN($H20,0),CU$2)))))*ADRYr2!$P20*ADRYr2!$Q20*ADRYr2!$U20)</f>
        <v/>
      </c>
      <c r="CV20" s="28" t="str">
        <f>IF($G20="","",G20*(IF(ADRYr2!$AI20=CV$4,ADRYr2!$AJ20,IF(ADRYr2!$AK20=CV$4,ADRYr2!$AL20,IF(ADRYr2!$AM20=CV$4,ADRYr2!$AN20,0))))*(INDEX(avoidedcosttbl2,$H20,CV$2)+(($H20-ROUNDDOWN($H20,0))*(INDEX(avoidedcosttbl2,ROUNDUP($H20,0),CV$2)-(INDEX(avoidedcosttbl2,ROUNDDOWN($H20,0),CV$2)))))*ADRYr2!$P20*ADRYr2!$Q20*ADRYr2!$U20)</f>
        <v/>
      </c>
      <c r="CW20" s="28" t="str">
        <f>IF($G20="","",G20*(IF(ADRYr2!$AI20=CW$4,ADRYr2!$AJ20,IF(ADRYr2!$AK20=CW$4,ADRYr2!$AL20,IF(ADRYr2!$AM20=CW$4,ADRYr2!$AN20,0))))*(INDEX(avoidedcosttbl2,$H20,CW$2)+(($H20-ROUNDDOWN($H20,0))*(INDEX(avoidedcosttbl2,ROUNDUP($H20,0),CW$2)-(INDEX(avoidedcosttbl2,ROUNDDOWN($H20,0),CW$2)))))*ADRYr2!$P20*ADRYr2!$Q20*ADRYr2!$U20)</f>
        <v/>
      </c>
      <c r="CX20" s="28" t="str">
        <f>IF($G20="","",G20*(IF(ADRYr2!$AI20=CX$4,ADRYr2!$AJ20,IF(ADRYr2!$AK20=CX$4,ADRYr2!$AL20,IF(ADRYr2!$AM20=CX$4,ADRYr2!$AN20,0))))*(INDEX(avoidedcosttbl2,$H20,CX$2)+(($H20-ROUNDDOWN($H20,0))*(INDEX(avoidedcosttbl2,ROUNDUP($H20,0),CX$2)-(INDEX(avoidedcosttbl2,ROUNDDOWN($H20,0),CX$2)))))*ADRYr2!$P20*ADRYr2!$Q20*ADRYr2!$U20)</f>
        <v/>
      </c>
      <c r="CY20" s="28" t="str">
        <f t="shared" si="13"/>
        <v/>
      </c>
      <c r="CZ20" s="32" t="str">
        <f t="shared" si="14"/>
        <v/>
      </c>
      <c r="DA20" s="84" t="str">
        <f t="shared" si="41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15"/>
        <v/>
      </c>
      <c r="DD20" s="166" t="str">
        <f t="shared" si="16"/>
        <v/>
      </c>
      <c r="DE20" s="82">
        <f t="shared" si="42"/>
        <v>0</v>
      </c>
      <c r="DF20" s="760" t="str">
        <f>IF($G20="","",(1+WntPeakEnergyLL)*(INDEX(avoidedcosttbl2,$H20,DF$2)+(($H20-ROUNDDOWN($H20,0))*(INDEX(avoidedcosttbl2,ROUNDUP($H20,0),DF$2)-(INDEX(avoidedcosttbl2,ROUNDDOWN($H20,0),DF$2)))))*$P20*1000*ADRYr2!Z20)</f>
        <v/>
      </c>
      <c r="DG20" s="760" t="str">
        <f>IF($G20="","",(1+WntOffPeakEnergyLL)*(INDEX(avoidedcosttbl2,$H20,DG$2)+(($H20-ROUNDDOWN($H20,0))*(INDEX(avoidedcosttbl2,ROUNDUP($H20,0),DG$2)-(INDEX(avoidedcosttbl2,ROUNDDOWN($H20,0),DG$2)))))*$P20*1000*ADRYr2!AA20)</f>
        <v/>
      </c>
      <c r="DH20" s="760" t="str">
        <f>IF($G20="","",(1+SumPeakEnergyLL)*(INDEX(avoidedcosttbl2,$H20,DH$2)+(($H20-ROUNDDOWN($H20,0))*(INDEX(avoidedcosttbl2,ROUNDUP($H20,0),DH$2)-(INDEX(avoidedcosttbl2,ROUNDDOWN($H20,0),DH$2)))))*$P20*1000*ADRYr2!AB20)</f>
        <v/>
      </c>
      <c r="DI20" s="760" t="str">
        <f>IF($G20="","",(1+SumOffPeakEnergyLL)*(INDEX(avoidedcosttbl2,$H20,DI$2)+(($H20-ROUNDDOWN($H20,0))*(INDEX(avoidedcosttbl2,ROUNDUP($H20,0),DI$2)-(INDEX(avoidedcosttbl2,ROUNDDOWN($H20,0),DI$2)))))*$P20*1000*ADRYr2!AC20)</f>
        <v/>
      </c>
      <c r="DJ20" s="29" t="str">
        <f t="shared" si="43"/>
        <v/>
      </c>
      <c r="DK20" s="161" t="str">
        <f t="shared" si="44"/>
        <v/>
      </c>
      <c r="DL20" s="1375" t="str">
        <f t="shared" si="45"/>
        <v/>
      </c>
      <c r="DM20" s="1375" t="str">
        <f t="shared" si="46"/>
        <v/>
      </c>
      <c r="DN20" s="43" t="str">
        <f t="shared" si="47"/>
        <v/>
      </c>
      <c r="DO20" s="1131" t="str">
        <f>IF($G20="","",ADRYr2!AQ20)</f>
        <v/>
      </c>
      <c r="DP20" s="1133" t="str">
        <f>IF($G20="","",ADRYr2!AR20)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48"/>
        <v/>
      </c>
      <c r="DU20" s="1135" t="str">
        <f>IF($G20="","",ADRYr2!AS20)</f>
        <v/>
      </c>
      <c r="DV20" s="1136" t="str">
        <f>IF($G20="","",ADRYr2!AT20)</f>
        <v/>
      </c>
      <c r="DW20" s="1344" t="str">
        <f>IF($G20="","",INDEX(AvoidedEnergy!$H$4:$H$10,MATCH($DO20,AvoidedEnergy!$A$4:$A$10,0)))</f>
        <v/>
      </c>
    </row>
    <row r="21" spans="1:127">
      <c r="A21" s="160" t="str">
        <f>IF(ADRYr2!$B21=0,"",ADRYr2!A21)</f>
        <v>B - Low-Income</v>
      </c>
      <c r="B21" s="9" t="str">
        <f>IF(ADRYr2!$B21=0,"",ADRYr2!B21)</f>
        <v>Home Energy Assistance</v>
      </c>
      <c r="C21" s="9" t="str">
        <f>IF(ADRYr2!$B21=0,"",ADRYr2!C21)</f>
        <v>Res Demand Response</v>
      </c>
      <c r="D21" s="9" t="str">
        <f>IF(ADRYr2!$B21=0,"",ADRYr2!D21)</f>
        <v>Storage Daily Dispatch Upfront Incentive (savings) Winter</v>
      </c>
      <c r="E21" s="9">
        <f>IF(ADRYr2!$B21=0,"",ADRYr2!E21)</f>
        <v>0</v>
      </c>
      <c r="F21" s="11" t="str">
        <f>IF(ADRYr2!$B21=0,"",ADRYr2!F21)</f>
        <v>Behavior</v>
      </c>
      <c r="G21" s="12" t="str">
        <f>IF(ADRYr2!$G21&lt;&gt;0,ADRYr2!G21,"")</f>
        <v/>
      </c>
      <c r="H21" s="1125" t="str">
        <f>IF($G21="","",ROUND(ADRYr2!H21,0))</f>
        <v/>
      </c>
      <c r="I21" s="47" t="str">
        <f>IF($G21="","",ADRYr2!I21*ADRYr2!P21*G21)</f>
        <v/>
      </c>
      <c r="J21" s="47" t="str">
        <f>IF($G21="","",ADRYr2!J21*G21)</f>
        <v/>
      </c>
      <c r="K21" s="47" t="str">
        <f t="shared" si="17"/>
        <v/>
      </c>
      <c r="L21" s="27" t="str">
        <f>IF($G21="","",ADRYr2!V21*G21/1000)</f>
        <v/>
      </c>
      <c r="M21" s="27" t="str">
        <f>IF($G21="","",L21*ADRYr2!$Q21*ADRYr2!$R21)</f>
        <v/>
      </c>
      <c r="N21" s="27" t="str">
        <f t="shared" si="18"/>
        <v/>
      </c>
      <c r="O21" s="27" t="str">
        <f t="shared" si="19"/>
        <v/>
      </c>
      <c r="P21" s="27" t="str">
        <f>IF($G21="","",M21*ADRYr2!P21)</f>
        <v/>
      </c>
      <c r="Q21" s="27" t="str">
        <f t="shared" si="20"/>
        <v/>
      </c>
      <c r="R21" s="27" t="str">
        <f>IF($G21="","",$Q21*ADRYr2!Z21)</f>
        <v/>
      </c>
      <c r="S21" s="27" t="str">
        <f>IF($G21="","",$Q21*ADRYr2!AA21)</f>
        <v/>
      </c>
      <c r="T21" s="27" t="str">
        <f>IF($G21="","",$Q21*ADRYr2!AB21)</f>
        <v/>
      </c>
      <c r="U21" s="27" t="str">
        <f>IF($G21="","",$Q21*ADRYr2!AC21)</f>
        <v/>
      </c>
      <c r="V21" s="27" t="str">
        <f>IF($G21="","",G21*ADRYr2!$AD21*ADRYr2!$P21*ADRYr2!$Q21)</f>
        <v/>
      </c>
      <c r="W21" s="27" t="str">
        <f>IF($G21="","",$G21*ADRYr2!$AD21*ADRYr2!$AF21*ADRYr2!Q21*ADRYr2!$S21)</f>
        <v/>
      </c>
      <c r="X21" s="27" t="str">
        <f>IF($G21="","",$G21*ADRYr2!$AD21*ADRYr2!$AF21*ADRYr2!P21*ADRYr2!Q21*ADRYr2!$S21)</f>
        <v/>
      </c>
      <c r="Y21" s="27" t="str">
        <f>IF($G21="","",$G21*ADRYr2!$AD21*ADRYr2!$AE21*ADRYr2!Q21*ADRYr2!$T21)</f>
        <v/>
      </c>
      <c r="Z21" s="27" t="str">
        <f>IF($G21="","",$G21*ADRYr2!$AD21*ADRYr2!$AE21*ADRYr2!P21*ADRYr2!Q21*ADRYr2!$T21)</f>
        <v/>
      </c>
      <c r="AA21" s="45" t="str">
        <f>IF($G21="","",$G21*ADRYr2!$Q21*ADRYr2!$U21*(IF(IFERROR(SEARCH("NG", ADRYr2!$AI21),0),ADRYr2!$AJ21,0)+IF(IFERROR(SEARCH("NG", ADRYr2!$AK21),0),ADRYr2!$AL21,0)+IF(IFERROR(SEARCH("NG", ADRYr2!$AM21),0),ADRYr2!$AN21,0)))</f>
        <v/>
      </c>
      <c r="AB21" s="45" t="str">
        <f t="shared" si="21"/>
        <v/>
      </c>
      <c r="AC21" s="45">
        <f>IF($G21="",0,AA21*ADRYr2!$P21)</f>
        <v>0</v>
      </c>
      <c r="AD21" s="45" t="str">
        <f t="shared" si="22"/>
        <v/>
      </c>
      <c r="AE21" s="45" t="str">
        <f>IF($G21="","",$G21*ADRYr2!$Q21*ADRYr2!$U21*(IF(IFERROR(SEARCH("Oil", ADRYr2!$AI21), 0),ADRYr2!$AJ21,0)+IF(IFERROR(SEARCH("Oil", ADRYr2!$AK21), 0),ADRYr2!$AL21,0)+IF(IFERROR(SEARCH("Oil", ADRYr2!$AM21), 0),ADRYr2!$AN21,0)))</f>
        <v/>
      </c>
      <c r="AF21" s="45" t="str">
        <f t="shared" si="23"/>
        <v/>
      </c>
      <c r="AG21" s="45">
        <f>IF($G21="",0,AE21*ADRYr2!$P21)</f>
        <v>0</v>
      </c>
      <c r="AH21" s="45" t="str">
        <f t="shared" si="24"/>
        <v/>
      </c>
      <c r="AI21" s="45" t="str">
        <f>IF($G21="","",$G21*ADRYr2!$Q21*ADRYr2!$U21*(IF(ADRYr2!$AI21=Lookups!$E$114,ADRYr2!$AJ21,IF(ADRYr2!$AK21=Lookups!$E$114,ADRYr2!$AL21,IF(ADRYr2!$AM21=Lookups!$E$114,ADRYr2!$AN21,0)))))</f>
        <v/>
      </c>
      <c r="AJ21" s="45" t="str">
        <f t="shared" si="25"/>
        <v/>
      </c>
      <c r="AK21" s="45">
        <f>IF($G21="",0,AI21*ADRYr2!$P21)</f>
        <v>0</v>
      </c>
      <c r="AL21" s="45" t="str">
        <f t="shared" si="26"/>
        <v/>
      </c>
      <c r="AM21" s="45" t="str">
        <f>IF($G21="","",$G21*ADRYr2!$Q21*ADRYr2!$U21*(IF(ADRYr2!$AI21=Lookups!$E$113,ADRYr2!$AJ21,IF(ADRYr2!$AK21=Lookups!$E$113,ADRYr2!$AL21,IF(ADRYr2!$AM21=Lookups!$E$113,ADRYr2!$AN21,0)))))</f>
        <v/>
      </c>
      <c r="AN21" s="45" t="str">
        <f t="shared" si="27"/>
        <v/>
      </c>
      <c r="AO21" s="45">
        <f>IF($G21="",0,AM21*ADRYr2!$P21)</f>
        <v>0</v>
      </c>
      <c r="AP21" s="45" t="str">
        <f t="shared" si="28"/>
        <v/>
      </c>
      <c r="AQ21" s="45" t="str">
        <f>IF($G21="","",$G21*ADRYr2!$Q21*ADRYr2!$U21*(IF(ADRYr2!$AI21=Lookups!$E$115,ADRYr2!$AJ21,IF(ADRYr2!$AK21=Lookups!$E$115,ADRYr2!$AL21,IF(ADRYr2!$AM21=Lookups!$E$115,ADRYr2!$AN21,0)))))</f>
        <v/>
      </c>
      <c r="AR21" s="45" t="str">
        <f t="shared" si="29"/>
        <v/>
      </c>
      <c r="AS21" s="45" t="str">
        <f>IF($G21="","",AQ21*ADRYr2!$P21)</f>
        <v/>
      </c>
      <c r="AT21" s="45" t="str">
        <f t="shared" si="30"/>
        <v/>
      </c>
      <c r="AU21" s="45" t="str">
        <f>IF($G21="","",$G21*ADRYr2!$Q21*ADRYr2!$U21*(IF(ADRYr2!$AI21=Lookups!$E$116,ADRYr2!$AJ21,IF(ADRYr2!$AK21=Lookups!$E$116,ADRYr2!$AL21,IF(ADRYr2!$AM21=Lookups!$E$116,ADRYr2!$AN21,0)))))</f>
        <v/>
      </c>
      <c r="AV21" s="45" t="str">
        <f t="shared" si="31"/>
        <v/>
      </c>
      <c r="AW21" s="45" t="str">
        <f>IF($G21="","",AU21*ADRYr2!$P21)</f>
        <v/>
      </c>
      <c r="AX21" s="45" t="str">
        <f t="shared" si="32"/>
        <v/>
      </c>
      <c r="AY21" s="45">
        <f t="shared" si="33"/>
        <v>0</v>
      </c>
      <c r="AZ21" s="45">
        <f t="shared" si="33"/>
        <v>0</v>
      </c>
      <c r="BA21" s="101" t="str">
        <f>IF($G21="","",$G21*ADRYr2!$P21*ADRYr2!$Q21*ADRYr2!$U21*ADRYr2!AO21)</f>
        <v/>
      </c>
      <c r="BB21" s="102" t="str">
        <f>IF($G21="","",$G21*ADRYr2!$P21*ADRYr2!$Q21*ADRYr2!$U21*ADRYr2!AP21)</f>
        <v/>
      </c>
      <c r="BC21" s="100" t="str">
        <f t="shared" si="34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5"/>
        <v/>
      </c>
      <c r="BO21" s="31" t="str">
        <f t="shared" si="35"/>
        <v/>
      </c>
      <c r="BP21" s="1129" t="str">
        <f t="shared" si="6"/>
        <v/>
      </c>
      <c r="BQ21" s="28" t="str">
        <f t="shared" si="7"/>
        <v/>
      </c>
      <c r="BR21" s="1129" t="str">
        <f t="shared" si="8"/>
        <v/>
      </c>
      <c r="BS21" s="1129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6"/>
        <v/>
      </c>
      <c r="BX21" s="29" t="str">
        <f t="shared" si="37"/>
        <v/>
      </c>
      <c r="BY21" s="28" t="str">
        <f>IF($G21="","",$G21*(IF(ADRYr2!$AI21=BY$4,ADRYr2!$AJ21,IF(ADRYr2!$AK21=BY$4,ADRYr2!$AL21,IF(ADRYr2!$AM21=BY$4,ADRYr2!$AN21,0))))*(INDEX(avoidedcosttbl2,$H21,BY$2)+(($H21-ROUNDDOWN($H21,0))*(INDEX(avoidedcosttbl2,ROUNDUP($H21,0),BY$2)-(INDEX(avoidedcosttbl2,ROUNDDOWN($H21,0),BY$2)))))*ADRYr2!P21*ADRYr2!Q21*ADRYr2!U21)</f>
        <v/>
      </c>
      <c r="BZ21" s="28" t="str">
        <f>IF($G21="","",$G21*(IF(ADRYr2!$AI21=BZ$4,ADRYr2!$AJ21,IF(ADRYr2!$AK21=BZ$4,ADRYr2!$AL21,IF(ADRYr2!$AM21=BZ$4,ADRYr2!$AN21,0))))*(INDEX(avoidedcosttbl2,$H21,BZ$2)+(($H21-ROUNDDOWN($H21,0))*(INDEX(avoidedcosttbl2,ROUNDUP($H21,0),BZ$2)-(INDEX(avoidedcosttbl2,ROUNDDOWN($H21,0),BZ$2)))))*ADRYr2!P21*ADRYr2!Q21*ADRYr2!U21)</f>
        <v/>
      </c>
      <c r="CA21" s="28" t="str">
        <f>IF($G21="","",$G21*(IF(ADRYr2!$AI21=CA$4,ADRYr2!$AJ21,IF(ADRYr2!$AK21=CA$4,ADRYr2!$AL21,IF(ADRYr2!$AM21=CA$4,ADRYr2!$AN21,0))))*(INDEX(avoidedcosttbl2,$H21,CA$2)+(($H21-ROUNDDOWN($H21,0))*(INDEX(avoidedcosttbl2,ROUNDUP($H21,0),CA$2)-(INDEX(avoidedcosttbl2,ROUNDDOWN($H21,0),CA$2)))))*ADRYr2!P21*ADRYr2!Q21*ADRYr2!U21)</f>
        <v/>
      </c>
      <c r="CB21" s="28" t="str">
        <f>IF($G21="","",$G21*(IF(ADRYr2!$AI21=CB$4,ADRYr2!$AJ21,IF(ADRYr2!$AK21=CB$4,ADRYr2!$AL21,IF(ADRYr2!$AM21=CB$4,ADRYr2!$AN21,0))))*(INDEX(avoidedcosttbl2,$H21,CB$2)+(($H21-ROUNDDOWN($H21,0))*(INDEX(avoidedcosttbl2,ROUNDUP($H21,0),CB$2)-(INDEX(avoidedcosttbl2,ROUNDDOWN($H21,0),CB$2)))))*ADRYr2!P21*ADRYr2!Q21*ADRYr2!U21)</f>
        <v/>
      </c>
      <c r="CC21" s="28" t="str">
        <f>IF($G21="","",$G21*(IF(ADRYr2!$AI21=CC$4,ADRYr2!$AJ21,IF(ADRYr2!$AK21=CC$4,ADRYr2!$AL21,IF(ADRYr2!$AM21=CC$4,ADRYr2!$AN21,0))))*(INDEX(avoidedcosttbl2,$H21,CC$2)+(($H21-ROUNDDOWN($H21,0))*(INDEX(avoidedcosttbl2,ROUNDUP($H21,0),CC$2)-(INDEX(avoidedcosttbl2,ROUNDDOWN($H21,0),CC$2)))))*ADRYr2!P21*ADRYr2!Q21*ADRYr2!U21)</f>
        <v/>
      </c>
      <c r="CD21" s="28" t="str">
        <f>IF($G21="","",$G21*(IF(ADRYr2!$AI21=CD$4,ADRYr2!$AJ21,IF(ADRYr2!$AK21=CD$4,ADRYr2!$AL21,IF(ADRYr2!$AM21=CD$4,ADRYr2!$AN21,0))))*(INDEX(avoidedcosttbl2,$H21,CD$2)+(($H21-ROUNDDOWN($H21,0))*(INDEX(avoidedcosttbl2,ROUNDUP($H21,0),CD$2)-(INDEX(avoidedcosttbl2,ROUNDDOWN($H21,0),CD$2)))))*ADRYr2!P21*ADRYr2!Q21*ADRYr2!U21)</f>
        <v/>
      </c>
      <c r="CE21" s="28" t="str">
        <f>IF($G21="","",$G21*(IF(ADRYr2!$AI21=CE$4,ADRYr2!$AJ21,IF(ADRYr2!$AK21=CE$4,ADRYr2!$AL21,IF(ADRYr2!$AM21=CE$4,ADRYr2!$AN21,0))))*(INDEX(avoidedcosttbl2,$H21,CE$2)+(($H21-ROUNDDOWN($H21,0))*(INDEX(avoidedcosttbl2,ROUNDUP($H21,0),CE$2)-(INDEX(avoidedcosttbl2,ROUNDDOWN($H21,0),CE$2)))))*ADRYr2!P21*ADRYr2!Q21*ADRYr2!U21)</f>
        <v/>
      </c>
      <c r="CF21" s="41" t="str">
        <f t="shared" si="38"/>
        <v/>
      </c>
      <c r="CG21" s="30" t="str">
        <f t="shared" si="11"/>
        <v/>
      </c>
      <c r="CH21" s="30" t="str">
        <f>IF($G21="","",$G21*(IF(ADRYr2!$AI21=BY$4,ADRYr2!$AJ21,IF(ADRYr2!$AK21=BY$4,ADRYr2!$AL21,IF(ADRYr2!$AM21=BY$4,ADRYr2!$AN21,0))))*(INDEX(avoidedcosttbl2,$H21,CH$2)+(($H21-ROUNDDOWN($H21,0))*(INDEX(avoidedcosttbl2,ROUNDUP($H21,0),CH$2)-(INDEX(avoidedcosttbl2,ROUNDDOWN($H21,0),CH$2)))))*ADRYr2!P21*ADRYr2!Q21*ADRYr2!U21)</f>
        <v/>
      </c>
      <c r="CI21" s="30" t="str">
        <f>IF($G21="","",$G21*(IF(ADRYr2!$AI21=BZ$4,ADRYr2!$AJ21,IF(ADRYr2!$AK21=BZ$4,ADRYr2!$AL21,IF(ADRYr2!$AM21=BZ$4,ADRYr2!$AN21,0))))*(INDEX(avoidedcosttbl2,$H21,CI$2)+(($H21-ROUNDDOWN($H21,0))*(INDEX(avoidedcosttbl2,ROUNDUP($H21,0),CI$2)-(INDEX(avoidedcosttbl2,ROUNDDOWN($H21,0),CI$2)))))*ADRYr2!P21*ADRYr2!Q21*ADRYr2!U21)</f>
        <v/>
      </c>
      <c r="CJ21" s="30" t="str">
        <f>IF($G21="","",$G21*(IF(ADRYr2!$AI21=CA$4,ADRYr2!$AJ21,IF(ADRYr2!$AK21=CA$4,ADRYr2!$AL21,IF(ADRYr2!$AM21=CA$4,ADRYr2!$AN21,0))))*(INDEX(avoidedcosttbl2,$H21,CJ$2)+(($H21-ROUNDDOWN($H21,0))*(INDEX(avoidedcosttbl2,ROUNDUP($H21,0),CJ$2)-(INDEX(avoidedcosttbl2,ROUNDDOWN($H21,0),CJ$2)))))*ADRYr2!P21*ADRYr2!Q21*ADRYr2!U21)</f>
        <v/>
      </c>
      <c r="CK21" s="30" t="str">
        <f>IF($G21="","",$G21*(IF(ADRYr2!$AI21=CB$4,ADRYr2!$AJ21,IF(ADRYr2!$AK21=CB$4,ADRYr2!$AL21,IF(ADRYr2!$AM21=CB$4,ADRYr2!$AN21,0))))*(INDEX(avoidedcosttbl2,$H21,CK$2)+(($H21-ROUNDDOWN($H21,0))*(INDEX(avoidedcosttbl2,ROUNDUP($H21,0),CK$2)-(INDEX(avoidedcosttbl2,ROUNDDOWN($H21,0),CK$2)))))*ADRYr2!P21*ADRYr2!Q21*ADRYr2!U21)</f>
        <v/>
      </c>
      <c r="CL21" s="30" t="str">
        <f>IF($G21="","",$G21*(IF(ADRYr2!$AI21=CC$4,ADRYr2!$AJ21,IF(ADRYr2!$AK21=CC$4,ADRYr2!$AL21,IF(ADRYr2!$AM21=CC$4,ADRYr2!$AN21,0))))*(INDEX(avoidedcosttbl2,$H21,CL$2)+(($H21-ROUNDDOWN($H21,0))*(INDEX(avoidedcosttbl2,ROUNDUP($H21,0),CL$2)-(INDEX(avoidedcosttbl2,ROUNDDOWN($H21,0),CL$2)))))*ADRYr2!P21*ADRYr2!Q21*ADRYr2!U21)</f>
        <v/>
      </c>
      <c r="CM21" s="30" t="str">
        <f>IF($G21="","",$G21*(IF(ADRYr2!$AI21=CD$4,ADRYr2!$AJ21,IF(ADRYr2!$AK21=CD$4,ADRYr2!$AL21,IF(ADRYr2!$AM21=CD$4,ADRYr2!$AN21,0))))*(INDEX(avoidedcosttbl2,$H21,CM$2)+(($H21-ROUNDDOWN($H21,0))*(INDEX(avoidedcosttbl2,ROUNDUP($H21,0),CM$2)-(INDEX(avoidedcosttbl2,ROUNDDOWN($H21,0),CM$2)))))*ADRYr2!P21*ADRYr2!Q21*ADRYr2!U21)</f>
        <v/>
      </c>
      <c r="CN21" s="30" t="str">
        <f>IF($G21="","",$G21*(IF(ADRYr2!$AI21=CE$4,ADRYr2!$AJ21,IF(ADRYr2!$AK21=CE$4,ADRYr2!$AL21,IF(ADRYr2!$AM21=CE$4,ADRYr2!$AN21,0))))*(INDEX(avoidedcosttbl2,$H21,CN$2)+(($H21-ROUNDDOWN($H21,0))*(INDEX(avoidedcosttbl2,ROUNDUP($H21,0),CN$2)-(INDEX(avoidedcosttbl2,ROUNDDOWN($H21,0),CN$2)))))*ADRYr2!P21*ADRYr2!Q21*ADRYr2!U21)</f>
        <v/>
      </c>
      <c r="CO21" s="220" t="str">
        <f t="shared" si="39"/>
        <v/>
      </c>
      <c r="CP21" s="220" t="str">
        <f t="shared" si="40"/>
        <v/>
      </c>
      <c r="CQ21" s="157" t="str">
        <f>IF($G21="","",$G21*(IF(ADRYr2!$AI21=CQ$4,ADRYr2!$AJ21,IF(ADRYr2!$AK21=CQ$4,ADRYr2!$AL21,IF(ADRYr2!$AM21=CQ$4,ADRYr2!$AN21,0))))*(INDEX(avoidedcosttbl2,$H21,CQ$2)+(($H21-ROUNDDOWN($H21,0))*(INDEX(avoidedcosttbl2,ROUNDUP($H21,0),CQ$2)-(INDEX(avoidedcosttbl2,ROUNDDOWN($H21,0),CQ$2)))))*ADRYr2!$P21*ADRYr2!$Q21*ADRYr2!$U21)</f>
        <v/>
      </c>
      <c r="CR21" s="28" t="str">
        <f>IF($G21="","",G21*(IF(ADRYr2!$AI21=CR$4,ADRYr2!$AJ21,IF(ADRYr2!$AK21=CR$4,ADRYr2!$AL21,IF(ADRYr2!$AM21=CR$4,ADRYr2!$AN21,0))))*(INDEX(avoidedcosttbl2,$H21,CR$2)+(($H21-ROUNDDOWN($H21,0))*(INDEX(avoidedcosttbl2,ROUNDUP($H21,0),CR$2)-(INDEX(avoidedcosttbl2,ROUNDDOWN($H21,0),CR$2)))))*ADRYr2!$P21*ADRYr2!$Q21*ADRYr2!$U21)</f>
        <v/>
      </c>
      <c r="CS21" s="28" t="str">
        <f>IF($G21="","",G21*(IF(ADRYr2!$AI21=CS$4,ADRYr2!$AJ21,IF(ADRYr2!$AK21=CS$4,ADRYr2!$AL21,IF(ADRYr2!$AM21=CS$4,ADRYr2!$AN21,0))))*(INDEX(avoidedcosttbl2,$H21,CS$2)+(($H21-ROUNDDOWN($H21,0))*(INDEX(avoidedcosttbl2,ROUNDUP($H21,0),CS$2)-(INDEX(avoidedcosttbl2,ROUNDDOWN($H21,0),CS$2)))))*ADRYr2!$P21*ADRYr2!$Q21*ADRYr2!$U21)</f>
        <v/>
      </c>
      <c r="CT21" s="28" t="str">
        <f t="shared" si="12"/>
        <v/>
      </c>
      <c r="CU21" s="28" t="str">
        <f>IF($G21="","",G21*(IF(ADRYr2!$AI21=CU$4,ADRYr2!$AJ21,IF(ADRYr2!$AK21=CU$4,ADRYr2!$AL21,IF(ADRYr2!$AM21=CU$4,ADRYr2!$AN21,0))))*(INDEX(avoidedcosttbl2,$H21,CU$2)+(($H21-ROUNDDOWN($H21,0))*(INDEX(avoidedcosttbl2,ROUNDUP($H21,0),CU$2)-(INDEX(avoidedcosttbl2,ROUNDDOWN($H21,0),CU$2)))))*ADRYr2!$P21*ADRYr2!$Q21*ADRYr2!$U21)</f>
        <v/>
      </c>
      <c r="CV21" s="28" t="str">
        <f>IF($G21="","",G21*(IF(ADRYr2!$AI21=CV$4,ADRYr2!$AJ21,IF(ADRYr2!$AK21=CV$4,ADRYr2!$AL21,IF(ADRYr2!$AM21=CV$4,ADRYr2!$AN21,0))))*(INDEX(avoidedcosttbl2,$H21,CV$2)+(($H21-ROUNDDOWN($H21,0))*(INDEX(avoidedcosttbl2,ROUNDUP($H21,0),CV$2)-(INDEX(avoidedcosttbl2,ROUNDDOWN($H21,0),CV$2)))))*ADRYr2!$P21*ADRYr2!$Q21*ADRYr2!$U21)</f>
        <v/>
      </c>
      <c r="CW21" s="28" t="str">
        <f>IF($G21="","",G21*(IF(ADRYr2!$AI21=CW$4,ADRYr2!$AJ21,IF(ADRYr2!$AK21=CW$4,ADRYr2!$AL21,IF(ADRYr2!$AM21=CW$4,ADRYr2!$AN21,0))))*(INDEX(avoidedcosttbl2,$H21,CW$2)+(($H21-ROUNDDOWN($H21,0))*(INDEX(avoidedcosttbl2,ROUNDUP($H21,0),CW$2)-(INDEX(avoidedcosttbl2,ROUNDDOWN($H21,0),CW$2)))))*ADRYr2!$P21*ADRYr2!$Q21*ADRYr2!$U21)</f>
        <v/>
      </c>
      <c r="CX21" s="28" t="str">
        <f>IF($G21="","",G21*(IF(ADRYr2!$AI21=CX$4,ADRYr2!$AJ21,IF(ADRYr2!$AK21=CX$4,ADRYr2!$AL21,IF(ADRYr2!$AM21=CX$4,ADRYr2!$AN21,0))))*(INDEX(avoidedcosttbl2,$H21,CX$2)+(($H21-ROUNDDOWN($H21,0))*(INDEX(avoidedcosttbl2,ROUNDUP($H21,0),CX$2)-(INDEX(avoidedcosttbl2,ROUNDDOWN($H21,0),CX$2)))))*ADRYr2!$P21*ADRYr2!$Q21*ADRYr2!$U21)</f>
        <v/>
      </c>
      <c r="CY21" s="28" t="str">
        <f t="shared" si="13"/>
        <v/>
      </c>
      <c r="CZ21" s="32" t="str">
        <f t="shared" si="14"/>
        <v/>
      </c>
      <c r="DA21" s="84" t="str">
        <f t="shared" si="41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15"/>
        <v/>
      </c>
      <c r="DD21" s="166" t="str">
        <f t="shared" si="16"/>
        <v/>
      </c>
      <c r="DE21" s="82">
        <f t="shared" si="42"/>
        <v>0</v>
      </c>
      <c r="DF21" s="760" t="str">
        <f>IF($G21="","",(1+WntPeakEnergyLL)*(INDEX(avoidedcosttbl2,$H21,DF$2)+(($H21-ROUNDDOWN($H21,0))*(INDEX(avoidedcosttbl2,ROUNDUP($H21,0),DF$2)-(INDEX(avoidedcosttbl2,ROUNDDOWN($H21,0),DF$2)))))*$P21*1000*ADRYr2!Z21)</f>
        <v/>
      </c>
      <c r="DG21" s="760" t="str">
        <f>IF($G21="","",(1+WntOffPeakEnergyLL)*(INDEX(avoidedcosttbl2,$H21,DG$2)+(($H21-ROUNDDOWN($H21,0))*(INDEX(avoidedcosttbl2,ROUNDUP($H21,0),DG$2)-(INDEX(avoidedcosttbl2,ROUNDDOWN($H21,0),DG$2)))))*$P21*1000*ADRYr2!AA21)</f>
        <v/>
      </c>
      <c r="DH21" s="760" t="str">
        <f>IF($G21="","",(1+SumPeakEnergyLL)*(INDEX(avoidedcosttbl2,$H21,DH$2)+(($H21-ROUNDDOWN($H21,0))*(INDEX(avoidedcosttbl2,ROUNDUP($H21,0),DH$2)-(INDEX(avoidedcosttbl2,ROUNDDOWN($H21,0),DH$2)))))*$P21*1000*ADRYr2!AB21)</f>
        <v/>
      </c>
      <c r="DI21" s="760" t="str">
        <f>IF($G21="","",(1+SumOffPeakEnergyLL)*(INDEX(avoidedcosttbl2,$H21,DI$2)+(($H21-ROUNDDOWN($H21,0))*(INDEX(avoidedcosttbl2,ROUNDUP($H21,0),DI$2)-(INDEX(avoidedcosttbl2,ROUNDDOWN($H21,0),DI$2)))))*$P21*1000*ADRYr2!AC21)</f>
        <v/>
      </c>
      <c r="DJ21" s="29" t="str">
        <f t="shared" si="43"/>
        <v/>
      </c>
      <c r="DK21" s="161" t="str">
        <f t="shared" si="44"/>
        <v/>
      </c>
      <c r="DL21" s="1375" t="str">
        <f t="shared" si="45"/>
        <v/>
      </c>
      <c r="DM21" s="1375" t="str">
        <f t="shared" si="46"/>
        <v/>
      </c>
      <c r="DN21" s="43" t="str">
        <f t="shared" si="47"/>
        <v/>
      </c>
      <c r="DO21" s="1131" t="str">
        <f>IF($G21="","",ADRYr2!AQ21)</f>
        <v/>
      </c>
      <c r="DP21" s="1133" t="str">
        <f>IF($G21="","",ADRYr2!AR21)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48"/>
        <v/>
      </c>
      <c r="DU21" s="1135" t="str">
        <f>IF($G21="","",ADRYr2!AS21)</f>
        <v/>
      </c>
      <c r="DV21" s="1136" t="str">
        <f>IF($G21="","",ADRYr2!AT21)</f>
        <v/>
      </c>
      <c r="DW21" s="1344" t="str">
        <f>IF($G21="","",INDEX(AvoidedEnergy!$H$4:$H$10,MATCH($DO21,AvoidedEnergy!$A$4:$A$10,0)))</f>
        <v/>
      </c>
    </row>
    <row r="22" spans="1:127">
      <c r="A22" s="160" t="str">
        <f>IF(ADRYr2!$B22=0,"",ADRYr2!A22)</f>
        <v>B - Low-Income</v>
      </c>
      <c r="B22" s="9" t="str">
        <f>IF(ADRYr2!$B22=0,"",ADRYr2!B22)</f>
        <v>Home Energy Assistance</v>
      </c>
      <c r="C22" s="9" t="str">
        <f>IF(ADRYr2!$B22=0,"",ADRYr2!C22)</f>
        <v>Res Demand Response</v>
      </c>
      <c r="D22" s="9" t="str">
        <f>IF(ADRYr2!$B22=0,"",ADRYr2!D22)</f>
        <v>Storage Daily Dispatch Upfront Incentive (consumption) Winter</v>
      </c>
      <c r="E22" s="9">
        <f>IF(ADRYr2!$B22=0,"",ADRYr2!E22)</f>
        <v>0</v>
      </c>
      <c r="F22" s="11" t="str">
        <f>IF(ADRYr2!$B22=0,"",ADRYr2!F22)</f>
        <v>Behavior</v>
      </c>
      <c r="G22" s="12" t="str">
        <f>IF(ADRYr2!$G22&lt;&gt;0,ADRYr2!G22,"")</f>
        <v/>
      </c>
      <c r="H22" s="1125" t="str">
        <f>IF($G22="","",ROUND(ADRYr2!H22,0))</f>
        <v/>
      </c>
      <c r="I22" s="47" t="str">
        <f>IF($G22="","",ADRYr2!I22*ADRYr2!P22*G22)</f>
        <v/>
      </c>
      <c r="J22" s="47" t="str">
        <f>IF($G22="","",ADRYr2!J22*G22)</f>
        <v/>
      </c>
      <c r="K22" s="47" t="str">
        <f t="shared" si="17"/>
        <v/>
      </c>
      <c r="L22" s="27" t="str">
        <f>IF($G22="","",ADRYr2!V22*G22/1000)</f>
        <v/>
      </c>
      <c r="M22" s="27" t="str">
        <f>IF($G22="","",L22*ADRYr2!$Q22*ADRYr2!$R22)</f>
        <v/>
      </c>
      <c r="N22" s="27" t="str">
        <f t="shared" si="18"/>
        <v/>
      </c>
      <c r="O22" s="27" t="str">
        <f t="shared" si="19"/>
        <v/>
      </c>
      <c r="P22" s="27" t="str">
        <f>IF($G22="","",M22*ADRYr2!P22)</f>
        <v/>
      </c>
      <c r="Q22" s="27" t="str">
        <f t="shared" si="20"/>
        <v/>
      </c>
      <c r="R22" s="27" t="str">
        <f>IF($G22="","",$Q22*ADRYr2!Z22)</f>
        <v/>
      </c>
      <c r="S22" s="27" t="str">
        <f>IF($G22="","",$Q22*ADRYr2!AA22)</f>
        <v/>
      </c>
      <c r="T22" s="27" t="str">
        <f>IF($G22="","",$Q22*ADRYr2!AB22)</f>
        <v/>
      </c>
      <c r="U22" s="27" t="str">
        <f>IF($G22="","",$Q22*ADRYr2!AC22)</f>
        <v/>
      </c>
      <c r="V22" s="27" t="str">
        <f>IF($G22="","",G22*ADRYr2!$AD22*ADRYr2!$P22*ADRYr2!$Q22)</f>
        <v/>
      </c>
      <c r="W22" s="27" t="str">
        <f>IF($G22="","",$G22*ADRYr2!$AD22*ADRYr2!$AF22*ADRYr2!Q22*ADRYr2!$S22)</f>
        <v/>
      </c>
      <c r="X22" s="27" t="str">
        <f>IF($G22="","",$G22*ADRYr2!$AD22*ADRYr2!$AF22*ADRYr2!P22*ADRYr2!Q22*ADRYr2!$S22)</f>
        <v/>
      </c>
      <c r="Y22" s="27" t="str">
        <f>IF($G22="","",$G22*ADRYr2!$AD22*ADRYr2!$AE22*ADRYr2!Q22*ADRYr2!$T22)</f>
        <v/>
      </c>
      <c r="Z22" s="27" t="str">
        <f>IF($G22="","",$G22*ADRYr2!$AD22*ADRYr2!$AE22*ADRYr2!P22*ADRYr2!Q22*ADRYr2!$T22)</f>
        <v/>
      </c>
      <c r="AA22" s="45" t="str">
        <f>IF($G22="","",$G22*ADRYr2!$Q22*ADRYr2!$U22*(IF(IFERROR(SEARCH("NG", ADRYr2!$AI22),0),ADRYr2!$AJ22,0)+IF(IFERROR(SEARCH("NG", ADRYr2!$AK22),0),ADRYr2!$AL22,0)+IF(IFERROR(SEARCH("NG", ADRYr2!$AM22),0),ADRYr2!$AN22,0)))</f>
        <v/>
      </c>
      <c r="AB22" s="45" t="str">
        <f t="shared" si="21"/>
        <v/>
      </c>
      <c r="AC22" s="45">
        <f>IF($G22="",0,AA22*ADRYr2!$P22)</f>
        <v>0</v>
      </c>
      <c r="AD22" s="45" t="str">
        <f t="shared" si="22"/>
        <v/>
      </c>
      <c r="AE22" s="45" t="str">
        <f>IF($G22="","",$G22*ADRYr2!$Q22*ADRYr2!$U22*(IF(IFERROR(SEARCH("Oil", ADRYr2!$AI22), 0),ADRYr2!$AJ22,0)+IF(IFERROR(SEARCH("Oil", ADRYr2!$AK22), 0),ADRYr2!$AL22,0)+IF(IFERROR(SEARCH("Oil", ADRYr2!$AM22), 0),ADRYr2!$AN22,0)))</f>
        <v/>
      </c>
      <c r="AF22" s="45" t="str">
        <f t="shared" si="23"/>
        <v/>
      </c>
      <c r="AG22" s="45">
        <f>IF($G22="",0,AE22*ADRYr2!$P22)</f>
        <v>0</v>
      </c>
      <c r="AH22" s="45" t="str">
        <f t="shared" si="24"/>
        <v/>
      </c>
      <c r="AI22" s="45" t="str">
        <f>IF($G22="","",$G22*ADRYr2!$Q22*ADRYr2!$U22*(IF(ADRYr2!$AI22=Lookups!$E$114,ADRYr2!$AJ22,IF(ADRYr2!$AK22=Lookups!$E$114,ADRYr2!$AL22,IF(ADRYr2!$AM22=Lookups!$E$114,ADRYr2!$AN22,0)))))</f>
        <v/>
      </c>
      <c r="AJ22" s="45" t="str">
        <f t="shared" si="25"/>
        <v/>
      </c>
      <c r="AK22" s="45">
        <f>IF($G22="",0,AI22*ADRYr2!$P22)</f>
        <v>0</v>
      </c>
      <c r="AL22" s="45" t="str">
        <f t="shared" si="26"/>
        <v/>
      </c>
      <c r="AM22" s="45" t="str">
        <f>IF($G22="","",$G22*ADRYr2!$Q22*ADRYr2!$U22*(IF(ADRYr2!$AI22=Lookups!$E$113,ADRYr2!$AJ22,IF(ADRYr2!$AK22=Lookups!$E$113,ADRYr2!$AL22,IF(ADRYr2!$AM22=Lookups!$E$113,ADRYr2!$AN22,0)))))</f>
        <v/>
      </c>
      <c r="AN22" s="45" t="str">
        <f t="shared" si="27"/>
        <v/>
      </c>
      <c r="AO22" s="45">
        <f>IF($G22="",0,AM22*ADRYr2!$P22)</f>
        <v>0</v>
      </c>
      <c r="AP22" s="45" t="str">
        <f t="shared" si="28"/>
        <v/>
      </c>
      <c r="AQ22" s="45" t="str">
        <f>IF($G22="","",$G22*ADRYr2!$Q22*ADRYr2!$U22*(IF(ADRYr2!$AI22=Lookups!$E$115,ADRYr2!$AJ22,IF(ADRYr2!$AK22=Lookups!$E$115,ADRYr2!$AL22,IF(ADRYr2!$AM22=Lookups!$E$115,ADRYr2!$AN22,0)))))</f>
        <v/>
      </c>
      <c r="AR22" s="45" t="str">
        <f t="shared" si="29"/>
        <v/>
      </c>
      <c r="AS22" s="45" t="str">
        <f>IF($G22="","",AQ22*ADRYr2!$P22)</f>
        <v/>
      </c>
      <c r="AT22" s="45" t="str">
        <f t="shared" si="30"/>
        <v/>
      </c>
      <c r="AU22" s="45" t="str">
        <f>IF($G22="","",$G22*ADRYr2!$Q22*ADRYr2!$U22*(IF(ADRYr2!$AI22=Lookups!$E$116,ADRYr2!$AJ22,IF(ADRYr2!$AK22=Lookups!$E$116,ADRYr2!$AL22,IF(ADRYr2!$AM22=Lookups!$E$116,ADRYr2!$AN22,0)))))</f>
        <v/>
      </c>
      <c r="AV22" s="45" t="str">
        <f t="shared" si="31"/>
        <v/>
      </c>
      <c r="AW22" s="45" t="str">
        <f>IF($G22="","",AU22*ADRYr2!$P22)</f>
        <v/>
      </c>
      <c r="AX22" s="45" t="str">
        <f t="shared" si="32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IF($G22="","",$G22*ADRYr2!$P22*ADRYr2!$Q22*ADRYr2!$U22*ADRYr2!AO22)</f>
        <v/>
      </c>
      <c r="BB22" s="102" t="str">
        <f>IF($G22="","",$G22*ADRYr2!$P22*ADRYr2!$Q22*ADRYr2!$U22*ADRYr2!AP22)</f>
        <v/>
      </c>
      <c r="BC22" s="100" t="str">
        <f t="shared" si="34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5"/>
        <v/>
      </c>
      <c r="BO22" s="31" t="str">
        <f t="shared" si="35"/>
        <v/>
      </c>
      <c r="BP22" s="1129" t="str">
        <f t="shared" si="6"/>
        <v/>
      </c>
      <c r="BQ22" s="28" t="str">
        <f t="shared" si="7"/>
        <v/>
      </c>
      <c r="BR22" s="1129" t="str">
        <f t="shared" si="8"/>
        <v/>
      </c>
      <c r="BS22" s="1129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6"/>
        <v/>
      </c>
      <c r="BX22" s="29" t="str">
        <f t="shared" si="37"/>
        <v/>
      </c>
      <c r="BY22" s="28" t="str">
        <f>IF($G22="","",$G22*(IF(ADRYr2!$AI22=BY$4,ADRYr2!$AJ22,IF(ADRYr2!$AK22=BY$4,ADRYr2!$AL22,IF(ADRYr2!$AM22=BY$4,ADRYr2!$AN22,0))))*(INDEX(avoidedcosttbl2,$H22,BY$2)+(($H22-ROUNDDOWN($H22,0))*(INDEX(avoidedcosttbl2,ROUNDUP($H22,0),BY$2)-(INDEX(avoidedcosttbl2,ROUNDDOWN($H22,0),BY$2)))))*ADRYr2!P22*ADRYr2!Q22*ADRYr2!U22)</f>
        <v/>
      </c>
      <c r="BZ22" s="28" t="str">
        <f>IF($G22="","",$G22*(IF(ADRYr2!$AI22=BZ$4,ADRYr2!$AJ22,IF(ADRYr2!$AK22=BZ$4,ADRYr2!$AL22,IF(ADRYr2!$AM22=BZ$4,ADRYr2!$AN22,0))))*(INDEX(avoidedcosttbl2,$H22,BZ$2)+(($H22-ROUNDDOWN($H22,0))*(INDEX(avoidedcosttbl2,ROUNDUP($H22,0),BZ$2)-(INDEX(avoidedcosttbl2,ROUNDDOWN($H22,0),BZ$2)))))*ADRYr2!P22*ADRYr2!Q22*ADRYr2!U22)</f>
        <v/>
      </c>
      <c r="CA22" s="28" t="str">
        <f>IF($G22="","",$G22*(IF(ADRYr2!$AI22=CA$4,ADRYr2!$AJ22,IF(ADRYr2!$AK22=CA$4,ADRYr2!$AL22,IF(ADRYr2!$AM22=CA$4,ADRYr2!$AN22,0))))*(INDEX(avoidedcosttbl2,$H22,CA$2)+(($H22-ROUNDDOWN($H22,0))*(INDEX(avoidedcosttbl2,ROUNDUP($H22,0),CA$2)-(INDEX(avoidedcosttbl2,ROUNDDOWN($H22,0),CA$2)))))*ADRYr2!P22*ADRYr2!Q22*ADRYr2!U22)</f>
        <v/>
      </c>
      <c r="CB22" s="28" t="str">
        <f>IF($G22="","",$G22*(IF(ADRYr2!$AI22=CB$4,ADRYr2!$AJ22,IF(ADRYr2!$AK22=CB$4,ADRYr2!$AL22,IF(ADRYr2!$AM22=CB$4,ADRYr2!$AN22,0))))*(INDEX(avoidedcosttbl2,$H22,CB$2)+(($H22-ROUNDDOWN($H22,0))*(INDEX(avoidedcosttbl2,ROUNDUP($H22,0),CB$2)-(INDEX(avoidedcosttbl2,ROUNDDOWN($H22,0),CB$2)))))*ADRYr2!P22*ADRYr2!Q22*ADRYr2!U22)</f>
        <v/>
      </c>
      <c r="CC22" s="28" t="str">
        <f>IF($G22="","",$G22*(IF(ADRYr2!$AI22=CC$4,ADRYr2!$AJ22,IF(ADRYr2!$AK22=CC$4,ADRYr2!$AL22,IF(ADRYr2!$AM22=CC$4,ADRYr2!$AN22,0))))*(INDEX(avoidedcosttbl2,$H22,CC$2)+(($H22-ROUNDDOWN($H22,0))*(INDEX(avoidedcosttbl2,ROUNDUP($H22,0),CC$2)-(INDEX(avoidedcosttbl2,ROUNDDOWN($H22,0),CC$2)))))*ADRYr2!P22*ADRYr2!Q22*ADRYr2!U22)</f>
        <v/>
      </c>
      <c r="CD22" s="28" t="str">
        <f>IF($G22="","",$G22*(IF(ADRYr2!$AI22=CD$4,ADRYr2!$AJ22,IF(ADRYr2!$AK22=CD$4,ADRYr2!$AL22,IF(ADRYr2!$AM22=CD$4,ADRYr2!$AN22,0))))*(INDEX(avoidedcosttbl2,$H22,CD$2)+(($H22-ROUNDDOWN($H22,0))*(INDEX(avoidedcosttbl2,ROUNDUP($H22,0),CD$2)-(INDEX(avoidedcosttbl2,ROUNDDOWN($H22,0),CD$2)))))*ADRYr2!P22*ADRYr2!Q22*ADRYr2!U22)</f>
        <v/>
      </c>
      <c r="CE22" s="28" t="str">
        <f>IF($G22="","",$G22*(IF(ADRYr2!$AI22=CE$4,ADRYr2!$AJ22,IF(ADRYr2!$AK22=CE$4,ADRYr2!$AL22,IF(ADRYr2!$AM22=CE$4,ADRYr2!$AN22,0))))*(INDEX(avoidedcosttbl2,$H22,CE$2)+(($H22-ROUNDDOWN($H22,0))*(INDEX(avoidedcosttbl2,ROUNDUP($H22,0),CE$2)-(INDEX(avoidedcosttbl2,ROUNDDOWN($H22,0),CE$2)))))*ADRYr2!P22*ADRYr2!Q22*ADRYr2!U22)</f>
        <v/>
      </c>
      <c r="CF22" s="41" t="str">
        <f t="shared" si="38"/>
        <v/>
      </c>
      <c r="CG22" s="30" t="str">
        <f t="shared" si="11"/>
        <v/>
      </c>
      <c r="CH22" s="30" t="str">
        <f>IF($G22="","",$G22*(IF(ADRYr2!$AI22=BY$4,ADRYr2!$AJ22,IF(ADRYr2!$AK22=BY$4,ADRYr2!$AL22,IF(ADRYr2!$AM22=BY$4,ADRYr2!$AN22,0))))*(INDEX(avoidedcosttbl2,$H22,CH$2)+(($H22-ROUNDDOWN($H22,0))*(INDEX(avoidedcosttbl2,ROUNDUP($H22,0),CH$2)-(INDEX(avoidedcosttbl2,ROUNDDOWN($H22,0),CH$2)))))*ADRYr2!P22*ADRYr2!Q22*ADRYr2!U22)</f>
        <v/>
      </c>
      <c r="CI22" s="30" t="str">
        <f>IF($G22="","",$G22*(IF(ADRYr2!$AI22=BZ$4,ADRYr2!$AJ22,IF(ADRYr2!$AK22=BZ$4,ADRYr2!$AL22,IF(ADRYr2!$AM22=BZ$4,ADRYr2!$AN22,0))))*(INDEX(avoidedcosttbl2,$H22,CI$2)+(($H22-ROUNDDOWN($H22,0))*(INDEX(avoidedcosttbl2,ROUNDUP($H22,0),CI$2)-(INDEX(avoidedcosttbl2,ROUNDDOWN($H22,0),CI$2)))))*ADRYr2!P22*ADRYr2!Q22*ADRYr2!U22)</f>
        <v/>
      </c>
      <c r="CJ22" s="30" t="str">
        <f>IF($G22="","",$G22*(IF(ADRYr2!$AI22=CA$4,ADRYr2!$AJ22,IF(ADRYr2!$AK22=CA$4,ADRYr2!$AL22,IF(ADRYr2!$AM22=CA$4,ADRYr2!$AN22,0))))*(INDEX(avoidedcosttbl2,$H22,CJ$2)+(($H22-ROUNDDOWN($H22,0))*(INDEX(avoidedcosttbl2,ROUNDUP($H22,0),CJ$2)-(INDEX(avoidedcosttbl2,ROUNDDOWN($H22,0),CJ$2)))))*ADRYr2!P22*ADRYr2!Q22*ADRYr2!U22)</f>
        <v/>
      </c>
      <c r="CK22" s="30" t="str">
        <f>IF($G22="","",$G22*(IF(ADRYr2!$AI22=CB$4,ADRYr2!$AJ22,IF(ADRYr2!$AK22=CB$4,ADRYr2!$AL22,IF(ADRYr2!$AM22=CB$4,ADRYr2!$AN22,0))))*(INDEX(avoidedcosttbl2,$H22,CK$2)+(($H22-ROUNDDOWN($H22,0))*(INDEX(avoidedcosttbl2,ROUNDUP($H22,0),CK$2)-(INDEX(avoidedcosttbl2,ROUNDDOWN($H22,0),CK$2)))))*ADRYr2!P22*ADRYr2!Q22*ADRYr2!U22)</f>
        <v/>
      </c>
      <c r="CL22" s="30" t="str">
        <f>IF($G22="","",$G22*(IF(ADRYr2!$AI22=CC$4,ADRYr2!$AJ22,IF(ADRYr2!$AK22=CC$4,ADRYr2!$AL22,IF(ADRYr2!$AM22=CC$4,ADRYr2!$AN22,0))))*(INDEX(avoidedcosttbl2,$H22,CL$2)+(($H22-ROUNDDOWN($H22,0))*(INDEX(avoidedcosttbl2,ROUNDUP($H22,0),CL$2)-(INDEX(avoidedcosttbl2,ROUNDDOWN($H22,0),CL$2)))))*ADRYr2!P22*ADRYr2!Q22*ADRYr2!U22)</f>
        <v/>
      </c>
      <c r="CM22" s="30" t="str">
        <f>IF($G22="","",$G22*(IF(ADRYr2!$AI22=CD$4,ADRYr2!$AJ22,IF(ADRYr2!$AK22=CD$4,ADRYr2!$AL22,IF(ADRYr2!$AM22=CD$4,ADRYr2!$AN22,0))))*(INDEX(avoidedcosttbl2,$H22,CM$2)+(($H22-ROUNDDOWN($H22,0))*(INDEX(avoidedcosttbl2,ROUNDUP($H22,0),CM$2)-(INDEX(avoidedcosttbl2,ROUNDDOWN($H22,0),CM$2)))))*ADRYr2!P22*ADRYr2!Q22*ADRYr2!U22)</f>
        <v/>
      </c>
      <c r="CN22" s="30" t="str">
        <f>IF($G22="","",$G22*(IF(ADRYr2!$AI22=CE$4,ADRYr2!$AJ22,IF(ADRYr2!$AK22=CE$4,ADRYr2!$AL22,IF(ADRYr2!$AM22=CE$4,ADRYr2!$AN22,0))))*(INDEX(avoidedcosttbl2,$H22,CN$2)+(($H22-ROUNDDOWN($H22,0))*(INDEX(avoidedcosttbl2,ROUNDUP($H22,0),CN$2)-(INDEX(avoidedcosttbl2,ROUNDDOWN($H22,0),CN$2)))))*ADRYr2!P22*ADRYr2!Q22*ADRYr2!U22)</f>
        <v/>
      </c>
      <c r="CO22" s="220" t="str">
        <f t="shared" si="39"/>
        <v/>
      </c>
      <c r="CP22" s="220" t="str">
        <f t="shared" si="40"/>
        <v/>
      </c>
      <c r="CQ22" s="157" t="str">
        <f>IF($G22="","",$G22*(IF(ADRYr2!$AI22=CQ$4,ADRYr2!$AJ22,IF(ADRYr2!$AK22=CQ$4,ADRYr2!$AL22,IF(ADRYr2!$AM22=CQ$4,ADRYr2!$AN22,0))))*(INDEX(avoidedcosttbl2,$H22,CQ$2)+(($H22-ROUNDDOWN($H22,0))*(INDEX(avoidedcosttbl2,ROUNDUP($H22,0),CQ$2)-(INDEX(avoidedcosttbl2,ROUNDDOWN($H22,0),CQ$2)))))*ADRYr2!$P22*ADRYr2!$Q22*ADRYr2!$U22)</f>
        <v/>
      </c>
      <c r="CR22" s="28" t="str">
        <f>IF($G22="","",G22*(IF(ADRYr2!$AI22=CR$4,ADRYr2!$AJ22,IF(ADRYr2!$AK22=CR$4,ADRYr2!$AL22,IF(ADRYr2!$AM22=CR$4,ADRYr2!$AN22,0))))*(INDEX(avoidedcosttbl2,$H22,CR$2)+(($H22-ROUNDDOWN($H22,0))*(INDEX(avoidedcosttbl2,ROUNDUP($H22,0),CR$2)-(INDEX(avoidedcosttbl2,ROUNDDOWN($H22,0),CR$2)))))*ADRYr2!$P22*ADRYr2!$Q22*ADRYr2!$U22)</f>
        <v/>
      </c>
      <c r="CS22" s="28" t="str">
        <f>IF($G22="","",G22*(IF(ADRYr2!$AI22=CS$4,ADRYr2!$AJ22,IF(ADRYr2!$AK22=CS$4,ADRYr2!$AL22,IF(ADRYr2!$AM22=CS$4,ADRYr2!$AN22,0))))*(INDEX(avoidedcosttbl2,$H22,CS$2)+(($H22-ROUNDDOWN($H22,0))*(INDEX(avoidedcosttbl2,ROUNDUP($H22,0),CS$2)-(INDEX(avoidedcosttbl2,ROUNDDOWN($H22,0),CS$2)))))*ADRYr2!$P22*ADRYr2!$Q22*ADRYr2!$U22)</f>
        <v/>
      </c>
      <c r="CT22" s="28" t="str">
        <f t="shared" si="12"/>
        <v/>
      </c>
      <c r="CU22" s="28" t="str">
        <f>IF($G22="","",G22*(IF(ADRYr2!$AI22=CU$4,ADRYr2!$AJ22,IF(ADRYr2!$AK22=CU$4,ADRYr2!$AL22,IF(ADRYr2!$AM22=CU$4,ADRYr2!$AN22,0))))*(INDEX(avoidedcosttbl2,$H22,CU$2)+(($H22-ROUNDDOWN($H22,0))*(INDEX(avoidedcosttbl2,ROUNDUP($H22,0),CU$2)-(INDEX(avoidedcosttbl2,ROUNDDOWN($H22,0),CU$2)))))*ADRYr2!$P22*ADRYr2!$Q22*ADRYr2!$U22)</f>
        <v/>
      </c>
      <c r="CV22" s="28" t="str">
        <f>IF($G22="","",G22*(IF(ADRYr2!$AI22=CV$4,ADRYr2!$AJ22,IF(ADRYr2!$AK22=CV$4,ADRYr2!$AL22,IF(ADRYr2!$AM22=CV$4,ADRYr2!$AN22,0))))*(INDEX(avoidedcosttbl2,$H22,CV$2)+(($H22-ROUNDDOWN($H22,0))*(INDEX(avoidedcosttbl2,ROUNDUP($H22,0),CV$2)-(INDEX(avoidedcosttbl2,ROUNDDOWN($H22,0),CV$2)))))*ADRYr2!$P22*ADRYr2!$Q22*ADRYr2!$U22)</f>
        <v/>
      </c>
      <c r="CW22" s="28" t="str">
        <f>IF($G22="","",G22*(IF(ADRYr2!$AI22=CW$4,ADRYr2!$AJ22,IF(ADRYr2!$AK22=CW$4,ADRYr2!$AL22,IF(ADRYr2!$AM22=CW$4,ADRYr2!$AN22,0))))*(INDEX(avoidedcosttbl2,$H22,CW$2)+(($H22-ROUNDDOWN($H22,0))*(INDEX(avoidedcosttbl2,ROUNDUP($H22,0),CW$2)-(INDEX(avoidedcosttbl2,ROUNDDOWN($H22,0),CW$2)))))*ADRYr2!$P22*ADRYr2!$Q22*ADRYr2!$U22)</f>
        <v/>
      </c>
      <c r="CX22" s="28" t="str">
        <f>IF($G22="","",G22*(IF(ADRYr2!$AI22=CX$4,ADRYr2!$AJ22,IF(ADRYr2!$AK22=CX$4,ADRYr2!$AL22,IF(ADRYr2!$AM22=CX$4,ADRYr2!$AN22,0))))*(INDEX(avoidedcosttbl2,$H22,CX$2)+(($H22-ROUNDDOWN($H22,0))*(INDEX(avoidedcosttbl2,ROUNDUP($H22,0),CX$2)-(INDEX(avoidedcosttbl2,ROUNDDOWN($H22,0),CX$2)))))*ADRYr2!$P22*ADRYr2!$Q22*ADRYr2!$U22)</f>
        <v/>
      </c>
      <c r="CY22" s="28" t="str">
        <f t="shared" si="13"/>
        <v/>
      </c>
      <c r="CZ22" s="32" t="str">
        <f t="shared" si="14"/>
        <v/>
      </c>
      <c r="DA22" s="84" t="str">
        <f t="shared" si="41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15"/>
        <v/>
      </c>
      <c r="DD22" s="166" t="str">
        <f t="shared" si="16"/>
        <v/>
      </c>
      <c r="DE22" s="82">
        <f t="shared" si="42"/>
        <v>0</v>
      </c>
      <c r="DF22" s="760" t="str">
        <f>IF($G22="","",(1+WntPeakEnergyLL)*(INDEX(avoidedcosttbl2,$H22,DF$2)+(($H22-ROUNDDOWN($H22,0))*(INDEX(avoidedcosttbl2,ROUNDUP($H22,0),DF$2)-(INDEX(avoidedcosttbl2,ROUNDDOWN($H22,0),DF$2)))))*$P22*1000*ADRYr2!Z22)</f>
        <v/>
      </c>
      <c r="DG22" s="760" t="str">
        <f>IF($G22="","",(1+WntOffPeakEnergyLL)*(INDEX(avoidedcosttbl2,$H22,DG$2)+(($H22-ROUNDDOWN($H22,0))*(INDEX(avoidedcosttbl2,ROUNDUP($H22,0),DG$2)-(INDEX(avoidedcosttbl2,ROUNDDOWN($H22,0),DG$2)))))*$P22*1000*ADRYr2!AA22)</f>
        <v/>
      </c>
      <c r="DH22" s="760" t="str">
        <f>IF($G22="","",(1+SumPeakEnergyLL)*(INDEX(avoidedcosttbl2,$H22,DH$2)+(($H22-ROUNDDOWN($H22,0))*(INDEX(avoidedcosttbl2,ROUNDUP($H22,0),DH$2)-(INDEX(avoidedcosttbl2,ROUNDDOWN($H22,0),DH$2)))))*$P22*1000*ADRYr2!AB22)</f>
        <v/>
      </c>
      <c r="DI22" s="760" t="str">
        <f>IF($G22="","",(1+SumOffPeakEnergyLL)*(INDEX(avoidedcosttbl2,$H22,DI$2)+(($H22-ROUNDDOWN($H22,0))*(INDEX(avoidedcosttbl2,ROUNDUP($H22,0),DI$2)-(INDEX(avoidedcosttbl2,ROUNDDOWN($H22,0),DI$2)))))*$P22*1000*ADRYr2!AC22)</f>
        <v/>
      </c>
      <c r="DJ22" s="29" t="str">
        <f t="shared" si="43"/>
        <v/>
      </c>
      <c r="DK22" s="161" t="str">
        <f t="shared" si="44"/>
        <v/>
      </c>
      <c r="DL22" s="1375" t="str">
        <f t="shared" si="45"/>
        <v/>
      </c>
      <c r="DM22" s="1375" t="str">
        <f t="shared" si="46"/>
        <v/>
      </c>
      <c r="DN22" s="43" t="str">
        <f t="shared" si="47"/>
        <v/>
      </c>
      <c r="DO22" s="1131" t="str">
        <f>IF($G22="","",ADRYr2!AQ22)</f>
        <v/>
      </c>
      <c r="DP22" s="1133" t="str">
        <f>IF($G22="","",ADRYr2!AR22)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48"/>
        <v/>
      </c>
      <c r="DU22" s="1135" t="str">
        <f>IF($G22="","",ADRYr2!AS22)</f>
        <v/>
      </c>
      <c r="DV22" s="1136" t="str">
        <f>IF($G22="","",ADRYr2!AT22)</f>
        <v/>
      </c>
      <c r="DW22" s="1344" t="str">
        <f>IF($G22="","",INDEX(AvoidedEnergy!$H$4:$H$10,MATCH($DO22,AvoidedEnergy!$A$4:$A$10,0)))</f>
        <v/>
      </c>
    </row>
    <row r="23" spans="1:127">
      <c r="A23" s="160" t="str">
        <f>IF(ADRYr2!$B23=0,"",ADRYr2!A23)</f>
        <v>B - Low-Income</v>
      </c>
      <c r="B23" s="9" t="str">
        <f>IF(ADRYr2!$B23=0,"",ADRYr2!B23)</f>
        <v>Home Energy Assistance</v>
      </c>
      <c r="C23" s="9" t="str">
        <f>IF(ADRYr2!$B23=0,"",ADRYr2!C23)</f>
        <v>Res Demand Response</v>
      </c>
      <c r="D23" s="9" t="str">
        <f>IF(ADRYr2!$B23=0,"",ADRYr2!D23)</f>
        <v>Storage Daily Dispatch P4P (savings) Summer</v>
      </c>
      <c r="E23" s="9">
        <f>IF(ADRYr2!$B23=0,"",ADRYr2!E23)</f>
        <v>0</v>
      </c>
      <c r="F23" s="11" t="str">
        <f>IF(ADRYr2!$B23=0,"",ADRYr2!F23)</f>
        <v>Behavior</v>
      </c>
      <c r="G23" s="12" t="str">
        <f>IF(ADRYr2!$G23&lt;&gt;0,ADRYr2!G23,"")</f>
        <v/>
      </c>
      <c r="H23" s="1125" t="str">
        <f>IF($G23="","",ROUND(ADRYr2!H23,0))</f>
        <v/>
      </c>
      <c r="I23" s="47" t="str">
        <f>IF($G23="","",ADRYr2!I23*ADRYr2!P23*G23)</f>
        <v/>
      </c>
      <c r="J23" s="47" t="str">
        <f>IF($G23="","",ADRYr2!J23*G23)</f>
        <v/>
      </c>
      <c r="K23" s="47" t="str">
        <f t="shared" si="17"/>
        <v/>
      </c>
      <c r="L23" s="27" t="str">
        <f>IF($G23="","",ADRYr2!V23*G23/1000)</f>
        <v/>
      </c>
      <c r="M23" s="27" t="str">
        <f>IF($G23="","",L23*ADRYr2!$Q23*ADRYr2!$R23)</f>
        <v/>
      </c>
      <c r="N23" s="27" t="str">
        <f t="shared" si="18"/>
        <v/>
      </c>
      <c r="O23" s="27" t="str">
        <f t="shared" si="19"/>
        <v/>
      </c>
      <c r="P23" s="27" t="str">
        <f>IF($G23="","",M23*ADRYr2!P23)</f>
        <v/>
      </c>
      <c r="Q23" s="27" t="str">
        <f t="shared" si="20"/>
        <v/>
      </c>
      <c r="R23" s="27" t="str">
        <f>IF($G23="","",$Q23*ADRYr2!Z23)</f>
        <v/>
      </c>
      <c r="S23" s="27" t="str">
        <f>IF($G23="","",$Q23*ADRYr2!AA23)</f>
        <v/>
      </c>
      <c r="T23" s="27" t="str">
        <f>IF($G23="","",$Q23*ADRYr2!AB23)</f>
        <v/>
      </c>
      <c r="U23" s="27" t="str">
        <f>IF($G23="","",$Q23*ADRYr2!AC23)</f>
        <v/>
      </c>
      <c r="V23" s="27" t="str">
        <f>IF($G23="","",G23*ADRYr2!$AD23*ADRYr2!$P23*ADRYr2!$Q23)</f>
        <v/>
      </c>
      <c r="W23" s="27" t="str">
        <f>IF($G23="","",$G23*ADRYr2!$AD23*ADRYr2!$AF23*ADRYr2!Q23*ADRYr2!$S23)</f>
        <v/>
      </c>
      <c r="X23" s="27" t="str">
        <f>IF($G23="","",$G23*ADRYr2!$AD23*ADRYr2!$AF23*ADRYr2!P23*ADRYr2!Q23*ADRYr2!$S23)</f>
        <v/>
      </c>
      <c r="Y23" s="27" t="str">
        <f>IF($G23="","",$G23*ADRYr2!$AD23*ADRYr2!$AE23*ADRYr2!Q23*ADRYr2!$T23)</f>
        <v/>
      </c>
      <c r="Z23" s="27" t="str">
        <f>IF($G23="","",$G23*ADRYr2!$AD23*ADRYr2!$AE23*ADRYr2!P23*ADRYr2!Q23*ADRYr2!$T23)</f>
        <v/>
      </c>
      <c r="AA23" s="45" t="str">
        <f>IF($G23="","",$G23*ADRYr2!$Q23*ADRYr2!$U23*(IF(IFERROR(SEARCH("NG", ADRYr2!$AI23),0),ADRYr2!$AJ23,0)+IF(IFERROR(SEARCH("NG", ADRYr2!$AK23),0),ADRYr2!$AL23,0)+IF(IFERROR(SEARCH("NG", ADRYr2!$AM23),0),ADRYr2!$AN23,0)))</f>
        <v/>
      </c>
      <c r="AB23" s="45" t="str">
        <f t="shared" si="21"/>
        <v/>
      </c>
      <c r="AC23" s="45">
        <f>IF($G23="",0,AA23*ADRYr2!$P23)</f>
        <v>0</v>
      </c>
      <c r="AD23" s="45" t="str">
        <f t="shared" si="22"/>
        <v/>
      </c>
      <c r="AE23" s="45" t="str">
        <f>IF($G23="","",$G23*ADRYr2!$Q23*ADRYr2!$U23*(IF(IFERROR(SEARCH("Oil", ADRYr2!$AI23), 0),ADRYr2!$AJ23,0)+IF(IFERROR(SEARCH("Oil", ADRYr2!$AK23), 0),ADRYr2!$AL23,0)+IF(IFERROR(SEARCH("Oil", ADRYr2!$AM23), 0),ADRYr2!$AN23,0)))</f>
        <v/>
      </c>
      <c r="AF23" s="45" t="str">
        <f t="shared" si="23"/>
        <v/>
      </c>
      <c r="AG23" s="45">
        <f>IF($G23="",0,AE23*ADRYr2!$P23)</f>
        <v>0</v>
      </c>
      <c r="AH23" s="45" t="str">
        <f t="shared" si="24"/>
        <v/>
      </c>
      <c r="AI23" s="45" t="str">
        <f>IF($G23="","",$G23*ADRYr2!$Q23*ADRYr2!$U23*(IF(ADRYr2!$AI23=Lookups!$E$114,ADRYr2!$AJ23,IF(ADRYr2!$AK23=Lookups!$E$114,ADRYr2!$AL23,IF(ADRYr2!$AM23=Lookups!$E$114,ADRYr2!$AN23,0)))))</f>
        <v/>
      </c>
      <c r="AJ23" s="45" t="str">
        <f t="shared" si="25"/>
        <v/>
      </c>
      <c r="AK23" s="45">
        <f>IF($G23="",0,AI23*ADRYr2!$P23)</f>
        <v>0</v>
      </c>
      <c r="AL23" s="45" t="str">
        <f t="shared" si="26"/>
        <v/>
      </c>
      <c r="AM23" s="45" t="str">
        <f>IF($G23="","",$G23*ADRYr2!$Q23*ADRYr2!$U23*(IF(ADRYr2!$AI23=Lookups!$E$113,ADRYr2!$AJ23,IF(ADRYr2!$AK23=Lookups!$E$113,ADRYr2!$AL23,IF(ADRYr2!$AM23=Lookups!$E$113,ADRYr2!$AN23,0)))))</f>
        <v/>
      </c>
      <c r="AN23" s="45" t="str">
        <f t="shared" si="27"/>
        <v/>
      </c>
      <c r="AO23" s="45">
        <f>IF($G23="",0,AM23*ADRYr2!$P23)</f>
        <v>0</v>
      </c>
      <c r="AP23" s="45" t="str">
        <f t="shared" si="28"/>
        <v/>
      </c>
      <c r="AQ23" s="45" t="str">
        <f>IF($G23="","",$G23*ADRYr2!$Q23*ADRYr2!$U23*(IF(ADRYr2!$AI23=Lookups!$E$115,ADRYr2!$AJ23,IF(ADRYr2!$AK23=Lookups!$E$115,ADRYr2!$AL23,IF(ADRYr2!$AM23=Lookups!$E$115,ADRYr2!$AN23,0)))))</f>
        <v/>
      </c>
      <c r="AR23" s="45" t="str">
        <f t="shared" si="29"/>
        <v/>
      </c>
      <c r="AS23" s="45" t="str">
        <f>IF($G23="","",AQ23*ADRYr2!$P23)</f>
        <v/>
      </c>
      <c r="AT23" s="45" t="str">
        <f t="shared" si="30"/>
        <v/>
      </c>
      <c r="AU23" s="45" t="str">
        <f>IF($G23="","",$G23*ADRYr2!$Q23*ADRYr2!$U23*(IF(ADRYr2!$AI23=Lookups!$E$116,ADRYr2!$AJ23,IF(ADRYr2!$AK23=Lookups!$E$116,ADRYr2!$AL23,IF(ADRYr2!$AM23=Lookups!$E$116,ADRYr2!$AN23,0)))))</f>
        <v/>
      </c>
      <c r="AV23" s="45" t="str">
        <f t="shared" si="31"/>
        <v/>
      </c>
      <c r="AW23" s="45" t="str">
        <f>IF($G23="","",AU23*ADRYr2!$P23)</f>
        <v/>
      </c>
      <c r="AX23" s="45" t="str">
        <f t="shared" si="32"/>
        <v/>
      </c>
      <c r="AY23" s="45">
        <f t="shared" si="49"/>
        <v>0</v>
      </c>
      <c r="AZ23" s="45">
        <f t="shared" si="49"/>
        <v>0</v>
      </c>
      <c r="BA23" s="101" t="str">
        <f>IF($G23="","",$G23*ADRYr2!$P23*ADRYr2!$Q23*ADRYr2!$U23*ADRYr2!AO23)</f>
        <v/>
      </c>
      <c r="BB23" s="102" t="str">
        <f>IF($G23="","",$G23*ADRYr2!$P23*ADRYr2!$Q23*ADRYr2!$U23*ADRYr2!AP23)</f>
        <v/>
      </c>
      <c r="BC23" s="100" t="str">
        <f t="shared" si="34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5"/>
        <v/>
      </c>
      <c r="BO23" s="31" t="str">
        <f t="shared" si="35"/>
        <v/>
      </c>
      <c r="BP23" s="1129" t="str">
        <f t="shared" si="6"/>
        <v/>
      </c>
      <c r="BQ23" s="28" t="str">
        <f t="shared" si="7"/>
        <v/>
      </c>
      <c r="BR23" s="1129" t="str">
        <f t="shared" si="8"/>
        <v/>
      </c>
      <c r="BS23" s="1129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6"/>
        <v/>
      </c>
      <c r="BX23" s="29" t="str">
        <f t="shared" si="37"/>
        <v/>
      </c>
      <c r="BY23" s="28" t="str">
        <f>IF($G23="","",$G23*(IF(ADRYr2!$AI23=BY$4,ADRYr2!$AJ23,IF(ADRYr2!$AK23=BY$4,ADRYr2!$AL23,IF(ADRYr2!$AM23=BY$4,ADRYr2!$AN23,0))))*(INDEX(avoidedcosttbl2,$H23,BY$2)+(($H23-ROUNDDOWN($H23,0))*(INDEX(avoidedcosttbl2,ROUNDUP($H23,0),BY$2)-(INDEX(avoidedcosttbl2,ROUNDDOWN($H23,0),BY$2)))))*ADRYr2!P23*ADRYr2!Q23*ADRYr2!U23)</f>
        <v/>
      </c>
      <c r="BZ23" s="28" t="str">
        <f>IF($G23="","",$G23*(IF(ADRYr2!$AI23=BZ$4,ADRYr2!$AJ23,IF(ADRYr2!$AK23=BZ$4,ADRYr2!$AL23,IF(ADRYr2!$AM23=BZ$4,ADRYr2!$AN23,0))))*(INDEX(avoidedcosttbl2,$H23,BZ$2)+(($H23-ROUNDDOWN($H23,0))*(INDEX(avoidedcosttbl2,ROUNDUP($H23,0),BZ$2)-(INDEX(avoidedcosttbl2,ROUNDDOWN($H23,0),BZ$2)))))*ADRYr2!P23*ADRYr2!Q23*ADRYr2!U23)</f>
        <v/>
      </c>
      <c r="CA23" s="28" t="str">
        <f>IF($G23="","",$G23*(IF(ADRYr2!$AI23=CA$4,ADRYr2!$AJ23,IF(ADRYr2!$AK23=CA$4,ADRYr2!$AL23,IF(ADRYr2!$AM23=CA$4,ADRYr2!$AN23,0))))*(INDEX(avoidedcosttbl2,$H23,CA$2)+(($H23-ROUNDDOWN($H23,0))*(INDEX(avoidedcosttbl2,ROUNDUP($H23,0),CA$2)-(INDEX(avoidedcosttbl2,ROUNDDOWN($H23,0),CA$2)))))*ADRYr2!P23*ADRYr2!Q23*ADRYr2!U23)</f>
        <v/>
      </c>
      <c r="CB23" s="28" t="str">
        <f>IF($G23="","",$G23*(IF(ADRYr2!$AI23=CB$4,ADRYr2!$AJ23,IF(ADRYr2!$AK23=CB$4,ADRYr2!$AL23,IF(ADRYr2!$AM23=CB$4,ADRYr2!$AN23,0))))*(INDEX(avoidedcosttbl2,$H23,CB$2)+(($H23-ROUNDDOWN($H23,0))*(INDEX(avoidedcosttbl2,ROUNDUP($H23,0),CB$2)-(INDEX(avoidedcosttbl2,ROUNDDOWN($H23,0),CB$2)))))*ADRYr2!P23*ADRYr2!Q23*ADRYr2!U23)</f>
        <v/>
      </c>
      <c r="CC23" s="28" t="str">
        <f>IF($G23="","",$G23*(IF(ADRYr2!$AI23=CC$4,ADRYr2!$AJ23,IF(ADRYr2!$AK23=CC$4,ADRYr2!$AL23,IF(ADRYr2!$AM23=CC$4,ADRYr2!$AN23,0))))*(INDEX(avoidedcosttbl2,$H23,CC$2)+(($H23-ROUNDDOWN($H23,0))*(INDEX(avoidedcosttbl2,ROUNDUP($H23,0),CC$2)-(INDEX(avoidedcosttbl2,ROUNDDOWN($H23,0),CC$2)))))*ADRYr2!P23*ADRYr2!Q23*ADRYr2!U23)</f>
        <v/>
      </c>
      <c r="CD23" s="28" t="str">
        <f>IF($G23="","",$G23*(IF(ADRYr2!$AI23=CD$4,ADRYr2!$AJ23,IF(ADRYr2!$AK23=CD$4,ADRYr2!$AL23,IF(ADRYr2!$AM23=CD$4,ADRYr2!$AN23,0))))*(INDEX(avoidedcosttbl2,$H23,CD$2)+(($H23-ROUNDDOWN($H23,0))*(INDEX(avoidedcosttbl2,ROUNDUP($H23,0),CD$2)-(INDEX(avoidedcosttbl2,ROUNDDOWN($H23,0),CD$2)))))*ADRYr2!P23*ADRYr2!Q23*ADRYr2!U23)</f>
        <v/>
      </c>
      <c r="CE23" s="28" t="str">
        <f>IF($G23="","",$G23*(IF(ADRYr2!$AI23=CE$4,ADRYr2!$AJ23,IF(ADRYr2!$AK23=CE$4,ADRYr2!$AL23,IF(ADRYr2!$AM23=CE$4,ADRYr2!$AN23,0))))*(INDEX(avoidedcosttbl2,$H23,CE$2)+(($H23-ROUNDDOWN($H23,0))*(INDEX(avoidedcosttbl2,ROUNDUP($H23,0),CE$2)-(INDEX(avoidedcosttbl2,ROUNDDOWN($H23,0),CE$2)))))*ADRYr2!P23*ADRYr2!Q23*ADRYr2!U23)</f>
        <v/>
      </c>
      <c r="CF23" s="41" t="str">
        <f t="shared" si="38"/>
        <v/>
      </c>
      <c r="CG23" s="30" t="str">
        <f t="shared" si="11"/>
        <v/>
      </c>
      <c r="CH23" s="30" t="str">
        <f>IF($G23="","",$G23*(IF(ADRYr2!$AI23=BY$4,ADRYr2!$AJ23,IF(ADRYr2!$AK23=BY$4,ADRYr2!$AL23,IF(ADRYr2!$AM23=BY$4,ADRYr2!$AN23,0))))*(INDEX(avoidedcosttbl2,$H23,CH$2)+(($H23-ROUNDDOWN($H23,0))*(INDEX(avoidedcosttbl2,ROUNDUP($H23,0),CH$2)-(INDEX(avoidedcosttbl2,ROUNDDOWN($H23,0),CH$2)))))*ADRYr2!P23*ADRYr2!Q23*ADRYr2!U23)</f>
        <v/>
      </c>
      <c r="CI23" s="30" t="str">
        <f>IF($G23="","",$G23*(IF(ADRYr2!$AI23=BZ$4,ADRYr2!$AJ23,IF(ADRYr2!$AK23=BZ$4,ADRYr2!$AL23,IF(ADRYr2!$AM23=BZ$4,ADRYr2!$AN23,0))))*(INDEX(avoidedcosttbl2,$H23,CI$2)+(($H23-ROUNDDOWN($H23,0))*(INDEX(avoidedcosttbl2,ROUNDUP($H23,0),CI$2)-(INDEX(avoidedcosttbl2,ROUNDDOWN($H23,0),CI$2)))))*ADRYr2!P23*ADRYr2!Q23*ADRYr2!U23)</f>
        <v/>
      </c>
      <c r="CJ23" s="30" t="str">
        <f>IF($G23="","",$G23*(IF(ADRYr2!$AI23=CA$4,ADRYr2!$AJ23,IF(ADRYr2!$AK23=CA$4,ADRYr2!$AL23,IF(ADRYr2!$AM23=CA$4,ADRYr2!$AN23,0))))*(INDEX(avoidedcosttbl2,$H23,CJ$2)+(($H23-ROUNDDOWN($H23,0))*(INDEX(avoidedcosttbl2,ROUNDUP($H23,0),CJ$2)-(INDEX(avoidedcosttbl2,ROUNDDOWN($H23,0),CJ$2)))))*ADRYr2!P23*ADRYr2!Q23*ADRYr2!U23)</f>
        <v/>
      </c>
      <c r="CK23" s="30" t="str">
        <f>IF($G23="","",$G23*(IF(ADRYr2!$AI23=CB$4,ADRYr2!$AJ23,IF(ADRYr2!$AK23=CB$4,ADRYr2!$AL23,IF(ADRYr2!$AM23=CB$4,ADRYr2!$AN23,0))))*(INDEX(avoidedcosttbl2,$H23,CK$2)+(($H23-ROUNDDOWN($H23,0))*(INDEX(avoidedcosttbl2,ROUNDUP($H23,0),CK$2)-(INDEX(avoidedcosttbl2,ROUNDDOWN($H23,0),CK$2)))))*ADRYr2!P23*ADRYr2!Q23*ADRYr2!U23)</f>
        <v/>
      </c>
      <c r="CL23" s="30" t="str">
        <f>IF($G23="","",$G23*(IF(ADRYr2!$AI23=CC$4,ADRYr2!$AJ23,IF(ADRYr2!$AK23=CC$4,ADRYr2!$AL23,IF(ADRYr2!$AM23=CC$4,ADRYr2!$AN23,0))))*(INDEX(avoidedcosttbl2,$H23,CL$2)+(($H23-ROUNDDOWN($H23,0))*(INDEX(avoidedcosttbl2,ROUNDUP($H23,0),CL$2)-(INDEX(avoidedcosttbl2,ROUNDDOWN($H23,0),CL$2)))))*ADRYr2!P23*ADRYr2!Q23*ADRYr2!U23)</f>
        <v/>
      </c>
      <c r="CM23" s="30" t="str">
        <f>IF($G23="","",$G23*(IF(ADRYr2!$AI23=CD$4,ADRYr2!$AJ23,IF(ADRYr2!$AK23=CD$4,ADRYr2!$AL23,IF(ADRYr2!$AM23=CD$4,ADRYr2!$AN23,0))))*(INDEX(avoidedcosttbl2,$H23,CM$2)+(($H23-ROUNDDOWN($H23,0))*(INDEX(avoidedcosttbl2,ROUNDUP($H23,0),CM$2)-(INDEX(avoidedcosttbl2,ROUNDDOWN($H23,0),CM$2)))))*ADRYr2!P23*ADRYr2!Q23*ADRYr2!U23)</f>
        <v/>
      </c>
      <c r="CN23" s="30" t="str">
        <f>IF($G23="","",$G23*(IF(ADRYr2!$AI23=CE$4,ADRYr2!$AJ23,IF(ADRYr2!$AK23=CE$4,ADRYr2!$AL23,IF(ADRYr2!$AM23=CE$4,ADRYr2!$AN23,0))))*(INDEX(avoidedcosttbl2,$H23,CN$2)+(($H23-ROUNDDOWN($H23,0))*(INDEX(avoidedcosttbl2,ROUNDUP($H23,0),CN$2)-(INDEX(avoidedcosttbl2,ROUNDDOWN($H23,0),CN$2)))))*ADRYr2!P23*ADRYr2!Q23*ADRYr2!U23)</f>
        <v/>
      </c>
      <c r="CO23" s="220" t="str">
        <f t="shared" si="39"/>
        <v/>
      </c>
      <c r="CP23" s="220" t="str">
        <f t="shared" si="40"/>
        <v/>
      </c>
      <c r="CQ23" s="157" t="str">
        <f>IF($G23="","",$G23*(IF(ADRYr2!$AI23=CQ$4,ADRYr2!$AJ23,IF(ADRYr2!$AK23=CQ$4,ADRYr2!$AL23,IF(ADRYr2!$AM23=CQ$4,ADRYr2!$AN23,0))))*(INDEX(avoidedcosttbl2,$H23,CQ$2)+(($H23-ROUNDDOWN($H23,0))*(INDEX(avoidedcosttbl2,ROUNDUP($H23,0),CQ$2)-(INDEX(avoidedcosttbl2,ROUNDDOWN($H23,0),CQ$2)))))*ADRYr2!$P23*ADRYr2!$Q23*ADRYr2!$U23)</f>
        <v/>
      </c>
      <c r="CR23" s="28" t="str">
        <f>IF($G23="","",G23*(IF(ADRYr2!$AI23=CR$4,ADRYr2!$AJ23,IF(ADRYr2!$AK23=CR$4,ADRYr2!$AL23,IF(ADRYr2!$AM23=CR$4,ADRYr2!$AN23,0))))*(INDEX(avoidedcosttbl2,$H23,CR$2)+(($H23-ROUNDDOWN($H23,0))*(INDEX(avoidedcosttbl2,ROUNDUP($H23,0),CR$2)-(INDEX(avoidedcosttbl2,ROUNDDOWN($H23,0),CR$2)))))*ADRYr2!$P23*ADRYr2!$Q23*ADRYr2!$U23)</f>
        <v/>
      </c>
      <c r="CS23" s="28" t="str">
        <f>IF($G23="","",G23*(IF(ADRYr2!$AI23=CS$4,ADRYr2!$AJ23,IF(ADRYr2!$AK23=CS$4,ADRYr2!$AL23,IF(ADRYr2!$AM23=CS$4,ADRYr2!$AN23,0))))*(INDEX(avoidedcosttbl2,$H23,CS$2)+(($H23-ROUNDDOWN($H23,0))*(INDEX(avoidedcosttbl2,ROUNDUP($H23,0),CS$2)-(INDEX(avoidedcosttbl2,ROUNDDOWN($H23,0),CS$2)))))*ADRYr2!$P23*ADRYr2!$Q23*ADRYr2!$U23)</f>
        <v/>
      </c>
      <c r="CT23" s="28" t="str">
        <f t="shared" si="12"/>
        <v/>
      </c>
      <c r="CU23" s="28" t="str">
        <f>IF($G23="","",G23*(IF(ADRYr2!$AI23=CU$4,ADRYr2!$AJ23,IF(ADRYr2!$AK23=CU$4,ADRYr2!$AL23,IF(ADRYr2!$AM23=CU$4,ADRYr2!$AN23,0))))*(INDEX(avoidedcosttbl2,$H23,CU$2)+(($H23-ROUNDDOWN($H23,0))*(INDEX(avoidedcosttbl2,ROUNDUP($H23,0),CU$2)-(INDEX(avoidedcosttbl2,ROUNDDOWN($H23,0),CU$2)))))*ADRYr2!$P23*ADRYr2!$Q23*ADRYr2!$U23)</f>
        <v/>
      </c>
      <c r="CV23" s="28" t="str">
        <f>IF($G23="","",G23*(IF(ADRYr2!$AI23=CV$4,ADRYr2!$AJ23,IF(ADRYr2!$AK23=CV$4,ADRYr2!$AL23,IF(ADRYr2!$AM23=CV$4,ADRYr2!$AN23,0))))*(INDEX(avoidedcosttbl2,$H23,CV$2)+(($H23-ROUNDDOWN($H23,0))*(INDEX(avoidedcosttbl2,ROUNDUP($H23,0),CV$2)-(INDEX(avoidedcosttbl2,ROUNDDOWN($H23,0),CV$2)))))*ADRYr2!$P23*ADRYr2!$Q23*ADRYr2!$U23)</f>
        <v/>
      </c>
      <c r="CW23" s="28" t="str">
        <f>IF($G23="","",G23*(IF(ADRYr2!$AI23=CW$4,ADRYr2!$AJ23,IF(ADRYr2!$AK23=CW$4,ADRYr2!$AL23,IF(ADRYr2!$AM23=CW$4,ADRYr2!$AN23,0))))*(INDEX(avoidedcosttbl2,$H23,CW$2)+(($H23-ROUNDDOWN($H23,0))*(INDEX(avoidedcosttbl2,ROUNDUP($H23,0),CW$2)-(INDEX(avoidedcosttbl2,ROUNDDOWN($H23,0),CW$2)))))*ADRYr2!$P23*ADRYr2!$Q23*ADRYr2!$U23)</f>
        <v/>
      </c>
      <c r="CX23" s="28" t="str">
        <f>IF($G23="","",G23*(IF(ADRYr2!$AI23=CX$4,ADRYr2!$AJ23,IF(ADRYr2!$AK23=CX$4,ADRYr2!$AL23,IF(ADRYr2!$AM23=CX$4,ADRYr2!$AN23,0))))*(INDEX(avoidedcosttbl2,$H23,CX$2)+(($H23-ROUNDDOWN($H23,0))*(INDEX(avoidedcosttbl2,ROUNDUP($H23,0),CX$2)-(INDEX(avoidedcosttbl2,ROUNDDOWN($H23,0),CX$2)))))*ADRYr2!$P23*ADRYr2!$Q23*ADRYr2!$U23)</f>
        <v/>
      </c>
      <c r="CY23" s="28" t="str">
        <f t="shared" si="13"/>
        <v/>
      </c>
      <c r="CZ23" s="32" t="str">
        <f t="shared" si="14"/>
        <v/>
      </c>
      <c r="DA23" s="84" t="str">
        <f t="shared" si="41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15"/>
        <v/>
      </c>
      <c r="DD23" s="166" t="str">
        <f t="shared" si="16"/>
        <v/>
      </c>
      <c r="DE23" s="82">
        <f t="shared" si="42"/>
        <v>0</v>
      </c>
      <c r="DF23" s="760" t="str">
        <f>IF($G23="","",(1+WntPeakEnergyLL)*(INDEX(avoidedcosttbl2,$H23,DF$2)+(($H23-ROUNDDOWN($H23,0))*(INDEX(avoidedcosttbl2,ROUNDUP($H23,0),DF$2)-(INDEX(avoidedcosttbl2,ROUNDDOWN($H23,0),DF$2)))))*$P23*1000*ADRYr2!Z23)</f>
        <v/>
      </c>
      <c r="DG23" s="760" t="str">
        <f>IF($G23="","",(1+WntOffPeakEnergyLL)*(INDEX(avoidedcosttbl2,$H23,DG$2)+(($H23-ROUNDDOWN($H23,0))*(INDEX(avoidedcosttbl2,ROUNDUP($H23,0),DG$2)-(INDEX(avoidedcosttbl2,ROUNDDOWN($H23,0),DG$2)))))*$P23*1000*ADRYr2!AA23)</f>
        <v/>
      </c>
      <c r="DH23" s="760" t="str">
        <f>IF($G23="","",(1+SumPeakEnergyLL)*(INDEX(avoidedcosttbl2,$H23,DH$2)+(($H23-ROUNDDOWN($H23,0))*(INDEX(avoidedcosttbl2,ROUNDUP($H23,0),DH$2)-(INDEX(avoidedcosttbl2,ROUNDDOWN($H23,0),DH$2)))))*$P23*1000*ADRYr2!AB23)</f>
        <v/>
      </c>
      <c r="DI23" s="760" t="str">
        <f>IF($G23="","",(1+SumOffPeakEnergyLL)*(INDEX(avoidedcosttbl2,$H23,DI$2)+(($H23-ROUNDDOWN($H23,0))*(INDEX(avoidedcosttbl2,ROUNDUP($H23,0),DI$2)-(INDEX(avoidedcosttbl2,ROUNDDOWN($H23,0),DI$2)))))*$P23*1000*ADRYr2!AC23)</f>
        <v/>
      </c>
      <c r="DJ23" s="29" t="str">
        <f t="shared" si="43"/>
        <v/>
      </c>
      <c r="DK23" s="161" t="str">
        <f t="shared" si="44"/>
        <v/>
      </c>
      <c r="DL23" s="1375" t="str">
        <f t="shared" si="45"/>
        <v/>
      </c>
      <c r="DM23" s="1375" t="str">
        <f t="shared" si="46"/>
        <v/>
      </c>
      <c r="DN23" s="43" t="str">
        <f t="shared" si="47"/>
        <v/>
      </c>
      <c r="DO23" s="1131" t="str">
        <f>IF($G23="","",ADRYr2!AQ23)</f>
        <v/>
      </c>
      <c r="DP23" s="1133" t="str">
        <f>IF($G23="","",ADRYr2!AR23)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48"/>
        <v/>
      </c>
      <c r="DU23" s="1135" t="str">
        <f>IF($G23="","",ADRYr2!AS23)</f>
        <v/>
      </c>
      <c r="DV23" s="1136" t="str">
        <f>IF($G23="","",ADRYr2!AT23)</f>
        <v/>
      </c>
      <c r="DW23" s="1344" t="str">
        <f>IF($G23="","",INDEX(AvoidedEnergy!$H$4:$H$10,MATCH($DO23,AvoidedEnergy!$A$4:$A$10,0)))</f>
        <v/>
      </c>
    </row>
    <row r="24" spans="1:127">
      <c r="A24" s="160" t="str">
        <f>IF(ADRYr2!$B24=0,"",ADRYr2!A24)</f>
        <v>B - Low-Income</v>
      </c>
      <c r="B24" s="9" t="str">
        <f>IF(ADRYr2!$B24=0,"",ADRYr2!B24)</f>
        <v>Home Energy Assistance</v>
      </c>
      <c r="C24" s="9" t="str">
        <f>IF(ADRYr2!$B24=0,"",ADRYr2!C24)</f>
        <v>Res Demand Response</v>
      </c>
      <c r="D24" s="9" t="str">
        <f>IF(ADRYr2!$B24=0,"",ADRYr2!D24)</f>
        <v>Storage Daily Dispatch P4P (consumption) Summer</v>
      </c>
      <c r="E24" s="9">
        <f>IF(ADRYr2!$B24=0,"",ADRYr2!E24)</f>
        <v>0</v>
      </c>
      <c r="F24" s="11" t="str">
        <f>IF(ADRYr2!$B24=0,"",ADRYr2!F24)</f>
        <v>Behavior</v>
      </c>
      <c r="G24" s="12" t="str">
        <f>IF(ADRYr2!$G24&lt;&gt;0,ADRYr2!G24,"")</f>
        <v/>
      </c>
      <c r="H24" s="1125" t="str">
        <f>IF($G24="","",ROUND(ADRYr2!H24,0))</f>
        <v/>
      </c>
      <c r="I24" s="47" t="str">
        <f>IF($G24="","",ADRYr2!I24*ADRYr2!P24*G24)</f>
        <v/>
      </c>
      <c r="J24" s="47" t="str">
        <f>IF($G24="","",ADRYr2!J24*G24)</f>
        <v/>
      </c>
      <c r="K24" s="47" t="str">
        <f t="shared" si="17"/>
        <v/>
      </c>
      <c r="L24" s="27" t="str">
        <f>IF($G24="","",ADRYr2!V24*G24/1000)</f>
        <v/>
      </c>
      <c r="M24" s="27" t="str">
        <f>IF($G24="","",L24*ADRYr2!$Q24*ADRYr2!$R24)</f>
        <v/>
      </c>
      <c r="N24" s="27" t="str">
        <f t="shared" si="18"/>
        <v/>
      </c>
      <c r="O24" s="27" t="str">
        <f t="shared" si="19"/>
        <v/>
      </c>
      <c r="P24" s="27" t="str">
        <f>IF($G24="","",M24*ADRYr2!P24)</f>
        <v/>
      </c>
      <c r="Q24" s="27" t="str">
        <f t="shared" si="20"/>
        <v/>
      </c>
      <c r="R24" s="27" t="str">
        <f>IF($G24="","",$Q24*ADRYr2!Z24)</f>
        <v/>
      </c>
      <c r="S24" s="27" t="str">
        <f>IF($G24="","",$Q24*ADRYr2!AA24)</f>
        <v/>
      </c>
      <c r="T24" s="27" t="str">
        <f>IF($G24="","",$Q24*ADRYr2!AB24)</f>
        <v/>
      </c>
      <c r="U24" s="27" t="str">
        <f>IF($G24="","",$Q24*ADRYr2!AC24)</f>
        <v/>
      </c>
      <c r="V24" s="27" t="str">
        <f>IF($G24="","",G24*ADRYr2!$AD24*ADRYr2!$P24*ADRYr2!$Q24)</f>
        <v/>
      </c>
      <c r="W24" s="27" t="str">
        <f>IF($G24="","",$G24*ADRYr2!$AD24*ADRYr2!$AF24*ADRYr2!Q24*ADRYr2!$S24)</f>
        <v/>
      </c>
      <c r="X24" s="27" t="str">
        <f>IF($G24="","",$G24*ADRYr2!$AD24*ADRYr2!$AF24*ADRYr2!P24*ADRYr2!Q24*ADRYr2!$S24)</f>
        <v/>
      </c>
      <c r="Y24" s="27" t="str">
        <f>IF($G24="","",$G24*ADRYr2!$AD24*ADRYr2!$AE24*ADRYr2!Q24*ADRYr2!$T24)</f>
        <v/>
      </c>
      <c r="Z24" s="27" t="str">
        <f>IF($G24="","",$G24*ADRYr2!$AD24*ADRYr2!$AE24*ADRYr2!P24*ADRYr2!Q24*ADRYr2!$T24)</f>
        <v/>
      </c>
      <c r="AA24" s="45" t="str">
        <f>IF($G24="","",$G24*ADRYr2!$Q24*ADRYr2!$U24*(IF(IFERROR(SEARCH("NG", ADRYr2!$AI24),0),ADRYr2!$AJ24,0)+IF(IFERROR(SEARCH("NG", ADRYr2!$AK24),0),ADRYr2!$AL24,0)+IF(IFERROR(SEARCH("NG", ADRYr2!$AM24),0),ADRYr2!$AN24,0)))</f>
        <v/>
      </c>
      <c r="AB24" s="45" t="str">
        <f t="shared" si="21"/>
        <v/>
      </c>
      <c r="AC24" s="45">
        <f>IF($G24="",0,AA24*ADRYr2!$P24)</f>
        <v>0</v>
      </c>
      <c r="AD24" s="45" t="str">
        <f t="shared" si="22"/>
        <v/>
      </c>
      <c r="AE24" s="45" t="str">
        <f>IF($G24="","",$G24*ADRYr2!$Q24*ADRYr2!$U24*(IF(IFERROR(SEARCH("Oil", ADRYr2!$AI24), 0),ADRYr2!$AJ24,0)+IF(IFERROR(SEARCH("Oil", ADRYr2!$AK24), 0),ADRYr2!$AL24,0)+IF(IFERROR(SEARCH("Oil", ADRYr2!$AM24), 0),ADRYr2!$AN24,0)))</f>
        <v/>
      </c>
      <c r="AF24" s="45" t="str">
        <f t="shared" si="23"/>
        <v/>
      </c>
      <c r="AG24" s="45">
        <f>IF($G24="",0,AE24*ADRYr2!$P24)</f>
        <v>0</v>
      </c>
      <c r="AH24" s="45" t="str">
        <f t="shared" si="24"/>
        <v/>
      </c>
      <c r="AI24" s="45" t="str">
        <f>IF($G24="","",$G24*ADRYr2!$Q24*ADRYr2!$U24*(IF(ADRYr2!$AI24=Lookups!$E$114,ADRYr2!$AJ24,IF(ADRYr2!$AK24=Lookups!$E$114,ADRYr2!$AL24,IF(ADRYr2!$AM24=Lookups!$E$114,ADRYr2!$AN24,0)))))</f>
        <v/>
      </c>
      <c r="AJ24" s="45" t="str">
        <f t="shared" si="25"/>
        <v/>
      </c>
      <c r="AK24" s="45">
        <f>IF($G24="",0,AI24*ADRYr2!$P24)</f>
        <v>0</v>
      </c>
      <c r="AL24" s="45" t="str">
        <f t="shared" si="26"/>
        <v/>
      </c>
      <c r="AM24" s="45" t="str">
        <f>IF($G24="","",$G24*ADRYr2!$Q24*ADRYr2!$U24*(IF(ADRYr2!$AI24=Lookups!$E$113,ADRYr2!$AJ24,IF(ADRYr2!$AK24=Lookups!$E$113,ADRYr2!$AL24,IF(ADRYr2!$AM24=Lookups!$E$113,ADRYr2!$AN24,0)))))</f>
        <v/>
      </c>
      <c r="AN24" s="45" t="str">
        <f t="shared" si="27"/>
        <v/>
      </c>
      <c r="AO24" s="45">
        <f>IF($G24="",0,AM24*ADRYr2!$P24)</f>
        <v>0</v>
      </c>
      <c r="AP24" s="45" t="str">
        <f t="shared" si="28"/>
        <v/>
      </c>
      <c r="AQ24" s="45" t="str">
        <f>IF($G24="","",$G24*ADRYr2!$Q24*ADRYr2!$U24*(IF(ADRYr2!$AI24=Lookups!$E$115,ADRYr2!$AJ24,IF(ADRYr2!$AK24=Lookups!$E$115,ADRYr2!$AL24,IF(ADRYr2!$AM24=Lookups!$E$115,ADRYr2!$AN24,0)))))</f>
        <v/>
      </c>
      <c r="AR24" s="45" t="str">
        <f t="shared" si="29"/>
        <v/>
      </c>
      <c r="AS24" s="45" t="str">
        <f>IF($G24="","",AQ24*ADRYr2!$P24)</f>
        <v/>
      </c>
      <c r="AT24" s="45" t="str">
        <f t="shared" si="30"/>
        <v/>
      </c>
      <c r="AU24" s="45" t="str">
        <f>IF($G24="","",$G24*ADRYr2!$Q24*ADRYr2!$U24*(IF(ADRYr2!$AI24=Lookups!$E$116,ADRYr2!$AJ24,IF(ADRYr2!$AK24=Lookups!$E$116,ADRYr2!$AL24,IF(ADRYr2!$AM24=Lookups!$E$116,ADRYr2!$AN24,0)))))</f>
        <v/>
      </c>
      <c r="AV24" s="45" t="str">
        <f t="shared" si="31"/>
        <v/>
      </c>
      <c r="AW24" s="45" t="str">
        <f>IF($G24="","",AU24*ADRYr2!$P24)</f>
        <v/>
      </c>
      <c r="AX24" s="45" t="str">
        <f t="shared" si="32"/>
        <v/>
      </c>
      <c r="AY24" s="45">
        <f t="shared" si="49"/>
        <v>0</v>
      </c>
      <c r="AZ24" s="45">
        <f t="shared" si="49"/>
        <v>0</v>
      </c>
      <c r="BA24" s="101" t="str">
        <f>IF($G24="","",$G24*ADRYr2!$P24*ADRYr2!$Q24*ADRYr2!$U24*ADRYr2!AO24)</f>
        <v/>
      </c>
      <c r="BB24" s="102" t="str">
        <f>IF($G24="","",$G24*ADRYr2!$P24*ADRYr2!$Q24*ADRYr2!$U24*ADRYr2!AP24)</f>
        <v/>
      </c>
      <c r="BC24" s="100" t="str">
        <f t="shared" si="34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5"/>
        <v/>
      </c>
      <c r="BO24" s="31" t="str">
        <f t="shared" si="35"/>
        <v/>
      </c>
      <c r="BP24" s="1129" t="str">
        <f t="shared" si="6"/>
        <v/>
      </c>
      <c r="BQ24" s="28" t="str">
        <f t="shared" si="7"/>
        <v/>
      </c>
      <c r="BR24" s="1129" t="str">
        <f t="shared" si="8"/>
        <v/>
      </c>
      <c r="BS24" s="1129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6"/>
        <v/>
      </c>
      <c r="BX24" s="29" t="str">
        <f t="shared" si="37"/>
        <v/>
      </c>
      <c r="BY24" s="28" t="str">
        <f>IF($G24="","",$G24*(IF(ADRYr2!$AI24=BY$4,ADRYr2!$AJ24,IF(ADRYr2!$AK24=BY$4,ADRYr2!$AL24,IF(ADRYr2!$AM24=BY$4,ADRYr2!$AN24,0))))*(INDEX(avoidedcosttbl2,$H24,BY$2)+(($H24-ROUNDDOWN($H24,0))*(INDEX(avoidedcosttbl2,ROUNDUP($H24,0),BY$2)-(INDEX(avoidedcosttbl2,ROUNDDOWN($H24,0),BY$2)))))*ADRYr2!P24*ADRYr2!Q24*ADRYr2!U24)</f>
        <v/>
      </c>
      <c r="BZ24" s="28" t="str">
        <f>IF($G24="","",$G24*(IF(ADRYr2!$AI24=BZ$4,ADRYr2!$AJ24,IF(ADRYr2!$AK24=BZ$4,ADRYr2!$AL24,IF(ADRYr2!$AM24=BZ$4,ADRYr2!$AN24,0))))*(INDEX(avoidedcosttbl2,$H24,BZ$2)+(($H24-ROUNDDOWN($H24,0))*(INDEX(avoidedcosttbl2,ROUNDUP($H24,0),BZ$2)-(INDEX(avoidedcosttbl2,ROUNDDOWN($H24,0),BZ$2)))))*ADRYr2!P24*ADRYr2!Q24*ADRYr2!U24)</f>
        <v/>
      </c>
      <c r="CA24" s="28" t="str">
        <f>IF($G24="","",$G24*(IF(ADRYr2!$AI24=CA$4,ADRYr2!$AJ24,IF(ADRYr2!$AK24=CA$4,ADRYr2!$AL24,IF(ADRYr2!$AM24=CA$4,ADRYr2!$AN24,0))))*(INDEX(avoidedcosttbl2,$H24,CA$2)+(($H24-ROUNDDOWN($H24,0))*(INDEX(avoidedcosttbl2,ROUNDUP($H24,0),CA$2)-(INDEX(avoidedcosttbl2,ROUNDDOWN($H24,0),CA$2)))))*ADRYr2!P24*ADRYr2!Q24*ADRYr2!U24)</f>
        <v/>
      </c>
      <c r="CB24" s="28" t="str">
        <f>IF($G24="","",$G24*(IF(ADRYr2!$AI24=CB$4,ADRYr2!$AJ24,IF(ADRYr2!$AK24=CB$4,ADRYr2!$AL24,IF(ADRYr2!$AM24=CB$4,ADRYr2!$AN24,0))))*(INDEX(avoidedcosttbl2,$H24,CB$2)+(($H24-ROUNDDOWN($H24,0))*(INDEX(avoidedcosttbl2,ROUNDUP($H24,0),CB$2)-(INDEX(avoidedcosttbl2,ROUNDDOWN($H24,0),CB$2)))))*ADRYr2!P24*ADRYr2!Q24*ADRYr2!U24)</f>
        <v/>
      </c>
      <c r="CC24" s="28" t="str">
        <f>IF($G24="","",$G24*(IF(ADRYr2!$AI24=CC$4,ADRYr2!$AJ24,IF(ADRYr2!$AK24=CC$4,ADRYr2!$AL24,IF(ADRYr2!$AM24=CC$4,ADRYr2!$AN24,0))))*(INDEX(avoidedcosttbl2,$H24,CC$2)+(($H24-ROUNDDOWN($H24,0))*(INDEX(avoidedcosttbl2,ROUNDUP($H24,0),CC$2)-(INDEX(avoidedcosttbl2,ROUNDDOWN($H24,0),CC$2)))))*ADRYr2!P24*ADRYr2!Q24*ADRYr2!U24)</f>
        <v/>
      </c>
      <c r="CD24" s="28" t="str">
        <f>IF($G24="","",$G24*(IF(ADRYr2!$AI24=CD$4,ADRYr2!$AJ24,IF(ADRYr2!$AK24=CD$4,ADRYr2!$AL24,IF(ADRYr2!$AM24=CD$4,ADRYr2!$AN24,0))))*(INDEX(avoidedcosttbl2,$H24,CD$2)+(($H24-ROUNDDOWN($H24,0))*(INDEX(avoidedcosttbl2,ROUNDUP($H24,0),CD$2)-(INDEX(avoidedcosttbl2,ROUNDDOWN($H24,0),CD$2)))))*ADRYr2!P24*ADRYr2!Q24*ADRYr2!U24)</f>
        <v/>
      </c>
      <c r="CE24" s="28" t="str">
        <f>IF($G24="","",$G24*(IF(ADRYr2!$AI24=CE$4,ADRYr2!$AJ24,IF(ADRYr2!$AK24=CE$4,ADRYr2!$AL24,IF(ADRYr2!$AM24=CE$4,ADRYr2!$AN24,0))))*(INDEX(avoidedcosttbl2,$H24,CE$2)+(($H24-ROUNDDOWN($H24,0))*(INDEX(avoidedcosttbl2,ROUNDUP($H24,0),CE$2)-(INDEX(avoidedcosttbl2,ROUNDDOWN($H24,0),CE$2)))))*ADRYr2!P24*ADRYr2!Q24*ADRYr2!U24)</f>
        <v/>
      </c>
      <c r="CF24" s="41" t="str">
        <f t="shared" si="38"/>
        <v/>
      </c>
      <c r="CG24" s="30" t="str">
        <f t="shared" si="11"/>
        <v/>
      </c>
      <c r="CH24" s="30" t="str">
        <f>IF($G24="","",$G24*(IF(ADRYr2!$AI24=BY$4,ADRYr2!$AJ24,IF(ADRYr2!$AK24=BY$4,ADRYr2!$AL24,IF(ADRYr2!$AM24=BY$4,ADRYr2!$AN24,0))))*(INDEX(avoidedcosttbl2,$H24,CH$2)+(($H24-ROUNDDOWN($H24,0))*(INDEX(avoidedcosttbl2,ROUNDUP($H24,0),CH$2)-(INDEX(avoidedcosttbl2,ROUNDDOWN($H24,0),CH$2)))))*ADRYr2!P24*ADRYr2!Q24*ADRYr2!U24)</f>
        <v/>
      </c>
      <c r="CI24" s="30" t="str">
        <f>IF($G24="","",$G24*(IF(ADRYr2!$AI24=BZ$4,ADRYr2!$AJ24,IF(ADRYr2!$AK24=BZ$4,ADRYr2!$AL24,IF(ADRYr2!$AM24=BZ$4,ADRYr2!$AN24,0))))*(INDEX(avoidedcosttbl2,$H24,CI$2)+(($H24-ROUNDDOWN($H24,0))*(INDEX(avoidedcosttbl2,ROUNDUP($H24,0),CI$2)-(INDEX(avoidedcosttbl2,ROUNDDOWN($H24,0),CI$2)))))*ADRYr2!P24*ADRYr2!Q24*ADRYr2!U24)</f>
        <v/>
      </c>
      <c r="CJ24" s="30" t="str">
        <f>IF($G24="","",$G24*(IF(ADRYr2!$AI24=CA$4,ADRYr2!$AJ24,IF(ADRYr2!$AK24=CA$4,ADRYr2!$AL24,IF(ADRYr2!$AM24=CA$4,ADRYr2!$AN24,0))))*(INDEX(avoidedcosttbl2,$H24,CJ$2)+(($H24-ROUNDDOWN($H24,0))*(INDEX(avoidedcosttbl2,ROUNDUP($H24,0),CJ$2)-(INDEX(avoidedcosttbl2,ROUNDDOWN($H24,0),CJ$2)))))*ADRYr2!P24*ADRYr2!Q24*ADRYr2!U24)</f>
        <v/>
      </c>
      <c r="CK24" s="30" t="str">
        <f>IF($G24="","",$G24*(IF(ADRYr2!$AI24=CB$4,ADRYr2!$AJ24,IF(ADRYr2!$AK24=CB$4,ADRYr2!$AL24,IF(ADRYr2!$AM24=CB$4,ADRYr2!$AN24,0))))*(INDEX(avoidedcosttbl2,$H24,CK$2)+(($H24-ROUNDDOWN($H24,0))*(INDEX(avoidedcosttbl2,ROUNDUP($H24,0),CK$2)-(INDEX(avoidedcosttbl2,ROUNDDOWN($H24,0),CK$2)))))*ADRYr2!P24*ADRYr2!Q24*ADRYr2!U24)</f>
        <v/>
      </c>
      <c r="CL24" s="30" t="str">
        <f>IF($G24="","",$G24*(IF(ADRYr2!$AI24=CC$4,ADRYr2!$AJ24,IF(ADRYr2!$AK24=CC$4,ADRYr2!$AL24,IF(ADRYr2!$AM24=CC$4,ADRYr2!$AN24,0))))*(INDEX(avoidedcosttbl2,$H24,CL$2)+(($H24-ROUNDDOWN($H24,0))*(INDEX(avoidedcosttbl2,ROUNDUP($H24,0),CL$2)-(INDEX(avoidedcosttbl2,ROUNDDOWN($H24,0),CL$2)))))*ADRYr2!P24*ADRYr2!Q24*ADRYr2!U24)</f>
        <v/>
      </c>
      <c r="CM24" s="30" t="str">
        <f>IF($G24="","",$G24*(IF(ADRYr2!$AI24=CD$4,ADRYr2!$AJ24,IF(ADRYr2!$AK24=CD$4,ADRYr2!$AL24,IF(ADRYr2!$AM24=CD$4,ADRYr2!$AN24,0))))*(INDEX(avoidedcosttbl2,$H24,CM$2)+(($H24-ROUNDDOWN($H24,0))*(INDEX(avoidedcosttbl2,ROUNDUP($H24,0),CM$2)-(INDEX(avoidedcosttbl2,ROUNDDOWN($H24,0),CM$2)))))*ADRYr2!P24*ADRYr2!Q24*ADRYr2!U24)</f>
        <v/>
      </c>
      <c r="CN24" s="30" t="str">
        <f>IF($G24="","",$G24*(IF(ADRYr2!$AI24=CE$4,ADRYr2!$AJ24,IF(ADRYr2!$AK24=CE$4,ADRYr2!$AL24,IF(ADRYr2!$AM24=CE$4,ADRYr2!$AN24,0))))*(INDEX(avoidedcosttbl2,$H24,CN$2)+(($H24-ROUNDDOWN($H24,0))*(INDEX(avoidedcosttbl2,ROUNDUP($H24,0),CN$2)-(INDEX(avoidedcosttbl2,ROUNDDOWN($H24,0),CN$2)))))*ADRYr2!P24*ADRYr2!Q24*ADRYr2!U24)</f>
        <v/>
      </c>
      <c r="CO24" s="220" t="str">
        <f t="shared" si="39"/>
        <v/>
      </c>
      <c r="CP24" s="220" t="str">
        <f t="shared" si="40"/>
        <v/>
      </c>
      <c r="CQ24" s="157" t="str">
        <f>IF($G24="","",$G24*(IF(ADRYr2!$AI24=CQ$4,ADRYr2!$AJ24,IF(ADRYr2!$AK24=CQ$4,ADRYr2!$AL24,IF(ADRYr2!$AM24=CQ$4,ADRYr2!$AN24,0))))*(INDEX(avoidedcosttbl2,$H24,CQ$2)+(($H24-ROUNDDOWN($H24,0))*(INDEX(avoidedcosttbl2,ROUNDUP($H24,0),CQ$2)-(INDEX(avoidedcosttbl2,ROUNDDOWN($H24,0),CQ$2)))))*ADRYr2!$P24*ADRYr2!$Q24*ADRYr2!$U24)</f>
        <v/>
      </c>
      <c r="CR24" s="28" t="str">
        <f>IF($G24="","",G24*(IF(ADRYr2!$AI24=CR$4,ADRYr2!$AJ24,IF(ADRYr2!$AK24=CR$4,ADRYr2!$AL24,IF(ADRYr2!$AM24=CR$4,ADRYr2!$AN24,0))))*(INDEX(avoidedcosttbl2,$H24,CR$2)+(($H24-ROUNDDOWN($H24,0))*(INDEX(avoidedcosttbl2,ROUNDUP($H24,0),CR$2)-(INDEX(avoidedcosttbl2,ROUNDDOWN($H24,0),CR$2)))))*ADRYr2!$P24*ADRYr2!$Q24*ADRYr2!$U24)</f>
        <v/>
      </c>
      <c r="CS24" s="28" t="str">
        <f>IF($G24="","",G24*(IF(ADRYr2!$AI24=CS$4,ADRYr2!$AJ24,IF(ADRYr2!$AK24=CS$4,ADRYr2!$AL24,IF(ADRYr2!$AM24=CS$4,ADRYr2!$AN24,0))))*(INDEX(avoidedcosttbl2,$H24,CS$2)+(($H24-ROUNDDOWN($H24,0))*(INDEX(avoidedcosttbl2,ROUNDUP($H24,0),CS$2)-(INDEX(avoidedcosttbl2,ROUNDDOWN($H24,0),CS$2)))))*ADRYr2!$P24*ADRYr2!$Q24*ADRYr2!$U24)</f>
        <v/>
      </c>
      <c r="CT24" s="28" t="str">
        <f t="shared" si="12"/>
        <v/>
      </c>
      <c r="CU24" s="28" t="str">
        <f>IF($G24="","",G24*(IF(ADRYr2!$AI24=CU$4,ADRYr2!$AJ24,IF(ADRYr2!$AK24=CU$4,ADRYr2!$AL24,IF(ADRYr2!$AM24=CU$4,ADRYr2!$AN24,0))))*(INDEX(avoidedcosttbl2,$H24,CU$2)+(($H24-ROUNDDOWN($H24,0))*(INDEX(avoidedcosttbl2,ROUNDUP($H24,0),CU$2)-(INDEX(avoidedcosttbl2,ROUNDDOWN($H24,0),CU$2)))))*ADRYr2!$P24*ADRYr2!$Q24*ADRYr2!$U24)</f>
        <v/>
      </c>
      <c r="CV24" s="28" t="str">
        <f>IF($G24="","",G24*(IF(ADRYr2!$AI24=CV$4,ADRYr2!$AJ24,IF(ADRYr2!$AK24=CV$4,ADRYr2!$AL24,IF(ADRYr2!$AM24=CV$4,ADRYr2!$AN24,0))))*(INDEX(avoidedcosttbl2,$H24,CV$2)+(($H24-ROUNDDOWN($H24,0))*(INDEX(avoidedcosttbl2,ROUNDUP($H24,0),CV$2)-(INDEX(avoidedcosttbl2,ROUNDDOWN($H24,0),CV$2)))))*ADRYr2!$P24*ADRYr2!$Q24*ADRYr2!$U24)</f>
        <v/>
      </c>
      <c r="CW24" s="28" t="str">
        <f>IF($G24="","",G24*(IF(ADRYr2!$AI24=CW$4,ADRYr2!$AJ24,IF(ADRYr2!$AK24=CW$4,ADRYr2!$AL24,IF(ADRYr2!$AM24=CW$4,ADRYr2!$AN24,0))))*(INDEX(avoidedcosttbl2,$H24,CW$2)+(($H24-ROUNDDOWN($H24,0))*(INDEX(avoidedcosttbl2,ROUNDUP($H24,0),CW$2)-(INDEX(avoidedcosttbl2,ROUNDDOWN($H24,0),CW$2)))))*ADRYr2!$P24*ADRYr2!$Q24*ADRYr2!$U24)</f>
        <v/>
      </c>
      <c r="CX24" s="28" t="str">
        <f>IF($G24="","",G24*(IF(ADRYr2!$AI24=CX$4,ADRYr2!$AJ24,IF(ADRYr2!$AK24=CX$4,ADRYr2!$AL24,IF(ADRYr2!$AM24=CX$4,ADRYr2!$AN24,0))))*(INDEX(avoidedcosttbl2,$H24,CX$2)+(($H24-ROUNDDOWN($H24,0))*(INDEX(avoidedcosttbl2,ROUNDUP($H24,0),CX$2)-(INDEX(avoidedcosttbl2,ROUNDDOWN($H24,0),CX$2)))))*ADRYr2!$P24*ADRYr2!$Q24*ADRYr2!$U24)</f>
        <v/>
      </c>
      <c r="CY24" s="28" t="str">
        <f t="shared" si="13"/>
        <v/>
      </c>
      <c r="CZ24" s="32" t="str">
        <f t="shared" si="14"/>
        <v/>
      </c>
      <c r="DA24" s="84" t="str">
        <f t="shared" si="41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15"/>
        <v/>
      </c>
      <c r="DD24" s="166" t="str">
        <f t="shared" si="16"/>
        <v/>
      </c>
      <c r="DE24" s="82">
        <f t="shared" si="42"/>
        <v>0</v>
      </c>
      <c r="DF24" s="760" t="str">
        <f>IF($G24="","",(1+WntPeakEnergyLL)*(INDEX(avoidedcosttbl2,$H24,DF$2)+(($H24-ROUNDDOWN($H24,0))*(INDEX(avoidedcosttbl2,ROUNDUP($H24,0),DF$2)-(INDEX(avoidedcosttbl2,ROUNDDOWN($H24,0),DF$2)))))*$P24*1000*ADRYr2!Z24)</f>
        <v/>
      </c>
      <c r="DG24" s="760" t="str">
        <f>IF($G24="","",(1+WntOffPeakEnergyLL)*(INDEX(avoidedcosttbl2,$H24,DG$2)+(($H24-ROUNDDOWN($H24,0))*(INDEX(avoidedcosttbl2,ROUNDUP($H24,0),DG$2)-(INDEX(avoidedcosttbl2,ROUNDDOWN($H24,0),DG$2)))))*$P24*1000*ADRYr2!AA24)</f>
        <v/>
      </c>
      <c r="DH24" s="760" t="str">
        <f>IF($G24="","",(1+SumPeakEnergyLL)*(INDEX(avoidedcosttbl2,$H24,DH$2)+(($H24-ROUNDDOWN($H24,0))*(INDEX(avoidedcosttbl2,ROUNDUP($H24,0),DH$2)-(INDEX(avoidedcosttbl2,ROUNDDOWN($H24,0),DH$2)))))*$P24*1000*ADRYr2!AB24)</f>
        <v/>
      </c>
      <c r="DI24" s="760" t="str">
        <f>IF($G24="","",(1+SumOffPeakEnergyLL)*(INDEX(avoidedcosttbl2,$H24,DI$2)+(($H24-ROUNDDOWN($H24,0))*(INDEX(avoidedcosttbl2,ROUNDUP($H24,0),DI$2)-(INDEX(avoidedcosttbl2,ROUNDDOWN($H24,0),DI$2)))))*$P24*1000*ADRYr2!AC24)</f>
        <v/>
      </c>
      <c r="DJ24" s="29" t="str">
        <f t="shared" si="43"/>
        <v/>
      </c>
      <c r="DK24" s="161" t="str">
        <f t="shared" si="44"/>
        <v/>
      </c>
      <c r="DL24" s="1375" t="str">
        <f t="shared" si="45"/>
        <v/>
      </c>
      <c r="DM24" s="1375" t="str">
        <f t="shared" si="46"/>
        <v/>
      </c>
      <c r="DN24" s="43" t="str">
        <f t="shared" si="47"/>
        <v/>
      </c>
      <c r="DO24" s="1131" t="str">
        <f>IF($G24="","",ADRYr2!AQ24)</f>
        <v/>
      </c>
      <c r="DP24" s="1133" t="str">
        <f>IF($G24="","",ADRYr2!AR24)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48"/>
        <v/>
      </c>
      <c r="DU24" s="1135" t="str">
        <f>IF($G24="","",ADRYr2!AS24)</f>
        <v/>
      </c>
      <c r="DV24" s="1136" t="str">
        <f>IF($G24="","",ADRYr2!AT24)</f>
        <v/>
      </c>
      <c r="DW24" s="1344" t="str">
        <f>IF($G24="","",INDEX(AvoidedEnergy!$H$4:$H$10,MATCH($DO24,AvoidedEnergy!$A$4:$A$10,0)))</f>
        <v/>
      </c>
    </row>
    <row r="25" spans="1:127">
      <c r="A25" s="160" t="str">
        <f>IF(ADRYr2!$B25=0,"",ADRYr2!A25)</f>
        <v>B - Low-Income</v>
      </c>
      <c r="B25" s="9" t="str">
        <f>IF(ADRYr2!$B25=0,"",ADRYr2!B25)</f>
        <v>Home Energy Assistance</v>
      </c>
      <c r="C25" s="9" t="str">
        <f>IF(ADRYr2!$B25=0,"",ADRYr2!C25)</f>
        <v>Res Demand Response</v>
      </c>
      <c r="D25" s="9" t="str">
        <f>IF(ADRYr2!$B25=0,"",ADRYr2!D25)</f>
        <v>Storage Targeted Dispatch P4P (savings) Winter</v>
      </c>
      <c r="E25" s="9">
        <f>IF(ADRYr2!$B25=0,"",ADRYr2!E25)</f>
        <v>0</v>
      </c>
      <c r="F25" s="11" t="str">
        <f>IF(ADRYr2!$B25=0,"",ADRYr2!F25)</f>
        <v>Behavior</v>
      </c>
      <c r="G25" s="12" t="str">
        <f>IF(ADRYr2!$G25&lt;&gt;0,ADRYr2!G25,"")</f>
        <v/>
      </c>
      <c r="H25" s="1125" t="str">
        <f>IF($G25="","",ROUND(ADRYr2!H25,0))</f>
        <v/>
      </c>
      <c r="I25" s="47" t="str">
        <f>IF($G25="","",ADRYr2!I25*ADRYr2!P25*G25)</f>
        <v/>
      </c>
      <c r="J25" s="47" t="str">
        <f>IF($G25="","",ADRYr2!J25*G25)</f>
        <v/>
      </c>
      <c r="K25" s="47" t="str">
        <f t="shared" si="17"/>
        <v/>
      </c>
      <c r="L25" s="27" t="str">
        <f>IF($G25="","",ADRYr2!V25*G25/1000)</f>
        <v/>
      </c>
      <c r="M25" s="27" t="str">
        <f>IF($G25="","",L25*ADRYr2!$Q25*ADRYr2!$R25)</f>
        <v/>
      </c>
      <c r="N25" s="27" t="str">
        <f t="shared" si="18"/>
        <v/>
      </c>
      <c r="O25" s="27" t="str">
        <f t="shared" si="19"/>
        <v/>
      </c>
      <c r="P25" s="27" t="str">
        <f>IF($G25="","",M25*ADRYr2!P25)</f>
        <v/>
      </c>
      <c r="Q25" s="27" t="str">
        <f t="shared" si="20"/>
        <v/>
      </c>
      <c r="R25" s="27" t="str">
        <f>IF($G25="","",$Q25*ADRYr2!Z25)</f>
        <v/>
      </c>
      <c r="S25" s="27" t="str">
        <f>IF($G25="","",$Q25*ADRYr2!AA25)</f>
        <v/>
      </c>
      <c r="T25" s="27" t="str">
        <f>IF($G25="","",$Q25*ADRYr2!AB25)</f>
        <v/>
      </c>
      <c r="U25" s="27" t="str">
        <f>IF($G25="","",$Q25*ADRYr2!AC25)</f>
        <v/>
      </c>
      <c r="V25" s="27" t="str">
        <f>IF($G25="","",G25*ADRYr2!$AD25*ADRYr2!$P25*ADRYr2!$Q25)</f>
        <v/>
      </c>
      <c r="W25" s="27" t="str">
        <f>IF($G25="","",$G25*ADRYr2!$AD25*ADRYr2!$AF25*ADRYr2!Q25*ADRYr2!$S25)</f>
        <v/>
      </c>
      <c r="X25" s="27" t="str">
        <f>IF($G25="","",$G25*ADRYr2!$AD25*ADRYr2!$AF25*ADRYr2!P25*ADRYr2!Q25*ADRYr2!$S25)</f>
        <v/>
      </c>
      <c r="Y25" s="27" t="str">
        <f>IF($G25="","",$G25*ADRYr2!$AD25*ADRYr2!$AE25*ADRYr2!Q25*ADRYr2!$T25)</f>
        <v/>
      </c>
      <c r="Z25" s="27" t="str">
        <f>IF($G25="","",$G25*ADRYr2!$AD25*ADRYr2!$AE25*ADRYr2!P25*ADRYr2!Q25*ADRYr2!$T25)</f>
        <v/>
      </c>
      <c r="AA25" s="45" t="str">
        <f>IF($G25="","",$G25*ADRYr2!$Q25*ADRYr2!$U25*(IF(IFERROR(SEARCH("NG", ADRYr2!$AI25),0),ADRYr2!$AJ25,0)+IF(IFERROR(SEARCH("NG", ADRYr2!$AK25),0),ADRYr2!$AL25,0)+IF(IFERROR(SEARCH("NG", ADRYr2!$AM25),0),ADRYr2!$AN25,0)))</f>
        <v/>
      </c>
      <c r="AB25" s="45" t="str">
        <f t="shared" si="21"/>
        <v/>
      </c>
      <c r="AC25" s="45">
        <f>IF($G25="",0,AA25*ADRYr2!$P25)</f>
        <v>0</v>
      </c>
      <c r="AD25" s="45" t="str">
        <f t="shared" si="22"/>
        <v/>
      </c>
      <c r="AE25" s="45" t="str">
        <f>IF($G25="","",$G25*ADRYr2!$Q25*ADRYr2!$U25*(IF(IFERROR(SEARCH("Oil", ADRYr2!$AI25), 0),ADRYr2!$AJ25,0)+IF(IFERROR(SEARCH("Oil", ADRYr2!$AK25), 0),ADRYr2!$AL25,0)+IF(IFERROR(SEARCH("Oil", ADRYr2!$AM25), 0),ADRYr2!$AN25,0)))</f>
        <v/>
      </c>
      <c r="AF25" s="45" t="str">
        <f t="shared" si="23"/>
        <v/>
      </c>
      <c r="AG25" s="45">
        <f>IF($G25="",0,AE25*ADRYr2!$P25)</f>
        <v>0</v>
      </c>
      <c r="AH25" s="45" t="str">
        <f t="shared" si="24"/>
        <v/>
      </c>
      <c r="AI25" s="45" t="str">
        <f>IF($G25="","",$G25*ADRYr2!$Q25*ADRYr2!$U25*(IF(ADRYr2!$AI25=Lookups!$E$114,ADRYr2!$AJ25,IF(ADRYr2!$AK25=Lookups!$E$114,ADRYr2!$AL25,IF(ADRYr2!$AM25=Lookups!$E$114,ADRYr2!$AN25,0)))))</f>
        <v/>
      </c>
      <c r="AJ25" s="45" t="str">
        <f t="shared" si="25"/>
        <v/>
      </c>
      <c r="AK25" s="45">
        <f>IF($G25="",0,AI25*ADRYr2!$P25)</f>
        <v>0</v>
      </c>
      <c r="AL25" s="45" t="str">
        <f t="shared" si="26"/>
        <v/>
      </c>
      <c r="AM25" s="45" t="str">
        <f>IF($G25="","",$G25*ADRYr2!$Q25*ADRYr2!$U25*(IF(ADRYr2!$AI25=Lookups!$E$113,ADRYr2!$AJ25,IF(ADRYr2!$AK25=Lookups!$E$113,ADRYr2!$AL25,IF(ADRYr2!$AM25=Lookups!$E$113,ADRYr2!$AN25,0)))))</f>
        <v/>
      </c>
      <c r="AN25" s="45" t="str">
        <f t="shared" si="27"/>
        <v/>
      </c>
      <c r="AO25" s="45">
        <f>IF($G25="",0,AM25*ADRYr2!$P25)</f>
        <v>0</v>
      </c>
      <c r="AP25" s="45" t="str">
        <f t="shared" si="28"/>
        <v/>
      </c>
      <c r="AQ25" s="45" t="str">
        <f>IF($G25="","",$G25*ADRYr2!$Q25*ADRYr2!$U25*(IF(ADRYr2!$AI25=Lookups!$E$115,ADRYr2!$AJ25,IF(ADRYr2!$AK25=Lookups!$E$115,ADRYr2!$AL25,IF(ADRYr2!$AM25=Lookups!$E$115,ADRYr2!$AN25,0)))))</f>
        <v/>
      </c>
      <c r="AR25" s="45" t="str">
        <f t="shared" si="29"/>
        <v/>
      </c>
      <c r="AS25" s="45" t="str">
        <f>IF($G25="","",AQ25*ADRYr2!$P25)</f>
        <v/>
      </c>
      <c r="AT25" s="45" t="str">
        <f t="shared" si="30"/>
        <v/>
      </c>
      <c r="AU25" s="45" t="str">
        <f>IF($G25="","",$G25*ADRYr2!$Q25*ADRYr2!$U25*(IF(ADRYr2!$AI25=Lookups!$E$116,ADRYr2!$AJ25,IF(ADRYr2!$AK25=Lookups!$E$116,ADRYr2!$AL25,IF(ADRYr2!$AM25=Lookups!$E$116,ADRYr2!$AN25,0)))))</f>
        <v/>
      </c>
      <c r="AV25" s="45" t="str">
        <f t="shared" si="31"/>
        <v/>
      </c>
      <c r="AW25" s="45" t="str">
        <f>IF($G25="","",AU25*ADRYr2!$P25)</f>
        <v/>
      </c>
      <c r="AX25" s="45" t="str">
        <f t="shared" si="32"/>
        <v/>
      </c>
      <c r="AY25" s="45">
        <f t="shared" si="49"/>
        <v>0</v>
      </c>
      <c r="AZ25" s="45">
        <f t="shared" si="49"/>
        <v>0</v>
      </c>
      <c r="BA25" s="101" t="str">
        <f>IF($G25="","",$G25*ADRYr2!$P25*ADRYr2!$Q25*ADRYr2!$U25*ADRYr2!AO25)</f>
        <v/>
      </c>
      <c r="BB25" s="102" t="str">
        <f>IF($G25="","",$G25*ADRYr2!$P25*ADRYr2!$Q25*ADRYr2!$U25*ADRYr2!AP25)</f>
        <v/>
      </c>
      <c r="BC25" s="100" t="str">
        <f t="shared" si="34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5"/>
        <v/>
      </c>
      <c r="BO25" s="31" t="str">
        <f t="shared" si="35"/>
        <v/>
      </c>
      <c r="BP25" s="1129" t="str">
        <f t="shared" si="6"/>
        <v/>
      </c>
      <c r="BQ25" s="28" t="str">
        <f t="shared" si="7"/>
        <v/>
      </c>
      <c r="BR25" s="1129" t="str">
        <f t="shared" si="8"/>
        <v/>
      </c>
      <c r="BS25" s="1129" t="str">
        <f t="shared" si="9"/>
        <v/>
      </c>
      <c r="BT25" s="28" t="str">
        <f t="shared" ref="BT25:BV44" si="50">IF($G25="","",(INDEX(avoidedcosttbl2,$H25,BT$2)+(($H25-ROUNDDOWN($H25,0))*(INDEX(avoidedcosttbl2,ROUNDUP($H25,0),BT$2)-(INDEX(avoidedcosttbl2,ROUNDDOWN($H25,0),BT$2)))))*$Z25)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6"/>
        <v/>
      </c>
      <c r="BX25" s="29" t="str">
        <f t="shared" si="37"/>
        <v/>
      </c>
      <c r="BY25" s="28" t="str">
        <f>IF($G25="","",$G25*(IF(ADRYr2!$AI25=BY$4,ADRYr2!$AJ25,IF(ADRYr2!$AK25=BY$4,ADRYr2!$AL25,IF(ADRYr2!$AM25=BY$4,ADRYr2!$AN25,0))))*(INDEX(avoidedcosttbl2,$H25,BY$2)+(($H25-ROUNDDOWN($H25,0))*(INDEX(avoidedcosttbl2,ROUNDUP($H25,0),BY$2)-(INDEX(avoidedcosttbl2,ROUNDDOWN($H25,0),BY$2)))))*ADRYr2!P25*ADRYr2!Q25*ADRYr2!U25)</f>
        <v/>
      </c>
      <c r="BZ25" s="28" t="str">
        <f>IF($G25="","",$G25*(IF(ADRYr2!$AI25=BZ$4,ADRYr2!$AJ25,IF(ADRYr2!$AK25=BZ$4,ADRYr2!$AL25,IF(ADRYr2!$AM25=BZ$4,ADRYr2!$AN25,0))))*(INDEX(avoidedcosttbl2,$H25,BZ$2)+(($H25-ROUNDDOWN($H25,0))*(INDEX(avoidedcosttbl2,ROUNDUP($H25,0),BZ$2)-(INDEX(avoidedcosttbl2,ROUNDDOWN($H25,0),BZ$2)))))*ADRYr2!P25*ADRYr2!Q25*ADRYr2!U25)</f>
        <v/>
      </c>
      <c r="CA25" s="28" t="str">
        <f>IF($G25="","",$G25*(IF(ADRYr2!$AI25=CA$4,ADRYr2!$AJ25,IF(ADRYr2!$AK25=CA$4,ADRYr2!$AL25,IF(ADRYr2!$AM25=CA$4,ADRYr2!$AN25,0))))*(INDEX(avoidedcosttbl2,$H25,CA$2)+(($H25-ROUNDDOWN($H25,0))*(INDEX(avoidedcosttbl2,ROUNDUP($H25,0),CA$2)-(INDEX(avoidedcosttbl2,ROUNDDOWN($H25,0),CA$2)))))*ADRYr2!P25*ADRYr2!Q25*ADRYr2!U25)</f>
        <v/>
      </c>
      <c r="CB25" s="28" t="str">
        <f>IF($G25="","",$G25*(IF(ADRYr2!$AI25=CB$4,ADRYr2!$AJ25,IF(ADRYr2!$AK25=CB$4,ADRYr2!$AL25,IF(ADRYr2!$AM25=CB$4,ADRYr2!$AN25,0))))*(INDEX(avoidedcosttbl2,$H25,CB$2)+(($H25-ROUNDDOWN($H25,0))*(INDEX(avoidedcosttbl2,ROUNDUP($H25,0),CB$2)-(INDEX(avoidedcosttbl2,ROUNDDOWN($H25,0),CB$2)))))*ADRYr2!P25*ADRYr2!Q25*ADRYr2!U25)</f>
        <v/>
      </c>
      <c r="CC25" s="28" t="str">
        <f>IF($G25="","",$G25*(IF(ADRYr2!$AI25=CC$4,ADRYr2!$AJ25,IF(ADRYr2!$AK25=CC$4,ADRYr2!$AL25,IF(ADRYr2!$AM25=CC$4,ADRYr2!$AN25,0))))*(INDEX(avoidedcosttbl2,$H25,CC$2)+(($H25-ROUNDDOWN($H25,0))*(INDEX(avoidedcosttbl2,ROUNDUP($H25,0),CC$2)-(INDEX(avoidedcosttbl2,ROUNDDOWN($H25,0),CC$2)))))*ADRYr2!P25*ADRYr2!Q25*ADRYr2!U25)</f>
        <v/>
      </c>
      <c r="CD25" s="28" t="str">
        <f>IF($G25="","",$G25*(IF(ADRYr2!$AI25=CD$4,ADRYr2!$AJ25,IF(ADRYr2!$AK25=CD$4,ADRYr2!$AL25,IF(ADRYr2!$AM25=CD$4,ADRYr2!$AN25,0))))*(INDEX(avoidedcosttbl2,$H25,CD$2)+(($H25-ROUNDDOWN($H25,0))*(INDEX(avoidedcosttbl2,ROUNDUP($H25,0),CD$2)-(INDEX(avoidedcosttbl2,ROUNDDOWN($H25,0),CD$2)))))*ADRYr2!P25*ADRYr2!Q25*ADRYr2!U25)</f>
        <v/>
      </c>
      <c r="CE25" s="28" t="str">
        <f>IF($G25="","",$G25*(IF(ADRYr2!$AI25=CE$4,ADRYr2!$AJ25,IF(ADRYr2!$AK25=CE$4,ADRYr2!$AL25,IF(ADRYr2!$AM25=CE$4,ADRYr2!$AN25,0))))*(INDEX(avoidedcosttbl2,$H25,CE$2)+(($H25-ROUNDDOWN($H25,0))*(INDEX(avoidedcosttbl2,ROUNDUP($H25,0),CE$2)-(INDEX(avoidedcosttbl2,ROUNDDOWN($H25,0),CE$2)))))*ADRYr2!P25*ADRYr2!Q25*ADRYr2!U25)</f>
        <v/>
      </c>
      <c r="CF25" s="41" t="str">
        <f t="shared" si="38"/>
        <v/>
      </c>
      <c r="CG25" s="30" t="str">
        <f t="shared" si="11"/>
        <v/>
      </c>
      <c r="CH25" s="30" t="str">
        <f>IF($G25="","",$G25*(IF(ADRYr2!$AI25=BY$4,ADRYr2!$AJ25,IF(ADRYr2!$AK25=BY$4,ADRYr2!$AL25,IF(ADRYr2!$AM25=BY$4,ADRYr2!$AN25,0))))*(INDEX(avoidedcosttbl2,$H25,CH$2)+(($H25-ROUNDDOWN($H25,0))*(INDEX(avoidedcosttbl2,ROUNDUP($H25,0),CH$2)-(INDEX(avoidedcosttbl2,ROUNDDOWN($H25,0),CH$2)))))*ADRYr2!P25*ADRYr2!Q25*ADRYr2!U25)</f>
        <v/>
      </c>
      <c r="CI25" s="30" t="str">
        <f>IF($G25="","",$G25*(IF(ADRYr2!$AI25=BZ$4,ADRYr2!$AJ25,IF(ADRYr2!$AK25=BZ$4,ADRYr2!$AL25,IF(ADRYr2!$AM25=BZ$4,ADRYr2!$AN25,0))))*(INDEX(avoidedcosttbl2,$H25,CI$2)+(($H25-ROUNDDOWN($H25,0))*(INDEX(avoidedcosttbl2,ROUNDUP($H25,0),CI$2)-(INDEX(avoidedcosttbl2,ROUNDDOWN($H25,0),CI$2)))))*ADRYr2!P25*ADRYr2!Q25*ADRYr2!U25)</f>
        <v/>
      </c>
      <c r="CJ25" s="30" t="str">
        <f>IF($G25="","",$G25*(IF(ADRYr2!$AI25=CA$4,ADRYr2!$AJ25,IF(ADRYr2!$AK25=CA$4,ADRYr2!$AL25,IF(ADRYr2!$AM25=CA$4,ADRYr2!$AN25,0))))*(INDEX(avoidedcosttbl2,$H25,CJ$2)+(($H25-ROUNDDOWN($H25,0))*(INDEX(avoidedcosttbl2,ROUNDUP($H25,0),CJ$2)-(INDEX(avoidedcosttbl2,ROUNDDOWN($H25,0),CJ$2)))))*ADRYr2!P25*ADRYr2!Q25*ADRYr2!U25)</f>
        <v/>
      </c>
      <c r="CK25" s="30" t="str">
        <f>IF($G25="","",$G25*(IF(ADRYr2!$AI25=CB$4,ADRYr2!$AJ25,IF(ADRYr2!$AK25=CB$4,ADRYr2!$AL25,IF(ADRYr2!$AM25=CB$4,ADRYr2!$AN25,0))))*(INDEX(avoidedcosttbl2,$H25,CK$2)+(($H25-ROUNDDOWN($H25,0))*(INDEX(avoidedcosttbl2,ROUNDUP($H25,0),CK$2)-(INDEX(avoidedcosttbl2,ROUNDDOWN($H25,0),CK$2)))))*ADRYr2!P25*ADRYr2!Q25*ADRYr2!U25)</f>
        <v/>
      </c>
      <c r="CL25" s="30" t="str">
        <f>IF($G25="","",$G25*(IF(ADRYr2!$AI25=CC$4,ADRYr2!$AJ25,IF(ADRYr2!$AK25=CC$4,ADRYr2!$AL25,IF(ADRYr2!$AM25=CC$4,ADRYr2!$AN25,0))))*(INDEX(avoidedcosttbl2,$H25,CL$2)+(($H25-ROUNDDOWN($H25,0))*(INDEX(avoidedcosttbl2,ROUNDUP($H25,0),CL$2)-(INDEX(avoidedcosttbl2,ROUNDDOWN($H25,0),CL$2)))))*ADRYr2!P25*ADRYr2!Q25*ADRYr2!U25)</f>
        <v/>
      </c>
      <c r="CM25" s="30" t="str">
        <f>IF($G25="","",$G25*(IF(ADRYr2!$AI25=CD$4,ADRYr2!$AJ25,IF(ADRYr2!$AK25=CD$4,ADRYr2!$AL25,IF(ADRYr2!$AM25=CD$4,ADRYr2!$AN25,0))))*(INDEX(avoidedcosttbl2,$H25,CM$2)+(($H25-ROUNDDOWN($H25,0))*(INDEX(avoidedcosttbl2,ROUNDUP($H25,0),CM$2)-(INDEX(avoidedcosttbl2,ROUNDDOWN($H25,0),CM$2)))))*ADRYr2!P25*ADRYr2!Q25*ADRYr2!U25)</f>
        <v/>
      </c>
      <c r="CN25" s="30" t="str">
        <f>IF($G25="","",$G25*(IF(ADRYr2!$AI25=CE$4,ADRYr2!$AJ25,IF(ADRYr2!$AK25=CE$4,ADRYr2!$AL25,IF(ADRYr2!$AM25=CE$4,ADRYr2!$AN25,0))))*(INDEX(avoidedcosttbl2,$H25,CN$2)+(($H25-ROUNDDOWN($H25,0))*(INDEX(avoidedcosttbl2,ROUNDUP($H25,0),CN$2)-(INDEX(avoidedcosttbl2,ROUNDDOWN($H25,0),CN$2)))))*ADRYr2!P25*ADRYr2!Q25*ADRYr2!U25)</f>
        <v/>
      </c>
      <c r="CO25" s="220" t="str">
        <f t="shared" si="39"/>
        <v/>
      </c>
      <c r="CP25" s="220" t="str">
        <f t="shared" si="40"/>
        <v/>
      </c>
      <c r="CQ25" s="157" t="str">
        <f>IF($G25="","",$G25*(IF(ADRYr2!$AI25=CQ$4,ADRYr2!$AJ25,IF(ADRYr2!$AK25=CQ$4,ADRYr2!$AL25,IF(ADRYr2!$AM25=CQ$4,ADRYr2!$AN25,0))))*(INDEX(avoidedcosttbl2,$H25,CQ$2)+(($H25-ROUNDDOWN($H25,0))*(INDEX(avoidedcosttbl2,ROUNDUP($H25,0),CQ$2)-(INDEX(avoidedcosttbl2,ROUNDDOWN($H25,0),CQ$2)))))*ADRYr2!$P25*ADRYr2!$Q25*ADRYr2!$U25)</f>
        <v/>
      </c>
      <c r="CR25" s="28" t="str">
        <f>IF($G25="","",G25*(IF(ADRYr2!$AI25=CR$4,ADRYr2!$AJ25,IF(ADRYr2!$AK25=CR$4,ADRYr2!$AL25,IF(ADRYr2!$AM25=CR$4,ADRYr2!$AN25,0))))*(INDEX(avoidedcosttbl2,$H25,CR$2)+(($H25-ROUNDDOWN($H25,0))*(INDEX(avoidedcosttbl2,ROUNDUP($H25,0),CR$2)-(INDEX(avoidedcosttbl2,ROUNDDOWN($H25,0),CR$2)))))*ADRYr2!$P25*ADRYr2!$Q25*ADRYr2!$U25)</f>
        <v/>
      </c>
      <c r="CS25" s="28" t="str">
        <f>IF($G25="","",G25*(IF(ADRYr2!$AI25=CS$4,ADRYr2!$AJ25,IF(ADRYr2!$AK25=CS$4,ADRYr2!$AL25,IF(ADRYr2!$AM25=CS$4,ADRYr2!$AN25,0))))*(INDEX(avoidedcosttbl2,$H25,CS$2)+(($H25-ROUNDDOWN($H25,0))*(INDEX(avoidedcosttbl2,ROUNDUP($H25,0),CS$2)-(INDEX(avoidedcosttbl2,ROUNDDOWN($H25,0),CS$2)))))*ADRYr2!$P25*ADRYr2!$Q25*ADRYr2!$U25)</f>
        <v/>
      </c>
      <c r="CT25" s="28" t="str">
        <f t="shared" si="12"/>
        <v/>
      </c>
      <c r="CU25" s="28" t="str">
        <f>IF($G25="","",G25*(IF(ADRYr2!$AI25=CU$4,ADRYr2!$AJ25,IF(ADRYr2!$AK25=CU$4,ADRYr2!$AL25,IF(ADRYr2!$AM25=CU$4,ADRYr2!$AN25,0))))*(INDEX(avoidedcosttbl2,$H25,CU$2)+(($H25-ROUNDDOWN($H25,0))*(INDEX(avoidedcosttbl2,ROUNDUP($H25,0),CU$2)-(INDEX(avoidedcosttbl2,ROUNDDOWN($H25,0),CU$2)))))*ADRYr2!$P25*ADRYr2!$Q25*ADRYr2!$U25)</f>
        <v/>
      </c>
      <c r="CV25" s="28" t="str">
        <f>IF($G25="","",G25*(IF(ADRYr2!$AI25=CV$4,ADRYr2!$AJ25,IF(ADRYr2!$AK25=CV$4,ADRYr2!$AL25,IF(ADRYr2!$AM25=CV$4,ADRYr2!$AN25,0))))*(INDEX(avoidedcosttbl2,$H25,CV$2)+(($H25-ROUNDDOWN($H25,0))*(INDEX(avoidedcosttbl2,ROUNDUP($H25,0),CV$2)-(INDEX(avoidedcosttbl2,ROUNDDOWN($H25,0),CV$2)))))*ADRYr2!$P25*ADRYr2!$Q25*ADRYr2!$U25)</f>
        <v/>
      </c>
      <c r="CW25" s="28" t="str">
        <f>IF($G25="","",G25*(IF(ADRYr2!$AI25=CW$4,ADRYr2!$AJ25,IF(ADRYr2!$AK25=CW$4,ADRYr2!$AL25,IF(ADRYr2!$AM25=CW$4,ADRYr2!$AN25,0))))*(INDEX(avoidedcosttbl2,$H25,CW$2)+(($H25-ROUNDDOWN($H25,0))*(INDEX(avoidedcosttbl2,ROUNDUP($H25,0),CW$2)-(INDEX(avoidedcosttbl2,ROUNDDOWN($H25,0),CW$2)))))*ADRYr2!$P25*ADRYr2!$Q25*ADRYr2!$U25)</f>
        <v/>
      </c>
      <c r="CX25" s="28" t="str">
        <f>IF($G25="","",G25*(IF(ADRYr2!$AI25=CX$4,ADRYr2!$AJ25,IF(ADRYr2!$AK25=CX$4,ADRYr2!$AL25,IF(ADRYr2!$AM25=CX$4,ADRYr2!$AN25,0))))*(INDEX(avoidedcosttbl2,$H25,CX$2)+(($H25-ROUNDDOWN($H25,0))*(INDEX(avoidedcosttbl2,ROUNDUP($H25,0),CX$2)-(INDEX(avoidedcosttbl2,ROUNDDOWN($H25,0),CX$2)))))*ADRYr2!$P25*ADRYr2!$Q25*ADRYr2!$U25)</f>
        <v/>
      </c>
      <c r="CY25" s="28" t="str">
        <f t="shared" si="13"/>
        <v/>
      </c>
      <c r="CZ25" s="32" t="str">
        <f t="shared" si="14"/>
        <v/>
      </c>
      <c r="DA25" s="84" t="str">
        <f t="shared" si="41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15"/>
        <v/>
      </c>
      <c r="DD25" s="166" t="str">
        <f t="shared" si="16"/>
        <v/>
      </c>
      <c r="DE25" s="82">
        <f t="shared" si="42"/>
        <v>0</v>
      </c>
      <c r="DF25" s="760" t="str">
        <f>IF($G25="","",(1+WntPeakEnergyLL)*(INDEX(avoidedcosttbl2,$H25,DF$2)+(($H25-ROUNDDOWN($H25,0))*(INDEX(avoidedcosttbl2,ROUNDUP($H25,0),DF$2)-(INDEX(avoidedcosttbl2,ROUNDDOWN($H25,0),DF$2)))))*$P25*1000*ADRYr2!Z25)</f>
        <v/>
      </c>
      <c r="DG25" s="760" t="str">
        <f>IF($G25="","",(1+WntOffPeakEnergyLL)*(INDEX(avoidedcosttbl2,$H25,DG$2)+(($H25-ROUNDDOWN($H25,0))*(INDEX(avoidedcosttbl2,ROUNDUP($H25,0),DG$2)-(INDEX(avoidedcosttbl2,ROUNDDOWN($H25,0),DG$2)))))*$P25*1000*ADRYr2!AA25)</f>
        <v/>
      </c>
      <c r="DH25" s="760" t="str">
        <f>IF($G25="","",(1+SumPeakEnergyLL)*(INDEX(avoidedcosttbl2,$H25,DH$2)+(($H25-ROUNDDOWN($H25,0))*(INDEX(avoidedcosttbl2,ROUNDUP($H25,0),DH$2)-(INDEX(avoidedcosttbl2,ROUNDDOWN($H25,0),DH$2)))))*$P25*1000*ADRYr2!AB25)</f>
        <v/>
      </c>
      <c r="DI25" s="760" t="str">
        <f>IF($G25="","",(1+SumOffPeakEnergyLL)*(INDEX(avoidedcosttbl2,$H25,DI$2)+(($H25-ROUNDDOWN($H25,0))*(INDEX(avoidedcosttbl2,ROUNDUP($H25,0),DI$2)-(INDEX(avoidedcosttbl2,ROUNDDOWN($H25,0),DI$2)))))*$P25*1000*ADRYr2!AC25)</f>
        <v/>
      </c>
      <c r="DJ25" s="29" t="str">
        <f t="shared" si="43"/>
        <v/>
      </c>
      <c r="DK25" s="161" t="str">
        <f t="shared" si="44"/>
        <v/>
      </c>
      <c r="DL25" s="1375" t="str">
        <f t="shared" si="45"/>
        <v/>
      </c>
      <c r="DM25" s="1375" t="str">
        <f t="shared" si="46"/>
        <v/>
      </c>
      <c r="DN25" s="43" t="str">
        <f t="shared" si="47"/>
        <v/>
      </c>
      <c r="DO25" s="1131" t="str">
        <f>IF($G25="","",ADRYr2!AQ25)</f>
        <v/>
      </c>
      <c r="DP25" s="1133" t="str">
        <f>IF($G25="","",ADRYr2!AR25)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48"/>
        <v/>
      </c>
      <c r="DU25" s="1135" t="str">
        <f>IF($G25="","",ADRYr2!AS25)</f>
        <v/>
      </c>
      <c r="DV25" s="1136" t="str">
        <f>IF($G25="","",ADRYr2!AT25)</f>
        <v/>
      </c>
      <c r="DW25" s="1344" t="str">
        <f>IF($G25="","",INDEX(AvoidedEnergy!$H$4:$H$10,MATCH($DO25,AvoidedEnergy!$A$4:$A$10,0)))</f>
        <v/>
      </c>
    </row>
    <row r="26" spans="1:127">
      <c r="A26" s="160" t="str">
        <f>IF(ADRYr2!$B26=0,"",ADRYr2!A26)</f>
        <v>B - Low-Income</v>
      </c>
      <c r="B26" s="9" t="str">
        <f>IF(ADRYr2!$B26=0,"",ADRYr2!B26)</f>
        <v>Home Energy Assistance</v>
      </c>
      <c r="C26" s="9" t="str">
        <f>IF(ADRYr2!$B26=0,"",ADRYr2!C26)</f>
        <v>Res Demand Response</v>
      </c>
      <c r="D26" s="9" t="str">
        <f>IF(ADRYr2!$B26=0,"",ADRYr2!D26)</f>
        <v>Storage Targeted Dispatch P4P (consumption) Winter</v>
      </c>
      <c r="E26" s="9">
        <f>IF(ADRYr2!$B26=0,"",ADRYr2!E26)</f>
        <v>0</v>
      </c>
      <c r="F26" s="11" t="str">
        <f>IF(ADRYr2!$B26=0,"",ADRYr2!F26)</f>
        <v>Behavior</v>
      </c>
      <c r="G26" s="12" t="str">
        <f>IF(ADRYr2!$G26&lt;&gt;0,ADRYr2!G26,"")</f>
        <v/>
      </c>
      <c r="H26" s="1125" t="str">
        <f>IF($G26="","",ROUND(ADRYr2!H26,0))</f>
        <v/>
      </c>
      <c r="I26" s="47" t="str">
        <f>IF($G26="","",ADRYr2!I26*ADRYr2!P26*G26)</f>
        <v/>
      </c>
      <c r="J26" s="47" t="str">
        <f>IF($G26="","",ADRYr2!J26*G26)</f>
        <v/>
      </c>
      <c r="K26" s="47" t="str">
        <f t="shared" si="17"/>
        <v/>
      </c>
      <c r="L26" s="27" t="str">
        <f>IF($G26="","",ADRYr2!V26*G26/1000)</f>
        <v/>
      </c>
      <c r="M26" s="27" t="str">
        <f>IF($G26="","",L26*ADRYr2!$Q26*ADRYr2!$R26)</f>
        <v/>
      </c>
      <c r="N26" s="27" t="str">
        <f t="shared" si="18"/>
        <v/>
      </c>
      <c r="O26" s="27" t="str">
        <f t="shared" si="19"/>
        <v/>
      </c>
      <c r="P26" s="27" t="str">
        <f>IF($G26="","",M26*ADRYr2!P26)</f>
        <v/>
      </c>
      <c r="Q26" s="27" t="str">
        <f t="shared" si="20"/>
        <v/>
      </c>
      <c r="R26" s="27" t="str">
        <f>IF($G26="","",$Q26*ADRYr2!Z26)</f>
        <v/>
      </c>
      <c r="S26" s="27" t="str">
        <f>IF($G26="","",$Q26*ADRYr2!AA26)</f>
        <v/>
      </c>
      <c r="T26" s="27" t="str">
        <f>IF($G26="","",$Q26*ADRYr2!AB26)</f>
        <v/>
      </c>
      <c r="U26" s="27" t="str">
        <f>IF($G26="","",$Q26*ADRYr2!AC26)</f>
        <v/>
      </c>
      <c r="V26" s="27" t="str">
        <f>IF($G26="","",G26*ADRYr2!$AD26*ADRYr2!$P26*ADRYr2!$Q26)</f>
        <v/>
      </c>
      <c r="W26" s="27" t="str">
        <f>IF($G26="","",$G26*ADRYr2!$AD26*ADRYr2!$AF26*ADRYr2!Q26*ADRYr2!$S26)</f>
        <v/>
      </c>
      <c r="X26" s="27" t="str">
        <f>IF($G26="","",$G26*ADRYr2!$AD26*ADRYr2!$AF26*ADRYr2!P26*ADRYr2!Q26*ADRYr2!$S26)</f>
        <v/>
      </c>
      <c r="Y26" s="27" t="str">
        <f>IF($G26="","",$G26*ADRYr2!$AD26*ADRYr2!$AE26*ADRYr2!Q26*ADRYr2!$T26)</f>
        <v/>
      </c>
      <c r="Z26" s="27" t="str">
        <f>IF($G26="","",$G26*ADRYr2!$AD26*ADRYr2!$AE26*ADRYr2!P26*ADRYr2!Q26*ADRYr2!$T26)</f>
        <v/>
      </c>
      <c r="AA26" s="45" t="str">
        <f>IF($G26="","",$G26*ADRYr2!$Q26*ADRYr2!$U26*(IF(IFERROR(SEARCH("NG", ADRYr2!$AI26),0),ADRYr2!$AJ26,0)+IF(IFERROR(SEARCH("NG", ADRYr2!$AK26),0),ADRYr2!$AL26,0)+IF(IFERROR(SEARCH("NG", ADRYr2!$AM26),0),ADRYr2!$AN26,0)))</f>
        <v/>
      </c>
      <c r="AB26" s="45" t="str">
        <f t="shared" si="21"/>
        <v/>
      </c>
      <c r="AC26" s="45">
        <f>IF($G26="",0,AA26*ADRYr2!$P26)</f>
        <v>0</v>
      </c>
      <c r="AD26" s="45" t="str">
        <f t="shared" si="22"/>
        <v/>
      </c>
      <c r="AE26" s="45" t="str">
        <f>IF($G26="","",$G26*ADRYr2!$Q26*ADRYr2!$U26*(IF(IFERROR(SEARCH("Oil", ADRYr2!$AI26), 0),ADRYr2!$AJ26,0)+IF(IFERROR(SEARCH("Oil", ADRYr2!$AK26), 0),ADRYr2!$AL26,0)+IF(IFERROR(SEARCH("Oil", ADRYr2!$AM26), 0),ADRYr2!$AN26,0)))</f>
        <v/>
      </c>
      <c r="AF26" s="45" t="str">
        <f t="shared" si="23"/>
        <v/>
      </c>
      <c r="AG26" s="45">
        <f>IF($G26="",0,AE26*ADRYr2!$P26)</f>
        <v>0</v>
      </c>
      <c r="AH26" s="45" t="str">
        <f t="shared" si="24"/>
        <v/>
      </c>
      <c r="AI26" s="45" t="str">
        <f>IF($G26="","",$G26*ADRYr2!$Q26*ADRYr2!$U26*(IF(ADRYr2!$AI26=Lookups!$E$114,ADRYr2!$AJ26,IF(ADRYr2!$AK26=Lookups!$E$114,ADRYr2!$AL26,IF(ADRYr2!$AM26=Lookups!$E$114,ADRYr2!$AN26,0)))))</f>
        <v/>
      </c>
      <c r="AJ26" s="45" t="str">
        <f t="shared" si="25"/>
        <v/>
      </c>
      <c r="AK26" s="45">
        <f>IF($G26="",0,AI26*ADRYr2!$P26)</f>
        <v>0</v>
      </c>
      <c r="AL26" s="45" t="str">
        <f t="shared" si="26"/>
        <v/>
      </c>
      <c r="AM26" s="45" t="str">
        <f>IF($G26="","",$G26*ADRYr2!$Q26*ADRYr2!$U26*(IF(ADRYr2!$AI26=Lookups!$E$113,ADRYr2!$AJ26,IF(ADRYr2!$AK26=Lookups!$E$113,ADRYr2!$AL26,IF(ADRYr2!$AM26=Lookups!$E$113,ADRYr2!$AN26,0)))))</f>
        <v/>
      </c>
      <c r="AN26" s="45" t="str">
        <f t="shared" si="27"/>
        <v/>
      </c>
      <c r="AO26" s="45">
        <f>IF($G26="",0,AM26*ADRYr2!$P26)</f>
        <v>0</v>
      </c>
      <c r="AP26" s="45" t="str">
        <f t="shared" si="28"/>
        <v/>
      </c>
      <c r="AQ26" s="45" t="str">
        <f>IF($G26="","",$G26*ADRYr2!$Q26*ADRYr2!$U26*(IF(ADRYr2!$AI26=Lookups!$E$115,ADRYr2!$AJ26,IF(ADRYr2!$AK26=Lookups!$E$115,ADRYr2!$AL26,IF(ADRYr2!$AM26=Lookups!$E$115,ADRYr2!$AN26,0)))))</f>
        <v/>
      </c>
      <c r="AR26" s="45" t="str">
        <f t="shared" si="29"/>
        <v/>
      </c>
      <c r="AS26" s="45" t="str">
        <f>IF($G26="","",AQ26*ADRYr2!$P26)</f>
        <v/>
      </c>
      <c r="AT26" s="45" t="str">
        <f t="shared" si="30"/>
        <v/>
      </c>
      <c r="AU26" s="45" t="str">
        <f>IF($G26="","",$G26*ADRYr2!$Q26*ADRYr2!$U26*(IF(ADRYr2!$AI26=Lookups!$E$116,ADRYr2!$AJ26,IF(ADRYr2!$AK26=Lookups!$E$116,ADRYr2!$AL26,IF(ADRYr2!$AM26=Lookups!$E$116,ADRYr2!$AN26,0)))))</f>
        <v/>
      </c>
      <c r="AV26" s="45" t="str">
        <f t="shared" si="31"/>
        <v/>
      </c>
      <c r="AW26" s="45" t="str">
        <f>IF($G26="","",AU26*ADRYr2!$P26)</f>
        <v/>
      </c>
      <c r="AX26" s="45" t="str">
        <f t="shared" si="32"/>
        <v/>
      </c>
      <c r="AY26" s="45">
        <f t="shared" si="49"/>
        <v>0</v>
      </c>
      <c r="AZ26" s="45">
        <f t="shared" si="49"/>
        <v>0</v>
      </c>
      <c r="BA26" s="101" t="str">
        <f>IF($G26="","",$G26*ADRYr2!$P26*ADRYr2!$Q26*ADRYr2!$U26*ADRYr2!AO26)</f>
        <v/>
      </c>
      <c r="BB26" s="102" t="str">
        <f>IF($G26="","",$G26*ADRYr2!$P26*ADRYr2!$Q26*ADRYr2!$U26*ADRYr2!AP26)</f>
        <v/>
      </c>
      <c r="BC26" s="100" t="str">
        <f t="shared" si="34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5"/>
        <v/>
      </c>
      <c r="BO26" s="31" t="str">
        <f t="shared" si="35"/>
        <v/>
      </c>
      <c r="BP26" s="1129" t="str">
        <f t="shared" si="6"/>
        <v/>
      </c>
      <c r="BQ26" s="28" t="str">
        <f t="shared" si="7"/>
        <v/>
      </c>
      <c r="BR26" s="1129" t="str">
        <f t="shared" si="8"/>
        <v/>
      </c>
      <c r="BS26" s="1129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6"/>
        <v/>
      </c>
      <c r="BX26" s="29" t="str">
        <f t="shared" si="37"/>
        <v/>
      </c>
      <c r="BY26" s="28" t="str">
        <f>IF($G26="","",$G26*(IF(ADRYr2!$AI26=BY$4,ADRYr2!$AJ26,IF(ADRYr2!$AK26=BY$4,ADRYr2!$AL26,IF(ADRYr2!$AM26=BY$4,ADRYr2!$AN26,0))))*(INDEX(avoidedcosttbl2,$H26,BY$2)+(($H26-ROUNDDOWN($H26,0))*(INDEX(avoidedcosttbl2,ROUNDUP($H26,0),BY$2)-(INDEX(avoidedcosttbl2,ROUNDDOWN($H26,0),BY$2)))))*ADRYr2!P26*ADRYr2!Q26*ADRYr2!U26)</f>
        <v/>
      </c>
      <c r="BZ26" s="28" t="str">
        <f>IF($G26="","",$G26*(IF(ADRYr2!$AI26=BZ$4,ADRYr2!$AJ26,IF(ADRYr2!$AK26=BZ$4,ADRYr2!$AL26,IF(ADRYr2!$AM26=BZ$4,ADRYr2!$AN26,0))))*(INDEX(avoidedcosttbl2,$H26,BZ$2)+(($H26-ROUNDDOWN($H26,0))*(INDEX(avoidedcosttbl2,ROUNDUP($H26,0),BZ$2)-(INDEX(avoidedcosttbl2,ROUNDDOWN($H26,0),BZ$2)))))*ADRYr2!P26*ADRYr2!Q26*ADRYr2!U26)</f>
        <v/>
      </c>
      <c r="CA26" s="28" t="str">
        <f>IF($G26="","",$G26*(IF(ADRYr2!$AI26=CA$4,ADRYr2!$AJ26,IF(ADRYr2!$AK26=CA$4,ADRYr2!$AL26,IF(ADRYr2!$AM26=CA$4,ADRYr2!$AN26,0))))*(INDEX(avoidedcosttbl2,$H26,CA$2)+(($H26-ROUNDDOWN($H26,0))*(INDEX(avoidedcosttbl2,ROUNDUP($H26,0),CA$2)-(INDEX(avoidedcosttbl2,ROUNDDOWN($H26,0),CA$2)))))*ADRYr2!P26*ADRYr2!Q26*ADRYr2!U26)</f>
        <v/>
      </c>
      <c r="CB26" s="28" t="str">
        <f>IF($G26="","",$G26*(IF(ADRYr2!$AI26=CB$4,ADRYr2!$AJ26,IF(ADRYr2!$AK26=CB$4,ADRYr2!$AL26,IF(ADRYr2!$AM26=CB$4,ADRYr2!$AN26,0))))*(INDEX(avoidedcosttbl2,$H26,CB$2)+(($H26-ROUNDDOWN($H26,0))*(INDEX(avoidedcosttbl2,ROUNDUP($H26,0),CB$2)-(INDEX(avoidedcosttbl2,ROUNDDOWN($H26,0),CB$2)))))*ADRYr2!P26*ADRYr2!Q26*ADRYr2!U26)</f>
        <v/>
      </c>
      <c r="CC26" s="28" t="str">
        <f>IF($G26="","",$G26*(IF(ADRYr2!$AI26=CC$4,ADRYr2!$AJ26,IF(ADRYr2!$AK26=CC$4,ADRYr2!$AL26,IF(ADRYr2!$AM26=CC$4,ADRYr2!$AN26,0))))*(INDEX(avoidedcosttbl2,$H26,CC$2)+(($H26-ROUNDDOWN($H26,0))*(INDEX(avoidedcosttbl2,ROUNDUP($H26,0),CC$2)-(INDEX(avoidedcosttbl2,ROUNDDOWN($H26,0),CC$2)))))*ADRYr2!P26*ADRYr2!Q26*ADRYr2!U26)</f>
        <v/>
      </c>
      <c r="CD26" s="28" t="str">
        <f>IF($G26="","",$G26*(IF(ADRYr2!$AI26=CD$4,ADRYr2!$AJ26,IF(ADRYr2!$AK26=CD$4,ADRYr2!$AL26,IF(ADRYr2!$AM26=CD$4,ADRYr2!$AN26,0))))*(INDEX(avoidedcosttbl2,$H26,CD$2)+(($H26-ROUNDDOWN($H26,0))*(INDEX(avoidedcosttbl2,ROUNDUP($H26,0),CD$2)-(INDEX(avoidedcosttbl2,ROUNDDOWN($H26,0),CD$2)))))*ADRYr2!P26*ADRYr2!Q26*ADRYr2!U26)</f>
        <v/>
      </c>
      <c r="CE26" s="28" t="str">
        <f>IF($G26="","",$G26*(IF(ADRYr2!$AI26=CE$4,ADRYr2!$AJ26,IF(ADRYr2!$AK26=CE$4,ADRYr2!$AL26,IF(ADRYr2!$AM26=CE$4,ADRYr2!$AN26,0))))*(INDEX(avoidedcosttbl2,$H26,CE$2)+(($H26-ROUNDDOWN($H26,0))*(INDEX(avoidedcosttbl2,ROUNDUP($H26,0),CE$2)-(INDEX(avoidedcosttbl2,ROUNDDOWN($H26,0),CE$2)))))*ADRYr2!P26*ADRYr2!Q26*ADRYr2!U26)</f>
        <v/>
      </c>
      <c r="CF26" s="41" t="str">
        <f t="shared" si="38"/>
        <v/>
      </c>
      <c r="CG26" s="30" t="str">
        <f t="shared" si="11"/>
        <v/>
      </c>
      <c r="CH26" s="30" t="str">
        <f>IF($G26="","",$G26*(IF(ADRYr2!$AI26=BY$4,ADRYr2!$AJ26,IF(ADRYr2!$AK26=BY$4,ADRYr2!$AL26,IF(ADRYr2!$AM26=BY$4,ADRYr2!$AN26,0))))*(INDEX(avoidedcosttbl2,$H26,CH$2)+(($H26-ROUNDDOWN($H26,0))*(INDEX(avoidedcosttbl2,ROUNDUP($H26,0),CH$2)-(INDEX(avoidedcosttbl2,ROUNDDOWN($H26,0),CH$2)))))*ADRYr2!P26*ADRYr2!Q26*ADRYr2!U26)</f>
        <v/>
      </c>
      <c r="CI26" s="30" t="str">
        <f>IF($G26="","",$G26*(IF(ADRYr2!$AI26=BZ$4,ADRYr2!$AJ26,IF(ADRYr2!$AK26=BZ$4,ADRYr2!$AL26,IF(ADRYr2!$AM26=BZ$4,ADRYr2!$AN26,0))))*(INDEX(avoidedcosttbl2,$H26,CI$2)+(($H26-ROUNDDOWN($H26,0))*(INDEX(avoidedcosttbl2,ROUNDUP($H26,0),CI$2)-(INDEX(avoidedcosttbl2,ROUNDDOWN($H26,0),CI$2)))))*ADRYr2!P26*ADRYr2!Q26*ADRYr2!U26)</f>
        <v/>
      </c>
      <c r="CJ26" s="30" t="str">
        <f>IF($G26="","",$G26*(IF(ADRYr2!$AI26=CA$4,ADRYr2!$AJ26,IF(ADRYr2!$AK26=CA$4,ADRYr2!$AL26,IF(ADRYr2!$AM26=CA$4,ADRYr2!$AN26,0))))*(INDEX(avoidedcosttbl2,$H26,CJ$2)+(($H26-ROUNDDOWN($H26,0))*(INDEX(avoidedcosttbl2,ROUNDUP($H26,0),CJ$2)-(INDEX(avoidedcosttbl2,ROUNDDOWN($H26,0),CJ$2)))))*ADRYr2!P26*ADRYr2!Q26*ADRYr2!U26)</f>
        <v/>
      </c>
      <c r="CK26" s="30" t="str">
        <f>IF($G26="","",$G26*(IF(ADRYr2!$AI26=CB$4,ADRYr2!$AJ26,IF(ADRYr2!$AK26=CB$4,ADRYr2!$AL26,IF(ADRYr2!$AM26=CB$4,ADRYr2!$AN26,0))))*(INDEX(avoidedcosttbl2,$H26,CK$2)+(($H26-ROUNDDOWN($H26,0))*(INDEX(avoidedcosttbl2,ROUNDUP($H26,0),CK$2)-(INDEX(avoidedcosttbl2,ROUNDDOWN($H26,0),CK$2)))))*ADRYr2!P26*ADRYr2!Q26*ADRYr2!U26)</f>
        <v/>
      </c>
      <c r="CL26" s="30" t="str">
        <f>IF($G26="","",$G26*(IF(ADRYr2!$AI26=CC$4,ADRYr2!$AJ26,IF(ADRYr2!$AK26=CC$4,ADRYr2!$AL26,IF(ADRYr2!$AM26=CC$4,ADRYr2!$AN26,0))))*(INDEX(avoidedcosttbl2,$H26,CL$2)+(($H26-ROUNDDOWN($H26,0))*(INDEX(avoidedcosttbl2,ROUNDUP($H26,0),CL$2)-(INDEX(avoidedcosttbl2,ROUNDDOWN($H26,0),CL$2)))))*ADRYr2!P26*ADRYr2!Q26*ADRYr2!U26)</f>
        <v/>
      </c>
      <c r="CM26" s="30" t="str">
        <f>IF($G26="","",$G26*(IF(ADRYr2!$AI26=CD$4,ADRYr2!$AJ26,IF(ADRYr2!$AK26=CD$4,ADRYr2!$AL26,IF(ADRYr2!$AM26=CD$4,ADRYr2!$AN26,0))))*(INDEX(avoidedcosttbl2,$H26,CM$2)+(($H26-ROUNDDOWN($H26,0))*(INDEX(avoidedcosttbl2,ROUNDUP($H26,0),CM$2)-(INDEX(avoidedcosttbl2,ROUNDDOWN($H26,0),CM$2)))))*ADRYr2!P26*ADRYr2!Q26*ADRYr2!U26)</f>
        <v/>
      </c>
      <c r="CN26" s="30" t="str">
        <f>IF($G26="","",$G26*(IF(ADRYr2!$AI26=CE$4,ADRYr2!$AJ26,IF(ADRYr2!$AK26=CE$4,ADRYr2!$AL26,IF(ADRYr2!$AM26=CE$4,ADRYr2!$AN26,0))))*(INDEX(avoidedcosttbl2,$H26,CN$2)+(($H26-ROUNDDOWN($H26,0))*(INDEX(avoidedcosttbl2,ROUNDUP($H26,0),CN$2)-(INDEX(avoidedcosttbl2,ROUNDDOWN($H26,0),CN$2)))))*ADRYr2!P26*ADRYr2!Q26*ADRYr2!U26)</f>
        <v/>
      </c>
      <c r="CO26" s="220" t="str">
        <f t="shared" si="39"/>
        <v/>
      </c>
      <c r="CP26" s="220" t="str">
        <f t="shared" si="40"/>
        <v/>
      </c>
      <c r="CQ26" s="157" t="str">
        <f>IF($G26="","",$G26*(IF(ADRYr2!$AI26=CQ$4,ADRYr2!$AJ26,IF(ADRYr2!$AK26=CQ$4,ADRYr2!$AL26,IF(ADRYr2!$AM26=CQ$4,ADRYr2!$AN26,0))))*(INDEX(avoidedcosttbl2,$H26,CQ$2)+(($H26-ROUNDDOWN($H26,0))*(INDEX(avoidedcosttbl2,ROUNDUP($H26,0),CQ$2)-(INDEX(avoidedcosttbl2,ROUNDDOWN($H26,0),CQ$2)))))*ADRYr2!$P26*ADRYr2!$Q26*ADRYr2!$U26)</f>
        <v/>
      </c>
      <c r="CR26" s="28" t="str">
        <f>IF($G26="","",G26*(IF(ADRYr2!$AI26=CR$4,ADRYr2!$AJ26,IF(ADRYr2!$AK26=CR$4,ADRYr2!$AL26,IF(ADRYr2!$AM26=CR$4,ADRYr2!$AN26,0))))*(INDEX(avoidedcosttbl2,$H26,CR$2)+(($H26-ROUNDDOWN($H26,0))*(INDEX(avoidedcosttbl2,ROUNDUP($H26,0),CR$2)-(INDEX(avoidedcosttbl2,ROUNDDOWN($H26,0),CR$2)))))*ADRYr2!$P26*ADRYr2!$Q26*ADRYr2!$U26)</f>
        <v/>
      </c>
      <c r="CS26" s="28" t="str">
        <f>IF($G26="","",G26*(IF(ADRYr2!$AI26=CS$4,ADRYr2!$AJ26,IF(ADRYr2!$AK26=CS$4,ADRYr2!$AL26,IF(ADRYr2!$AM26=CS$4,ADRYr2!$AN26,0))))*(INDEX(avoidedcosttbl2,$H26,CS$2)+(($H26-ROUNDDOWN($H26,0))*(INDEX(avoidedcosttbl2,ROUNDUP($H26,0),CS$2)-(INDEX(avoidedcosttbl2,ROUNDDOWN($H26,0),CS$2)))))*ADRYr2!$P26*ADRYr2!$Q26*ADRYr2!$U26)</f>
        <v/>
      </c>
      <c r="CT26" s="28" t="str">
        <f t="shared" si="12"/>
        <v/>
      </c>
      <c r="CU26" s="28" t="str">
        <f>IF($G26="","",G26*(IF(ADRYr2!$AI26=CU$4,ADRYr2!$AJ26,IF(ADRYr2!$AK26=CU$4,ADRYr2!$AL26,IF(ADRYr2!$AM26=CU$4,ADRYr2!$AN26,0))))*(INDEX(avoidedcosttbl2,$H26,CU$2)+(($H26-ROUNDDOWN($H26,0))*(INDEX(avoidedcosttbl2,ROUNDUP($H26,0),CU$2)-(INDEX(avoidedcosttbl2,ROUNDDOWN($H26,0),CU$2)))))*ADRYr2!$P26*ADRYr2!$Q26*ADRYr2!$U26)</f>
        <v/>
      </c>
      <c r="CV26" s="28" t="str">
        <f>IF($G26="","",G26*(IF(ADRYr2!$AI26=CV$4,ADRYr2!$AJ26,IF(ADRYr2!$AK26=CV$4,ADRYr2!$AL26,IF(ADRYr2!$AM26=CV$4,ADRYr2!$AN26,0))))*(INDEX(avoidedcosttbl2,$H26,CV$2)+(($H26-ROUNDDOWN($H26,0))*(INDEX(avoidedcosttbl2,ROUNDUP($H26,0),CV$2)-(INDEX(avoidedcosttbl2,ROUNDDOWN($H26,0),CV$2)))))*ADRYr2!$P26*ADRYr2!$Q26*ADRYr2!$U26)</f>
        <v/>
      </c>
      <c r="CW26" s="28" t="str">
        <f>IF($G26="","",G26*(IF(ADRYr2!$AI26=CW$4,ADRYr2!$AJ26,IF(ADRYr2!$AK26=CW$4,ADRYr2!$AL26,IF(ADRYr2!$AM26=CW$4,ADRYr2!$AN26,0))))*(INDEX(avoidedcosttbl2,$H26,CW$2)+(($H26-ROUNDDOWN($H26,0))*(INDEX(avoidedcosttbl2,ROUNDUP($H26,0),CW$2)-(INDEX(avoidedcosttbl2,ROUNDDOWN($H26,0),CW$2)))))*ADRYr2!$P26*ADRYr2!$Q26*ADRYr2!$U26)</f>
        <v/>
      </c>
      <c r="CX26" s="28" t="str">
        <f>IF($G26="","",G26*(IF(ADRYr2!$AI26=CX$4,ADRYr2!$AJ26,IF(ADRYr2!$AK26=CX$4,ADRYr2!$AL26,IF(ADRYr2!$AM26=CX$4,ADRYr2!$AN26,0))))*(INDEX(avoidedcosttbl2,$H26,CX$2)+(($H26-ROUNDDOWN($H26,0))*(INDEX(avoidedcosttbl2,ROUNDUP($H26,0),CX$2)-(INDEX(avoidedcosttbl2,ROUNDDOWN($H26,0),CX$2)))))*ADRYr2!$P26*ADRYr2!$Q26*ADRYr2!$U26)</f>
        <v/>
      </c>
      <c r="CY26" s="28" t="str">
        <f t="shared" si="13"/>
        <v/>
      </c>
      <c r="CZ26" s="32" t="str">
        <f t="shared" si="14"/>
        <v/>
      </c>
      <c r="DA26" s="84" t="str">
        <f t="shared" si="41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15"/>
        <v/>
      </c>
      <c r="DD26" s="166" t="str">
        <f t="shared" si="16"/>
        <v/>
      </c>
      <c r="DE26" s="82">
        <f t="shared" si="42"/>
        <v>0</v>
      </c>
      <c r="DF26" s="760" t="str">
        <f>IF($G26="","",(1+WntPeakEnergyLL)*(INDEX(avoidedcosttbl2,$H26,DF$2)+(($H26-ROUNDDOWN($H26,0))*(INDEX(avoidedcosttbl2,ROUNDUP($H26,0),DF$2)-(INDEX(avoidedcosttbl2,ROUNDDOWN($H26,0),DF$2)))))*$P26*1000*ADRYr2!Z26)</f>
        <v/>
      </c>
      <c r="DG26" s="760" t="str">
        <f>IF($G26="","",(1+WntOffPeakEnergyLL)*(INDEX(avoidedcosttbl2,$H26,DG$2)+(($H26-ROUNDDOWN($H26,0))*(INDEX(avoidedcosttbl2,ROUNDUP($H26,0),DG$2)-(INDEX(avoidedcosttbl2,ROUNDDOWN($H26,0),DG$2)))))*$P26*1000*ADRYr2!AA26)</f>
        <v/>
      </c>
      <c r="DH26" s="760" t="str">
        <f>IF($G26="","",(1+SumPeakEnergyLL)*(INDEX(avoidedcosttbl2,$H26,DH$2)+(($H26-ROUNDDOWN($H26,0))*(INDEX(avoidedcosttbl2,ROUNDUP($H26,0),DH$2)-(INDEX(avoidedcosttbl2,ROUNDDOWN($H26,0),DH$2)))))*$P26*1000*ADRYr2!AB26)</f>
        <v/>
      </c>
      <c r="DI26" s="760" t="str">
        <f>IF($G26="","",(1+SumOffPeakEnergyLL)*(INDEX(avoidedcosttbl2,$H26,DI$2)+(($H26-ROUNDDOWN($H26,0))*(INDEX(avoidedcosttbl2,ROUNDUP($H26,0),DI$2)-(INDEX(avoidedcosttbl2,ROUNDDOWN($H26,0),DI$2)))))*$P26*1000*ADRYr2!AC26)</f>
        <v/>
      </c>
      <c r="DJ26" s="29" t="str">
        <f t="shared" si="43"/>
        <v/>
      </c>
      <c r="DK26" s="161" t="str">
        <f t="shared" si="44"/>
        <v/>
      </c>
      <c r="DL26" s="1375" t="str">
        <f t="shared" si="45"/>
        <v/>
      </c>
      <c r="DM26" s="1375" t="str">
        <f t="shared" si="46"/>
        <v/>
      </c>
      <c r="DN26" s="43" t="str">
        <f t="shared" si="47"/>
        <v/>
      </c>
      <c r="DO26" s="1131" t="str">
        <f>IF($G26="","",ADRYr2!AQ26)</f>
        <v/>
      </c>
      <c r="DP26" s="1133" t="str">
        <f>IF($G26="","",ADRYr2!AR26)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48"/>
        <v/>
      </c>
      <c r="DU26" s="1135" t="str">
        <f>IF($G26="","",ADRYr2!AS26)</f>
        <v/>
      </c>
      <c r="DV26" s="1136" t="str">
        <f>IF($G26="","",ADRYr2!AT26)</f>
        <v/>
      </c>
      <c r="DW26" s="1344" t="str">
        <f>IF($G26="","",INDEX(AvoidedEnergy!$H$4:$H$10,MATCH($DO26,AvoidedEnergy!$A$4:$A$10,0)))</f>
        <v/>
      </c>
    </row>
    <row r="27" spans="1:127">
      <c r="A27" s="160" t="str">
        <f>IF(ADRYr2!$B27=0,"",ADRYr2!A27)</f>
        <v>B - Low-Income</v>
      </c>
      <c r="B27" s="9" t="str">
        <f>IF(ADRYr2!$B27=0,"",ADRYr2!B27)</f>
        <v>Home Energy Assistance</v>
      </c>
      <c r="C27" s="9" t="str">
        <f>IF(ADRYr2!$B27=0,"",ADRYr2!C27)</f>
        <v>Res Demand Response</v>
      </c>
      <c r="D27" s="9" t="str">
        <f>IF(ADRYr2!$B27=0,"",ADRYr2!D27)</f>
        <v>EV Load Management Summer</v>
      </c>
      <c r="E27" s="9">
        <f>IF(ADRYr2!$B27=0,"",ADRYr2!E27)</f>
        <v>0</v>
      </c>
      <c r="F27" s="11" t="str">
        <f>IF(ADRYr2!$B27=0,"",ADRYr2!F27)</f>
        <v>Behavior</v>
      </c>
      <c r="G27" s="12" t="str">
        <f>IF(ADRYr2!$G27&lt;&gt;0,ADRYr2!G27,"")</f>
        <v/>
      </c>
      <c r="H27" s="1125" t="str">
        <f>IF($G27="","",ROUND(ADRYr2!H27,0))</f>
        <v/>
      </c>
      <c r="I27" s="47" t="str">
        <f>IF($G27="","",ADRYr2!I27*ADRYr2!P27*G27)</f>
        <v/>
      </c>
      <c r="J27" s="47" t="str">
        <f>IF($G27="","",ADRYr2!J27*G27)</f>
        <v/>
      </c>
      <c r="K27" s="47" t="str">
        <f t="shared" si="17"/>
        <v/>
      </c>
      <c r="L27" s="27" t="str">
        <f>IF($G27="","",ADRYr2!V27*G27/1000)</f>
        <v/>
      </c>
      <c r="M27" s="27" t="str">
        <f>IF($G27="","",L27*ADRYr2!$Q27*ADRYr2!$R27)</f>
        <v/>
      </c>
      <c r="N27" s="27" t="str">
        <f t="shared" si="18"/>
        <v/>
      </c>
      <c r="O27" s="27" t="str">
        <f t="shared" si="19"/>
        <v/>
      </c>
      <c r="P27" s="27" t="str">
        <f>IF($G27="","",M27*ADRYr2!P27)</f>
        <v/>
      </c>
      <c r="Q27" s="27" t="str">
        <f t="shared" si="20"/>
        <v/>
      </c>
      <c r="R27" s="27" t="str">
        <f>IF($G27="","",$Q27*ADRYr2!Z27)</f>
        <v/>
      </c>
      <c r="S27" s="27" t="str">
        <f>IF($G27="","",$Q27*ADRYr2!AA27)</f>
        <v/>
      </c>
      <c r="T27" s="27" t="str">
        <f>IF($G27="","",$Q27*ADRYr2!AB27)</f>
        <v/>
      </c>
      <c r="U27" s="27" t="str">
        <f>IF($G27="","",$Q27*ADRYr2!AC27)</f>
        <v/>
      </c>
      <c r="V27" s="27" t="str">
        <f>IF($G27="","",G27*ADRYr2!$AD27*ADRYr2!$P27*ADRYr2!$Q27)</f>
        <v/>
      </c>
      <c r="W27" s="27" t="str">
        <f>IF($G27="","",$G27*ADRYr2!$AD27*ADRYr2!$AF27*ADRYr2!Q27*ADRYr2!$S27)</f>
        <v/>
      </c>
      <c r="X27" s="27" t="str">
        <f>IF($G27="","",$G27*ADRYr2!$AD27*ADRYr2!$AF27*ADRYr2!P27*ADRYr2!Q27*ADRYr2!$S27)</f>
        <v/>
      </c>
      <c r="Y27" s="27" t="str">
        <f>IF($G27="","",$G27*ADRYr2!$AD27*ADRYr2!$AE27*ADRYr2!Q27*ADRYr2!$T27)</f>
        <v/>
      </c>
      <c r="Z27" s="27" t="str">
        <f>IF($G27="","",$G27*ADRYr2!$AD27*ADRYr2!$AE27*ADRYr2!P27*ADRYr2!Q27*ADRYr2!$T27)</f>
        <v/>
      </c>
      <c r="AA27" s="45" t="str">
        <f>IF($G27="","",$G27*ADRYr2!$Q27*ADRYr2!$U27*(IF(IFERROR(SEARCH("NG", ADRYr2!$AI27),0),ADRYr2!$AJ27,0)+IF(IFERROR(SEARCH("NG", ADRYr2!$AK27),0),ADRYr2!$AL27,0)+IF(IFERROR(SEARCH("NG", ADRYr2!$AM27),0),ADRYr2!$AN27,0)))</f>
        <v/>
      </c>
      <c r="AB27" s="45" t="str">
        <f t="shared" si="21"/>
        <v/>
      </c>
      <c r="AC27" s="45">
        <f>IF($G27="",0,AA27*ADRYr2!$P27)</f>
        <v>0</v>
      </c>
      <c r="AD27" s="45" t="str">
        <f t="shared" si="22"/>
        <v/>
      </c>
      <c r="AE27" s="45" t="str">
        <f>IF($G27="","",$G27*ADRYr2!$Q27*ADRYr2!$U27*(IF(IFERROR(SEARCH("Oil", ADRYr2!$AI27), 0),ADRYr2!$AJ27,0)+IF(IFERROR(SEARCH("Oil", ADRYr2!$AK27), 0),ADRYr2!$AL27,0)+IF(IFERROR(SEARCH("Oil", ADRYr2!$AM27), 0),ADRYr2!$AN27,0)))</f>
        <v/>
      </c>
      <c r="AF27" s="45" t="str">
        <f t="shared" si="23"/>
        <v/>
      </c>
      <c r="AG27" s="45">
        <f>IF($G27="",0,AE27*ADRYr2!$P27)</f>
        <v>0</v>
      </c>
      <c r="AH27" s="45" t="str">
        <f t="shared" si="24"/>
        <v/>
      </c>
      <c r="AI27" s="45" t="str">
        <f>IF($G27="","",$G27*ADRYr2!$Q27*ADRYr2!$U27*(IF(ADRYr2!$AI27=Lookups!$E$114,ADRYr2!$AJ27,IF(ADRYr2!$AK27=Lookups!$E$114,ADRYr2!$AL27,IF(ADRYr2!$AM27=Lookups!$E$114,ADRYr2!$AN27,0)))))</f>
        <v/>
      </c>
      <c r="AJ27" s="45" t="str">
        <f t="shared" si="25"/>
        <v/>
      </c>
      <c r="AK27" s="45">
        <f>IF($G27="",0,AI27*ADRYr2!$P27)</f>
        <v>0</v>
      </c>
      <c r="AL27" s="45" t="str">
        <f t="shared" si="26"/>
        <v/>
      </c>
      <c r="AM27" s="45" t="str">
        <f>IF($G27="","",$G27*ADRYr2!$Q27*ADRYr2!$U27*(IF(ADRYr2!$AI27=Lookups!$E$113,ADRYr2!$AJ27,IF(ADRYr2!$AK27=Lookups!$E$113,ADRYr2!$AL27,IF(ADRYr2!$AM27=Lookups!$E$113,ADRYr2!$AN27,0)))))</f>
        <v/>
      </c>
      <c r="AN27" s="45" t="str">
        <f t="shared" si="27"/>
        <v/>
      </c>
      <c r="AO27" s="45">
        <f>IF($G27="",0,AM27*ADRYr2!$P27)</f>
        <v>0</v>
      </c>
      <c r="AP27" s="45" t="str">
        <f t="shared" si="28"/>
        <v/>
      </c>
      <c r="AQ27" s="45" t="str">
        <f>IF($G27="","",$G27*ADRYr2!$Q27*ADRYr2!$U27*(IF(ADRYr2!$AI27=Lookups!$E$115,ADRYr2!$AJ27,IF(ADRYr2!$AK27=Lookups!$E$115,ADRYr2!$AL27,IF(ADRYr2!$AM27=Lookups!$E$115,ADRYr2!$AN27,0)))))</f>
        <v/>
      </c>
      <c r="AR27" s="45" t="str">
        <f t="shared" si="29"/>
        <v/>
      </c>
      <c r="AS27" s="45" t="str">
        <f>IF($G27="","",AQ27*ADRYr2!$P27)</f>
        <v/>
      </c>
      <c r="AT27" s="45" t="str">
        <f t="shared" si="30"/>
        <v/>
      </c>
      <c r="AU27" s="45" t="str">
        <f>IF($G27="","",$G27*ADRYr2!$Q27*ADRYr2!$U27*(IF(ADRYr2!$AI27=Lookups!$E$116,ADRYr2!$AJ27,IF(ADRYr2!$AK27=Lookups!$E$116,ADRYr2!$AL27,IF(ADRYr2!$AM27=Lookups!$E$116,ADRYr2!$AN27,0)))))</f>
        <v/>
      </c>
      <c r="AV27" s="45" t="str">
        <f t="shared" si="31"/>
        <v/>
      </c>
      <c r="AW27" s="45" t="str">
        <f>IF($G27="","",AU27*ADRYr2!$P27)</f>
        <v/>
      </c>
      <c r="AX27" s="45" t="str">
        <f t="shared" si="32"/>
        <v/>
      </c>
      <c r="AY27" s="45">
        <f t="shared" si="49"/>
        <v>0</v>
      </c>
      <c r="AZ27" s="45">
        <f t="shared" si="49"/>
        <v>0</v>
      </c>
      <c r="BA27" s="101" t="str">
        <f>IF($G27="","",$G27*ADRYr2!$P27*ADRYr2!$Q27*ADRYr2!$U27*ADRYr2!AO27)</f>
        <v/>
      </c>
      <c r="BB27" s="102" t="str">
        <f>IF($G27="","",$G27*ADRYr2!$P27*ADRYr2!$Q27*ADRYr2!$U27*ADRYr2!AP27)</f>
        <v/>
      </c>
      <c r="BC27" s="100" t="str">
        <f t="shared" si="34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5"/>
        <v/>
      </c>
      <c r="BO27" s="31" t="str">
        <f t="shared" si="35"/>
        <v/>
      </c>
      <c r="BP27" s="1129" t="str">
        <f t="shared" si="6"/>
        <v/>
      </c>
      <c r="BQ27" s="28" t="str">
        <f t="shared" si="7"/>
        <v/>
      </c>
      <c r="BR27" s="1129" t="str">
        <f t="shared" si="8"/>
        <v/>
      </c>
      <c r="BS27" s="1129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6"/>
        <v/>
      </c>
      <c r="BX27" s="29" t="str">
        <f t="shared" si="37"/>
        <v/>
      </c>
      <c r="BY27" s="28" t="str">
        <f>IF($G27="","",$G27*(IF(ADRYr2!$AI27=BY$4,ADRYr2!$AJ27,IF(ADRYr2!$AK27=BY$4,ADRYr2!$AL27,IF(ADRYr2!$AM27=BY$4,ADRYr2!$AN27,0))))*(INDEX(avoidedcosttbl2,$H27,BY$2)+(($H27-ROUNDDOWN($H27,0))*(INDEX(avoidedcosttbl2,ROUNDUP($H27,0),BY$2)-(INDEX(avoidedcosttbl2,ROUNDDOWN($H27,0),BY$2)))))*ADRYr2!P27*ADRYr2!Q27*ADRYr2!U27)</f>
        <v/>
      </c>
      <c r="BZ27" s="28" t="str">
        <f>IF($G27="","",$G27*(IF(ADRYr2!$AI27=BZ$4,ADRYr2!$AJ27,IF(ADRYr2!$AK27=BZ$4,ADRYr2!$AL27,IF(ADRYr2!$AM27=BZ$4,ADRYr2!$AN27,0))))*(INDEX(avoidedcosttbl2,$H27,BZ$2)+(($H27-ROUNDDOWN($H27,0))*(INDEX(avoidedcosttbl2,ROUNDUP($H27,0),BZ$2)-(INDEX(avoidedcosttbl2,ROUNDDOWN($H27,0),BZ$2)))))*ADRYr2!P27*ADRYr2!Q27*ADRYr2!U27)</f>
        <v/>
      </c>
      <c r="CA27" s="28" t="str">
        <f>IF($G27="","",$G27*(IF(ADRYr2!$AI27=CA$4,ADRYr2!$AJ27,IF(ADRYr2!$AK27=CA$4,ADRYr2!$AL27,IF(ADRYr2!$AM27=CA$4,ADRYr2!$AN27,0))))*(INDEX(avoidedcosttbl2,$H27,CA$2)+(($H27-ROUNDDOWN($H27,0))*(INDEX(avoidedcosttbl2,ROUNDUP($H27,0),CA$2)-(INDEX(avoidedcosttbl2,ROUNDDOWN($H27,0),CA$2)))))*ADRYr2!P27*ADRYr2!Q27*ADRYr2!U27)</f>
        <v/>
      </c>
      <c r="CB27" s="28" t="str">
        <f>IF($G27="","",$G27*(IF(ADRYr2!$AI27=CB$4,ADRYr2!$AJ27,IF(ADRYr2!$AK27=CB$4,ADRYr2!$AL27,IF(ADRYr2!$AM27=CB$4,ADRYr2!$AN27,0))))*(INDEX(avoidedcosttbl2,$H27,CB$2)+(($H27-ROUNDDOWN($H27,0))*(INDEX(avoidedcosttbl2,ROUNDUP($H27,0),CB$2)-(INDEX(avoidedcosttbl2,ROUNDDOWN($H27,0),CB$2)))))*ADRYr2!P27*ADRYr2!Q27*ADRYr2!U27)</f>
        <v/>
      </c>
      <c r="CC27" s="28" t="str">
        <f>IF($G27="","",$G27*(IF(ADRYr2!$AI27=CC$4,ADRYr2!$AJ27,IF(ADRYr2!$AK27=CC$4,ADRYr2!$AL27,IF(ADRYr2!$AM27=CC$4,ADRYr2!$AN27,0))))*(INDEX(avoidedcosttbl2,$H27,CC$2)+(($H27-ROUNDDOWN($H27,0))*(INDEX(avoidedcosttbl2,ROUNDUP($H27,0),CC$2)-(INDEX(avoidedcosttbl2,ROUNDDOWN($H27,0),CC$2)))))*ADRYr2!P27*ADRYr2!Q27*ADRYr2!U27)</f>
        <v/>
      </c>
      <c r="CD27" s="28" t="str">
        <f>IF($G27="","",$G27*(IF(ADRYr2!$AI27=CD$4,ADRYr2!$AJ27,IF(ADRYr2!$AK27=CD$4,ADRYr2!$AL27,IF(ADRYr2!$AM27=CD$4,ADRYr2!$AN27,0))))*(INDEX(avoidedcosttbl2,$H27,CD$2)+(($H27-ROUNDDOWN($H27,0))*(INDEX(avoidedcosttbl2,ROUNDUP($H27,0),CD$2)-(INDEX(avoidedcosttbl2,ROUNDDOWN($H27,0),CD$2)))))*ADRYr2!P27*ADRYr2!Q27*ADRYr2!U27)</f>
        <v/>
      </c>
      <c r="CE27" s="28" t="str">
        <f>IF($G27="","",$G27*(IF(ADRYr2!$AI27=CE$4,ADRYr2!$AJ27,IF(ADRYr2!$AK27=CE$4,ADRYr2!$AL27,IF(ADRYr2!$AM27=CE$4,ADRYr2!$AN27,0))))*(INDEX(avoidedcosttbl2,$H27,CE$2)+(($H27-ROUNDDOWN($H27,0))*(INDEX(avoidedcosttbl2,ROUNDUP($H27,0),CE$2)-(INDEX(avoidedcosttbl2,ROUNDDOWN($H27,0),CE$2)))))*ADRYr2!P27*ADRYr2!Q27*ADRYr2!U27)</f>
        <v/>
      </c>
      <c r="CF27" s="41" t="str">
        <f t="shared" si="38"/>
        <v/>
      </c>
      <c r="CG27" s="30" t="str">
        <f t="shared" si="11"/>
        <v/>
      </c>
      <c r="CH27" s="30" t="str">
        <f>IF($G27="","",$G27*(IF(ADRYr2!$AI27=BY$4,ADRYr2!$AJ27,IF(ADRYr2!$AK27=BY$4,ADRYr2!$AL27,IF(ADRYr2!$AM27=BY$4,ADRYr2!$AN27,0))))*(INDEX(avoidedcosttbl2,$H27,CH$2)+(($H27-ROUNDDOWN($H27,0))*(INDEX(avoidedcosttbl2,ROUNDUP($H27,0),CH$2)-(INDEX(avoidedcosttbl2,ROUNDDOWN($H27,0),CH$2)))))*ADRYr2!P27*ADRYr2!Q27*ADRYr2!U27)</f>
        <v/>
      </c>
      <c r="CI27" s="30" t="str">
        <f>IF($G27="","",$G27*(IF(ADRYr2!$AI27=BZ$4,ADRYr2!$AJ27,IF(ADRYr2!$AK27=BZ$4,ADRYr2!$AL27,IF(ADRYr2!$AM27=BZ$4,ADRYr2!$AN27,0))))*(INDEX(avoidedcosttbl2,$H27,CI$2)+(($H27-ROUNDDOWN($H27,0))*(INDEX(avoidedcosttbl2,ROUNDUP($H27,0),CI$2)-(INDEX(avoidedcosttbl2,ROUNDDOWN($H27,0),CI$2)))))*ADRYr2!P27*ADRYr2!Q27*ADRYr2!U27)</f>
        <v/>
      </c>
      <c r="CJ27" s="30" t="str">
        <f>IF($G27="","",$G27*(IF(ADRYr2!$AI27=CA$4,ADRYr2!$AJ27,IF(ADRYr2!$AK27=CA$4,ADRYr2!$AL27,IF(ADRYr2!$AM27=CA$4,ADRYr2!$AN27,0))))*(INDEX(avoidedcosttbl2,$H27,CJ$2)+(($H27-ROUNDDOWN($H27,0))*(INDEX(avoidedcosttbl2,ROUNDUP($H27,0),CJ$2)-(INDEX(avoidedcosttbl2,ROUNDDOWN($H27,0),CJ$2)))))*ADRYr2!P27*ADRYr2!Q27*ADRYr2!U27)</f>
        <v/>
      </c>
      <c r="CK27" s="30" t="str">
        <f>IF($G27="","",$G27*(IF(ADRYr2!$AI27=CB$4,ADRYr2!$AJ27,IF(ADRYr2!$AK27=CB$4,ADRYr2!$AL27,IF(ADRYr2!$AM27=CB$4,ADRYr2!$AN27,0))))*(INDEX(avoidedcosttbl2,$H27,CK$2)+(($H27-ROUNDDOWN($H27,0))*(INDEX(avoidedcosttbl2,ROUNDUP($H27,0),CK$2)-(INDEX(avoidedcosttbl2,ROUNDDOWN($H27,0),CK$2)))))*ADRYr2!P27*ADRYr2!Q27*ADRYr2!U27)</f>
        <v/>
      </c>
      <c r="CL27" s="30" t="str">
        <f>IF($G27="","",$G27*(IF(ADRYr2!$AI27=CC$4,ADRYr2!$AJ27,IF(ADRYr2!$AK27=CC$4,ADRYr2!$AL27,IF(ADRYr2!$AM27=CC$4,ADRYr2!$AN27,0))))*(INDEX(avoidedcosttbl2,$H27,CL$2)+(($H27-ROUNDDOWN($H27,0))*(INDEX(avoidedcosttbl2,ROUNDUP($H27,0),CL$2)-(INDEX(avoidedcosttbl2,ROUNDDOWN($H27,0),CL$2)))))*ADRYr2!P27*ADRYr2!Q27*ADRYr2!U27)</f>
        <v/>
      </c>
      <c r="CM27" s="30" t="str">
        <f>IF($G27="","",$G27*(IF(ADRYr2!$AI27=CD$4,ADRYr2!$AJ27,IF(ADRYr2!$AK27=CD$4,ADRYr2!$AL27,IF(ADRYr2!$AM27=CD$4,ADRYr2!$AN27,0))))*(INDEX(avoidedcosttbl2,$H27,CM$2)+(($H27-ROUNDDOWN($H27,0))*(INDEX(avoidedcosttbl2,ROUNDUP($H27,0),CM$2)-(INDEX(avoidedcosttbl2,ROUNDDOWN($H27,0),CM$2)))))*ADRYr2!P27*ADRYr2!Q27*ADRYr2!U27)</f>
        <v/>
      </c>
      <c r="CN27" s="30" t="str">
        <f>IF($G27="","",$G27*(IF(ADRYr2!$AI27=CE$4,ADRYr2!$AJ27,IF(ADRYr2!$AK27=CE$4,ADRYr2!$AL27,IF(ADRYr2!$AM27=CE$4,ADRYr2!$AN27,0))))*(INDEX(avoidedcosttbl2,$H27,CN$2)+(($H27-ROUNDDOWN($H27,0))*(INDEX(avoidedcosttbl2,ROUNDUP($H27,0),CN$2)-(INDEX(avoidedcosttbl2,ROUNDDOWN($H27,0),CN$2)))))*ADRYr2!P27*ADRYr2!Q27*ADRYr2!U27)</f>
        <v/>
      </c>
      <c r="CO27" s="220" t="str">
        <f t="shared" si="39"/>
        <v/>
      </c>
      <c r="CP27" s="220" t="str">
        <f t="shared" si="40"/>
        <v/>
      </c>
      <c r="CQ27" s="157" t="str">
        <f>IF($G27="","",$G27*(IF(ADRYr2!$AI27=CQ$4,ADRYr2!$AJ27,IF(ADRYr2!$AK27=CQ$4,ADRYr2!$AL27,IF(ADRYr2!$AM27=CQ$4,ADRYr2!$AN27,0))))*(INDEX(avoidedcosttbl2,$H27,CQ$2)+(($H27-ROUNDDOWN($H27,0))*(INDEX(avoidedcosttbl2,ROUNDUP($H27,0),CQ$2)-(INDEX(avoidedcosttbl2,ROUNDDOWN($H27,0),CQ$2)))))*ADRYr2!$P27*ADRYr2!$Q27*ADRYr2!$U27)</f>
        <v/>
      </c>
      <c r="CR27" s="28" t="str">
        <f>IF($G27="","",G27*(IF(ADRYr2!$AI27=CR$4,ADRYr2!$AJ27,IF(ADRYr2!$AK27=CR$4,ADRYr2!$AL27,IF(ADRYr2!$AM27=CR$4,ADRYr2!$AN27,0))))*(INDEX(avoidedcosttbl2,$H27,CR$2)+(($H27-ROUNDDOWN($H27,0))*(INDEX(avoidedcosttbl2,ROUNDUP($H27,0),CR$2)-(INDEX(avoidedcosttbl2,ROUNDDOWN($H27,0),CR$2)))))*ADRYr2!$P27*ADRYr2!$Q27*ADRYr2!$U27)</f>
        <v/>
      </c>
      <c r="CS27" s="28" t="str">
        <f>IF($G27="","",G27*(IF(ADRYr2!$AI27=CS$4,ADRYr2!$AJ27,IF(ADRYr2!$AK27=CS$4,ADRYr2!$AL27,IF(ADRYr2!$AM27=CS$4,ADRYr2!$AN27,0))))*(INDEX(avoidedcosttbl2,$H27,CS$2)+(($H27-ROUNDDOWN($H27,0))*(INDEX(avoidedcosttbl2,ROUNDUP($H27,0),CS$2)-(INDEX(avoidedcosttbl2,ROUNDDOWN($H27,0),CS$2)))))*ADRYr2!$P27*ADRYr2!$Q27*ADRYr2!$U27)</f>
        <v/>
      </c>
      <c r="CT27" s="28" t="str">
        <f t="shared" si="12"/>
        <v/>
      </c>
      <c r="CU27" s="28" t="str">
        <f>IF($G27="","",G27*(IF(ADRYr2!$AI27=CU$4,ADRYr2!$AJ27,IF(ADRYr2!$AK27=CU$4,ADRYr2!$AL27,IF(ADRYr2!$AM27=CU$4,ADRYr2!$AN27,0))))*(INDEX(avoidedcosttbl2,$H27,CU$2)+(($H27-ROUNDDOWN($H27,0))*(INDEX(avoidedcosttbl2,ROUNDUP($H27,0),CU$2)-(INDEX(avoidedcosttbl2,ROUNDDOWN($H27,0),CU$2)))))*ADRYr2!$P27*ADRYr2!$Q27*ADRYr2!$U27)</f>
        <v/>
      </c>
      <c r="CV27" s="28" t="str">
        <f>IF($G27="","",G27*(IF(ADRYr2!$AI27=CV$4,ADRYr2!$AJ27,IF(ADRYr2!$AK27=CV$4,ADRYr2!$AL27,IF(ADRYr2!$AM27=CV$4,ADRYr2!$AN27,0))))*(INDEX(avoidedcosttbl2,$H27,CV$2)+(($H27-ROUNDDOWN($H27,0))*(INDEX(avoidedcosttbl2,ROUNDUP($H27,0),CV$2)-(INDEX(avoidedcosttbl2,ROUNDDOWN($H27,0),CV$2)))))*ADRYr2!$P27*ADRYr2!$Q27*ADRYr2!$U27)</f>
        <v/>
      </c>
      <c r="CW27" s="28" t="str">
        <f>IF($G27="","",G27*(IF(ADRYr2!$AI27=CW$4,ADRYr2!$AJ27,IF(ADRYr2!$AK27=CW$4,ADRYr2!$AL27,IF(ADRYr2!$AM27=CW$4,ADRYr2!$AN27,0))))*(INDEX(avoidedcosttbl2,$H27,CW$2)+(($H27-ROUNDDOWN($H27,0))*(INDEX(avoidedcosttbl2,ROUNDUP($H27,0),CW$2)-(INDEX(avoidedcosttbl2,ROUNDDOWN($H27,0),CW$2)))))*ADRYr2!$P27*ADRYr2!$Q27*ADRYr2!$U27)</f>
        <v/>
      </c>
      <c r="CX27" s="28" t="str">
        <f>IF($G27="","",G27*(IF(ADRYr2!$AI27=CX$4,ADRYr2!$AJ27,IF(ADRYr2!$AK27=CX$4,ADRYr2!$AL27,IF(ADRYr2!$AM27=CX$4,ADRYr2!$AN27,0))))*(INDEX(avoidedcosttbl2,$H27,CX$2)+(($H27-ROUNDDOWN($H27,0))*(INDEX(avoidedcosttbl2,ROUNDUP($H27,0),CX$2)-(INDEX(avoidedcosttbl2,ROUNDDOWN($H27,0),CX$2)))))*ADRYr2!$P27*ADRYr2!$Q27*ADRYr2!$U27)</f>
        <v/>
      </c>
      <c r="CY27" s="28" t="str">
        <f t="shared" si="13"/>
        <v/>
      </c>
      <c r="CZ27" s="32" t="str">
        <f t="shared" si="14"/>
        <v/>
      </c>
      <c r="DA27" s="84" t="str">
        <f t="shared" si="41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15"/>
        <v/>
      </c>
      <c r="DD27" s="166" t="str">
        <f t="shared" si="16"/>
        <v/>
      </c>
      <c r="DE27" s="82">
        <f t="shared" si="42"/>
        <v>0</v>
      </c>
      <c r="DF27" s="760" t="str">
        <f>IF($G27="","",(1+WntPeakEnergyLL)*(INDEX(avoidedcosttbl2,$H27,DF$2)+(($H27-ROUNDDOWN($H27,0))*(INDEX(avoidedcosttbl2,ROUNDUP($H27,0),DF$2)-(INDEX(avoidedcosttbl2,ROUNDDOWN($H27,0),DF$2)))))*$P27*1000*ADRYr2!Z27)</f>
        <v/>
      </c>
      <c r="DG27" s="760" t="str">
        <f>IF($G27="","",(1+WntOffPeakEnergyLL)*(INDEX(avoidedcosttbl2,$H27,DG$2)+(($H27-ROUNDDOWN($H27,0))*(INDEX(avoidedcosttbl2,ROUNDUP($H27,0),DG$2)-(INDEX(avoidedcosttbl2,ROUNDDOWN($H27,0),DG$2)))))*$P27*1000*ADRYr2!AA27)</f>
        <v/>
      </c>
      <c r="DH27" s="760" t="str">
        <f>IF($G27="","",(1+SumPeakEnergyLL)*(INDEX(avoidedcosttbl2,$H27,DH$2)+(($H27-ROUNDDOWN($H27,0))*(INDEX(avoidedcosttbl2,ROUNDUP($H27,0),DH$2)-(INDEX(avoidedcosttbl2,ROUNDDOWN($H27,0),DH$2)))))*$P27*1000*ADRYr2!AB27)</f>
        <v/>
      </c>
      <c r="DI27" s="760" t="str">
        <f>IF($G27="","",(1+SumOffPeakEnergyLL)*(INDEX(avoidedcosttbl2,$H27,DI$2)+(($H27-ROUNDDOWN($H27,0))*(INDEX(avoidedcosttbl2,ROUNDUP($H27,0),DI$2)-(INDEX(avoidedcosttbl2,ROUNDDOWN($H27,0),DI$2)))))*$P27*1000*ADRYr2!AC27)</f>
        <v/>
      </c>
      <c r="DJ27" s="29" t="str">
        <f t="shared" si="43"/>
        <v/>
      </c>
      <c r="DK27" s="161" t="str">
        <f t="shared" si="44"/>
        <v/>
      </c>
      <c r="DL27" s="1375" t="str">
        <f t="shared" si="45"/>
        <v/>
      </c>
      <c r="DM27" s="1375" t="str">
        <f t="shared" si="46"/>
        <v/>
      </c>
      <c r="DN27" s="43" t="str">
        <f t="shared" si="47"/>
        <v/>
      </c>
      <c r="DO27" s="1131" t="str">
        <f>IF($G27="","",ADRYr2!AQ27)</f>
        <v/>
      </c>
      <c r="DP27" s="1133" t="str">
        <f>IF($G27="","",ADRYr2!AR27)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48"/>
        <v/>
      </c>
      <c r="DU27" s="1135" t="str">
        <f>IF($G27="","",ADRYr2!AS27)</f>
        <v/>
      </c>
      <c r="DV27" s="1136" t="str">
        <f>IF($G27="","",ADRYr2!AT27)</f>
        <v/>
      </c>
      <c r="DW27" s="1344" t="str">
        <f>IF($G27="","",INDEX(AvoidedEnergy!$H$4:$H$10,MATCH($DO27,AvoidedEnergy!$A$4:$A$10,0)))</f>
        <v/>
      </c>
    </row>
    <row r="28" spans="1:127">
      <c r="A28" s="160" t="str">
        <f>IF(ADRYr2!$B28=0,"",ADRYr2!A28)</f>
        <v>B - Low-Income</v>
      </c>
      <c r="B28" s="9" t="str">
        <f>IF(ADRYr2!$B28=0,"",ADRYr2!B28)</f>
        <v>Home Energy Assistance</v>
      </c>
      <c r="C28" s="9" t="str">
        <f>IF(ADRYr2!$B28=0,"",ADRYr2!C28)</f>
        <v>Res Demand Response</v>
      </c>
      <c r="D28" s="9" t="str">
        <f>IF(ADRYr2!$B28=0,"",ADRYr2!D28)</f>
        <v>EV Load Management Winter</v>
      </c>
      <c r="E28" s="9">
        <f>IF(ADRYr2!$B28=0,"",ADRYr2!E28)</f>
        <v>0</v>
      </c>
      <c r="F28" s="11" t="str">
        <f>IF(ADRYr2!$B28=0,"",ADRYr2!F28)</f>
        <v>Behavior</v>
      </c>
      <c r="G28" s="12" t="str">
        <f>IF(ADRYr2!$G28&lt;&gt;0,ADRYr2!G28,"")</f>
        <v/>
      </c>
      <c r="H28" s="1125" t="str">
        <f>IF($G28="","",ROUND(ADRYr2!H28,0))</f>
        <v/>
      </c>
      <c r="I28" s="47" t="str">
        <f>IF($G28="","",ADRYr2!I28*ADRYr2!P28*G28)</f>
        <v/>
      </c>
      <c r="J28" s="47" t="str">
        <f>IF($G28="","",ADRYr2!J28*G28)</f>
        <v/>
      </c>
      <c r="K28" s="47" t="str">
        <f t="shared" si="17"/>
        <v/>
      </c>
      <c r="L28" s="27" t="str">
        <f>IF($G28="","",ADRYr2!V28*G28/1000)</f>
        <v/>
      </c>
      <c r="M28" s="27" t="str">
        <f>IF($G28="","",L28*ADRYr2!$Q28*ADRYr2!$R28)</f>
        <v/>
      </c>
      <c r="N28" s="27" t="str">
        <f t="shared" si="18"/>
        <v/>
      </c>
      <c r="O28" s="27" t="str">
        <f t="shared" si="19"/>
        <v/>
      </c>
      <c r="P28" s="27" t="str">
        <f>IF($G28="","",M28*ADRYr2!P28)</f>
        <v/>
      </c>
      <c r="Q28" s="27" t="str">
        <f t="shared" si="20"/>
        <v/>
      </c>
      <c r="R28" s="27" t="str">
        <f>IF($G28="","",$Q28*ADRYr2!Z28)</f>
        <v/>
      </c>
      <c r="S28" s="27" t="str">
        <f>IF($G28="","",$Q28*ADRYr2!AA28)</f>
        <v/>
      </c>
      <c r="T28" s="27" t="str">
        <f>IF($G28="","",$Q28*ADRYr2!AB28)</f>
        <v/>
      </c>
      <c r="U28" s="27" t="str">
        <f>IF($G28="","",$Q28*ADRYr2!AC28)</f>
        <v/>
      </c>
      <c r="V28" s="27" t="str">
        <f>IF($G28="","",G28*ADRYr2!$AD28*ADRYr2!$P28*ADRYr2!$Q28)</f>
        <v/>
      </c>
      <c r="W28" s="27" t="str">
        <f>IF($G28="","",$G28*ADRYr2!$AD28*ADRYr2!$AF28*ADRYr2!Q28*ADRYr2!$S28)</f>
        <v/>
      </c>
      <c r="X28" s="27" t="str">
        <f>IF($G28="","",$G28*ADRYr2!$AD28*ADRYr2!$AF28*ADRYr2!P28*ADRYr2!Q28*ADRYr2!$S28)</f>
        <v/>
      </c>
      <c r="Y28" s="27" t="str">
        <f>IF($G28="","",$G28*ADRYr2!$AD28*ADRYr2!$AE28*ADRYr2!Q28*ADRYr2!$T28)</f>
        <v/>
      </c>
      <c r="Z28" s="27" t="str">
        <f>IF($G28="","",$G28*ADRYr2!$AD28*ADRYr2!$AE28*ADRYr2!P28*ADRYr2!Q28*ADRYr2!$T28)</f>
        <v/>
      </c>
      <c r="AA28" s="45" t="str">
        <f>IF($G28="","",$G28*ADRYr2!$Q28*ADRYr2!$U28*(IF(IFERROR(SEARCH("NG", ADRYr2!$AI28),0),ADRYr2!$AJ28,0)+IF(IFERROR(SEARCH("NG", ADRYr2!$AK28),0),ADRYr2!$AL28,0)+IF(IFERROR(SEARCH("NG", ADRYr2!$AM28),0),ADRYr2!$AN28,0)))</f>
        <v/>
      </c>
      <c r="AB28" s="45" t="str">
        <f t="shared" si="21"/>
        <v/>
      </c>
      <c r="AC28" s="45">
        <f>IF($G28="",0,AA28*ADRYr2!$P28)</f>
        <v>0</v>
      </c>
      <c r="AD28" s="45" t="str">
        <f t="shared" si="22"/>
        <v/>
      </c>
      <c r="AE28" s="45" t="str">
        <f>IF($G28="","",$G28*ADRYr2!$Q28*ADRYr2!$U28*(IF(IFERROR(SEARCH("Oil", ADRYr2!$AI28), 0),ADRYr2!$AJ28,0)+IF(IFERROR(SEARCH("Oil", ADRYr2!$AK28), 0),ADRYr2!$AL28,0)+IF(IFERROR(SEARCH("Oil", ADRYr2!$AM28), 0),ADRYr2!$AN28,0)))</f>
        <v/>
      </c>
      <c r="AF28" s="45" t="str">
        <f t="shared" si="23"/>
        <v/>
      </c>
      <c r="AG28" s="45">
        <f>IF($G28="",0,AE28*ADRYr2!$P28)</f>
        <v>0</v>
      </c>
      <c r="AH28" s="45" t="str">
        <f t="shared" si="24"/>
        <v/>
      </c>
      <c r="AI28" s="45" t="str">
        <f>IF($G28="","",$G28*ADRYr2!$Q28*ADRYr2!$U28*(IF(ADRYr2!$AI28=Lookups!$E$114,ADRYr2!$AJ28,IF(ADRYr2!$AK28=Lookups!$E$114,ADRYr2!$AL28,IF(ADRYr2!$AM28=Lookups!$E$114,ADRYr2!$AN28,0)))))</f>
        <v/>
      </c>
      <c r="AJ28" s="45" t="str">
        <f t="shared" si="25"/>
        <v/>
      </c>
      <c r="AK28" s="45">
        <f>IF($G28="",0,AI28*ADRYr2!$P28)</f>
        <v>0</v>
      </c>
      <c r="AL28" s="45" t="str">
        <f t="shared" si="26"/>
        <v/>
      </c>
      <c r="AM28" s="45" t="str">
        <f>IF($G28="","",$G28*ADRYr2!$Q28*ADRYr2!$U28*(IF(ADRYr2!$AI28=Lookups!$E$113,ADRYr2!$AJ28,IF(ADRYr2!$AK28=Lookups!$E$113,ADRYr2!$AL28,IF(ADRYr2!$AM28=Lookups!$E$113,ADRYr2!$AN28,0)))))</f>
        <v/>
      </c>
      <c r="AN28" s="45" t="str">
        <f t="shared" si="27"/>
        <v/>
      </c>
      <c r="AO28" s="45">
        <f>IF($G28="",0,AM28*ADRYr2!$P28)</f>
        <v>0</v>
      </c>
      <c r="AP28" s="45" t="str">
        <f t="shared" si="28"/>
        <v/>
      </c>
      <c r="AQ28" s="45" t="str">
        <f>IF($G28="","",$G28*ADRYr2!$Q28*ADRYr2!$U28*(IF(ADRYr2!$AI28=Lookups!$E$115,ADRYr2!$AJ28,IF(ADRYr2!$AK28=Lookups!$E$115,ADRYr2!$AL28,IF(ADRYr2!$AM28=Lookups!$E$115,ADRYr2!$AN28,0)))))</f>
        <v/>
      </c>
      <c r="AR28" s="45" t="str">
        <f t="shared" si="29"/>
        <v/>
      </c>
      <c r="AS28" s="45" t="str">
        <f>IF($G28="","",AQ28*ADRYr2!$P28)</f>
        <v/>
      </c>
      <c r="AT28" s="45" t="str">
        <f t="shared" si="30"/>
        <v/>
      </c>
      <c r="AU28" s="45" t="str">
        <f>IF($G28="","",$G28*ADRYr2!$Q28*ADRYr2!$U28*(IF(ADRYr2!$AI28=Lookups!$E$116,ADRYr2!$AJ28,IF(ADRYr2!$AK28=Lookups!$E$116,ADRYr2!$AL28,IF(ADRYr2!$AM28=Lookups!$E$116,ADRYr2!$AN28,0)))))</f>
        <v/>
      </c>
      <c r="AV28" s="45" t="str">
        <f t="shared" si="31"/>
        <v/>
      </c>
      <c r="AW28" s="45" t="str">
        <f>IF($G28="","",AU28*ADRYr2!$P28)</f>
        <v/>
      </c>
      <c r="AX28" s="45" t="str">
        <f t="shared" si="32"/>
        <v/>
      </c>
      <c r="AY28" s="45">
        <f t="shared" si="49"/>
        <v>0</v>
      </c>
      <c r="AZ28" s="45">
        <f t="shared" si="49"/>
        <v>0</v>
      </c>
      <c r="BA28" s="101" t="str">
        <f>IF($G28="","",$G28*ADRYr2!$P28*ADRYr2!$Q28*ADRYr2!$U28*ADRYr2!AO28)</f>
        <v/>
      </c>
      <c r="BB28" s="102" t="str">
        <f>IF($G28="","",$G28*ADRYr2!$P28*ADRYr2!$Q28*ADRYr2!$U28*ADRYr2!AP28)</f>
        <v/>
      </c>
      <c r="BC28" s="100" t="str">
        <f t="shared" si="34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5"/>
        <v/>
      </c>
      <c r="BO28" s="31" t="str">
        <f t="shared" si="35"/>
        <v/>
      </c>
      <c r="BP28" s="1129" t="str">
        <f t="shared" si="6"/>
        <v/>
      </c>
      <c r="BQ28" s="28" t="str">
        <f t="shared" si="7"/>
        <v/>
      </c>
      <c r="BR28" s="1129" t="str">
        <f t="shared" si="8"/>
        <v/>
      </c>
      <c r="BS28" s="1129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6"/>
        <v/>
      </c>
      <c r="BX28" s="29" t="str">
        <f t="shared" si="37"/>
        <v/>
      </c>
      <c r="BY28" s="28" t="str">
        <f>IF($G28="","",$G28*(IF(ADRYr2!$AI28=BY$4,ADRYr2!$AJ28,IF(ADRYr2!$AK28=BY$4,ADRYr2!$AL28,IF(ADRYr2!$AM28=BY$4,ADRYr2!$AN28,0))))*(INDEX(avoidedcosttbl2,$H28,BY$2)+(($H28-ROUNDDOWN($H28,0))*(INDEX(avoidedcosttbl2,ROUNDUP($H28,0),BY$2)-(INDEX(avoidedcosttbl2,ROUNDDOWN($H28,0),BY$2)))))*ADRYr2!P28*ADRYr2!Q28*ADRYr2!U28)</f>
        <v/>
      </c>
      <c r="BZ28" s="28" t="str">
        <f>IF($G28="","",$G28*(IF(ADRYr2!$AI28=BZ$4,ADRYr2!$AJ28,IF(ADRYr2!$AK28=BZ$4,ADRYr2!$AL28,IF(ADRYr2!$AM28=BZ$4,ADRYr2!$AN28,0))))*(INDEX(avoidedcosttbl2,$H28,BZ$2)+(($H28-ROUNDDOWN($H28,0))*(INDEX(avoidedcosttbl2,ROUNDUP($H28,0),BZ$2)-(INDEX(avoidedcosttbl2,ROUNDDOWN($H28,0),BZ$2)))))*ADRYr2!P28*ADRYr2!Q28*ADRYr2!U28)</f>
        <v/>
      </c>
      <c r="CA28" s="28" t="str">
        <f>IF($G28="","",$G28*(IF(ADRYr2!$AI28=CA$4,ADRYr2!$AJ28,IF(ADRYr2!$AK28=CA$4,ADRYr2!$AL28,IF(ADRYr2!$AM28=CA$4,ADRYr2!$AN28,0))))*(INDEX(avoidedcosttbl2,$H28,CA$2)+(($H28-ROUNDDOWN($H28,0))*(INDEX(avoidedcosttbl2,ROUNDUP($H28,0),CA$2)-(INDEX(avoidedcosttbl2,ROUNDDOWN($H28,0),CA$2)))))*ADRYr2!P28*ADRYr2!Q28*ADRYr2!U28)</f>
        <v/>
      </c>
      <c r="CB28" s="28" t="str">
        <f>IF($G28="","",$G28*(IF(ADRYr2!$AI28=CB$4,ADRYr2!$AJ28,IF(ADRYr2!$AK28=CB$4,ADRYr2!$AL28,IF(ADRYr2!$AM28=CB$4,ADRYr2!$AN28,0))))*(INDEX(avoidedcosttbl2,$H28,CB$2)+(($H28-ROUNDDOWN($H28,0))*(INDEX(avoidedcosttbl2,ROUNDUP($H28,0),CB$2)-(INDEX(avoidedcosttbl2,ROUNDDOWN($H28,0),CB$2)))))*ADRYr2!P28*ADRYr2!Q28*ADRYr2!U28)</f>
        <v/>
      </c>
      <c r="CC28" s="28" t="str">
        <f>IF($G28="","",$G28*(IF(ADRYr2!$AI28=CC$4,ADRYr2!$AJ28,IF(ADRYr2!$AK28=CC$4,ADRYr2!$AL28,IF(ADRYr2!$AM28=CC$4,ADRYr2!$AN28,0))))*(INDEX(avoidedcosttbl2,$H28,CC$2)+(($H28-ROUNDDOWN($H28,0))*(INDEX(avoidedcosttbl2,ROUNDUP($H28,0),CC$2)-(INDEX(avoidedcosttbl2,ROUNDDOWN($H28,0),CC$2)))))*ADRYr2!P28*ADRYr2!Q28*ADRYr2!U28)</f>
        <v/>
      </c>
      <c r="CD28" s="28" t="str">
        <f>IF($G28="","",$G28*(IF(ADRYr2!$AI28=CD$4,ADRYr2!$AJ28,IF(ADRYr2!$AK28=CD$4,ADRYr2!$AL28,IF(ADRYr2!$AM28=CD$4,ADRYr2!$AN28,0))))*(INDEX(avoidedcosttbl2,$H28,CD$2)+(($H28-ROUNDDOWN($H28,0))*(INDEX(avoidedcosttbl2,ROUNDUP($H28,0),CD$2)-(INDEX(avoidedcosttbl2,ROUNDDOWN($H28,0),CD$2)))))*ADRYr2!P28*ADRYr2!Q28*ADRYr2!U28)</f>
        <v/>
      </c>
      <c r="CE28" s="28" t="str">
        <f>IF($G28="","",$G28*(IF(ADRYr2!$AI28=CE$4,ADRYr2!$AJ28,IF(ADRYr2!$AK28=CE$4,ADRYr2!$AL28,IF(ADRYr2!$AM28=CE$4,ADRYr2!$AN28,0))))*(INDEX(avoidedcosttbl2,$H28,CE$2)+(($H28-ROUNDDOWN($H28,0))*(INDEX(avoidedcosttbl2,ROUNDUP($H28,0),CE$2)-(INDEX(avoidedcosttbl2,ROUNDDOWN($H28,0),CE$2)))))*ADRYr2!P28*ADRYr2!Q28*ADRYr2!U28)</f>
        <v/>
      </c>
      <c r="CF28" s="41" t="str">
        <f t="shared" si="38"/>
        <v/>
      </c>
      <c r="CG28" s="30" t="str">
        <f t="shared" si="11"/>
        <v/>
      </c>
      <c r="CH28" s="30" t="str">
        <f>IF($G28="","",$G28*(IF(ADRYr2!$AI28=BY$4,ADRYr2!$AJ28,IF(ADRYr2!$AK28=BY$4,ADRYr2!$AL28,IF(ADRYr2!$AM28=BY$4,ADRYr2!$AN28,0))))*(INDEX(avoidedcosttbl2,$H28,CH$2)+(($H28-ROUNDDOWN($H28,0))*(INDEX(avoidedcosttbl2,ROUNDUP($H28,0),CH$2)-(INDEX(avoidedcosttbl2,ROUNDDOWN($H28,0),CH$2)))))*ADRYr2!P28*ADRYr2!Q28*ADRYr2!U28)</f>
        <v/>
      </c>
      <c r="CI28" s="30" t="str">
        <f>IF($G28="","",$G28*(IF(ADRYr2!$AI28=BZ$4,ADRYr2!$AJ28,IF(ADRYr2!$AK28=BZ$4,ADRYr2!$AL28,IF(ADRYr2!$AM28=BZ$4,ADRYr2!$AN28,0))))*(INDEX(avoidedcosttbl2,$H28,CI$2)+(($H28-ROUNDDOWN($H28,0))*(INDEX(avoidedcosttbl2,ROUNDUP($H28,0),CI$2)-(INDEX(avoidedcosttbl2,ROUNDDOWN($H28,0),CI$2)))))*ADRYr2!P28*ADRYr2!Q28*ADRYr2!U28)</f>
        <v/>
      </c>
      <c r="CJ28" s="30" t="str">
        <f>IF($G28="","",$G28*(IF(ADRYr2!$AI28=CA$4,ADRYr2!$AJ28,IF(ADRYr2!$AK28=CA$4,ADRYr2!$AL28,IF(ADRYr2!$AM28=CA$4,ADRYr2!$AN28,0))))*(INDEX(avoidedcosttbl2,$H28,CJ$2)+(($H28-ROUNDDOWN($H28,0))*(INDEX(avoidedcosttbl2,ROUNDUP($H28,0),CJ$2)-(INDEX(avoidedcosttbl2,ROUNDDOWN($H28,0),CJ$2)))))*ADRYr2!P28*ADRYr2!Q28*ADRYr2!U28)</f>
        <v/>
      </c>
      <c r="CK28" s="30" t="str">
        <f>IF($G28="","",$G28*(IF(ADRYr2!$AI28=CB$4,ADRYr2!$AJ28,IF(ADRYr2!$AK28=CB$4,ADRYr2!$AL28,IF(ADRYr2!$AM28=CB$4,ADRYr2!$AN28,0))))*(INDEX(avoidedcosttbl2,$H28,CK$2)+(($H28-ROUNDDOWN($H28,0))*(INDEX(avoidedcosttbl2,ROUNDUP($H28,0),CK$2)-(INDEX(avoidedcosttbl2,ROUNDDOWN($H28,0),CK$2)))))*ADRYr2!P28*ADRYr2!Q28*ADRYr2!U28)</f>
        <v/>
      </c>
      <c r="CL28" s="30" t="str">
        <f>IF($G28="","",$G28*(IF(ADRYr2!$AI28=CC$4,ADRYr2!$AJ28,IF(ADRYr2!$AK28=CC$4,ADRYr2!$AL28,IF(ADRYr2!$AM28=CC$4,ADRYr2!$AN28,0))))*(INDEX(avoidedcosttbl2,$H28,CL$2)+(($H28-ROUNDDOWN($H28,0))*(INDEX(avoidedcosttbl2,ROUNDUP($H28,0),CL$2)-(INDEX(avoidedcosttbl2,ROUNDDOWN($H28,0),CL$2)))))*ADRYr2!P28*ADRYr2!Q28*ADRYr2!U28)</f>
        <v/>
      </c>
      <c r="CM28" s="30" t="str">
        <f>IF($G28="","",$G28*(IF(ADRYr2!$AI28=CD$4,ADRYr2!$AJ28,IF(ADRYr2!$AK28=CD$4,ADRYr2!$AL28,IF(ADRYr2!$AM28=CD$4,ADRYr2!$AN28,0))))*(INDEX(avoidedcosttbl2,$H28,CM$2)+(($H28-ROUNDDOWN($H28,0))*(INDEX(avoidedcosttbl2,ROUNDUP($H28,0),CM$2)-(INDEX(avoidedcosttbl2,ROUNDDOWN($H28,0),CM$2)))))*ADRYr2!P28*ADRYr2!Q28*ADRYr2!U28)</f>
        <v/>
      </c>
      <c r="CN28" s="30" t="str">
        <f>IF($G28="","",$G28*(IF(ADRYr2!$AI28=CE$4,ADRYr2!$AJ28,IF(ADRYr2!$AK28=CE$4,ADRYr2!$AL28,IF(ADRYr2!$AM28=CE$4,ADRYr2!$AN28,0))))*(INDEX(avoidedcosttbl2,$H28,CN$2)+(($H28-ROUNDDOWN($H28,0))*(INDEX(avoidedcosttbl2,ROUNDUP($H28,0),CN$2)-(INDEX(avoidedcosttbl2,ROUNDDOWN($H28,0),CN$2)))))*ADRYr2!P28*ADRYr2!Q28*ADRYr2!U28)</f>
        <v/>
      </c>
      <c r="CO28" s="220" t="str">
        <f t="shared" si="39"/>
        <v/>
      </c>
      <c r="CP28" s="220" t="str">
        <f t="shared" si="40"/>
        <v/>
      </c>
      <c r="CQ28" s="157" t="str">
        <f>IF($G28="","",$G28*(IF(ADRYr2!$AI28=CQ$4,ADRYr2!$AJ28,IF(ADRYr2!$AK28=CQ$4,ADRYr2!$AL28,IF(ADRYr2!$AM28=CQ$4,ADRYr2!$AN28,0))))*(INDEX(avoidedcosttbl2,$H28,CQ$2)+(($H28-ROUNDDOWN($H28,0))*(INDEX(avoidedcosttbl2,ROUNDUP($H28,0),CQ$2)-(INDEX(avoidedcosttbl2,ROUNDDOWN($H28,0),CQ$2)))))*ADRYr2!$P28*ADRYr2!$Q28*ADRYr2!$U28)</f>
        <v/>
      </c>
      <c r="CR28" s="28" t="str">
        <f>IF($G28="","",G28*(IF(ADRYr2!$AI28=CR$4,ADRYr2!$AJ28,IF(ADRYr2!$AK28=CR$4,ADRYr2!$AL28,IF(ADRYr2!$AM28=CR$4,ADRYr2!$AN28,0))))*(INDEX(avoidedcosttbl2,$H28,CR$2)+(($H28-ROUNDDOWN($H28,0))*(INDEX(avoidedcosttbl2,ROUNDUP($H28,0),CR$2)-(INDEX(avoidedcosttbl2,ROUNDDOWN($H28,0),CR$2)))))*ADRYr2!$P28*ADRYr2!$Q28*ADRYr2!$U28)</f>
        <v/>
      </c>
      <c r="CS28" s="28" t="str">
        <f>IF($G28="","",G28*(IF(ADRYr2!$AI28=CS$4,ADRYr2!$AJ28,IF(ADRYr2!$AK28=CS$4,ADRYr2!$AL28,IF(ADRYr2!$AM28=CS$4,ADRYr2!$AN28,0))))*(INDEX(avoidedcosttbl2,$H28,CS$2)+(($H28-ROUNDDOWN($H28,0))*(INDEX(avoidedcosttbl2,ROUNDUP($H28,0),CS$2)-(INDEX(avoidedcosttbl2,ROUNDDOWN($H28,0),CS$2)))))*ADRYr2!$P28*ADRYr2!$Q28*ADRYr2!$U28)</f>
        <v/>
      </c>
      <c r="CT28" s="28" t="str">
        <f t="shared" si="12"/>
        <v/>
      </c>
      <c r="CU28" s="28" t="str">
        <f>IF($G28="","",G28*(IF(ADRYr2!$AI28=CU$4,ADRYr2!$AJ28,IF(ADRYr2!$AK28=CU$4,ADRYr2!$AL28,IF(ADRYr2!$AM28=CU$4,ADRYr2!$AN28,0))))*(INDEX(avoidedcosttbl2,$H28,CU$2)+(($H28-ROUNDDOWN($H28,0))*(INDEX(avoidedcosttbl2,ROUNDUP($H28,0),CU$2)-(INDEX(avoidedcosttbl2,ROUNDDOWN($H28,0),CU$2)))))*ADRYr2!$P28*ADRYr2!$Q28*ADRYr2!$U28)</f>
        <v/>
      </c>
      <c r="CV28" s="28" t="str">
        <f>IF($G28="","",G28*(IF(ADRYr2!$AI28=CV$4,ADRYr2!$AJ28,IF(ADRYr2!$AK28=CV$4,ADRYr2!$AL28,IF(ADRYr2!$AM28=CV$4,ADRYr2!$AN28,0))))*(INDEX(avoidedcosttbl2,$H28,CV$2)+(($H28-ROUNDDOWN($H28,0))*(INDEX(avoidedcosttbl2,ROUNDUP($H28,0),CV$2)-(INDEX(avoidedcosttbl2,ROUNDDOWN($H28,0),CV$2)))))*ADRYr2!$P28*ADRYr2!$Q28*ADRYr2!$U28)</f>
        <v/>
      </c>
      <c r="CW28" s="28" t="str">
        <f>IF($G28="","",G28*(IF(ADRYr2!$AI28=CW$4,ADRYr2!$AJ28,IF(ADRYr2!$AK28=CW$4,ADRYr2!$AL28,IF(ADRYr2!$AM28=CW$4,ADRYr2!$AN28,0))))*(INDEX(avoidedcosttbl2,$H28,CW$2)+(($H28-ROUNDDOWN($H28,0))*(INDEX(avoidedcosttbl2,ROUNDUP($H28,0),CW$2)-(INDEX(avoidedcosttbl2,ROUNDDOWN($H28,0),CW$2)))))*ADRYr2!$P28*ADRYr2!$Q28*ADRYr2!$U28)</f>
        <v/>
      </c>
      <c r="CX28" s="28" t="str">
        <f>IF($G28="","",G28*(IF(ADRYr2!$AI28=CX$4,ADRYr2!$AJ28,IF(ADRYr2!$AK28=CX$4,ADRYr2!$AL28,IF(ADRYr2!$AM28=CX$4,ADRYr2!$AN28,0))))*(INDEX(avoidedcosttbl2,$H28,CX$2)+(($H28-ROUNDDOWN($H28,0))*(INDEX(avoidedcosttbl2,ROUNDUP($H28,0),CX$2)-(INDEX(avoidedcosttbl2,ROUNDDOWN($H28,0),CX$2)))))*ADRYr2!$P28*ADRYr2!$Q28*ADRYr2!$U28)</f>
        <v/>
      </c>
      <c r="CY28" s="28" t="str">
        <f t="shared" si="13"/>
        <v/>
      </c>
      <c r="CZ28" s="32" t="str">
        <f t="shared" si="14"/>
        <v/>
      </c>
      <c r="DA28" s="84" t="str">
        <f t="shared" si="41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15"/>
        <v/>
      </c>
      <c r="DD28" s="166" t="str">
        <f t="shared" si="16"/>
        <v/>
      </c>
      <c r="DE28" s="82">
        <f t="shared" si="42"/>
        <v>0</v>
      </c>
      <c r="DF28" s="760" t="str">
        <f>IF($G28="","",(1+WntPeakEnergyLL)*(INDEX(avoidedcosttbl2,$H28,DF$2)+(($H28-ROUNDDOWN($H28,0))*(INDEX(avoidedcosttbl2,ROUNDUP($H28,0),DF$2)-(INDEX(avoidedcosttbl2,ROUNDDOWN($H28,0),DF$2)))))*$P28*1000*ADRYr2!Z28)</f>
        <v/>
      </c>
      <c r="DG28" s="760" t="str">
        <f>IF($G28="","",(1+WntOffPeakEnergyLL)*(INDEX(avoidedcosttbl2,$H28,DG$2)+(($H28-ROUNDDOWN($H28,0))*(INDEX(avoidedcosttbl2,ROUNDUP($H28,0),DG$2)-(INDEX(avoidedcosttbl2,ROUNDDOWN($H28,0),DG$2)))))*$P28*1000*ADRYr2!AA28)</f>
        <v/>
      </c>
      <c r="DH28" s="760" t="str">
        <f>IF($G28="","",(1+SumPeakEnergyLL)*(INDEX(avoidedcosttbl2,$H28,DH$2)+(($H28-ROUNDDOWN($H28,0))*(INDEX(avoidedcosttbl2,ROUNDUP($H28,0),DH$2)-(INDEX(avoidedcosttbl2,ROUNDDOWN($H28,0),DH$2)))))*$P28*1000*ADRYr2!AB28)</f>
        <v/>
      </c>
      <c r="DI28" s="760" t="str">
        <f>IF($G28="","",(1+SumOffPeakEnergyLL)*(INDEX(avoidedcosttbl2,$H28,DI$2)+(($H28-ROUNDDOWN($H28,0))*(INDEX(avoidedcosttbl2,ROUNDUP($H28,0),DI$2)-(INDEX(avoidedcosttbl2,ROUNDDOWN($H28,0),DI$2)))))*$P28*1000*ADRYr2!AC28)</f>
        <v/>
      </c>
      <c r="DJ28" s="29" t="str">
        <f t="shared" si="43"/>
        <v/>
      </c>
      <c r="DK28" s="161" t="str">
        <f t="shared" si="44"/>
        <v/>
      </c>
      <c r="DL28" s="1375" t="str">
        <f t="shared" si="45"/>
        <v/>
      </c>
      <c r="DM28" s="1375" t="str">
        <f t="shared" si="46"/>
        <v/>
      </c>
      <c r="DN28" s="43" t="str">
        <f t="shared" si="47"/>
        <v/>
      </c>
      <c r="DO28" s="1131" t="str">
        <f>IF($G28="","",ADRYr2!AQ28)</f>
        <v/>
      </c>
      <c r="DP28" s="1133" t="str">
        <f>IF($G28="","",ADRYr2!AR28)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48"/>
        <v/>
      </c>
      <c r="DU28" s="1135" t="str">
        <f>IF($G28="","",ADRYr2!AS28)</f>
        <v/>
      </c>
      <c r="DV28" s="1136" t="str">
        <f>IF($G28="","",ADRYr2!AT28)</f>
        <v/>
      </c>
      <c r="DW28" s="1344" t="str">
        <f>IF($G28="","",INDEX(AvoidedEnergy!$H$4:$H$10,MATCH($DO28,AvoidedEnergy!$A$4:$A$10,0)))</f>
        <v/>
      </c>
    </row>
    <row r="29" spans="1:127">
      <c r="A29" s="160" t="str">
        <f>IF(ADRYr2!$B29=0,"",ADRYr2!A29)</f>
        <v>C - Commercial &amp; Industrial</v>
      </c>
      <c r="B29" s="9" t="str">
        <f>IF(ADRYr2!$B29=0,"",ADRYr2!B29)</f>
        <v>C5 - C&amp;I Active Demand Response</v>
      </c>
      <c r="C29" s="9" t="str">
        <f>IF(ADRYr2!$B29=0,"",ADRYr2!C29)</f>
        <v>C5a - C&amp;I Active Demand Response</v>
      </c>
      <c r="D29" s="9" t="str">
        <f>IF(ADRYr2!$B29=0,"",ADRYr2!D29)</f>
        <v>Load Curtailment Targeted Dispatch P4P Summer</v>
      </c>
      <c r="E29" s="9" t="str">
        <f>IF(ADRYr2!$B29=0,"",ADRYr2!E29)</f>
        <v>E21C5a001</v>
      </c>
      <c r="F29" s="11" t="str">
        <f>IF(ADRYr2!$B29=0,"",ADRYr2!F29)</f>
        <v>Behavior</v>
      </c>
      <c r="G29" s="12">
        <f>IF(ADRYr2!$G29&lt;&gt;0,ADRYr2!G29,"")</f>
        <v>22</v>
      </c>
      <c r="H29" s="1125">
        <f>IF($G29="","",ROUND(ADRYr2!H29,0))</f>
        <v>1</v>
      </c>
      <c r="I29" s="47">
        <f>IF($G29="","",ADRYr2!I29*ADRYr2!P29*G29)</f>
        <v>88000</v>
      </c>
      <c r="J29" s="47">
        <f>IF($G29="","",ADRYr2!J29*G29)</f>
        <v>88000</v>
      </c>
      <c r="K29" s="47">
        <f t="shared" si="17"/>
        <v>0</v>
      </c>
      <c r="L29" s="27">
        <f>IF($G29="","",ADRYr2!V29*G29/1000)</f>
        <v>0</v>
      </c>
      <c r="M29" s="27">
        <f>IF($G29="","",L29*ADRYr2!$Q29*ADRYr2!$R29)</f>
        <v>0</v>
      </c>
      <c r="N29" s="27">
        <f t="shared" si="18"/>
        <v>0</v>
      </c>
      <c r="O29" s="27">
        <f t="shared" si="19"/>
        <v>0</v>
      </c>
      <c r="P29" s="27">
        <f>IF($G29="","",M29*ADRYr2!P29)</f>
        <v>0</v>
      </c>
      <c r="Q29" s="27">
        <f t="shared" si="20"/>
        <v>0</v>
      </c>
      <c r="R29" s="27">
        <f>IF($G29="","",$Q29*ADRYr2!Z29)</f>
        <v>0</v>
      </c>
      <c r="S29" s="27">
        <f>IF($G29="","",$Q29*ADRYr2!AA29)</f>
        <v>0</v>
      </c>
      <c r="T29" s="27">
        <f>IF($G29="","",$Q29*ADRYr2!AB29)</f>
        <v>0</v>
      </c>
      <c r="U29" s="27">
        <f>IF($G29="","",$Q29*ADRYr2!AC29)</f>
        <v>0</v>
      </c>
      <c r="V29" s="27">
        <f>IF($G29="","",G29*ADRYr2!$AD29*ADRYr2!$P29*ADRYr2!$Q29)</f>
        <v>2200</v>
      </c>
      <c r="W29" s="27">
        <f>IF($G29="","",$G29*ADRYr2!$AD29*ADRYr2!$AF29*ADRYr2!Q29*ADRYr2!$S29)</f>
        <v>0</v>
      </c>
      <c r="X29" s="27">
        <f>IF($G29="","",$G29*ADRYr2!$AD29*ADRYr2!$AF29*ADRYr2!P29*ADRYr2!Q29*ADRYr2!$S29)</f>
        <v>0</v>
      </c>
      <c r="Y29" s="27">
        <f>IF($G29="","",$G29*ADRYr2!$AD29*ADRYr2!$AE29*ADRYr2!Q29*ADRYr2!$T29)</f>
        <v>2200</v>
      </c>
      <c r="Z29" s="27">
        <f>IF($G29="","",$G29*ADRYr2!$AD29*ADRYr2!$AE29*ADRYr2!P29*ADRYr2!Q29*ADRYr2!$T29)</f>
        <v>2200</v>
      </c>
      <c r="AA29" s="45">
        <f>IF($G29="","",$G29*ADRYr2!$Q29*ADRYr2!$U29*(IF(IFERROR(SEARCH("NG", ADRYr2!$AI29),0),ADRYr2!$AJ29,0)+IF(IFERROR(SEARCH("NG", ADRYr2!$AK29),0),ADRYr2!$AL29,0)+IF(IFERROR(SEARCH("NG", ADRYr2!$AM29),0),ADRYr2!$AN29,0)))</f>
        <v>0</v>
      </c>
      <c r="AB29" s="45">
        <f t="shared" si="21"/>
        <v>0</v>
      </c>
      <c r="AC29" s="45">
        <f>IF($G29="",0,AA29*ADRYr2!$P29)</f>
        <v>0</v>
      </c>
      <c r="AD29" s="45">
        <f t="shared" si="22"/>
        <v>0</v>
      </c>
      <c r="AE29" s="45">
        <f>IF($G29="","",$G29*ADRYr2!$Q29*ADRYr2!$U29*(IF(IFERROR(SEARCH("Oil", ADRYr2!$AI29), 0),ADRYr2!$AJ29,0)+IF(IFERROR(SEARCH("Oil", ADRYr2!$AK29), 0),ADRYr2!$AL29,0)+IF(IFERROR(SEARCH("Oil", ADRYr2!$AM29), 0),ADRYr2!$AN29,0)))</f>
        <v>0</v>
      </c>
      <c r="AF29" s="45">
        <f t="shared" si="23"/>
        <v>0</v>
      </c>
      <c r="AG29" s="45">
        <f>IF($G29="",0,AE29*ADRYr2!$P29)</f>
        <v>0</v>
      </c>
      <c r="AH29" s="45">
        <f t="shared" si="24"/>
        <v>0</v>
      </c>
      <c r="AI29" s="45">
        <f>IF($G29="","",$G29*ADRYr2!$Q29*ADRYr2!$U29*(IF(ADRYr2!$AI29=Lookups!$E$114,ADRYr2!$AJ29,IF(ADRYr2!$AK29=Lookups!$E$114,ADRYr2!$AL29,IF(ADRYr2!$AM29=Lookups!$E$114,ADRYr2!$AN29,0)))))</f>
        <v>0</v>
      </c>
      <c r="AJ29" s="45">
        <f t="shared" si="25"/>
        <v>0</v>
      </c>
      <c r="AK29" s="45">
        <f>IF($G29="",0,AI29*ADRYr2!$P29)</f>
        <v>0</v>
      </c>
      <c r="AL29" s="45">
        <f t="shared" si="26"/>
        <v>0</v>
      </c>
      <c r="AM29" s="45">
        <f>IF($G29="","",$G29*ADRYr2!$Q29*ADRYr2!$U29*(IF(ADRYr2!$AI29=Lookups!$E$113,ADRYr2!$AJ29,IF(ADRYr2!$AK29=Lookups!$E$113,ADRYr2!$AL29,IF(ADRYr2!$AM29=Lookups!$E$113,ADRYr2!$AN29,0)))))</f>
        <v>0</v>
      </c>
      <c r="AN29" s="45">
        <f t="shared" si="27"/>
        <v>0</v>
      </c>
      <c r="AO29" s="45">
        <f>IF($G29="",0,AM29*ADRYr2!$P29)</f>
        <v>0</v>
      </c>
      <c r="AP29" s="45">
        <f t="shared" si="28"/>
        <v>0</v>
      </c>
      <c r="AQ29" s="45">
        <f>IF($G29="","",$G29*ADRYr2!$Q29*ADRYr2!$U29*(IF(ADRYr2!$AI29=Lookups!$E$115,ADRYr2!$AJ29,IF(ADRYr2!$AK29=Lookups!$E$115,ADRYr2!$AL29,IF(ADRYr2!$AM29=Lookups!$E$115,ADRYr2!$AN29,0)))))</f>
        <v>0</v>
      </c>
      <c r="AR29" s="45">
        <f t="shared" si="29"/>
        <v>0</v>
      </c>
      <c r="AS29" s="45">
        <f>IF($G29="","",AQ29*ADRYr2!$P29)</f>
        <v>0</v>
      </c>
      <c r="AT29" s="45">
        <f t="shared" si="30"/>
        <v>0</v>
      </c>
      <c r="AU29" s="45">
        <f>IF($G29="","",$G29*ADRYr2!$Q29*ADRYr2!$U29*(IF(ADRYr2!$AI29=Lookups!$E$116,ADRYr2!$AJ29,IF(ADRYr2!$AK29=Lookups!$E$116,ADRYr2!$AL29,IF(ADRYr2!$AM29=Lookups!$E$116,ADRYr2!$AN29,0)))))</f>
        <v>0</v>
      </c>
      <c r="AV29" s="45">
        <f t="shared" si="31"/>
        <v>0</v>
      </c>
      <c r="AW29" s="45">
        <f>IF($G29="","",AU29*ADRYr2!$P29)</f>
        <v>0</v>
      </c>
      <c r="AX29" s="45">
        <f t="shared" si="32"/>
        <v>0</v>
      </c>
      <c r="AY29" s="45">
        <f t="shared" si="49"/>
        <v>0</v>
      </c>
      <c r="AZ29" s="45">
        <f t="shared" si="49"/>
        <v>0</v>
      </c>
      <c r="BA29" s="101">
        <f>IF($G29="","",$G29*ADRYr2!$P29*ADRYr2!$Q29*ADRYr2!$U29*ADRYr2!AO29)</f>
        <v>0</v>
      </c>
      <c r="BB29" s="102">
        <f>IF($G29="","",$G29*ADRYr2!$P29*ADRYr2!$Q29*ADRYr2!$U29*ADRYr2!AP29)</f>
        <v>0</v>
      </c>
      <c r="BC29" s="100">
        <f t="shared" si="34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5"/>
        <v>0</v>
      </c>
      <c r="BO29" s="31">
        <f t="shared" si="35"/>
        <v>0</v>
      </c>
      <c r="BP29" s="1129">
        <f t="shared" si="6"/>
        <v>24341.145606062168</v>
      </c>
      <c r="BQ29" s="28">
        <f t="shared" si="7"/>
        <v>0</v>
      </c>
      <c r="BR29" s="1129">
        <f t="shared" si="8"/>
        <v>51773.117084615791</v>
      </c>
      <c r="BS29" s="1129">
        <f t="shared" si="9"/>
        <v>0</v>
      </c>
      <c r="BT29" s="28">
        <f t="shared" si="50"/>
        <v>220628.93711246669</v>
      </c>
      <c r="BU29" s="28">
        <f t="shared" si="50"/>
        <v>0</v>
      </c>
      <c r="BV29" s="28">
        <f t="shared" si="50"/>
        <v>191128.35978455999</v>
      </c>
      <c r="BW29" s="29">
        <f t="shared" si="36"/>
        <v>487871.55958770466</v>
      </c>
      <c r="BX29" s="29">
        <f t="shared" si="37"/>
        <v>487871.55958770466</v>
      </c>
      <c r="BY29" s="28">
        <f>IF($G29="","",$G29*(IF(ADRYr2!$AI29=BY$4,ADRYr2!$AJ29,IF(ADRYr2!$AK29=BY$4,ADRYr2!$AL29,IF(ADRYr2!$AM29=BY$4,ADRYr2!$AN29,0))))*(INDEX(avoidedcosttbl2,$H29,BY$2)+(($H29-ROUNDDOWN($H29,0))*(INDEX(avoidedcosttbl2,ROUNDUP($H29,0),BY$2)-(INDEX(avoidedcosttbl2,ROUNDDOWN($H29,0),BY$2)))))*ADRYr2!P29*ADRYr2!Q29*ADRYr2!U29)</f>
        <v>0</v>
      </c>
      <c r="BZ29" s="28">
        <f>IF($G29="","",$G29*(IF(ADRYr2!$AI29=BZ$4,ADRYr2!$AJ29,IF(ADRYr2!$AK29=BZ$4,ADRYr2!$AL29,IF(ADRYr2!$AM29=BZ$4,ADRYr2!$AN29,0))))*(INDEX(avoidedcosttbl2,$H29,BZ$2)+(($H29-ROUNDDOWN($H29,0))*(INDEX(avoidedcosttbl2,ROUNDUP($H29,0),BZ$2)-(INDEX(avoidedcosttbl2,ROUNDDOWN($H29,0),BZ$2)))))*ADRYr2!P29*ADRYr2!Q29*ADRYr2!U29)</f>
        <v>0</v>
      </c>
      <c r="CA29" s="28">
        <f>IF($G29="","",$G29*(IF(ADRYr2!$AI29=CA$4,ADRYr2!$AJ29,IF(ADRYr2!$AK29=CA$4,ADRYr2!$AL29,IF(ADRYr2!$AM29=CA$4,ADRYr2!$AN29,0))))*(INDEX(avoidedcosttbl2,$H29,CA$2)+(($H29-ROUNDDOWN($H29,0))*(INDEX(avoidedcosttbl2,ROUNDUP($H29,0),CA$2)-(INDEX(avoidedcosttbl2,ROUNDDOWN($H29,0),CA$2)))))*ADRYr2!P29*ADRYr2!Q29*ADRYr2!U29)</f>
        <v>0</v>
      </c>
      <c r="CB29" s="28">
        <f>IF($G29="","",$G29*(IF(ADRYr2!$AI29=CB$4,ADRYr2!$AJ29,IF(ADRYr2!$AK29=CB$4,ADRYr2!$AL29,IF(ADRYr2!$AM29=CB$4,ADRYr2!$AN29,0))))*(INDEX(avoidedcosttbl2,$H29,CB$2)+(($H29-ROUNDDOWN($H29,0))*(INDEX(avoidedcosttbl2,ROUNDUP($H29,0),CB$2)-(INDEX(avoidedcosttbl2,ROUNDDOWN($H29,0),CB$2)))))*ADRYr2!P29*ADRYr2!Q29*ADRYr2!U29)</f>
        <v>0</v>
      </c>
      <c r="CC29" s="28">
        <f>IF($G29="","",$G29*(IF(ADRYr2!$AI29=CC$4,ADRYr2!$AJ29,IF(ADRYr2!$AK29=CC$4,ADRYr2!$AL29,IF(ADRYr2!$AM29=CC$4,ADRYr2!$AN29,0))))*(INDEX(avoidedcosttbl2,$H29,CC$2)+(($H29-ROUNDDOWN($H29,0))*(INDEX(avoidedcosttbl2,ROUNDUP($H29,0),CC$2)-(INDEX(avoidedcosttbl2,ROUNDDOWN($H29,0),CC$2)))))*ADRYr2!P29*ADRYr2!Q29*ADRYr2!U29)</f>
        <v>0</v>
      </c>
      <c r="CD29" s="28">
        <f>IF($G29="","",$G29*(IF(ADRYr2!$AI29=CD$4,ADRYr2!$AJ29,IF(ADRYr2!$AK29=CD$4,ADRYr2!$AL29,IF(ADRYr2!$AM29=CD$4,ADRYr2!$AN29,0))))*(INDEX(avoidedcosttbl2,$H29,CD$2)+(($H29-ROUNDDOWN($H29,0))*(INDEX(avoidedcosttbl2,ROUNDUP($H29,0),CD$2)-(INDEX(avoidedcosttbl2,ROUNDDOWN($H29,0),CD$2)))))*ADRYr2!P29*ADRYr2!Q29*ADRYr2!U29)</f>
        <v>0</v>
      </c>
      <c r="CE29" s="28">
        <f>IF($G29="","",$G29*(IF(ADRYr2!$AI29=CE$4,ADRYr2!$AJ29,IF(ADRYr2!$AK29=CE$4,ADRYr2!$AL29,IF(ADRYr2!$AM29=CE$4,ADRYr2!$AN29,0))))*(INDEX(avoidedcosttbl2,$H29,CE$2)+(($H29-ROUNDDOWN($H29,0))*(INDEX(avoidedcosttbl2,ROUNDUP($H29,0),CE$2)-(INDEX(avoidedcosttbl2,ROUNDDOWN($H29,0),CE$2)))))*ADRYr2!P29*ADRYr2!Q29*ADRYr2!U29)</f>
        <v>0</v>
      </c>
      <c r="CF29" s="41">
        <f t="shared" si="38"/>
        <v>0</v>
      </c>
      <c r="CG29" s="30">
        <f t="shared" si="11"/>
        <v>0</v>
      </c>
      <c r="CH29" s="30">
        <f>IF($G29="","",$G29*(IF(ADRYr2!$AI29=BY$4,ADRYr2!$AJ29,IF(ADRYr2!$AK29=BY$4,ADRYr2!$AL29,IF(ADRYr2!$AM29=BY$4,ADRYr2!$AN29,0))))*(INDEX(avoidedcosttbl2,$H29,CH$2)+(($H29-ROUNDDOWN($H29,0))*(INDEX(avoidedcosttbl2,ROUNDUP($H29,0),CH$2)-(INDEX(avoidedcosttbl2,ROUNDDOWN($H29,0),CH$2)))))*ADRYr2!P29*ADRYr2!Q29*ADRYr2!U29)</f>
        <v>0</v>
      </c>
      <c r="CI29" s="30">
        <f>IF($G29="","",$G29*(IF(ADRYr2!$AI29=BZ$4,ADRYr2!$AJ29,IF(ADRYr2!$AK29=BZ$4,ADRYr2!$AL29,IF(ADRYr2!$AM29=BZ$4,ADRYr2!$AN29,0))))*(INDEX(avoidedcosttbl2,$H29,CI$2)+(($H29-ROUNDDOWN($H29,0))*(INDEX(avoidedcosttbl2,ROUNDUP($H29,0),CI$2)-(INDEX(avoidedcosttbl2,ROUNDDOWN($H29,0),CI$2)))))*ADRYr2!P29*ADRYr2!Q29*ADRYr2!U29)</f>
        <v>0</v>
      </c>
      <c r="CJ29" s="30">
        <f>IF($G29="","",$G29*(IF(ADRYr2!$AI29=CA$4,ADRYr2!$AJ29,IF(ADRYr2!$AK29=CA$4,ADRYr2!$AL29,IF(ADRYr2!$AM29=CA$4,ADRYr2!$AN29,0))))*(INDEX(avoidedcosttbl2,$H29,CJ$2)+(($H29-ROUNDDOWN($H29,0))*(INDEX(avoidedcosttbl2,ROUNDUP($H29,0),CJ$2)-(INDEX(avoidedcosttbl2,ROUNDDOWN($H29,0),CJ$2)))))*ADRYr2!P29*ADRYr2!Q29*ADRYr2!U29)</f>
        <v>0</v>
      </c>
      <c r="CK29" s="30">
        <f>IF($G29="","",$G29*(IF(ADRYr2!$AI29=CB$4,ADRYr2!$AJ29,IF(ADRYr2!$AK29=CB$4,ADRYr2!$AL29,IF(ADRYr2!$AM29=CB$4,ADRYr2!$AN29,0))))*(INDEX(avoidedcosttbl2,$H29,CK$2)+(($H29-ROUNDDOWN($H29,0))*(INDEX(avoidedcosttbl2,ROUNDUP($H29,0),CK$2)-(INDEX(avoidedcosttbl2,ROUNDDOWN($H29,0),CK$2)))))*ADRYr2!P29*ADRYr2!Q29*ADRYr2!U29)</f>
        <v>0</v>
      </c>
      <c r="CL29" s="30">
        <f>IF($G29="","",$G29*(IF(ADRYr2!$AI29=CC$4,ADRYr2!$AJ29,IF(ADRYr2!$AK29=CC$4,ADRYr2!$AL29,IF(ADRYr2!$AM29=CC$4,ADRYr2!$AN29,0))))*(INDEX(avoidedcosttbl2,$H29,CL$2)+(($H29-ROUNDDOWN($H29,0))*(INDEX(avoidedcosttbl2,ROUNDUP($H29,0),CL$2)-(INDEX(avoidedcosttbl2,ROUNDDOWN($H29,0),CL$2)))))*ADRYr2!P29*ADRYr2!Q29*ADRYr2!U29)</f>
        <v>0</v>
      </c>
      <c r="CM29" s="30">
        <f>IF($G29="","",$G29*(IF(ADRYr2!$AI29=CD$4,ADRYr2!$AJ29,IF(ADRYr2!$AK29=CD$4,ADRYr2!$AL29,IF(ADRYr2!$AM29=CD$4,ADRYr2!$AN29,0))))*(INDEX(avoidedcosttbl2,$H29,CM$2)+(($H29-ROUNDDOWN($H29,0))*(INDEX(avoidedcosttbl2,ROUNDUP($H29,0),CM$2)-(INDEX(avoidedcosttbl2,ROUNDDOWN($H29,0),CM$2)))))*ADRYr2!P29*ADRYr2!Q29*ADRYr2!U29)</f>
        <v>0</v>
      </c>
      <c r="CN29" s="30">
        <f>IF($G29="","",$G29*(IF(ADRYr2!$AI29=CE$4,ADRYr2!$AJ29,IF(ADRYr2!$AK29=CE$4,ADRYr2!$AL29,IF(ADRYr2!$AM29=CE$4,ADRYr2!$AN29,0))))*(INDEX(avoidedcosttbl2,$H29,CN$2)+(($H29-ROUNDDOWN($H29,0))*(INDEX(avoidedcosttbl2,ROUNDUP($H29,0),CN$2)-(INDEX(avoidedcosttbl2,ROUNDDOWN($H29,0),CN$2)))))*ADRYr2!P29*ADRYr2!Q29*ADRYr2!U29)</f>
        <v>0</v>
      </c>
      <c r="CO29" s="220">
        <f t="shared" si="39"/>
        <v>0</v>
      </c>
      <c r="CP29" s="220">
        <f t="shared" si="40"/>
        <v>0</v>
      </c>
      <c r="CQ29" s="157">
        <f>IF($G29="","",$G29*(IF(ADRYr2!$AI29=CQ$4,ADRYr2!$AJ29,IF(ADRYr2!$AK29=CQ$4,ADRYr2!$AL29,IF(ADRYr2!$AM29=CQ$4,ADRYr2!$AN29,0))))*(INDEX(avoidedcosttbl2,$H29,CQ$2)+(($H29-ROUNDDOWN($H29,0))*(INDEX(avoidedcosttbl2,ROUNDUP($H29,0),CQ$2)-(INDEX(avoidedcosttbl2,ROUNDDOWN($H29,0),CQ$2)))))*ADRYr2!$P29*ADRYr2!$Q29*ADRYr2!$U29)</f>
        <v>0</v>
      </c>
      <c r="CR29" s="28">
        <f>IF($G29="","",G29*(IF(ADRYr2!$AI29=CR$4,ADRYr2!$AJ29,IF(ADRYr2!$AK29=CR$4,ADRYr2!$AL29,IF(ADRYr2!$AM29=CR$4,ADRYr2!$AN29,0))))*(INDEX(avoidedcosttbl2,$H29,CR$2)+(($H29-ROUNDDOWN($H29,0))*(INDEX(avoidedcosttbl2,ROUNDUP($H29,0),CR$2)-(INDEX(avoidedcosttbl2,ROUNDDOWN($H29,0),CR$2)))))*ADRYr2!$P29*ADRYr2!$Q29*ADRYr2!$U29)</f>
        <v>0</v>
      </c>
      <c r="CS29" s="28">
        <f>IF($G29="","",G29*(IF(ADRYr2!$AI29=CS$4,ADRYr2!$AJ29,IF(ADRYr2!$AK29=CS$4,ADRYr2!$AL29,IF(ADRYr2!$AM29=CS$4,ADRYr2!$AN29,0))))*(INDEX(avoidedcosttbl2,$H29,CS$2)+(($H29-ROUNDDOWN($H29,0))*(INDEX(avoidedcosttbl2,ROUNDUP($H29,0),CS$2)-(INDEX(avoidedcosttbl2,ROUNDDOWN($H29,0),CS$2)))))*ADRYr2!$P29*ADRYr2!$Q29*ADRYr2!$U29)</f>
        <v>0</v>
      </c>
      <c r="CT29" s="28">
        <f t="shared" si="12"/>
        <v>0</v>
      </c>
      <c r="CU29" s="28">
        <f>IF($G29="","",G29*(IF(ADRYr2!$AI29=CU$4,ADRYr2!$AJ29,IF(ADRYr2!$AK29=CU$4,ADRYr2!$AL29,IF(ADRYr2!$AM29=CU$4,ADRYr2!$AN29,0))))*(INDEX(avoidedcosttbl2,$H29,CU$2)+(($H29-ROUNDDOWN($H29,0))*(INDEX(avoidedcosttbl2,ROUNDUP($H29,0),CU$2)-(INDEX(avoidedcosttbl2,ROUNDDOWN($H29,0),CU$2)))))*ADRYr2!$P29*ADRYr2!$Q29*ADRYr2!$U29)</f>
        <v>0</v>
      </c>
      <c r="CV29" s="28">
        <f>IF($G29="","",G29*(IF(ADRYr2!$AI29=CV$4,ADRYr2!$AJ29,IF(ADRYr2!$AK29=CV$4,ADRYr2!$AL29,IF(ADRYr2!$AM29=CV$4,ADRYr2!$AN29,0))))*(INDEX(avoidedcosttbl2,$H29,CV$2)+(($H29-ROUNDDOWN($H29,0))*(INDEX(avoidedcosttbl2,ROUNDUP($H29,0),CV$2)-(INDEX(avoidedcosttbl2,ROUNDDOWN($H29,0),CV$2)))))*ADRYr2!$P29*ADRYr2!$Q29*ADRYr2!$U29)</f>
        <v>0</v>
      </c>
      <c r="CW29" s="28">
        <f>IF($G29="","",G29*(IF(ADRYr2!$AI29=CW$4,ADRYr2!$AJ29,IF(ADRYr2!$AK29=CW$4,ADRYr2!$AL29,IF(ADRYr2!$AM29=CW$4,ADRYr2!$AN29,0))))*(INDEX(avoidedcosttbl2,$H29,CW$2)+(($H29-ROUNDDOWN($H29,0))*(INDEX(avoidedcosttbl2,ROUNDUP($H29,0),CW$2)-(INDEX(avoidedcosttbl2,ROUNDDOWN($H29,0),CW$2)))))*ADRYr2!$P29*ADRYr2!$Q29*ADRYr2!$U29)</f>
        <v>0</v>
      </c>
      <c r="CX29" s="28">
        <f>IF($G29="","",G29*(IF(ADRYr2!$AI29=CX$4,ADRYr2!$AJ29,IF(ADRYr2!$AK29=CX$4,ADRYr2!$AL29,IF(ADRYr2!$AM29=CX$4,ADRYr2!$AN29,0))))*(INDEX(avoidedcosttbl2,$H29,CX$2)+(($H29-ROUNDDOWN($H29,0))*(INDEX(avoidedcosttbl2,ROUNDUP($H29,0),CX$2)-(INDEX(avoidedcosttbl2,ROUNDDOWN($H29,0),CX$2)))))*ADRYr2!$P29*ADRYr2!$Q29*ADRYr2!$U29)</f>
        <v>0</v>
      </c>
      <c r="CY29" s="28">
        <f t="shared" si="13"/>
        <v>0</v>
      </c>
      <c r="CZ29" s="32">
        <f t="shared" si="14"/>
        <v>0</v>
      </c>
      <c r="DA29" s="84">
        <f t="shared" si="41"/>
        <v>0</v>
      </c>
      <c r="DB29" s="81">
        <f>IF(NEIadder="Yes",IF($G29="","",INDEX(Lookups!$G$68:$G$70,MATCH($A29,Lookups!$E$68:$E$70,0))*(SUM(CP29:CX29,BX29))),"")</f>
        <v>48787.155958770469</v>
      </c>
      <c r="DC29" s="263" t="str">
        <f t="shared" si="15"/>
        <v/>
      </c>
      <c r="DD29" s="166">
        <f t="shared" si="16"/>
        <v>0</v>
      </c>
      <c r="DE29" s="82">
        <f t="shared" si="42"/>
        <v>48787.155958770469</v>
      </c>
      <c r="DF29" s="760">
        <f>IF($G29="","",(1+WntPeakEnergyLL)*(INDEX(avoidedcosttbl2,$H29,DF$2)+(($H29-ROUNDDOWN($H29,0))*(INDEX(avoidedcosttbl2,ROUNDUP($H29,0),DF$2)-(INDEX(avoidedcosttbl2,ROUNDDOWN($H29,0),DF$2)))))*$P29*1000*ADRYr2!Z29)</f>
        <v>0</v>
      </c>
      <c r="DG29" s="760">
        <f>IF($G29="","",(1+WntOffPeakEnergyLL)*(INDEX(avoidedcosttbl2,$H29,DG$2)+(($H29-ROUNDDOWN($H29,0))*(INDEX(avoidedcosttbl2,ROUNDUP($H29,0),DG$2)-(INDEX(avoidedcosttbl2,ROUNDDOWN($H29,0),DG$2)))))*$P29*1000*ADRYr2!AA29)</f>
        <v>0</v>
      </c>
      <c r="DH29" s="760">
        <f>IF($G29="","",(1+SumPeakEnergyLL)*(INDEX(avoidedcosttbl2,$H29,DH$2)+(($H29-ROUNDDOWN($H29,0))*(INDEX(avoidedcosttbl2,ROUNDUP($H29,0),DH$2)-(INDEX(avoidedcosttbl2,ROUNDDOWN($H29,0),DH$2)))))*$P29*1000*ADRYr2!AB29)</f>
        <v>0</v>
      </c>
      <c r="DI29" s="760">
        <f>IF($G29="","",(1+SumOffPeakEnergyLL)*(INDEX(avoidedcosttbl2,$H29,DI$2)+(($H29-ROUNDDOWN($H29,0))*(INDEX(avoidedcosttbl2,ROUNDUP($H29,0),DI$2)-(INDEX(avoidedcosttbl2,ROUNDDOWN($H29,0),DI$2)))))*$P29*1000*ADRYr2!AC29)</f>
        <v>0</v>
      </c>
      <c r="DJ29" s="29">
        <f t="shared" si="43"/>
        <v>0</v>
      </c>
      <c r="DK29" s="161">
        <f t="shared" si="44"/>
        <v>536658.71554647514</v>
      </c>
      <c r="DL29" s="1375">
        <f t="shared" si="45"/>
        <v>487871.55958770466</v>
      </c>
      <c r="DM29" s="1375">
        <f t="shared" si="46"/>
        <v>487871.55958770466</v>
      </c>
      <c r="DN29" s="43">
        <f t="shared" si="47"/>
        <v>536658.71554647514</v>
      </c>
      <c r="DO29" s="1131" t="str">
        <f>IF($G29="","",ADRYr2!AQ29)</f>
        <v>Top 20 All Hours</v>
      </c>
      <c r="DP29" s="1133" t="str">
        <f>IF($G29="","",ADRYr2!AR29)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48"/>
        <v>2022-Top 20 All Hours-1</v>
      </c>
      <c r="DU29" s="1135" t="str">
        <f>IF($G29="","",ADRYr2!AS29)</f>
        <v>No</v>
      </c>
      <c r="DV29" s="1136">
        <f>IF($G29="","",ADRYr2!AT29)</f>
        <v>0.1</v>
      </c>
      <c r="DW29" s="1344">
        <f>IF($G29="","",INDEX(AvoidedEnergy!$H$4:$H$10,MATCH($DO29,AvoidedEnergy!$A$4:$A$10,0)))</f>
        <v>0.08</v>
      </c>
    </row>
    <row r="30" spans="1:127">
      <c r="A30" s="160" t="str">
        <f>IF(ADRYr2!$B30=0,"",ADRYr2!A30)</f>
        <v>C - Commercial &amp; Industrial</v>
      </c>
      <c r="B30" s="9" t="str">
        <f>IF(ADRYr2!$B30=0,"",ADRYr2!B30)</f>
        <v>C5 - C&amp;I Active Demand Response</v>
      </c>
      <c r="C30" s="9" t="str">
        <f>IF(ADRYr2!$B30=0,"",ADRYr2!C30)</f>
        <v>C5a - C&amp;I Active Demand Response</v>
      </c>
      <c r="D30" s="9" t="str">
        <f>IF(ADRYr2!$B30=0,"",ADRYr2!D30)</f>
        <v>Load Curtailment Targeted Dispatch P4P Winter</v>
      </c>
      <c r="E30" s="9">
        <f>IF(ADRYr2!$B30=0,"",ADRYr2!E30)</f>
        <v>0</v>
      </c>
      <c r="F30" s="11" t="str">
        <f>IF(ADRYr2!$B30=0,"",ADRYr2!F30)</f>
        <v>Behavior</v>
      </c>
      <c r="G30" s="12" t="str">
        <f>IF(ADRYr2!$G30&lt;&gt;0,ADRYr2!G30,"")</f>
        <v/>
      </c>
      <c r="H30" s="1125" t="str">
        <f>IF($G30="","",ROUND(ADRYr2!H30,0))</f>
        <v/>
      </c>
      <c r="I30" s="47" t="str">
        <f>IF($G30="","",ADRYr2!I30*ADRYr2!P30*G30)</f>
        <v/>
      </c>
      <c r="J30" s="47" t="str">
        <f>IF($G30="","",ADRYr2!J30*G30)</f>
        <v/>
      </c>
      <c r="K30" s="47" t="str">
        <f t="shared" si="17"/>
        <v/>
      </c>
      <c r="L30" s="27" t="str">
        <f>IF($G30="","",ADRYr2!V30*G30/1000)</f>
        <v/>
      </c>
      <c r="M30" s="27" t="str">
        <f>IF($G30="","",L30*ADRYr2!$Q30*ADRYr2!$R30)</f>
        <v/>
      </c>
      <c r="N30" s="27" t="str">
        <f t="shared" si="18"/>
        <v/>
      </c>
      <c r="O30" s="27" t="str">
        <f t="shared" si="19"/>
        <v/>
      </c>
      <c r="P30" s="27" t="str">
        <f>IF($G30="","",M30*ADRYr2!P30)</f>
        <v/>
      </c>
      <c r="Q30" s="27" t="str">
        <f t="shared" si="20"/>
        <v/>
      </c>
      <c r="R30" s="27" t="str">
        <f>IF($G30="","",$Q30*ADRYr2!Z30)</f>
        <v/>
      </c>
      <c r="S30" s="27" t="str">
        <f>IF($G30="","",$Q30*ADRYr2!AA30)</f>
        <v/>
      </c>
      <c r="T30" s="27" t="str">
        <f>IF($G30="","",$Q30*ADRYr2!AB30)</f>
        <v/>
      </c>
      <c r="U30" s="27" t="str">
        <f>IF($G30="","",$Q30*ADRYr2!AC30)</f>
        <v/>
      </c>
      <c r="V30" s="27" t="str">
        <f>IF($G30="","",G30*ADRYr2!$AD30*ADRYr2!$P30*ADRYr2!$Q30)</f>
        <v/>
      </c>
      <c r="W30" s="27" t="str">
        <f>IF($G30="","",$G30*ADRYr2!$AD30*ADRYr2!$AF30*ADRYr2!Q30*ADRYr2!$S30)</f>
        <v/>
      </c>
      <c r="X30" s="27" t="str">
        <f>IF($G30="","",$G30*ADRYr2!$AD30*ADRYr2!$AF30*ADRYr2!P30*ADRYr2!Q30*ADRYr2!$S30)</f>
        <v/>
      </c>
      <c r="Y30" s="27" t="str">
        <f>IF($G30="","",$G30*ADRYr2!$AD30*ADRYr2!$AE30*ADRYr2!Q30*ADRYr2!$T30)</f>
        <v/>
      </c>
      <c r="Z30" s="27" t="str">
        <f>IF($G30="","",$G30*ADRYr2!$AD30*ADRYr2!$AE30*ADRYr2!P30*ADRYr2!Q30*ADRYr2!$T30)</f>
        <v/>
      </c>
      <c r="AA30" s="45" t="str">
        <f>IF($G30="","",$G30*ADRYr2!$Q30*ADRYr2!$U30*(IF(IFERROR(SEARCH("NG", ADRYr2!$AI30),0),ADRYr2!$AJ30,0)+IF(IFERROR(SEARCH("NG", ADRYr2!$AK30),0),ADRYr2!$AL30,0)+IF(IFERROR(SEARCH("NG", ADRYr2!$AM30),0),ADRYr2!$AN30,0)))</f>
        <v/>
      </c>
      <c r="AB30" s="45" t="str">
        <f t="shared" si="21"/>
        <v/>
      </c>
      <c r="AC30" s="45">
        <f>IF($G30="",0,AA30*ADRYr2!$P30)</f>
        <v>0</v>
      </c>
      <c r="AD30" s="45" t="str">
        <f t="shared" si="22"/>
        <v/>
      </c>
      <c r="AE30" s="45" t="str">
        <f>IF($G30="","",$G30*ADRYr2!$Q30*ADRYr2!$U30*(IF(IFERROR(SEARCH("Oil", ADRYr2!$AI30), 0),ADRYr2!$AJ30,0)+IF(IFERROR(SEARCH("Oil", ADRYr2!$AK30), 0),ADRYr2!$AL30,0)+IF(IFERROR(SEARCH("Oil", ADRYr2!$AM30), 0),ADRYr2!$AN30,0)))</f>
        <v/>
      </c>
      <c r="AF30" s="45" t="str">
        <f t="shared" si="23"/>
        <v/>
      </c>
      <c r="AG30" s="45">
        <f>IF($G30="",0,AE30*ADRYr2!$P30)</f>
        <v>0</v>
      </c>
      <c r="AH30" s="45" t="str">
        <f t="shared" si="24"/>
        <v/>
      </c>
      <c r="AI30" s="45" t="str">
        <f>IF($G30="","",$G30*ADRYr2!$Q30*ADRYr2!$U30*(IF(ADRYr2!$AI30=Lookups!$E$114,ADRYr2!$AJ30,IF(ADRYr2!$AK30=Lookups!$E$114,ADRYr2!$AL30,IF(ADRYr2!$AM30=Lookups!$E$114,ADRYr2!$AN30,0)))))</f>
        <v/>
      </c>
      <c r="AJ30" s="45" t="str">
        <f t="shared" si="25"/>
        <v/>
      </c>
      <c r="AK30" s="45">
        <f>IF($G30="",0,AI30*ADRYr2!$P30)</f>
        <v>0</v>
      </c>
      <c r="AL30" s="45" t="str">
        <f t="shared" si="26"/>
        <v/>
      </c>
      <c r="AM30" s="45" t="str">
        <f>IF($G30="","",$G30*ADRYr2!$Q30*ADRYr2!$U30*(IF(ADRYr2!$AI30=Lookups!$E$113,ADRYr2!$AJ30,IF(ADRYr2!$AK30=Lookups!$E$113,ADRYr2!$AL30,IF(ADRYr2!$AM30=Lookups!$E$113,ADRYr2!$AN30,0)))))</f>
        <v/>
      </c>
      <c r="AN30" s="45" t="str">
        <f t="shared" si="27"/>
        <v/>
      </c>
      <c r="AO30" s="45">
        <f>IF($G30="",0,AM30*ADRYr2!$P30)</f>
        <v>0</v>
      </c>
      <c r="AP30" s="45" t="str">
        <f t="shared" si="28"/>
        <v/>
      </c>
      <c r="AQ30" s="45" t="str">
        <f>IF($G30="","",$G30*ADRYr2!$Q30*ADRYr2!$U30*(IF(ADRYr2!$AI30=Lookups!$E$115,ADRYr2!$AJ30,IF(ADRYr2!$AK30=Lookups!$E$115,ADRYr2!$AL30,IF(ADRYr2!$AM30=Lookups!$E$115,ADRYr2!$AN30,0)))))</f>
        <v/>
      </c>
      <c r="AR30" s="45" t="str">
        <f t="shared" si="29"/>
        <v/>
      </c>
      <c r="AS30" s="45" t="str">
        <f>IF($G30="","",AQ30*ADRYr2!$P30)</f>
        <v/>
      </c>
      <c r="AT30" s="45" t="str">
        <f t="shared" si="30"/>
        <v/>
      </c>
      <c r="AU30" s="45" t="str">
        <f>IF($G30="","",$G30*ADRYr2!$Q30*ADRYr2!$U30*(IF(ADRYr2!$AI30=Lookups!$E$116,ADRYr2!$AJ30,IF(ADRYr2!$AK30=Lookups!$E$116,ADRYr2!$AL30,IF(ADRYr2!$AM30=Lookups!$E$116,ADRYr2!$AN30,0)))))</f>
        <v/>
      </c>
      <c r="AV30" s="45" t="str">
        <f t="shared" si="31"/>
        <v/>
      </c>
      <c r="AW30" s="45" t="str">
        <f>IF($G30="","",AU30*ADRYr2!$P30)</f>
        <v/>
      </c>
      <c r="AX30" s="45" t="str">
        <f t="shared" si="32"/>
        <v/>
      </c>
      <c r="AY30" s="45">
        <f t="shared" si="49"/>
        <v>0</v>
      </c>
      <c r="AZ30" s="45">
        <f t="shared" si="49"/>
        <v>0</v>
      </c>
      <c r="BA30" s="101" t="str">
        <f>IF($G30="","",$G30*ADRYr2!$P30*ADRYr2!$Q30*ADRYr2!$U30*ADRYr2!AO30)</f>
        <v/>
      </c>
      <c r="BB30" s="102" t="str">
        <f>IF($G30="","",$G30*ADRYr2!$P30*ADRYr2!$Q30*ADRYr2!$U30*ADRYr2!AP30)</f>
        <v/>
      </c>
      <c r="BC30" s="100" t="str">
        <f t="shared" si="34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5"/>
        <v/>
      </c>
      <c r="BO30" s="31" t="str">
        <f t="shared" si="35"/>
        <v/>
      </c>
      <c r="BP30" s="1129" t="str">
        <f t="shared" si="6"/>
        <v/>
      </c>
      <c r="BQ30" s="28" t="str">
        <f t="shared" si="7"/>
        <v/>
      </c>
      <c r="BR30" s="1129" t="str">
        <f t="shared" si="8"/>
        <v/>
      </c>
      <c r="BS30" s="1129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6"/>
        <v/>
      </c>
      <c r="BX30" s="29" t="str">
        <f t="shared" si="37"/>
        <v/>
      </c>
      <c r="BY30" s="28" t="str">
        <f>IF($G30="","",$G30*(IF(ADRYr2!$AI30=BY$4,ADRYr2!$AJ30,IF(ADRYr2!$AK30=BY$4,ADRYr2!$AL30,IF(ADRYr2!$AM30=BY$4,ADRYr2!$AN30,0))))*(INDEX(avoidedcosttbl2,$H30,BY$2)+(($H30-ROUNDDOWN($H30,0))*(INDEX(avoidedcosttbl2,ROUNDUP($H30,0),BY$2)-(INDEX(avoidedcosttbl2,ROUNDDOWN($H30,0),BY$2)))))*ADRYr2!P30*ADRYr2!Q30*ADRYr2!U30)</f>
        <v/>
      </c>
      <c r="BZ30" s="28" t="str">
        <f>IF($G30="","",$G30*(IF(ADRYr2!$AI30=BZ$4,ADRYr2!$AJ30,IF(ADRYr2!$AK30=BZ$4,ADRYr2!$AL30,IF(ADRYr2!$AM30=BZ$4,ADRYr2!$AN30,0))))*(INDEX(avoidedcosttbl2,$H30,BZ$2)+(($H30-ROUNDDOWN($H30,0))*(INDEX(avoidedcosttbl2,ROUNDUP($H30,0),BZ$2)-(INDEX(avoidedcosttbl2,ROUNDDOWN($H30,0),BZ$2)))))*ADRYr2!P30*ADRYr2!Q30*ADRYr2!U30)</f>
        <v/>
      </c>
      <c r="CA30" s="28" t="str">
        <f>IF($G30="","",$G30*(IF(ADRYr2!$AI30=CA$4,ADRYr2!$AJ30,IF(ADRYr2!$AK30=CA$4,ADRYr2!$AL30,IF(ADRYr2!$AM30=CA$4,ADRYr2!$AN30,0))))*(INDEX(avoidedcosttbl2,$H30,CA$2)+(($H30-ROUNDDOWN($H30,0))*(INDEX(avoidedcosttbl2,ROUNDUP($H30,0),CA$2)-(INDEX(avoidedcosttbl2,ROUNDDOWN($H30,0),CA$2)))))*ADRYr2!P30*ADRYr2!Q30*ADRYr2!U30)</f>
        <v/>
      </c>
      <c r="CB30" s="28" t="str">
        <f>IF($G30="","",$G30*(IF(ADRYr2!$AI30=CB$4,ADRYr2!$AJ30,IF(ADRYr2!$AK30=CB$4,ADRYr2!$AL30,IF(ADRYr2!$AM30=CB$4,ADRYr2!$AN30,0))))*(INDEX(avoidedcosttbl2,$H30,CB$2)+(($H30-ROUNDDOWN($H30,0))*(INDEX(avoidedcosttbl2,ROUNDUP($H30,0),CB$2)-(INDEX(avoidedcosttbl2,ROUNDDOWN($H30,0),CB$2)))))*ADRYr2!P30*ADRYr2!Q30*ADRYr2!U30)</f>
        <v/>
      </c>
      <c r="CC30" s="28" t="str">
        <f>IF($G30="","",$G30*(IF(ADRYr2!$AI30=CC$4,ADRYr2!$AJ30,IF(ADRYr2!$AK30=CC$4,ADRYr2!$AL30,IF(ADRYr2!$AM30=CC$4,ADRYr2!$AN30,0))))*(INDEX(avoidedcosttbl2,$H30,CC$2)+(($H30-ROUNDDOWN($H30,0))*(INDEX(avoidedcosttbl2,ROUNDUP($H30,0),CC$2)-(INDEX(avoidedcosttbl2,ROUNDDOWN($H30,0),CC$2)))))*ADRYr2!P30*ADRYr2!Q30*ADRYr2!U30)</f>
        <v/>
      </c>
      <c r="CD30" s="28" t="str">
        <f>IF($G30="","",$G30*(IF(ADRYr2!$AI30=CD$4,ADRYr2!$AJ30,IF(ADRYr2!$AK30=CD$4,ADRYr2!$AL30,IF(ADRYr2!$AM30=CD$4,ADRYr2!$AN30,0))))*(INDEX(avoidedcosttbl2,$H30,CD$2)+(($H30-ROUNDDOWN($H30,0))*(INDEX(avoidedcosttbl2,ROUNDUP($H30,0),CD$2)-(INDEX(avoidedcosttbl2,ROUNDDOWN($H30,0),CD$2)))))*ADRYr2!P30*ADRYr2!Q30*ADRYr2!U30)</f>
        <v/>
      </c>
      <c r="CE30" s="28" t="str">
        <f>IF($G30="","",$G30*(IF(ADRYr2!$AI30=CE$4,ADRYr2!$AJ30,IF(ADRYr2!$AK30=CE$4,ADRYr2!$AL30,IF(ADRYr2!$AM30=CE$4,ADRYr2!$AN30,0))))*(INDEX(avoidedcosttbl2,$H30,CE$2)+(($H30-ROUNDDOWN($H30,0))*(INDEX(avoidedcosttbl2,ROUNDUP($H30,0),CE$2)-(INDEX(avoidedcosttbl2,ROUNDDOWN($H30,0),CE$2)))))*ADRYr2!P30*ADRYr2!Q30*ADRYr2!U30)</f>
        <v/>
      </c>
      <c r="CF30" s="41" t="str">
        <f t="shared" si="38"/>
        <v/>
      </c>
      <c r="CG30" s="30" t="str">
        <f t="shared" si="11"/>
        <v/>
      </c>
      <c r="CH30" s="30" t="str">
        <f>IF($G30="","",$G30*(IF(ADRYr2!$AI30=BY$4,ADRYr2!$AJ30,IF(ADRYr2!$AK30=BY$4,ADRYr2!$AL30,IF(ADRYr2!$AM30=BY$4,ADRYr2!$AN30,0))))*(INDEX(avoidedcosttbl2,$H30,CH$2)+(($H30-ROUNDDOWN($H30,0))*(INDEX(avoidedcosttbl2,ROUNDUP($H30,0),CH$2)-(INDEX(avoidedcosttbl2,ROUNDDOWN($H30,0),CH$2)))))*ADRYr2!P30*ADRYr2!Q30*ADRYr2!U30)</f>
        <v/>
      </c>
      <c r="CI30" s="30" t="str">
        <f>IF($G30="","",$G30*(IF(ADRYr2!$AI30=BZ$4,ADRYr2!$AJ30,IF(ADRYr2!$AK30=BZ$4,ADRYr2!$AL30,IF(ADRYr2!$AM30=BZ$4,ADRYr2!$AN30,0))))*(INDEX(avoidedcosttbl2,$H30,CI$2)+(($H30-ROUNDDOWN($H30,0))*(INDEX(avoidedcosttbl2,ROUNDUP($H30,0),CI$2)-(INDEX(avoidedcosttbl2,ROUNDDOWN($H30,0),CI$2)))))*ADRYr2!P30*ADRYr2!Q30*ADRYr2!U30)</f>
        <v/>
      </c>
      <c r="CJ30" s="30" t="str">
        <f>IF($G30="","",$G30*(IF(ADRYr2!$AI30=CA$4,ADRYr2!$AJ30,IF(ADRYr2!$AK30=CA$4,ADRYr2!$AL30,IF(ADRYr2!$AM30=CA$4,ADRYr2!$AN30,0))))*(INDEX(avoidedcosttbl2,$H30,CJ$2)+(($H30-ROUNDDOWN($H30,0))*(INDEX(avoidedcosttbl2,ROUNDUP($H30,0),CJ$2)-(INDEX(avoidedcosttbl2,ROUNDDOWN($H30,0),CJ$2)))))*ADRYr2!P30*ADRYr2!Q30*ADRYr2!U30)</f>
        <v/>
      </c>
      <c r="CK30" s="30" t="str">
        <f>IF($G30="","",$G30*(IF(ADRYr2!$AI30=CB$4,ADRYr2!$AJ30,IF(ADRYr2!$AK30=CB$4,ADRYr2!$AL30,IF(ADRYr2!$AM30=CB$4,ADRYr2!$AN30,0))))*(INDEX(avoidedcosttbl2,$H30,CK$2)+(($H30-ROUNDDOWN($H30,0))*(INDEX(avoidedcosttbl2,ROUNDUP($H30,0),CK$2)-(INDEX(avoidedcosttbl2,ROUNDDOWN($H30,0),CK$2)))))*ADRYr2!P30*ADRYr2!Q30*ADRYr2!U30)</f>
        <v/>
      </c>
      <c r="CL30" s="30" t="str">
        <f>IF($G30="","",$G30*(IF(ADRYr2!$AI30=CC$4,ADRYr2!$AJ30,IF(ADRYr2!$AK30=CC$4,ADRYr2!$AL30,IF(ADRYr2!$AM30=CC$4,ADRYr2!$AN30,0))))*(INDEX(avoidedcosttbl2,$H30,CL$2)+(($H30-ROUNDDOWN($H30,0))*(INDEX(avoidedcosttbl2,ROUNDUP($H30,0),CL$2)-(INDEX(avoidedcosttbl2,ROUNDDOWN($H30,0),CL$2)))))*ADRYr2!P30*ADRYr2!Q30*ADRYr2!U30)</f>
        <v/>
      </c>
      <c r="CM30" s="30" t="str">
        <f>IF($G30="","",$G30*(IF(ADRYr2!$AI30=CD$4,ADRYr2!$AJ30,IF(ADRYr2!$AK30=CD$4,ADRYr2!$AL30,IF(ADRYr2!$AM30=CD$4,ADRYr2!$AN30,0))))*(INDEX(avoidedcosttbl2,$H30,CM$2)+(($H30-ROUNDDOWN($H30,0))*(INDEX(avoidedcosttbl2,ROUNDUP($H30,0),CM$2)-(INDEX(avoidedcosttbl2,ROUNDDOWN($H30,0),CM$2)))))*ADRYr2!P30*ADRYr2!Q30*ADRYr2!U30)</f>
        <v/>
      </c>
      <c r="CN30" s="30" t="str">
        <f>IF($G30="","",$G30*(IF(ADRYr2!$AI30=CE$4,ADRYr2!$AJ30,IF(ADRYr2!$AK30=CE$4,ADRYr2!$AL30,IF(ADRYr2!$AM30=CE$4,ADRYr2!$AN30,0))))*(INDEX(avoidedcosttbl2,$H30,CN$2)+(($H30-ROUNDDOWN($H30,0))*(INDEX(avoidedcosttbl2,ROUNDUP($H30,0),CN$2)-(INDEX(avoidedcosttbl2,ROUNDDOWN($H30,0),CN$2)))))*ADRYr2!P30*ADRYr2!Q30*ADRYr2!U30)</f>
        <v/>
      </c>
      <c r="CO30" s="220" t="str">
        <f t="shared" si="39"/>
        <v/>
      </c>
      <c r="CP30" s="220" t="str">
        <f t="shared" si="40"/>
        <v/>
      </c>
      <c r="CQ30" s="157" t="str">
        <f>IF($G30="","",$G30*(IF(ADRYr2!$AI30=CQ$4,ADRYr2!$AJ30,IF(ADRYr2!$AK30=CQ$4,ADRYr2!$AL30,IF(ADRYr2!$AM30=CQ$4,ADRYr2!$AN30,0))))*(INDEX(avoidedcosttbl2,$H30,CQ$2)+(($H30-ROUNDDOWN($H30,0))*(INDEX(avoidedcosttbl2,ROUNDUP($H30,0),CQ$2)-(INDEX(avoidedcosttbl2,ROUNDDOWN($H30,0),CQ$2)))))*ADRYr2!$P30*ADRYr2!$Q30*ADRYr2!$U30)</f>
        <v/>
      </c>
      <c r="CR30" s="28" t="str">
        <f>IF($G30="","",G30*(IF(ADRYr2!$AI30=CR$4,ADRYr2!$AJ30,IF(ADRYr2!$AK30=CR$4,ADRYr2!$AL30,IF(ADRYr2!$AM30=CR$4,ADRYr2!$AN30,0))))*(INDEX(avoidedcosttbl2,$H30,CR$2)+(($H30-ROUNDDOWN($H30,0))*(INDEX(avoidedcosttbl2,ROUNDUP($H30,0),CR$2)-(INDEX(avoidedcosttbl2,ROUNDDOWN($H30,0),CR$2)))))*ADRYr2!$P30*ADRYr2!$Q30*ADRYr2!$U30)</f>
        <v/>
      </c>
      <c r="CS30" s="28" t="str">
        <f>IF($G30="","",G30*(IF(ADRYr2!$AI30=CS$4,ADRYr2!$AJ30,IF(ADRYr2!$AK30=CS$4,ADRYr2!$AL30,IF(ADRYr2!$AM30=CS$4,ADRYr2!$AN30,0))))*(INDEX(avoidedcosttbl2,$H30,CS$2)+(($H30-ROUNDDOWN($H30,0))*(INDEX(avoidedcosttbl2,ROUNDUP($H30,0),CS$2)-(INDEX(avoidedcosttbl2,ROUNDDOWN($H30,0),CS$2)))))*ADRYr2!$P30*ADRYr2!$Q30*ADRYr2!$U30)</f>
        <v/>
      </c>
      <c r="CT30" s="28" t="str">
        <f t="shared" si="12"/>
        <v/>
      </c>
      <c r="CU30" s="28" t="str">
        <f>IF($G30="","",G30*(IF(ADRYr2!$AI30=CU$4,ADRYr2!$AJ30,IF(ADRYr2!$AK30=CU$4,ADRYr2!$AL30,IF(ADRYr2!$AM30=CU$4,ADRYr2!$AN30,0))))*(INDEX(avoidedcosttbl2,$H30,CU$2)+(($H30-ROUNDDOWN($H30,0))*(INDEX(avoidedcosttbl2,ROUNDUP($H30,0),CU$2)-(INDEX(avoidedcosttbl2,ROUNDDOWN($H30,0),CU$2)))))*ADRYr2!$P30*ADRYr2!$Q30*ADRYr2!$U30)</f>
        <v/>
      </c>
      <c r="CV30" s="28" t="str">
        <f>IF($G30="","",G30*(IF(ADRYr2!$AI30=CV$4,ADRYr2!$AJ30,IF(ADRYr2!$AK30=CV$4,ADRYr2!$AL30,IF(ADRYr2!$AM30=CV$4,ADRYr2!$AN30,0))))*(INDEX(avoidedcosttbl2,$H30,CV$2)+(($H30-ROUNDDOWN($H30,0))*(INDEX(avoidedcosttbl2,ROUNDUP($H30,0),CV$2)-(INDEX(avoidedcosttbl2,ROUNDDOWN($H30,0),CV$2)))))*ADRYr2!$P30*ADRYr2!$Q30*ADRYr2!$U30)</f>
        <v/>
      </c>
      <c r="CW30" s="28" t="str">
        <f>IF($G30="","",G30*(IF(ADRYr2!$AI30=CW$4,ADRYr2!$AJ30,IF(ADRYr2!$AK30=CW$4,ADRYr2!$AL30,IF(ADRYr2!$AM30=CW$4,ADRYr2!$AN30,0))))*(INDEX(avoidedcosttbl2,$H30,CW$2)+(($H30-ROUNDDOWN($H30,0))*(INDEX(avoidedcosttbl2,ROUNDUP($H30,0),CW$2)-(INDEX(avoidedcosttbl2,ROUNDDOWN($H30,0),CW$2)))))*ADRYr2!$P30*ADRYr2!$Q30*ADRYr2!$U30)</f>
        <v/>
      </c>
      <c r="CX30" s="28" t="str">
        <f>IF($G30="","",G30*(IF(ADRYr2!$AI30=CX$4,ADRYr2!$AJ30,IF(ADRYr2!$AK30=CX$4,ADRYr2!$AL30,IF(ADRYr2!$AM30=CX$4,ADRYr2!$AN30,0))))*(INDEX(avoidedcosttbl2,$H30,CX$2)+(($H30-ROUNDDOWN($H30,0))*(INDEX(avoidedcosttbl2,ROUNDUP($H30,0),CX$2)-(INDEX(avoidedcosttbl2,ROUNDDOWN($H30,0),CX$2)))))*ADRYr2!$P30*ADRYr2!$Q30*ADRYr2!$U30)</f>
        <v/>
      </c>
      <c r="CY30" s="28" t="str">
        <f t="shared" si="13"/>
        <v/>
      </c>
      <c r="CZ30" s="32" t="str">
        <f t="shared" si="14"/>
        <v/>
      </c>
      <c r="DA30" s="84" t="str">
        <f t="shared" si="41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15"/>
        <v/>
      </c>
      <c r="DD30" s="166" t="str">
        <f t="shared" si="16"/>
        <v/>
      </c>
      <c r="DE30" s="82">
        <f t="shared" si="42"/>
        <v>0</v>
      </c>
      <c r="DF30" s="760" t="str">
        <f>IF($G30="","",(1+WntPeakEnergyLL)*(INDEX(avoidedcosttbl2,$H30,DF$2)+(($H30-ROUNDDOWN($H30,0))*(INDEX(avoidedcosttbl2,ROUNDUP($H30,0),DF$2)-(INDEX(avoidedcosttbl2,ROUNDDOWN($H30,0),DF$2)))))*$P30*1000*ADRYr2!Z30)</f>
        <v/>
      </c>
      <c r="DG30" s="760" t="str">
        <f>IF($G30="","",(1+WntOffPeakEnergyLL)*(INDEX(avoidedcosttbl2,$H30,DG$2)+(($H30-ROUNDDOWN($H30,0))*(INDEX(avoidedcosttbl2,ROUNDUP($H30,0),DG$2)-(INDEX(avoidedcosttbl2,ROUNDDOWN($H30,0),DG$2)))))*$P30*1000*ADRYr2!AA30)</f>
        <v/>
      </c>
      <c r="DH30" s="760" t="str">
        <f>IF($G30="","",(1+SumPeakEnergyLL)*(INDEX(avoidedcosttbl2,$H30,DH$2)+(($H30-ROUNDDOWN($H30,0))*(INDEX(avoidedcosttbl2,ROUNDUP($H30,0),DH$2)-(INDEX(avoidedcosttbl2,ROUNDDOWN($H30,0),DH$2)))))*$P30*1000*ADRYr2!AB30)</f>
        <v/>
      </c>
      <c r="DI30" s="760" t="str">
        <f>IF($G30="","",(1+SumOffPeakEnergyLL)*(INDEX(avoidedcosttbl2,$H30,DI$2)+(($H30-ROUNDDOWN($H30,0))*(INDEX(avoidedcosttbl2,ROUNDUP($H30,0),DI$2)-(INDEX(avoidedcosttbl2,ROUNDDOWN($H30,0),DI$2)))))*$P30*1000*ADRYr2!AC30)</f>
        <v/>
      </c>
      <c r="DJ30" s="29" t="str">
        <f t="shared" si="43"/>
        <v/>
      </c>
      <c r="DK30" s="161" t="str">
        <f t="shared" si="44"/>
        <v/>
      </c>
      <c r="DL30" s="1375" t="str">
        <f t="shared" si="45"/>
        <v/>
      </c>
      <c r="DM30" s="1375" t="str">
        <f t="shared" si="46"/>
        <v/>
      </c>
      <c r="DN30" s="43" t="str">
        <f t="shared" si="47"/>
        <v/>
      </c>
      <c r="DO30" s="1131" t="str">
        <f>IF($G30="","",ADRYr2!AQ30)</f>
        <v/>
      </c>
      <c r="DP30" s="1133" t="str">
        <f>IF($G30="","",ADRYr2!AR30)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48"/>
        <v/>
      </c>
      <c r="DU30" s="1135" t="str">
        <f>IF($G30="","",ADRYr2!AS30)</f>
        <v/>
      </c>
      <c r="DV30" s="1136" t="str">
        <f>IF($G30="","",ADRYr2!AT30)</f>
        <v/>
      </c>
      <c r="DW30" s="1344" t="str">
        <f>IF($G30="","",INDEX(AvoidedEnergy!$H$4:$H$10,MATCH($DO30,AvoidedEnergy!$A$4:$A$10,0)))</f>
        <v/>
      </c>
    </row>
    <row r="31" spans="1:127">
      <c r="A31" s="160" t="str">
        <f>IF(ADRYr2!$B31=0,"",ADRYr2!A31)</f>
        <v>C - Commercial &amp; Industrial</v>
      </c>
      <c r="B31" s="9" t="str">
        <f>IF(ADRYr2!$B31=0,"",ADRYr2!B31)</f>
        <v>C5 - C&amp;I Active Demand Response</v>
      </c>
      <c r="C31" s="9" t="str">
        <f>IF(ADRYr2!$B31=0,"",ADRYr2!C31)</f>
        <v>C5a - C&amp;I Active Demand Response</v>
      </c>
      <c r="D31" s="9" t="str">
        <f>IF(ADRYr2!$B31=0,"",ADRYr2!D31)</f>
        <v>Storage Daily Dispatch Upfront Incentive (savings) Summer</v>
      </c>
      <c r="E31" s="9">
        <f>IF(ADRYr2!$B31=0,"",ADRYr2!E31)</f>
        <v>0</v>
      </c>
      <c r="F31" s="11" t="str">
        <f>IF(ADRYr2!$B31=0,"",ADRYr2!F31)</f>
        <v>Behavior</v>
      </c>
      <c r="G31" s="12" t="str">
        <f>IF(ADRYr2!$G31&lt;&gt;0,ADRYr2!G31,"")</f>
        <v/>
      </c>
      <c r="H31" s="1125" t="str">
        <f>IF($G31="","",ROUND(ADRYr2!H31,0))</f>
        <v/>
      </c>
      <c r="I31" s="47" t="str">
        <f>IF($G31="","",ADRYr2!I31*ADRYr2!P31*G31)</f>
        <v/>
      </c>
      <c r="J31" s="47" t="str">
        <f>IF($G31="","",ADRYr2!J31*G31)</f>
        <v/>
      </c>
      <c r="K31" s="47" t="str">
        <f t="shared" si="17"/>
        <v/>
      </c>
      <c r="L31" s="27" t="str">
        <f>IF($G31="","",ADRYr2!V31*G31/1000)</f>
        <v/>
      </c>
      <c r="M31" s="27" t="str">
        <f>IF($G31="","",L31*ADRYr2!$Q31*ADRYr2!$R31)</f>
        <v/>
      </c>
      <c r="N31" s="27" t="str">
        <f t="shared" si="18"/>
        <v/>
      </c>
      <c r="O31" s="27" t="str">
        <f t="shared" si="19"/>
        <v/>
      </c>
      <c r="P31" s="27" t="str">
        <f>IF($G31="","",M31*ADRYr2!P31)</f>
        <v/>
      </c>
      <c r="Q31" s="27" t="str">
        <f t="shared" si="20"/>
        <v/>
      </c>
      <c r="R31" s="27" t="str">
        <f>IF($G31="","",$Q31*ADRYr2!Z31)</f>
        <v/>
      </c>
      <c r="S31" s="27" t="str">
        <f>IF($G31="","",$Q31*ADRYr2!AA31)</f>
        <v/>
      </c>
      <c r="T31" s="27" t="str">
        <f>IF($G31="","",$Q31*ADRYr2!AB31)</f>
        <v/>
      </c>
      <c r="U31" s="27" t="str">
        <f>IF($G31="","",$Q31*ADRYr2!AC31)</f>
        <v/>
      </c>
      <c r="V31" s="27" t="str">
        <f>IF($G31="","",G31*ADRYr2!$AD31*ADRYr2!$P31*ADRYr2!$Q31)</f>
        <v/>
      </c>
      <c r="W31" s="27" t="str">
        <f>IF($G31="","",$G31*ADRYr2!$AD31*ADRYr2!$AF31*ADRYr2!Q31*ADRYr2!$S31)</f>
        <v/>
      </c>
      <c r="X31" s="27" t="str">
        <f>IF($G31="","",$G31*ADRYr2!$AD31*ADRYr2!$AF31*ADRYr2!P31*ADRYr2!Q31*ADRYr2!$S31)</f>
        <v/>
      </c>
      <c r="Y31" s="27" t="str">
        <f>IF($G31="","",$G31*ADRYr2!$AD31*ADRYr2!$AE31*ADRYr2!Q31*ADRYr2!$T31)</f>
        <v/>
      </c>
      <c r="Z31" s="27" t="str">
        <f>IF($G31="","",$G31*ADRYr2!$AD31*ADRYr2!$AE31*ADRYr2!P31*ADRYr2!Q31*ADRYr2!$T31)</f>
        <v/>
      </c>
      <c r="AA31" s="45" t="str">
        <f>IF($G31="","",$G31*ADRYr2!$Q31*ADRYr2!$U31*(IF(IFERROR(SEARCH("NG", ADRYr2!$AI31),0),ADRYr2!$AJ31,0)+IF(IFERROR(SEARCH("NG", ADRYr2!$AK31),0),ADRYr2!$AL31,0)+IF(IFERROR(SEARCH("NG", ADRYr2!$AM31),0),ADRYr2!$AN31,0)))</f>
        <v/>
      </c>
      <c r="AB31" s="45" t="str">
        <f t="shared" si="21"/>
        <v/>
      </c>
      <c r="AC31" s="45">
        <f>IF($G31="",0,AA31*ADRYr2!$P31)</f>
        <v>0</v>
      </c>
      <c r="AD31" s="45" t="str">
        <f t="shared" si="22"/>
        <v/>
      </c>
      <c r="AE31" s="45" t="str">
        <f>IF($G31="","",$G31*ADRYr2!$Q31*ADRYr2!$U31*(IF(IFERROR(SEARCH("Oil", ADRYr2!$AI31), 0),ADRYr2!$AJ31,0)+IF(IFERROR(SEARCH("Oil", ADRYr2!$AK31), 0),ADRYr2!$AL31,0)+IF(IFERROR(SEARCH("Oil", ADRYr2!$AM31), 0),ADRYr2!$AN31,0)))</f>
        <v/>
      </c>
      <c r="AF31" s="45" t="str">
        <f t="shared" si="23"/>
        <v/>
      </c>
      <c r="AG31" s="45">
        <f>IF($G31="",0,AE31*ADRYr2!$P31)</f>
        <v>0</v>
      </c>
      <c r="AH31" s="45" t="str">
        <f t="shared" si="24"/>
        <v/>
      </c>
      <c r="AI31" s="45" t="str">
        <f>IF($G31="","",$G31*ADRYr2!$Q31*ADRYr2!$U31*(IF(ADRYr2!$AI31=Lookups!$E$114,ADRYr2!$AJ31,IF(ADRYr2!$AK31=Lookups!$E$114,ADRYr2!$AL31,IF(ADRYr2!$AM31=Lookups!$E$114,ADRYr2!$AN31,0)))))</f>
        <v/>
      </c>
      <c r="AJ31" s="45" t="str">
        <f t="shared" si="25"/>
        <v/>
      </c>
      <c r="AK31" s="45">
        <f>IF($G31="",0,AI31*ADRYr2!$P31)</f>
        <v>0</v>
      </c>
      <c r="AL31" s="45" t="str">
        <f t="shared" si="26"/>
        <v/>
      </c>
      <c r="AM31" s="45" t="str">
        <f>IF($G31="","",$G31*ADRYr2!$Q31*ADRYr2!$U31*(IF(ADRYr2!$AI31=Lookups!$E$113,ADRYr2!$AJ31,IF(ADRYr2!$AK31=Lookups!$E$113,ADRYr2!$AL31,IF(ADRYr2!$AM31=Lookups!$E$113,ADRYr2!$AN31,0)))))</f>
        <v/>
      </c>
      <c r="AN31" s="45" t="str">
        <f t="shared" si="27"/>
        <v/>
      </c>
      <c r="AO31" s="45">
        <f>IF($G31="",0,AM31*ADRYr2!$P31)</f>
        <v>0</v>
      </c>
      <c r="AP31" s="45" t="str">
        <f t="shared" si="28"/>
        <v/>
      </c>
      <c r="AQ31" s="45" t="str">
        <f>IF($G31="","",$G31*ADRYr2!$Q31*ADRYr2!$U31*(IF(ADRYr2!$AI31=Lookups!$E$115,ADRYr2!$AJ31,IF(ADRYr2!$AK31=Lookups!$E$115,ADRYr2!$AL31,IF(ADRYr2!$AM31=Lookups!$E$115,ADRYr2!$AN31,0)))))</f>
        <v/>
      </c>
      <c r="AR31" s="45" t="str">
        <f t="shared" si="29"/>
        <v/>
      </c>
      <c r="AS31" s="45" t="str">
        <f>IF($G31="","",AQ31*ADRYr2!$P31)</f>
        <v/>
      </c>
      <c r="AT31" s="45" t="str">
        <f t="shared" si="30"/>
        <v/>
      </c>
      <c r="AU31" s="45" t="str">
        <f>IF($G31="","",$G31*ADRYr2!$Q31*ADRYr2!$U31*(IF(ADRYr2!$AI31=Lookups!$E$116,ADRYr2!$AJ31,IF(ADRYr2!$AK31=Lookups!$E$116,ADRYr2!$AL31,IF(ADRYr2!$AM31=Lookups!$E$116,ADRYr2!$AN31,0)))))</f>
        <v/>
      </c>
      <c r="AV31" s="45" t="str">
        <f t="shared" si="31"/>
        <v/>
      </c>
      <c r="AW31" s="45" t="str">
        <f>IF($G31="","",AU31*ADRYr2!$P31)</f>
        <v/>
      </c>
      <c r="AX31" s="45" t="str">
        <f t="shared" si="32"/>
        <v/>
      </c>
      <c r="AY31" s="45">
        <f t="shared" si="49"/>
        <v>0</v>
      </c>
      <c r="AZ31" s="45">
        <f t="shared" si="49"/>
        <v>0</v>
      </c>
      <c r="BA31" s="101" t="str">
        <f>IF($G31="","",$G31*ADRYr2!$P31*ADRYr2!$Q31*ADRYr2!$U31*ADRYr2!AO31)</f>
        <v/>
      </c>
      <c r="BB31" s="102" t="str">
        <f>IF($G31="","",$G31*ADRYr2!$P31*ADRYr2!$Q31*ADRYr2!$U31*ADRYr2!AP31)</f>
        <v/>
      </c>
      <c r="BC31" s="100" t="str">
        <f t="shared" si="34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5"/>
        <v/>
      </c>
      <c r="BO31" s="31" t="str">
        <f t="shared" si="35"/>
        <v/>
      </c>
      <c r="BP31" s="1129" t="str">
        <f t="shared" si="6"/>
        <v/>
      </c>
      <c r="BQ31" s="28" t="str">
        <f t="shared" si="7"/>
        <v/>
      </c>
      <c r="BR31" s="1129" t="str">
        <f t="shared" si="8"/>
        <v/>
      </c>
      <c r="BS31" s="1129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6"/>
        <v/>
      </c>
      <c r="BX31" s="29" t="str">
        <f t="shared" si="37"/>
        <v/>
      </c>
      <c r="BY31" s="28" t="str">
        <f>IF($G31="","",$G31*(IF(ADRYr2!$AI31=BY$4,ADRYr2!$AJ31,IF(ADRYr2!$AK31=BY$4,ADRYr2!$AL31,IF(ADRYr2!$AM31=BY$4,ADRYr2!$AN31,0))))*(INDEX(avoidedcosttbl2,$H31,BY$2)+(($H31-ROUNDDOWN($H31,0))*(INDEX(avoidedcosttbl2,ROUNDUP($H31,0),BY$2)-(INDEX(avoidedcosttbl2,ROUNDDOWN($H31,0),BY$2)))))*ADRYr2!P31*ADRYr2!Q31*ADRYr2!U31)</f>
        <v/>
      </c>
      <c r="BZ31" s="28" t="str">
        <f>IF($G31="","",$G31*(IF(ADRYr2!$AI31=BZ$4,ADRYr2!$AJ31,IF(ADRYr2!$AK31=BZ$4,ADRYr2!$AL31,IF(ADRYr2!$AM31=BZ$4,ADRYr2!$AN31,0))))*(INDEX(avoidedcosttbl2,$H31,BZ$2)+(($H31-ROUNDDOWN($H31,0))*(INDEX(avoidedcosttbl2,ROUNDUP($H31,0),BZ$2)-(INDEX(avoidedcosttbl2,ROUNDDOWN($H31,0),BZ$2)))))*ADRYr2!P31*ADRYr2!Q31*ADRYr2!U31)</f>
        <v/>
      </c>
      <c r="CA31" s="28" t="str">
        <f>IF($G31="","",$G31*(IF(ADRYr2!$AI31=CA$4,ADRYr2!$AJ31,IF(ADRYr2!$AK31=CA$4,ADRYr2!$AL31,IF(ADRYr2!$AM31=CA$4,ADRYr2!$AN31,0))))*(INDEX(avoidedcosttbl2,$H31,CA$2)+(($H31-ROUNDDOWN($H31,0))*(INDEX(avoidedcosttbl2,ROUNDUP($H31,0),CA$2)-(INDEX(avoidedcosttbl2,ROUNDDOWN($H31,0),CA$2)))))*ADRYr2!P31*ADRYr2!Q31*ADRYr2!U31)</f>
        <v/>
      </c>
      <c r="CB31" s="28" t="str">
        <f>IF($G31="","",$G31*(IF(ADRYr2!$AI31=CB$4,ADRYr2!$AJ31,IF(ADRYr2!$AK31=CB$4,ADRYr2!$AL31,IF(ADRYr2!$AM31=CB$4,ADRYr2!$AN31,0))))*(INDEX(avoidedcosttbl2,$H31,CB$2)+(($H31-ROUNDDOWN($H31,0))*(INDEX(avoidedcosttbl2,ROUNDUP($H31,0),CB$2)-(INDEX(avoidedcosttbl2,ROUNDDOWN($H31,0),CB$2)))))*ADRYr2!P31*ADRYr2!Q31*ADRYr2!U31)</f>
        <v/>
      </c>
      <c r="CC31" s="28" t="str">
        <f>IF($G31="","",$G31*(IF(ADRYr2!$AI31=CC$4,ADRYr2!$AJ31,IF(ADRYr2!$AK31=CC$4,ADRYr2!$AL31,IF(ADRYr2!$AM31=CC$4,ADRYr2!$AN31,0))))*(INDEX(avoidedcosttbl2,$H31,CC$2)+(($H31-ROUNDDOWN($H31,0))*(INDEX(avoidedcosttbl2,ROUNDUP($H31,0),CC$2)-(INDEX(avoidedcosttbl2,ROUNDDOWN($H31,0),CC$2)))))*ADRYr2!P31*ADRYr2!Q31*ADRYr2!U31)</f>
        <v/>
      </c>
      <c r="CD31" s="28" t="str">
        <f>IF($G31="","",$G31*(IF(ADRYr2!$AI31=CD$4,ADRYr2!$AJ31,IF(ADRYr2!$AK31=CD$4,ADRYr2!$AL31,IF(ADRYr2!$AM31=CD$4,ADRYr2!$AN31,0))))*(INDEX(avoidedcosttbl2,$H31,CD$2)+(($H31-ROUNDDOWN($H31,0))*(INDEX(avoidedcosttbl2,ROUNDUP($H31,0),CD$2)-(INDEX(avoidedcosttbl2,ROUNDDOWN($H31,0),CD$2)))))*ADRYr2!P31*ADRYr2!Q31*ADRYr2!U31)</f>
        <v/>
      </c>
      <c r="CE31" s="28" t="str">
        <f>IF($G31="","",$G31*(IF(ADRYr2!$AI31=CE$4,ADRYr2!$AJ31,IF(ADRYr2!$AK31=CE$4,ADRYr2!$AL31,IF(ADRYr2!$AM31=CE$4,ADRYr2!$AN31,0))))*(INDEX(avoidedcosttbl2,$H31,CE$2)+(($H31-ROUNDDOWN($H31,0))*(INDEX(avoidedcosttbl2,ROUNDUP($H31,0),CE$2)-(INDEX(avoidedcosttbl2,ROUNDDOWN($H31,0),CE$2)))))*ADRYr2!P31*ADRYr2!Q31*ADRYr2!U31)</f>
        <v/>
      </c>
      <c r="CF31" s="41" t="str">
        <f t="shared" si="38"/>
        <v/>
      </c>
      <c r="CG31" s="30" t="str">
        <f t="shared" si="11"/>
        <v/>
      </c>
      <c r="CH31" s="30" t="str">
        <f>IF($G31="","",$G31*(IF(ADRYr2!$AI31=BY$4,ADRYr2!$AJ31,IF(ADRYr2!$AK31=BY$4,ADRYr2!$AL31,IF(ADRYr2!$AM31=BY$4,ADRYr2!$AN31,0))))*(INDEX(avoidedcosttbl2,$H31,CH$2)+(($H31-ROUNDDOWN($H31,0))*(INDEX(avoidedcosttbl2,ROUNDUP($H31,0),CH$2)-(INDEX(avoidedcosttbl2,ROUNDDOWN($H31,0),CH$2)))))*ADRYr2!P31*ADRYr2!Q31*ADRYr2!U31)</f>
        <v/>
      </c>
      <c r="CI31" s="30" t="str">
        <f>IF($G31="","",$G31*(IF(ADRYr2!$AI31=BZ$4,ADRYr2!$AJ31,IF(ADRYr2!$AK31=BZ$4,ADRYr2!$AL31,IF(ADRYr2!$AM31=BZ$4,ADRYr2!$AN31,0))))*(INDEX(avoidedcosttbl2,$H31,CI$2)+(($H31-ROUNDDOWN($H31,0))*(INDEX(avoidedcosttbl2,ROUNDUP($H31,0),CI$2)-(INDEX(avoidedcosttbl2,ROUNDDOWN($H31,0),CI$2)))))*ADRYr2!P31*ADRYr2!Q31*ADRYr2!U31)</f>
        <v/>
      </c>
      <c r="CJ31" s="30" t="str">
        <f>IF($G31="","",$G31*(IF(ADRYr2!$AI31=CA$4,ADRYr2!$AJ31,IF(ADRYr2!$AK31=CA$4,ADRYr2!$AL31,IF(ADRYr2!$AM31=CA$4,ADRYr2!$AN31,0))))*(INDEX(avoidedcosttbl2,$H31,CJ$2)+(($H31-ROUNDDOWN($H31,0))*(INDEX(avoidedcosttbl2,ROUNDUP($H31,0),CJ$2)-(INDEX(avoidedcosttbl2,ROUNDDOWN($H31,0),CJ$2)))))*ADRYr2!P31*ADRYr2!Q31*ADRYr2!U31)</f>
        <v/>
      </c>
      <c r="CK31" s="30" t="str">
        <f>IF($G31="","",$G31*(IF(ADRYr2!$AI31=CB$4,ADRYr2!$AJ31,IF(ADRYr2!$AK31=CB$4,ADRYr2!$AL31,IF(ADRYr2!$AM31=CB$4,ADRYr2!$AN31,0))))*(INDEX(avoidedcosttbl2,$H31,CK$2)+(($H31-ROUNDDOWN($H31,0))*(INDEX(avoidedcosttbl2,ROUNDUP($H31,0),CK$2)-(INDEX(avoidedcosttbl2,ROUNDDOWN($H31,0),CK$2)))))*ADRYr2!P31*ADRYr2!Q31*ADRYr2!U31)</f>
        <v/>
      </c>
      <c r="CL31" s="30" t="str">
        <f>IF($G31="","",$G31*(IF(ADRYr2!$AI31=CC$4,ADRYr2!$AJ31,IF(ADRYr2!$AK31=CC$4,ADRYr2!$AL31,IF(ADRYr2!$AM31=CC$4,ADRYr2!$AN31,0))))*(INDEX(avoidedcosttbl2,$H31,CL$2)+(($H31-ROUNDDOWN($H31,0))*(INDEX(avoidedcosttbl2,ROUNDUP($H31,0),CL$2)-(INDEX(avoidedcosttbl2,ROUNDDOWN($H31,0),CL$2)))))*ADRYr2!P31*ADRYr2!Q31*ADRYr2!U31)</f>
        <v/>
      </c>
      <c r="CM31" s="30" t="str">
        <f>IF($G31="","",$G31*(IF(ADRYr2!$AI31=CD$4,ADRYr2!$AJ31,IF(ADRYr2!$AK31=CD$4,ADRYr2!$AL31,IF(ADRYr2!$AM31=CD$4,ADRYr2!$AN31,0))))*(INDEX(avoidedcosttbl2,$H31,CM$2)+(($H31-ROUNDDOWN($H31,0))*(INDEX(avoidedcosttbl2,ROUNDUP($H31,0),CM$2)-(INDEX(avoidedcosttbl2,ROUNDDOWN($H31,0),CM$2)))))*ADRYr2!P31*ADRYr2!Q31*ADRYr2!U31)</f>
        <v/>
      </c>
      <c r="CN31" s="30" t="str">
        <f>IF($G31="","",$G31*(IF(ADRYr2!$AI31=CE$4,ADRYr2!$AJ31,IF(ADRYr2!$AK31=CE$4,ADRYr2!$AL31,IF(ADRYr2!$AM31=CE$4,ADRYr2!$AN31,0))))*(INDEX(avoidedcosttbl2,$H31,CN$2)+(($H31-ROUNDDOWN($H31,0))*(INDEX(avoidedcosttbl2,ROUNDUP($H31,0),CN$2)-(INDEX(avoidedcosttbl2,ROUNDDOWN($H31,0),CN$2)))))*ADRYr2!P31*ADRYr2!Q31*ADRYr2!U31)</f>
        <v/>
      </c>
      <c r="CO31" s="220" t="str">
        <f t="shared" si="39"/>
        <v/>
      </c>
      <c r="CP31" s="220" t="str">
        <f t="shared" si="40"/>
        <v/>
      </c>
      <c r="CQ31" s="157" t="str">
        <f>IF($G31="","",$G31*(IF(ADRYr2!$AI31=CQ$4,ADRYr2!$AJ31,IF(ADRYr2!$AK31=CQ$4,ADRYr2!$AL31,IF(ADRYr2!$AM31=CQ$4,ADRYr2!$AN31,0))))*(INDEX(avoidedcosttbl2,$H31,CQ$2)+(($H31-ROUNDDOWN($H31,0))*(INDEX(avoidedcosttbl2,ROUNDUP($H31,0),CQ$2)-(INDEX(avoidedcosttbl2,ROUNDDOWN($H31,0),CQ$2)))))*ADRYr2!$P31*ADRYr2!$Q31*ADRYr2!$U31)</f>
        <v/>
      </c>
      <c r="CR31" s="28" t="str">
        <f>IF($G31="","",G31*(IF(ADRYr2!$AI31=CR$4,ADRYr2!$AJ31,IF(ADRYr2!$AK31=CR$4,ADRYr2!$AL31,IF(ADRYr2!$AM31=CR$4,ADRYr2!$AN31,0))))*(INDEX(avoidedcosttbl2,$H31,CR$2)+(($H31-ROUNDDOWN($H31,0))*(INDEX(avoidedcosttbl2,ROUNDUP($H31,0),CR$2)-(INDEX(avoidedcosttbl2,ROUNDDOWN($H31,0),CR$2)))))*ADRYr2!$P31*ADRYr2!$Q31*ADRYr2!$U31)</f>
        <v/>
      </c>
      <c r="CS31" s="28" t="str">
        <f>IF($G31="","",G31*(IF(ADRYr2!$AI31=CS$4,ADRYr2!$AJ31,IF(ADRYr2!$AK31=CS$4,ADRYr2!$AL31,IF(ADRYr2!$AM31=CS$4,ADRYr2!$AN31,0))))*(INDEX(avoidedcosttbl2,$H31,CS$2)+(($H31-ROUNDDOWN($H31,0))*(INDEX(avoidedcosttbl2,ROUNDUP($H31,0),CS$2)-(INDEX(avoidedcosttbl2,ROUNDDOWN($H31,0),CS$2)))))*ADRYr2!$P31*ADRYr2!$Q31*ADRYr2!$U31)</f>
        <v/>
      </c>
      <c r="CT31" s="28" t="str">
        <f t="shared" si="12"/>
        <v/>
      </c>
      <c r="CU31" s="28" t="str">
        <f>IF($G31="","",G31*(IF(ADRYr2!$AI31=CU$4,ADRYr2!$AJ31,IF(ADRYr2!$AK31=CU$4,ADRYr2!$AL31,IF(ADRYr2!$AM31=CU$4,ADRYr2!$AN31,0))))*(INDEX(avoidedcosttbl2,$H31,CU$2)+(($H31-ROUNDDOWN($H31,0))*(INDEX(avoidedcosttbl2,ROUNDUP($H31,0),CU$2)-(INDEX(avoidedcosttbl2,ROUNDDOWN($H31,0),CU$2)))))*ADRYr2!$P31*ADRYr2!$Q31*ADRYr2!$U31)</f>
        <v/>
      </c>
      <c r="CV31" s="28" t="str">
        <f>IF($G31="","",G31*(IF(ADRYr2!$AI31=CV$4,ADRYr2!$AJ31,IF(ADRYr2!$AK31=CV$4,ADRYr2!$AL31,IF(ADRYr2!$AM31=CV$4,ADRYr2!$AN31,0))))*(INDEX(avoidedcosttbl2,$H31,CV$2)+(($H31-ROUNDDOWN($H31,0))*(INDEX(avoidedcosttbl2,ROUNDUP($H31,0),CV$2)-(INDEX(avoidedcosttbl2,ROUNDDOWN($H31,0),CV$2)))))*ADRYr2!$P31*ADRYr2!$Q31*ADRYr2!$U31)</f>
        <v/>
      </c>
      <c r="CW31" s="28" t="str">
        <f>IF($G31="","",G31*(IF(ADRYr2!$AI31=CW$4,ADRYr2!$AJ31,IF(ADRYr2!$AK31=CW$4,ADRYr2!$AL31,IF(ADRYr2!$AM31=CW$4,ADRYr2!$AN31,0))))*(INDEX(avoidedcosttbl2,$H31,CW$2)+(($H31-ROUNDDOWN($H31,0))*(INDEX(avoidedcosttbl2,ROUNDUP($H31,0),CW$2)-(INDEX(avoidedcosttbl2,ROUNDDOWN($H31,0),CW$2)))))*ADRYr2!$P31*ADRYr2!$Q31*ADRYr2!$U31)</f>
        <v/>
      </c>
      <c r="CX31" s="28" t="str">
        <f>IF($G31="","",G31*(IF(ADRYr2!$AI31=CX$4,ADRYr2!$AJ31,IF(ADRYr2!$AK31=CX$4,ADRYr2!$AL31,IF(ADRYr2!$AM31=CX$4,ADRYr2!$AN31,0))))*(INDEX(avoidedcosttbl2,$H31,CX$2)+(($H31-ROUNDDOWN($H31,0))*(INDEX(avoidedcosttbl2,ROUNDUP($H31,0),CX$2)-(INDEX(avoidedcosttbl2,ROUNDDOWN($H31,0),CX$2)))))*ADRYr2!$P31*ADRYr2!$Q31*ADRYr2!$U31)</f>
        <v/>
      </c>
      <c r="CY31" s="28" t="str">
        <f t="shared" si="13"/>
        <v/>
      </c>
      <c r="CZ31" s="32" t="str">
        <f t="shared" si="14"/>
        <v/>
      </c>
      <c r="DA31" s="84" t="str">
        <f t="shared" si="41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15"/>
        <v/>
      </c>
      <c r="DD31" s="166" t="str">
        <f t="shared" si="16"/>
        <v/>
      </c>
      <c r="DE31" s="82">
        <f t="shared" si="42"/>
        <v>0</v>
      </c>
      <c r="DF31" s="760" t="str">
        <f>IF($G31="","",(1+WntPeakEnergyLL)*(INDEX(avoidedcosttbl2,$H31,DF$2)+(($H31-ROUNDDOWN($H31,0))*(INDEX(avoidedcosttbl2,ROUNDUP($H31,0),DF$2)-(INDEX(avoidedcosttbl2,ROUNDDOWN($H31,0),DF$2)))))*$P31*1000*ADRYr2!Z31)</f>
        <v/>
      </c>
      <c r="DG31" s="760" t="str">
        <f>IF($G31="","",(1+WntOffPeakEnergyLL)*(INDEX(avoidedcosttbl2,$H31,DG$2)+(($H31-ROUNDDOWN($H31,0))*(INDEX(avoidedcosttbl2,ROUNDUP($H31,0),DG$2)-(INDEX(avoidedcosttbl2,ROUNDDOWN($H31,0),DG$2)))))*$P31*1000*ADRYr2!AA31)</f>
        <v/>
      </c>
      <c r="DH31" s="760" t="str">
        <f>IF($G31="","",(1+SumPeakEnergyLL)*(INDEX(avoidedcosttbl2,$H31,DH$2)+(($H31-ROUNDDOWN($H31,0))*(INDEX(avoidedcosttbl2,ROUNDUP($H31,0),DH$2)-(INDEX(avoidedcosttbl2,ROUNDDOWN($H31,0),DH$2)))))*$P31*1000*ADRYr2!AB31)</f>
        <v/>
      </c>
      <c r="DI31" s="760" t="str">
        <f>IF($G31="","",(1+SumOffPeakEnergyLL)*(INDEX(avoidedcosttbl2,$H31,DI$2)+(($H31-ROUNDDOWN($H31,0))*(INDEX(avoidedcosttbl2,ROUNDUP($H31,0),DI$2)-(INDEX(avoidedcosttbl2,ROUNDDOWN($H31,0),DI$2)))))*$P31*1000*ADRYr2!AC31)</f>
        <v/>
      </c>
      <c r="DJ31" s="29" t="str">
        <f t="shared" si="43"/>
        <v/>
      </c>
      <c r="DK31" s="161" t="str">
        <f t="shared" si="44"/>
        <v/>
      </c>
      <c r="DL31" s="1375" t="str">
        <f t="shared" si="45"/>
        <v/>
      </c>
      <c r="DM31" s="1375" t="str">
        <f t="shared" si="46"/>
        <v/>
      </c>
      <c r="DN31" s="43" t="str">
        <f t="shared" si="47"/>
        <v/>
      </c>
      <c r="DO31" s="1131" t="str">
        <f>IF($G31="","",ADRYr2!AQ31)</f>
        <v/>
      </c>
      <c r="DP31" s="1133" t="str">
        <f>IF($G31="","",ADRYr2!AR31)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48"/>
        <v/>
      </c>
      <c r="DU31" s="1135" t="str">
        <f>IF($G31="","",ADRYr2!AS31)</f>
        <v/>
      </c>
      <c r="DV31" s="1136" t="str">
        <f>IF($G31="","",ADRYr2!AT31)</f>
        <v/>
      </c>
      <c r="DW31" s="1344" t="str">
        <f>IF($G31="","",INDEX(AvoidedEnergy!$H$4:$H$10,MATCH($DO31,AvoidedEnergy!$A$4:$A$10,0)))</f>
        <v/>
      </c>
    </row>
    <row r="32" spans="1:127">
      <c r="A32" s="160" t="str">
        <f>IF(ADRYr2!$B32=0,"",ADRYr2!A32)</f>
        <v>C - Commercial &amp; Industrial</v>
      </c>
      <c r="B32" s="9" t="str">
        <f>IF(ADRYr2!$B32=0,"",ADRYr2!B32)</f>
        <v>C5 - C&amp;I Active Demand Response</v>
      </c>
      <c r="C32" s="9" t="str">
        <f>IF(ADRYr2!$B32=0,"",ADRYr2!C32)</f>
        <v>C5a - C&amp;I Active Demand Response</v>
      </c>
      <c r="D32" s="9" t="str">
        <f>IF(ADRYr2!$B32=0,"",ADRYr2!D32)</f>
        <v>Storage Daily Dispatch Upfront Incentive (consumption) Summer</v>
      </c>
      <c r="E32" s="9">
        <f>IF(ADRYr2!$B32=0,"",ADRYr2!E32)</f>
        <v>0</v>
      </c>
      <c r="F32" s="11" t="str">
        <f>IF(ADRYr2!$B32=0,"",ADRYr2!F32)</f>
        <v>Behavior</v>
      </c>
      <c r="G32" s="12" t="str">
        <f>IF(ADRYr2!$G32&lt;&gt;0,ADRYr2!G32,"")</f>
        <v/>
      </c>
      <c r="H32" s="1125" t="str">
        <f>IF($G32="","",ROUND(ADRYr2!H32,0))</f>
        <v/>
      </c>
      <c r="I32" s="47" t="str">
        <f>IF($G32="","",ADRYr2!I32*ADRYr2!P32*G32)</f>
        <v/>
      </c>
      <c r="J32" s="47" t="str">
        <f>IF($G32="","",ADRYr2!J32*G32)</f>
        <v/>
      </c>
      <c r="K32" s="47" t="str">
        <f t="shared" si="17"/>
        <v/>
      </c>
      <c r="L32" s="27" t="str">
        <f>IF($G32="","",ADRYr2!V32*G32/1000)</f>
        <v/>
      </c>
      <c r="M32" s="27" t="str">
        <f>IF($G32="","",L32*ADRYr2!$Q32*ADRYr2!$R32)</f>
        <v/>
      </c>
      <c r="N32" s="27" t="str">
        <f t="shared" si="18"/>
        <v/>
      </c>
      <c r="O32" s="27" t="str">
        <f t="shared" si="19"/>
        <v/>
      </c>
      <c r="P32" s="27" t="str">
        <f>IF($G32="","",M32*ADRYr2!P32)</f>
        <v/>
      </c>
      <c r="Q32" s="27" t="str">
        <f t="shared" si="20"/>
        <v/>
      </c>
      <c r="R32" s="27" t="str">
        <f>IF($G32="","",$Q32*ADRYr2!Z32)</f>
        <v/>
      </c>
      <c r="S32" s="27" t="str">
        <f>IF($G32="","",$Q32*ADRYr2!AA32)</f>
        <v/>
      </c>
      <c r="T32" s="27" t="str">
        <f>IF($G32="","",$Q32*ADRYr2!AB32)</f>
        <v/>
      </c>
      <c r="U32" s="27" t="str">
        <f>IF($G32="","",$Q32*ADRYr2!AC32)</f>
        <v/>
      </c>
      <c r="V32" s="27" t="str">
        <f>IF($G32="","",G32*ADRYr2!$AD32*ADRYr2!$P32*ADRYr2!$Q32)</f>
        <v/>
      </c>
      <c r="W32" s="27" t="str">
        <f>IF($G32="","",$G32*ADRYr2!$AD32*ADRYr2!$AF32*ADRYr2!Q32*ADRYr2!$S32)</f>
        <v/>
      </c>
      <c r="X32" s="27" t="str">
        <f>IF($G32="","",$G32*ADRYr2!$AD32*ADRYr2!$AF32*ADRYr2!P32*ADRYr2!Q32*ADRYr2!$S32)</f>
        <v/>
      </c>
      <c r="Y32" s="27" t="str">
        <f>IF($G32="","",$G32*ADRYr2!$AD32*ADRYr2!$AE32*ADRYr2!Q32*ADRYr2!$T32)</f>
        <v/>
      </c>
      <c r="Z32" s="27" t="str">
        <f>IF($G32="","",$G32*ADRYr2!$AD32*ADRYr2!$AE32*ADRYr2!P32*ADRYr2!Q32*ADRYr2!$T32)</f>
        <v/>
      </c>
      <c r="AA32" s="45" t="str">
        <f>IF($G32="","",$G32*ADRYr2!$Q32*ADRYr2!$U32*(IF(IFERROR(SEARCH("NG", ADRYr2!$AI32),0),ADRYr2!$AJ32,0)+IF(IFERROR(SEARCH("NG", ADRYr2!$AK32),0),ADRYr2!$AL32,0)+IF(IFERROR(SEARCH("NG", ADRYr2!$AM32),0),ADRYr2!$AN32,0)))</f>
        <v/>
      </c>
      <c r="AB32" s="45" t="str">
        <f t="shared" si="21"/>
        <v/>
      </c>
      <c r="AC32" s="45">
        <f>IF($G32="",0,AA32*ADRYr2!$P32)</f>
        <v>0</v>
      </c>
      <c r="AD32" s="45" t="str">
        <f t="shared" si="22"/>
        <v/>
      </c>
      <c r="AE32" s="45" t="str">
        <f>IF($G32="","",$G32*ADRYr2!$Q32*ADRYr2!$U32*(IF(IFERROR(SEARCH("Oil", ADRYr2!$AI32), 0),ADRYr2!$AJ32,0)+IF(IFERROR(SEARCH("Oil", ADRYr2!$AK32), 0),ADRYr2!$AL32,0)+IF(IFERROR(SEARCH("Oil", ADRYr2!$AM32), 0),ADRYr2!$AN32,0)))</f>
        <v/>
      </c>
      <c r="AF32" s="45" t="str">
        <f t="shared" si="23"/>
        <v/>
      </c>
      <c r="AG32" s="45">
        <f>IF($G32="",0,AE32*ADRYr2!$P32)</f>
        <v>0</v>
      </c>
      <c r="AH32" s="45" t="str">
        <f t="shared" si="24"/>
        <v/>
      </c>
      <c r="AI32" s="45" t="str">
        <f>IF($G32="","",$G32*ADRYr2!$Q32*ADRYr2!$U32*(IF(ADRYr2!$AI32=Lookups!$E$114,ADRYr2!$AJ32,IF(ADRYr2!$AK32=Lookups!$E$114,ADRYr2!$AL32,IF(ADRYr2!$AM32=Lookups!$E$114,ADRYr2!$AN32,0)))))</f>
        <v/>
      </c>
      <c r="AJ32" s="45" t="str">
        <f t="shared" si="25"/>
        <v/>
      </c>
      <c r="AK32" s="45">
        <f>IF($G32="",0,AI32*ADRYr2!$P32)</f>
        <v>0</v>
      </c>
      <c r="AL32" s="45" t="str">
        <f t="shared" si="26"/>
        <v/>
      </c>
      <c r="AM32" s="45" t="str">
        <f>IF($G32="","",$G32*ADRYr2!$Q32*ADRYr2!$U32*(IF(ADRYr2!$AI32=Lookups!$E$113,ADRYr2!$AJ32,IF(ADRYr2!$AK32=Lookups!$E$113,ADRYr2!$AL32,IF(ADRYr2!$AM32=Lookups!$E$113,ADRYr2!$AN32,0)))))</f>
        <v/>
      </c>
      <c r="AN32" s="45" t="str">
        <f t="shared" si="27"/>
        <v/>
      </c>
      <c r="AO32" s="45">
        <f>IF($G32="",0,AM32*ADRYr2!$P32)</f>
        <v>0</v>
      </c>
      <c r="AP32" s="45" t="str">
        <f t="shared" si="28"/>
        <v/>
      </c>
      <c r="AQ32" s="45" t="str">
        <f>IF($G32="","",$G32*ADRYr2!$Q32*ADRYr2!$U32*(IF(ADRYr2!$AI32=Lookups!$E$115,ADRYr2!$AJ32,IF(ADRYr2!$AK32=Lookups!$E$115,ADRYr2!$AL32,IF(ADRYr2!$AM32=Lookups!$E$115,ADRYr2!$AN32,0)))))</f>
        <v/>
      </c>
      <c r="AR32" s="45" t="str">
        <f t="shared" si="29"/>
        <v/>
      </c>
      <c r="AS32" s="45" t="str">
        <f>IF($G32="","",AQ32*ADRYr2!$P32)</f>
        <v/>
      </c>
      <c r="AT32" s="45" t="str">
        <f t="shared" si="30"/>
        <v/>
      </c>
      <c r="AU32" s="45" t="str">
        <f>IF($G32="","",$G32*ADRYr2!$Q32*ADRYr2!$U32*(IF(ADRYr2!$AI32=Lookups!$E$116,ADRYr2!$AJ32,IF(ADRYr2!$AK32=Lookups!$E$116,ADRYr2!$AL32,IF(ADRYr2!$AM32=Lookups!$E$116,ADRYr2!$AN32,0)))))</f>
        <v/>
      </c>
      <c r="AV32" s="45" t="str">
        <f t="shared" si="31"/>
        <v/>
      </c>
      <c r="AW32" s="45" t="str">
        <f>IF($G32="","",AU32*ADRYr2!$P32)</f>
        <v/>
      </c>
      <c r="AX32" s="45" t="str">
        <f t="shared" si="32"/>
        <v/>
      </c>
      <c r="AY32" s="45">
        <f t="shared" si="49"/>
        <v>0</v>
      </c>
      <c r="AZ32" s="45">
        <f t="shared" si="49"/>
        <v>0</v>
      </c>
      <c r="BA32" s="101" t="str">
        <f>IF($G32="","",$G32*ADRYr2!$P32*ADRYr2!$Q32*ADRYr2!$U32*ADRYr2!AO32)</f>
        <v/>
      </c>
      <c r="BB32" s="102" t="str">
        <f>IF($G32="","",$G32*ADRYr2!$P32*ADRYr2!$Q32*ADRYr2!$U32*ADRYr2!AP32)</f>
        <v/>
      </c>
      <c r="BC32" s="100" t="str">
        <f t="shared" si="34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5"/>
        <v/>
      </c>
      <c r="BO32" s="31" t="str">
        <f t="shared" si="35"/>
        <v/>
      </c>
      <c r="BP32" s="1129" t="str">
        <f t="shared" si="6"/>
        <v/>
      </c>
      <c r="BQ32" s="28" t="str">
        <f t="shared" si="7"/>
        <v/>
      </c>
      <c r="BR32" s="1129" t="str">
        <f t="shared" si="8"/>
        <v/>
      </c>
      <c r="BS32" s="1129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6"/>
        <v/>
      </c>
      <c r="BX32" s="29" t="str">
        <f t="shared" si="37"/>
        <v/>
      </c>
      <c r="BY32" s="28" t="str">
        <f>IF($G32="","",$G32*(IF(ADRYr2!$AI32=BY$4,ADRYr2!$AJ32,IF(ADRYr2!$AK32=BY$4,ADRYr2!$AL32,IF(ADRYr2!$AM32=BY$4,ADRYr2!$AN32,0))))*(INDEX(avoidedcosttbl2,$H32,BY$2)+(($H32-ROUNDDOWN($H32,0))*(INDEX(avoidedcosttbl2,ROUNDUP($H32,0),BY$2)-(INDEX(avoidedcosttbl2,ROUNDDOWN($H32,0),BY$2)))))*ADRYr2!P32*ADRYr2!Q32*ADRYr2!U32)</f>
        <v/>
      </c>
      <c r="BZ32" s="28" t="str">
        <f>IF($G32="","",$G32*(IF(ADRYr2!$AI32=BZ$4,ADRYr2!$AJ32,IF(ADRYr2!$AK32=BZ$4,ADRYr2!$AL32,IF(ADRYr2!$AM32=BZ$4,ADRYr2!$AN32,0))))*(INDEX(avoidedcosttbl2,$H32,BZ$2)+(($H32-ROUNDDOWN($H32,0))*(INDEX(avoidedcosttbl2,ROUNDUP($H32,0),BZ$2)-(INDEX(avoidedcosttbl2,ROUNDDOWN($H32,0),BZ$2)))))*ADRYr2!P32*ADRYr2!Q32*ADRYr2!U32)</f>
        <v/>
      </c>
      <c r="CA32" s="28" t="str">
        <f>IF($G32="","",$G32*(IF(ADRYr2!$AI32=CA$4,ADRYr2!$AJ32,IF(ADRYr2!$AK32=CA$4,ADRYr2!$AL32,IF(ADRYr2!$AM32=CA$4,ADRYr2!$AN32,0))))*(INDEX(avoidedcosttbl2,$H32,CA$2)+(($H32-ROUNDDOWN($H32,0))*(INDEX(avoidedcosttbl2,ROUNDUP($H32,0),CA$2)-(INDEX(avoidedcosttbl2,ROUNDDOWN($H32,0),CA$2)))))*ADRYr2!P32*ADRYr2!Q32*ADRYr2!U32)</f>
        <v/>
      </c>
      <c r="CB32" s="28" t="str">
        <f>IF($G32="","",$G32*(IF(ADRYr2!$AI32=CB$4,ADRYr2!$AJ32,IF(ADRYr2!$AK32=CB$4,ADRYr2!$AL32,IF(ADRYr2!$AM32=CB$4,ADRYr2!$AN32,0))))*(INDEX(avoidedcosttbl2,$H32,CB$2)+(($H32-ROUNDDOWN($H32,0))*(INDEX(avoidedcosttbl2,ROUNDUP($H32,0),CB$2)-(INDEX(avoidedcosttbl2,ROUNDDOWN($H32,0),CB$2)))))*ADRYr2!P32*ADRYr2!Q32*ADRYr2!U32)</f>
        <v/>
      </c>
      <c r="CC32" s="28" t="str">
        <f>IF($G32="","",$G32*(IF(ADRYr2!$AI32=CC$4,ADRYr2!$AJ32,IF(ADRYr2!$AK32=CC$4,ADRYr2!$AL32,IF(ADRYr2!$AM32=CC$4,ADRYr2!$AN32,0))))*(INDEX(avoidedcosttbl2,$H32,CC$2)+(($H32-ROUNDDOWN($H32,0))*(INDEX(avoidedcosttbl2,ROUNDUP($H32,0),CC$2)-(INDEX(avoidedcosttbl2,ROUNDDOWN($H32,0),CC$2)))))*ADRYr2!P32*ADRYr2!Q32*ADRYr2!U32)</f>
        <v/>
      </c>
      <c r="CD32" s="28" t="str">
        <f>IF($G32="","",$G32*(IF(ADRYr2!$AI32=CD$4,ADRYr2!$AJ32,IF(ADRYr2!$AK32=CD$4,ADRYr2!$AL32,IF(ADRYr2!$AM32=CD$4,ADRYr2!$AN32,0))))*(INDEX(avoidedcosttbl2,$H32,CD$2)+(($H32-ROUNDDOWN($H32,0))*(INDEX(avoidedcosttbl2,ROUNDUP($H32,0),CD$2)-(INDEX(avoidedcosttbl2,ROUNDDOWN($H32,0),CD$2)))))*ADRYr2!P32*ADRYr2!Q32*ADRYr2!U32)</f>
        <v/>
      </c>
      <c r="CE32" s="28" t="str">
        <f>IF($G32="","",$G32*(IF(ADRYr2!$AI32=CE$4,ADRYr2!$AJ32,IF(ADRYr2!$AK32=CE$4,ADRYr2!$AL32,IF(ADRYr2!$AM32=CE$4,ADRYr2!$AN32,0))))*(INDEX(avoidedcosttbl2,$H32,CE$2)+(($H32-ROUNDDOWN($H32,0))*(INDEX(avoidedcosttbl2,ROUNDUP($H32,0),CE$2)-(INDEX(avoidedcosttbl2,ROUNDDOWN($H32,0),CE$2)))))*ADRYr2!P32*ADRYr2!Q32*ADRYr2!U32)</f>
        <v/>
      </c>
      <c r="CF32" s="41" t="str">
        <f t="shared" si="38"/>
        <v/>
      </c>
      <c r="CG32" s="30" t="str">
        <f t="shared" si="11"/>
        <v/>
      </c>
      <c r="CH32" s="30" t="str">
        <f>IF($G32="","",$G32*(IF(ADRYr2!$AI32=BY$4,ADRYr2!$AJ32,IF(ADRYr2!$AK32=BY$4,ADRYr2!$AL32,IF(ADRYr2!$AM32=BY$4,ADRYr2!$AN32,0))))*(INDEX(avoidedcosttbl2,$H32,CH$2)+(($H32-ROUNDDOWN($H32,0))*(INDEX(avoidedcosttbl2,ROUNDUP($H32,0),CH$2)-(INDEX(avoidedcosttbl2,ROUNDDOWN($H32,0),CH$2)))))*ADRYr2!P32*ADRYr2!Q32*ADRYr2!U32)</f>
        <v/>
      </c>
      <c r="CI32" s="30" t="str">
        <f>IF($G32="","",$G32*(IF(ADRYr2!$AI32=BZ$4,ADRYr2!$AJ32,IF(ADRYr2!$AK32=BZ$4,ADRYr2!$AL32,IF(ADRYr2!$AM32=BZ$4,ADRYr2!$AN32,0))))*(INDEX(avoidedcosttbl2,$H32,CI$2)+(($H32-ROUNDDOWN($H32,0))*(INDEX(avoidedcosttbl2,ROUNDUP($H32,0),CI$2)-(INDEX(avoidedcosttbl2,ROUNDDOWN($H32,0),CI$2)))))*ADRYr2!P32*ADRYr2!Q32*ADRYr2!U32)</f>
        <v/>
      </c>
      <c r="CJ32" s="30" t="str">
        <f>IF($G32="","",$G32*(IF(ADRYr2!$AI32=CA$4,ADRYr2!$AJ32,IF(ADRYr2!$AK32=CA$4,ADRYr2!$AL32,IF(ADRYr2!$AM32=CA$4,ADRYr2!$AN32,0))))*(INDEX(avoidedcosttbl2,$H32,CJ$2)+(($H32-ROUNDDOWN($H32,0))*(INDEX(avoidedcosttbl2,ROUNDUP($H32,0),CJ$2)-(INDEX(avoidedcosttbl2,ROUNDDOWN($H32,0),CJ$2)))))*ADRYr2!P32*ADRYr2!Q32*ADRYr2!U32)</f>
        <v/>
      </c>
      <c r="CK32" s="30" t="str">
        <f>IF($G32="","",$G32*(IF(ADRYr2!$AI32=CB$4,ADRYr2!$AJ32,IF(ADRYr2!$AK32=CB$4,ADRYr2!$AL32,IF(ADRYr2!$AM32=CB$4,ADRYr2!$AN32,0))))*(INDEX(avoidedcosttbl2,$H32,CK$2)+(($H32-ROUNDDOWN($H32,0))*(INDEX(avoidedcosttbl2,ROUNDUP($H32,0),CK$2)-(INDEX(avoidedcosttbl2,ROUNDDOWN($H32,0),CK$2)))))*ADRYr2!P32*ADRYr2!Q32*ADRYr2!U32)</f>
        <v/>
      </c>
      <c r="CL32" s="30" t="str">
        <f>IF($G32="","",$G32*(IF(ADRYr2!$AI32=CC$4,ADRYr2!$AJ32,IF(ADRYr2!$AK32=CC$4,ADRYr2!$AL32,IF(ADRYr2!$AM32=CC$4,ADRYr2!$AN32,0))))*(INDEX(avoidedcosttbl2,$H32,CL$2)+(($H32-ROUNDDOWN($H32,0))*(INDEX(avoidedcosttbl2,ROUNDUP($H32,0),CL$2)-(INDEX(avoidedcosttbl2,ROUNDDOWN($H32,0),CL$2)))))*ADRYr2!P32*ADRYr2!Q32*ADRYr2!U32)</f>
        <v/>
      </c>
      <c r="CM32" s="30" t="str">
        <f>IF($G32="","",$G32*(IF(ADRYr2!$AI32=CD$4,ADRYr2!$AJ32,IF(ADRYr2!$AK32=CD$4,ADRYr2!$AL32,IF(ADRYr2!$AM32=CD$4,ADRYr2!$AN32,0))))*(INDEX(avoidedcosttbl2,$H32,CM$2)+(($H32-ROUNDDOWN($H32,0))*(INDEX(avoidedcosttbl2,ROUNDUP($H32,0),CM$2)-(INDEX(avoidedcosttbl2,ROUNDDOWN($H32,0),CM$2)))))*ADRYr2!P32*ADRYr2!Q32*ADRYr2!U32)</f>
        <v/>
      </c>
      <c r="CN32" s="30" t="str">
        <f>IF($G32="","",$G32*(IF(ADRYr2!$AI32=CE$4,ADRYr2!$AJ32,IF(ADRYr2!$AK32=CE$4,ADRYr2!$AL32,IF(ADRYr2!$AM32=CE$4,ADRYr2!$AN32,0))))*(INDEX(avoidedcosttbl2,$H32,CN$2)+(($H32-ROUNDDOWN($H32,0))*(INDEX(avoidedcosttbl2,ROUNDUP($H32,0),CN$2)-(INDEX(avoidedcosttbl2,ROUNDDOWN($H32,0),CN$2)))))*ADRYr2!P32*ADRYr2!Q32*ADRYr2!U32)</f>
        <v/>
      </c>
      <c r="CO32" s="220" t="str">
        <f t="shared" si="39"/>
        <v/>
      </c>
      <c r="CP32" s="220" t="str">
        <f t="shared" si="40"/>
        <v/>
      </c>
      <c r="CQ32" s="157" t="str">
        <f>IF($G32="","",$G32*(IF(ADRYr2!$AI32=CQ$4,ADRYr2!$AJ32,IF(ADRYr2!$AK32=CQ$4,ADRYr2!$AL32,IF(ADRYr2!$AM32=CQ$4,ADRYr2!$AN32,0))))*(INDEX(avoidedcosttbl2,$H32,CQ$2)+(($H32-ROUNDDOWN($H32,0))*(INDEX(avoidedcosttbl2,ROUNDUP($H32,0),CQ$2)-(INDEX(avoidedcosttbl2,ROUNDDOWN($H32,0),CQ$2)))))*ADRYr2!$P32*ADRYr2!$Q32*ADRYr2!$U32)</f>
        <v/>
      </c>
      <c r="CR32" s="28" t="str">
        <f>IF($G32="","",G32*(IF(ADRYr2!$AI32=CR$4,ADRYr2!$AJ32,IF(ADRYr2!$AK32=CR$4,ADRYr2!$AL32,IF(ADRYr2!$AM32=CR$4,ADRYr2!$AN32,0))))*(INDEX(avoidedcosttbl2,$H32,CR$2)+(($H32-ROUNDDOWN($H32,0))*(INDEX(avoidedcosttbl2,ROUNDUP($H32,0),CR$2)-(INDEX(avoidedcosttbl2,ROUNDDOWN($H32,0),CR$2)))))*ADRYr2!$P32*ADRYr2!$Q32*ADRYr2!$U32)</f>
        <v/>
      </c>
      <c r="CS32" s="28" t="str">
        <f>IF($G32="","",G32*(IF(ADRYr2!$AI32=CS$4,ADRYr2!$AJ32,IF(ADRYr2!$AK32=CS$4,ADRYr2!$AL32,IF(ADRYr2!$AM32=CS$4,ADRYr2!$AN32,0))))*(INDEX(avoidedcosttbl2,$H32,CS$2)+(($H32-ROUNDDOWN($H32,0))*(INDEX(avoidedcosttbl2,ROUNDUP($H32,0),CS$2)-(INDEX(avoidedcosttbl2,ROUNDDOWN($H32,0),CS$2)))))*ADRYr2!$P32*ADRYr2!$Q32*ADRYr2!$U32)</f>
        <v/>
      </c>
      <c r="CT32" s="28" t="str">
        <f t="shared" si="12"/>
        <v/>
      </c>
      <c r="CU32" s="28" t="str">
        <f>IF($G32="","",G32*(IF(ADRYr2!$AI32=CU$4,ADRYr2!$AJ32,IF(ADRYr2!$AK32=CU$4,ADRYr2!$AL32,IF(ADRYr2!$AM32=CU$4,ADRYr2!$AN32,0))))*(INDEX(avoidedcosttbl2,$H32,CU$2)+(($H32-ROUNDDOWN($H32,0))*(INDEX(avoidedcosttbl2,ROUNDUP($H32,0),CU$2)-(INDEX(avoidedcosttbl2,ROUNDDOWN($H32,0),CU$2)))))*ADRYr2!$P32*ADRYr2!$Q32*ADRYr2!$U32)</f>
        <v/>
      </c>
      <c r="CV32" s="28" t="str">
        <f>IF($G32="","",G32*(IF(ADRYr2!$AI32=CV$4,ADRYr2!$AJ32,IF(ADRYr2!$AK32=CV$4,ADRYr2!$AL32,IF(ADRYr2!$AM32=CV$4,ADRYr2!$AN32,0))))*(INDEX(avoidedcosttbl2,$H32,CV$2)+(($H32-ROUNDDOWN($H32,0))*(INDEX(avoidedcosttbl2,ROUNDUP($H32,0),CV$2)-(INDEX(avoidedcosttbl2,ROUNDDOWN($H32,0),CV$2)))))*ADRYr2!$P32*ADRYr2!$Q32*ADRYr2!$U32)</f>
        <v/>
      </c>
      <c r="CW32" s="28" t="str">
        <f>IF($G32="","",G32*(IF(ADRYr2!$AI32=CW$4,ADRYr2!$AJ32,IF(ADRYr2!$AK32=CW$4,ADRYr2!$AL32,IF(ADRYr2!$AM32=CW$4,ADRYr2!$AN32,0))))*(INDEX(avoidedcosttbl2,$H32,CW$2)+(($H32-ROUNDDOWN($H32,0))*(INDEX(avoidedcosttbl2,ROUNDUP($H32,0),CW$2)-(INDEX(avoidedcosttbl2,ROUNDDOWN($H32,0),CW$2)))))*ADRYr2!$P32*ADRYr2!$Q32*ADRYr2!$U32)</f>
        <v/>
      </c>
      <c r="CX32" s="28" t="str">
        <f>IF($G32="","",G32*(IF(ADRYr2!$AI32=CX$4,ADRYr2!$AJ32,IF(ADRYr2!$AK32=CX$4,ADRYr2!$AL32,IF(ADRYr2!$AM32=CX$4,ADRYr2!$AN32,0))))*(INDEX(avoidedcosttbl2,$H32,CX$2)+(($H32-ROUNDDOWN($H32,0))*(INDEX(avoidedcosttbl2,ROUNDUP($H32,0),CX$2)-(INDEX(avoidedcosttbl2,ROUNDDOWN($H32,0),CX$2)))))*ADRYr2!$P32*ADRYr2!$Q32*ADRYr2!$U32)</f>
        <v/>
      </c>
      <c r="CY32" s="28" t="str">
        <f t="shared" si="13"/>
        <v/>
      </c>
      <c r="CZ32" s="32" t="str">
        <f t="shared" si="14"/>
        <v/>
      </c>
      <c r="DA32" s="84" t="str">
        <f t="shared" si="41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15"/>
        <v/>
      </c>
      <c r="DD32" s="166" t="str">
        <f t="shared" si="16"/>
        <v/>
      </c>
      <c r="DE32" s="82">
        <f t="shared" si="42"/>
        <v>0</v>
      </c>
      <c r="DF32" s="760" t="str">
        <f>IF($G32="","",(1+WntPeakEnergyLL)*(INDEX(avoidedcosttbl2,$H32,DF$2)+(($H32-ROUNDDOWN($H32,0))*(INDEX(avoidedcosttbl2,ROUNDUP($H32,0),DF$2)-(INDEX(avoidedcosttbl2,ROUNDDOWN($H32,0),DF$2)))))*$P32*1000*ADRYr2!Z32)</f>
        <v/>
      </c>
      <c r="DG32" s="760" t="str">
        <f>IF($G32="","",(1+WntOffPeakEnergyLL)*(INDEX(avoidedcosttbl2,$H32,DG$2)+(($H32-ROUNDDOWN($H32,0))*(INDEX(avoidedcosttbl2,ROUNDUP($H32,0),DG$2)-(INDEX(avoidedcosttbl2,ROUNDDOWN($H32,0),DG$2)))))*$P32*1000*ADRYr2!AA32)</f>
        <v/>
      </c>
      <c r="DH32" s="760" t="str">
        <f>IF($G32="","",(1+SumPeakEnergyLL)*(INDEX(avoidedcosttbl2,$H32,DH$2)+(($H32-ROUNDDOWN($H32,0))*(INDEX(avoidedcosttbl2,ROUNDUP($H32,0),DH$2)-(INDEX(avoidedcosttbl2,ROUNDDOWN($H32,0),DH$2)))))*$P32*1000*ADRYr2!AB32)</f>
        <v/>
      </c>
      <c r="DI32" s="760" t="str">
        <f>IF($G32="","",(1+SumOffPeakEnergyLL)*(INDEX(avoidedcosttbl2,$H32,DI$2)+(($H32-ROUNDDOWN($H32,0))*(INDEX(avoidedcosttbl2,ROUNDUP($H32,0),DI$2)-(INDEX(avoidedcosttbl2,ROUNDDOWN($H32,0),DI$2)))))*$P32*1000*ADRYr2!AC32)</f>
        <v/>
      </c>
      <c r="DJ32" s="29" t="str">
        <f t="shared" si="43"/>
        <v/>
      </c>
      <c r="DK32" s="161" t="str">
        <f t="shared" si="44"/>
        <v/>
      </c>
      <c r="DL32" s="1375" t="str">
        <f t="shared" si="45"/>
        <v/>
      </c>
      <c r="DM32" s="1375" t="str">
        <f t="shared" si="46"/>
        <v/>
      </c>
      <c r="DN32" s="43" t="str">
        <f t="shared" si="47"/>
        <v/>
      </c>
      <c r="DO32" s="1131" t="str">
        <f>IF($G32="","",ADRYr2!AQ32)</f>
        <v/>
      </c>
      <c r="DP32" s="1133" t="str">
        <f>IF($G32="","",ADRYr2!AR32)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48"/>
        <v/>
      </c>
      <c r="DU32" s="1135" t="str">
        <f>IF($G32="","",ADRYr2!AS32)</f>
        <v/>
      </c>
      <c r="DV32" s="1136" t="str">
        <f>IF($G32="","",ADRYr2!AT32)</f>
        <v/>
      </c>
      <c r="DW32" s="1344" t="str">
        <f>IF($G32="","",INDEX(AvoidedEnergy!$H$4:$H$10,MATCH($DO32,AvoidedEnergy!$A$4:$A$10,0)))</f>
        <v/>
      </c>
    </row>
    <row r="33" spans="1:127">
      <c r="A33" s="160" t="str">
        <f>IF(ADRYr2!$B33=0,"",ADRYr2!A33)</f>
        <v>C - Commercial &amp; Industrial</v>
      </c>
      <c r="B33" s="9" t="str">
        <f>IF(ADRYr2!$B33=0,"",ADRYr2!B33)</f>
        <v>C5 - C&amp;I Active Demand Response</v>
      </c>
      <c r="C33" s="9" t="str">
        <f>IF(ADRYr2!$B33=0,"",ADRYr2!C33)</f>
        <v>C5a - C&amp;I Active Demand Response</v>
      </c>
      <c r="D33" s="9" t="str">
        <f>IF(ADRYr2!$B33=0,"",ADRYr2!D33)</f>
        <v>Storage Daily Dispatch Upfront Incentive (savings) Winter</v>
      </c>
      <c r="E33" s="9">
        <f>IF(ADRYr2!$B33=0,"",ADRYr2!E33)</f>
        <v>0</v>
      </c>
      <c r="F33" s="11" t="str">
        <f>IF(ADRYr2!$B33=0,"",ADRYr2!F33)</f>
        <v>Behavior</v>
      </c>
      <c r="G33" s="12" t="str">
        <f>IF(ADRYr2!$G33&lt;&gt;0,ADRYr2!G33,"")</f>
        <v/>
      </c>
      <c r="H33" s="1125" t="str">
        <f>IF($G33="","",ROUND(ADRYr2!H33,0))</f>
        <v/>
      </c>
      <c r="I33" s="47" t="str">
        <f>IF($G33="","",ADRYr2!I33*ADRYr2!P33*G33)</f>
        <v/>
      </c>
      <c r="J33" s="47" t="str">
        <f>IF($G33="","",ADRYr2!J33*G33)</f>
        <v/>
      </c>
      <c r="K33" s="47" t="str">
        <f t="shared" si="17"/>
        <v/>
      </c>
      <c r="L33" s="27" t="str">
        <f>IF($G33="","",ADRYr2!V33*G33/1000)</f>
        <v/>
      </c>
      <c r="M33" s="27" t="str">
        <f>IF($G33="","",L33*ADRYr2!$Q33*ADRYr2!$R33)</f>
        <v/>
      </c>
      <c r="N33" s="27" t="str">
        <f t="shared" si="18"/>
        <v/>
      </c>
      <c r="O33" s="27" t="str">
        <f t="shared" si="19"/>
        <v/>
      </c>
      <c r="P33" s="27" t="str">
        <f>IF($G33="","",M33*ADRYr2!P33)</f>
        <v/>
      </c>
      <c r="Q33" s="27" t="str">
        <f t="shared" si="20"/>
        <v/>
      </c>
      <c r="R33" s="27" t="str">
        <f>IF($G33="","",$Q33*ADRYr2!Z33)</f>
        <v/>
      </c>
      <c r="S33" s="27" t="str">
        <f>IF($G33="","",$Q33*ADRYr2!AA33)</f>
        <v/>
      </c>
      <c r="T33" s="27" t="str">
        <f>IF($G33="","",$Q33*ADRYr2!AB33)</f>
        <v/>
      </c>
      <c r="U33" s="27" t="str">
        <f>IF($G33="","",$Q33*ADRYr2!AC33)</f>
        <v/>
      </c>
      <c r="V33" s="27" t="str">
        <f>IF($G33="","",G33*ADRYr2!$AD33*ADRYr2!$P33*ADRYr2!$Q33)</f>
        <v/>
      </c>
      <c r="W33" s="27" t="str">
        <f>IF($G33="","",$G33*ADRYr2!$AD33*ADRYr2!$AF33*ADRYr2!Q33*ADRYr2!$S33)</f>
        <v/>
      </c>
      <c r="X33" s="27" t="str">
        <f>IF($G33="","",$G33*ADRYr2!$AD33*ADRYr2!$AF33*ADRYr2!P33*ADRYr2!Q33*ADRYr2!$S33)</f>
        <v/>
      </c>
      <c r="Y33" s="27" t="str">
        <f>IF($G33="","",$G33*ADRYr2!$AD33*ADRYr2!$AE33*ADRYr2!Q33*ADRYr2!$T33)</f>
        <v/>
      </c>
      <c r="Z33" s="27" t="str">
        <f>IF($G33="","",$G33*ADRYr2!$AD33*ADRYr2!$AE33*ADRYr2!P33*ADRYr2!Q33*ADRYr2!$T33)</f>
        <v/>
      </c>
      <c r="AA33" s="45" t="str">
        <f>IF($G33="","",$G33*ADRYr2!$Q33*ADRYr2!$U33*(IF(IFERROR(SEARCH("NG", ADRYr2!$AI33),0),ADRYr2!$AJ33,0)+IF(IFERROR(SEARCH("NG", ADRYr2!$AK33),0),ADRYr2!$AL33,0)+IF(IFERROR(SEARCH("NG", ADRYr2!$AM33),0),ADRYr2!$AN33,0)))</f>
        <v/>
      </c>
      <c r="AB33" s="45" t="str">
        <f t="shared" si="21"/>
        <v/>
      </c>
      <c r="AC33" s="45">
        <f>IF($G33="",0,AA33*ADRYr2!$P33)</f>
        <v>0</v>
      </c>
      <c r="AD33" s="45" t="str">
        <f t="shared" si="22"/>
        <v/>
      </c>
      <c r="AE33" s="45" t="str">
        <f>IF($G33="","",$G33*ADRYr2!$Q33*ADRYr2!$U33*(IF(IFERROR(SEARCH("Oil", ADRYr2!$AI33), 0),ADRYr2!$AJ33,0)+IF(IFERROR(SEARCH("Oil", ADRYr2!$AK33), 0),ADRYr2!$AL33,0)+IF(IFERROR(SEARCH("Oil", ADRYr2!$AM33), 0),ADRYr2!$AN33,0)))</f>
        <v/>
      </c>
      <c r="AF33" s="45" t="str">
        <f t="shared" si="23"/>
        <v/>
      </c>
      <c r="AG33" s="45">
        <f>IF($G33="",0,AE33*ADRYr2!$P33)</f>
        <v>0</v>
      </c>
      <c r="AH33" s="45" t="str">
        <f t="shared" si="24"/>
        <v/>
      </c>
      <c r="AI33" s="45" t="str">
        <f>IF($G33="","",$G33*ADRYr2!$Q33*ADRYr2!$U33*(IF(ADRYr2!$AI33=Lookups!$E$114,ADRYr2!$AJ33,IF(ADRYr2!$AK33=Lookups!$E$114,ADRYr2!$AL33,IF(ADRYr2!$AM33=Lookups!$E$114,ADRYr2!$AN33,0)))))</f>
        <v/>
      </c>
      <c r="AJ33" s="45" t="str">
        <f t="shared" si="25"/>
        <v/>
      </c>
      <c r="AK33" s="45">
        <f>IF($G33="",0,AI33*ADRYr2!$P33)</f>
        <v>0</v>
      </c>
      <c r="AL33" s="45" t="str">
        <f t="shared" si="26"/>
        <v/>
      </c>
      <c r="AM33" s="45" t="str">
        <f>IF($G33="","",$G33*ADRYr2!$Q33*ADRYr2!$U33*(IF(ADRYr2!$AI33=Lookups!$E$113,ADRYr2!$AJ33,IF(ADRYr2!$AK33=Lookups!$E$113,ADRYr2!$AL33,IF(ADRYr2!$AM33=Lookups!$E$113,ADRYr2!$AN33,0)))))</f>
        <v/>
      </c>
      <c r="AN33" s="45" t="str">
        <f t="shared" si="27"/>
        <v/>
      </c>
      <c r="AO33" s="45">
        <f>IF($G33="",0,AM33*ADRYr2!$P33)</f>
        <v>0</v>
      </c>
      <c r="AP33" s="45" t="str">
        <f t="shared" si="28"/>
        <v/>
      </c>
      <c r="AQ33" s="45" t="str">
        <f>IF($G33="","",$G33*ADRYr2!$Q33*ADRYr2!$U33*(IF(ADRYr2!$AI33=Lookups!$E$115,ADRYr2!$AJ33,IF(ADRYr2!$AK33=Lookups!$E$115,ADRYr2!$AL33,IF(ADRYr2!$AM33=Lookups!$E$115,ADRYr2!$AN33,0)))))</f>
        <v/>
      </c>
      <c r="AR33" s="45" t="str">
        <f t="shared" si="29"/>
        <v/>
      </c>
      <c r="AS33" s="45" t="str">
        <f>IF($G33="","",AQ33*ADRYr2!$P33)</f>
        <v/>
      </c>
      <c r="AT33" s="45" t="str">
        <f t="shared" si="30"/>
        <v/>
      </c>
      <c r="AU33" s="45" t="str">
        <f>IF($G33="","",$G33*ADRYr2!$Q33*ADRYr2!$U33*(IF(ADRYr2!$AI33=Lookups!$E$116,ADRYr2!$AJ33,IF(ADRYr2!$AK33=Lookups!$E$116,ADRYr2!$AL33,IF(ADRYr2!$AM33=Lookups!$E$116,ADRYr2!$AN33,0)))))</f>
        <v/>
      </c>
      <c r="AV33" s="45" t="str">
        <f t="shared" si="31"/>
        <v/>
      </c>
      <c r="AW33" s="45" t="str">
        <f>IF($G33="","",AU33*ADRYr2!$P33)</f>
        <v/>
      </c>
      <c r="AX33" s="45" t="str">
        <f t="shared" si="32"/>
        <v/>
      </c>
      <c r="AY33" s="45">
        <f t="shared" si="49"/>
        <v>0</v>
      </c>
      <c r="AZ33" s="45">
        <f t="shared" si="49"/>
        <v>0</v>
      </c>
      <c r="BA33" s="101" t="str">
        <f>IF($G33="","",$G33*ADRYr2!$P33*ADRYr2!$Q33*ADRYr2!$U33*ADRYr2!AO33)</f>
        <v/>
      </c>
      <c r="BB33" s="102" t="str">
        <f>IF($G33="","",$G33*ADRYr2!$P33*ADRYr2!$Q33*ADRYr2!$U33*ADRYr2!AP33)</f>
        <v/>
      </c>
      <c r="BC33" s="100" t="str">
        <f t="shared" si="34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5"/>
        <v/>
      </c>
      <c r="BO33" s="31" t="str">
        <f t="shared" si="35"/>
        <v/>
      </c>
      <c r="BP33" s="1129" t="str">
        <f t="shared" si="6"/>
        <v/>
      </c>
      <c r="BQ33" s="28" t="str">
        <f t="shared" si="7"/>
        <v/>
      </c>
      <c r="BR33" s="1129" t="str">
        <f t="shared" si="8"/>
        <v/>
      </c>
      <c r="BS33" s="1129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6"/>
        <v/>
      </c>
      <c r="BX33" s="29" t="str">
        <f t="shared" si="37"/>
        <v/>
      </c>
      <c r="BY33" s="28" t="str">
        <f>IF($G33="","",$G33*(IF(ADRYr2!$AI33=BY$4,ADRYr2!$AJ33,IF(ADRYr2!$AK33=BY$4,ADRYr2!$AL33,IF(ADRYr2!$AM33=BY$4,ADRYr2!$AN33,0))))*(INDEX(avoidedcosttbl2,$H33,BY$2)+(($H33-ROUNDDOWN($H33,0))*(INDEX(avoidedcosttbl2,ROUNDUP($H33,0),BY$2)-(INDEX(avoidedcosttbl2,ROUNDDOWN($H33,0),BY$2)))))*ADRYr2!P33*ADRYr2!Q33*ADRYr2!U33)</f>
        <v/>
      </c>
      <c r="BZ33" s="28" t="str">
        <f>IF($G33="","",$G33*(IF(ADRYr2!$AI33=BZ$4,ADRYr2!$AJ33,IF(ADRYr2!$AK33=BZ$4,ADRYr2!$AL33,IF(ADRYr2!$AM33=BZ$4,ADRYr2!$AN33,0))))*(INDEX(avoidedcosttbl2,$H33,BZ$2)+(($H33-ROUNDDOWN($H33,0))*(INDEX(avoidedcosttbl2,ROUNDUP($H33,0),BZ$2)-(INDEX(avoidedcosttbl2,ROUNDDOWN($H33,0),BZ$2)))))*ADRYr2!P33*ADRYr2!Q33*ADRYr2!U33)</f>
        <v/>
      </c>
      <c r="CA33" s="28" t="str">
        <f>IF($G33="","",$G33*(IF(ADRYr2!$AI33=CA$4,ADRYr2!$AJ33,IF(ADRYr2!$AK33=CA$4,ADRYr2!$AL33,IF(ADRYr2!$AM33=CA$4,ADRYr2!$AN33,0))))*(INDEX(avoidedcosttbl2,$H33,CA$2)+(($H33-ROUNDDOWN($H33,0))*(INDEX(avoidedcosttbl2,ROUNDUP($H33,0),CA$2)-(INDEX(avoidedcosttbl2,ROUNDDOWN($H33,0),CA$2)))))*ADRYr2!P33*ADRYr2!Q33*ADRYr2!U33)</f>
        <v/>
      </c>
      <c r="CB33" s="28" t="str">
        <f>IF($G33="","",$G33*(IF(ADRYr2!$AI33=CB$4,ADRYr2!$AJ33,IF(ADRYr2!$AK33=CB$4,ADRYr2!$AL33,IF(ADRYr2!$AM33=CB$4,ADRYr2!$AN33,0))))*(INDEX(avoidedcosttbl2,$H33,CB$2)+(($H33-ROUNDDOWN($H33,0))*(INDEX(avoidedcosttbl2,ROUNDUP($H33,0),CB$2)-(INDEX(avoidedcosttbl2,ROUNDDOWN($H33,0),CB$2)))))*ADRYr2!P33*ADRYr2!Q33*ADRYr2!U33)</f>
        <v/>
      </c>
      <c r="CC33" s="28" t="str">
        <f>IF($G33="","",$G33*(IF(ADRYr2!$AI33=CC$4,ADRYr2!$AJ33,IF(ADRYr2!$AK33=CC$4,ADRYr2!$AL33,IF(ADRYr2!$AM33=CC$4,ADRYr2!$AN33,0))))*(INDEX(avoidedcosttbl2,$H33,CC$2)+(($H33-ROUNDDOWN($H33,0))*(INDEX(avoidedcosttbl2,ROUNDUP($H33,0),CC$2)-(INDEX(avoidedcosttbl2,ROUNDDOWN($H33,0),CC$2)))))*ADRYr2!P33*ADRYr2!Q33*ADRYr2!U33)</f>
        <v/>
      </c>
      <c r="CD33" s="28" t="str">
        <f>IF($G33="","",$G33*(IF(ADRYr2!$AI33=CD$4,ADRYr2!$AJ33,IF(ADRYr2!$AK33=CD$4,ADRYr2!$AL33,IF(ADRYr2!$AM33=CD$4,ADRYr2!$AN33,0))))*(INDEX(avoidedcosttbl2,$H33,CD$2)+(($H33-ROUNDDOWN($H33,0))*(INDEX(avoidedcosttbl2,ROUNDUP($H33,0),CD$2)-(INDEX(avoidedcosttbl2,ROUNDDOWN($H33,0),CD$2)))))*ADRYr2!P33*ADRYr2!Q33*ADRYr2!U33)</f>
        <v/>
      </c>
      <c r="CE33" s="28" t="str">
        <f>IF($G33="","",$G33*(IF(ADRYr2!$AI33=CE$4,ADRYr2!$AJ33,IF(ADRYr2!$AK33=CE$4,ADRYr2!$AL33,IF(ADRYr2!$AM33=CE$4,ADRYr2!$AN33,0))))*(INDEX(avoidedcosttbl2,$H33,CE$2)+(($H33-ROUNDDOWN($H33,0))*(INDEX(avoidedcosttbl2,ROUNDUP($H33,0),CE$2)-(INDEX(avoidedcosttbl2,ROUNDDOWN($H33,0),CE$2)))))*ADRYr2!P33*ADRYr2!Q33*ADRYr2!U33)</f>
        <v/>
      </c>
      <c r="CF33" s="41" t="str">
        <f t="shared" si="38"/>
        <v/>
      </c>
      <c r="CG33" s="30" t="str">
        <f t="shared" si="11"/>
        <v/>
      </c>
      <c r="CH33" s="30" t="str">
        <f>IF($G33="","",$G33*(IF(ADRYr2!$AI33=BY$4,ADRYr2!$AJ33,IF(ADRYr2!$AK33=BY$4,ADRYr2!$AL33,IF(ADRYr2!$AM33=BY$4,ADRYr2!$AN33,0))))*(INDEX(avoidedcosttbl2,$H33,CH$2)+(($H33-ROUNDDOWN($H33,0))*(INDEX(avoidedcosttbl2,ROUNDUP($H33,0),CH$2)-(INDEX(avoidedcosttbl2,ROUNDDOWN($H33,0),CH$2)))))*ADRYr2!P33*ADRYr2!Q33*ADRYr2!U33)</f>
        <v/>
      </c>
      <c r="CI33" s="30" t="str">
        <f>IF($G33="","",$G33*(IF(ADRYr2!$AI33=BZ$4,ADRYr2!$AJ33,IF(ADRYr2!$AK33=BZ$4,ADRYr2!$AL33,IF(ADRYr2!$AM33=BZ$4,ADRYr2!$AN33,0))))*(INDEX(avoidedcosttbl2,$H33,CI$2)+(($H33-ROUNDDOWN($H33,0))*(INDEX(avoidedcosttbl2,ROUNDUP($H33,0),CI$2)-(INDEX(avoidedcosttbl2,ROUNDDOWN($H33,0),CI$2)))))*ADRYr2!P33*ADRYr2!Q33*ADRYr2!U33)</f>
        <v/>
      </c>
      <c r="CJ33" s="30" t="str">
        <f>IF($G33="","",$G33*(IF(ADRYr2!$AI33=CA$4,ADRYr2!$AJ33,IF(ADRYr2!$AK33=CA$4,ADRYr2!$AL33,IF(ADRYr2!$AM33=CA$4,ADRYr2!$AN33,0))))*(INDEX(avoidedcosttbl2,$H33,CJ$2)+(($H33-ROUNDDOWN($H33,0))*(INDEX(avoidedcosttbl2,ROUNDUP($H33,0),CJ$2)-(INDEX(avoidedcosttbl2,ROUNDDOWN($H33,0),CJ$2)))))*ADRYr2!P33*ADRYr2!Q33*ADRYr2!U33)</f>
        <v/>
      </c>
      <c r="CK33" s="30" t="str">
        <f>IF($G33="","",$G33*(IF(ADRYr2!$AI33=CB$4,ADRYr2!$AJ33,IF(ADRYr2!$AK33=CB$4,ADRYr2!$AL33,IF(ADRYr2!$AM33=CB$4,ADRYr2!$AN33,0))))*(INDEX(avoidedcosttbl2,$H33,CK$2)+(($H33-ROUNDDOWN($H33,0))*(INDEX(avoidedcosttbl2,ROUNDUP($H33,0),CK$2)-(INDEX(avoidedcosttbl2,ROUNDDOWN($H33,0),CK$2)))))*ADRYr2!P33*ADRYr2!Q33*ADRYr2!U33)</f>
        <v/>
      </c>
      <c r="CL33" s="30" t="str">
        <f>IF($G33="","",$G33*(IF(ADRYr2!$AI33=CC$4,ADRYr2!$AJ33,IF(ADRYr2!$AK33=CC$4,ADRYr2!$AL33,IF(ADRYr2!$AM33=CC$4,ADRYr2!$AN33,0))))*(INDEX(avoidedcosttbl2,$H33,CL$2)+(($H33-ROUNDDOWN($H33,0))*(INDEX(avoidedcosttbl2,ROUNDUP($H33,0),CL$2)-(INDEX(avoidedcosttbl2,ROUNDDOWN($H33,0),CL$2)))))*ADRYr2!P33*ADRYr2!Q33*ADRYr2!U33)</f>
        <v/>
      </c>
      <c r="CM33" s="30" t="str">
        <f>IF($G33="","",$G33*(IF(ADRYr2!$AI33=CD$4,ADRYr2!$AJ33,IF(ADRYr2!$AK33=CD$4,ADRYr2!$AL33,IF(ADRYr2!$AM33=CD$4,ADRYr2!$AN33,0))))*(INDEX(avoidedcosttbl2,$H33,CM$2)+(($H33-ROUNDDOWN($H33,0))*(INDEX(avoidedcosttbl2,ROUNDUP($H33,0),CM$2)-(INDEX(avoidedcosttbl2,ROUNDDOWN($H33,0),CM$2)))))*ADRYr2!P33*ADRYr2!Q33*ADRYr2!U33)</f>
        <v/>
      </c>
      <c r="CN33" s="30" t="str">
        <f>IF($G33="","",$G33*(IF(ADRYr2!$AI33=CE$4,ADRYr2!$AJ33,IF(ADRYr2!$AK33=CE$4,ADRYr2!$AL33,IF(ADRYr2!$AM33=CE$4,ADRYr2!$AN33,0))))*(INDEX(avoidedcosttbl2,$H33,CN$2)+(($H33-ROUNDDOWN($H33,0))*(INDEX(avoidedcosttbl2,ROUNDUP($H33,0),CN$2)-(INDEX(avoidedcosttbl2,ROUNDDOWN($H33,0),CN$2)))))*ADRYr2!P33*ADRYr2!Q33*ADRYr2!U33)</f>
        <v/>
      </c>
      <c r="CO33" s="220" t="str">
        <f t="shared" si="39"/>
        <v/>
      </c>
      <c r="CP33" s="220" t="str">
        <f t="shared" si="40"/>
        <v/>
      </c>
      <c r="CQ33" s="157" t="str">
        <f>IF($G33="","",$G33*(IF(ADRYr2!$AI33=CQ$4,ADRYr2!$AJ33,IF(ADRYr2!$AK33=CQ$4,ADRYr2!$AL33,IF(ADRYr2!$AM33=CQ$4,ADRYr2!$AN33,0))))*(INDEX(avoidedcosttbl2,$H33,CQ$2)+(($H33-ROUNDDOWN($H33,0))*(INDEX(avoidedcosttbl2,ROUNDUP($H33,0),CQ$2)-(INDEX(avoidedcosttbl2,ROUNDDOWN($H33,0),CQ$2)))))*ADRYr2!$P33*ADRYr2!$Q33*ADRYr2!$U33)</f>
        <v/>
      </c>
      <c r="CR33" s="28" t="str">
        <f>IF($G33="","",G33*(IF(ADRYr2!$AI33=CR$4,ADRYr2!$AJ33,IF(ADRYr2!$AK33=CR$4,ADRYr2!$AL33,IF(ADRYr2!$AM33=CR$4,ADRYr2!$AN33,0))))*(INDEX(avoidedcosttbl2,$H33,CR$2)+(($H33-ROUNDDOWN($H33,0))*(INDEX(avoidedcosttbl2,ROUNDUP($H33,0),CR$2)-(INDEX(avoidedcosttbl2,ROUNDDOWN($H33,0),CR$2)))))*ADRYr2!$P33*ADRYr2!$Q33*ADRYr2!$U33)</f>
        <v/>
      </c>
      <c r="CS33" s="28" t="str">
        <f>IF($G33="","",G33*(IF(ADRYr2!$AI33=CS$4,ADRYr2!$AJ33,IF(ADRYr2!$AK33=CS$4,ADRYr2!$AL33,IF(ADRYr2!$AM33=CS$4,ADRYr2!$AN33,0))))*(INDEX(avoidedcosttbl2,$H33,CS$2)+(($H33-ROUNDDOWN($H33,0))*(INDEX(avoidedcosttbl2,ROUNDUP($H33,0),CS$2)-(INDEX(avoidedcosttbl2,ROUNDDOWN($H33,0),CS$2)))))*ADRYr2!$P33*ADRYr2!$Q33*ADRYr2!$U33)</f>
        <v/>
      </c>
      <c r="CT33" s="28" t="str">
        <f t="shared" si="12"/>
        <v/>
      </c>
      <c r="CU33" s="28" t="str">
        <f>IF($G33="","",G33*(IF(ADRYr2!$AI33=CU$4,ADRYr2!$AJ33,IF(ADRYr2!$AK33=CU$4,ADRYr2!$AL33,IF(ADRYr2!$AM33=CU$4,ADRYr2!$AN33,0))))*(INDEX(avoidedcosttbl2,$H33,CU$2)+(($H33-ROUNDDOWN($H33,0))*(INDEX(avoidedcosttbl2,ROUNDUP($H33,0),CU$2)-(INDEX(avoidedcosttbl2,ROUNDDOWN($H33,0),CU$2)))))*ADRYr2!$P33*ADRYr2!$Q33*ADRYr2!$U33)</f>
        <v/>
      </c>
      <c r="CV33" s="28" t="str">
        <f>IF($G33="","",G33*(IF(ADRYr2!$AI33=CV$4,ADRYr2!$AJ33,IF(ADRYr2!$AK33=CV$4,ADRYr2!$AL33,IF(ADRYr2!$AM33=CV$4,ADRYr2!$AN33,0))))*(INDEX(avoidedcosttbl2,$H33,CV$2)+(($H33-ROUNDDOWN($H33,0))*(INDEX(avoidedcosttbl2,ROUNDUP($H33,0),CV$2)-(INDEX(avoidedcosttbl2,ROUNDDOWN($H33,0),CV$2)))))*ADRYr2!$P33*ADRYr2!$Q33*ADRYr2!$U33)</f>
        <v/>
      </c>
      <c r="CW33" s="28" t="str">
        <f>IF($G33="","",G33*(IF(ADRYr2!$AI33=CW$4,ADRYr2!$AJ33,IF(ADRYr2!$AK33=CW$4,ADRYr2!$AL33,IF(ADRYr2!$AM33=CW$4,ADRYr2!$AN33,0))))*(INDEX(avoidedcosttbl2,$H33,CW$2)+(($H33-ROUNDDOWN($H33,0))*(INDEX(avoidedcosttbl2,ROUNDUP($H33,0),CW$2)-(INDEX(avoidedcosttbl2,ROUNDDOWN($H33,0),CW$2)))))*ADRYr2!$P33*ADRYr2!$Q33*ADRYr2!$U33)</f>
        <v/>
      </c>
      <c r="CX33" s="28" t="str">
        <f>IF($G33="","",G33*(IF(ADRYr2!$AI33=CX$4,ADRYr2!$AJ33,IF(ADRYr2!$AK33=CX$4,ADRYr2!$AL33,IF(ADRYr2!$AM33=CX$4,ADRYr2!$AN33,0))))*(INDEX(avoidedcosttbl2,$H33,CX$2)+(($H33-ROUNDDOWN($H33,0))*(INDEX(avoidedcosttbl2,ROUNDUP($H33,0),CX$2)-(INDEX(avoidedcosttbl2,ROUNDDOWN($H33,0),CX$2)))))*ADRYr2!$P33*ADRYr2!$Q33*ADRYr2!$U33)</f>
        <v/>
      </c>
      <c r="CY33" s="28" t="str">
        <f t="shared" si="13"/>
        <v/>
      </c>
      <c r="CZ33" s="32" t="str">
        <f t="shared" si="14"/>
        <v/>
      </c>
      <c r="DA33" s="84" t="str">
        <f t="shared" si="41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15"/>
        <v/>
      </c>
      <c r="DD33" s="166" t="str">
        <f t="shared" si="16"/>
        <v/>
      </c>
      <c r="DE33" s="82">
        <f t="shared" si="42"/>
        <v>0</v>
      </c>
      <c r="DF33" s="760" t="str">
        <f>IF($G33="","",(1+WntPeakEnergyLL)*(INDEX(avoidedcosttbl2,$H33,DF$2)+(($H33-ROUNDDOWN($H33,0))*(INDEX(avoidedcosttbl2,ROUNDUP($H33,0),DF$2)-(INDEX(avoidedcosttbl2,ROUNDDOWN($H33,0),DF$2)))))*$P33*1000*ADRYr2!Z33)</f>
        <v/>
      </c>
      <c r="DG33" s="760" t="str">
        <f>IF($G33="","",(1+WntOffPeakEnergyLL)*(INDEX(avoidedcosttbl2,$H33,DG$2)+(($H33-ROUNDDOWN($H33,0))*(INDEX(avoidedcosttbl2,ROUNDUP($H33,0),DG$2)-(INDEX(avoidedcosttbl2,ROUNDDOWN($H33,0),DG$2)))))*$P33*1000*ADRYr2!AA33)</f>
        <v/>
      </c>
      <c r="DH33" s="760" t="str">
        <f>IF($G33="","",(1+SumPeakEnergyLL)*(INDEX(avoidedcosttbl2,$H33,DH$2)+(($H33-ROUNDDOWN($H33,0))*(INDEX(avoidedcosttbl2,ROUNDUP($H33,0),DH$2)-(INDEX(avoidedcosttbl2,ROUNDDOWN($H33,0),DH$2)))))*$P33*1000*ADRYr2!AB33)</f>
        <v/>
      </c>
      <c r="DI33" s="760" t="str">
        <f>IF($G33="","",(1+SumOffPeakEnergyLL)*(INDEX(avoidedcosttbl2,$H33,DI$2)+(($H33-ROUNDDOWN($H33,0))*(INDEX(avoidedcosttbl2,ROUNDUP($H33,0),DI$2)-(INDEX(avoidedcosttbl2,ROUNDDOWN($H33,0),DI$2)))))*$P33*1000*ADRYr2!AC33)</f>
        <v/>
      </c>
      <c r="DJ33" s="29" t="str">
        <f t="shared" si="43"/>
        <v/>
      </c>
      <c r="DK33" s="161" t="str">
        <f t="shared" si="44"/>
        <v/>
      </c>
      <c r="DL33" s="1375" t="str">
        <f t="shared" si="45"/>
        <v/>
      </c>
      <c r="DM33" s="1375" t="str">
        <f t="shared" si="46"/>
        <v/>
      </c>
      <c r="DN33" s="43" t="str">
        <f t="shared" si="47"/>
        <v/>
      </c>
      <c r="DO33" s="1131" t="str">
        <f>IF($G33="","",ADRYr2!AQ33)</f>
        <v/>
      </c>
      <c r="DP33" s="1133" t="str">
        <f>IF($G33="","",ADRYr2!AR33)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48"/>
        <v/>
      </c>
      <c r="DU33" s="1135" t="str">
        <f>IF($G33="","",ADRYr2!AS33)</f>
        <v/>
      </c>
      <c r="DV33" s="1136" t="str">
        <f>IF($G33="","",ADRYr2!AT33)</f>
        <v/>
      </c>
      <c r="DW33" s="1344" t="str">
        <f>IF($G33="","",INDEX(AvoidedEnergy!$H$4:$H$10,MATCH($DO33,AvoidedEnergy!$A$4:$A$10,0)))</f>
        <v/>
      </c>
    </row>
    <row r="34" spans="1:127">
      <c r="A34" s="160" t="str">
        <f>IF(ADRYr2!$B34=0,"",ADRYr2!A34)</f>
        <v>C - Commercial &amp; Industrial</v>
      </c>
      <c r="B34" s="9" t="str">
        <f>IF(ADRYr2!$B34=0,"",ADRYr2!B34)</f>
        <v>C5 - C&amp;I Active Demand Response</v>
      </c>
      <c r="C34" s="9" t="str">
        <f>IF(ADRYr2!$B34=0,"",ADRYr2!C34)</f>
        <v>C5a - C&amp;I Active Demand Response</v>
      </c>
      <c r="D34" s="9" t="str">
        <f>IF(ADRYr2!$B34=0,"",ADRYr2!D34)</f>
        <v>Storage Daily Dispatch Upfront Incentive (consumption) Winter</v>
      </c>
      <c r="E34" s="9">
        <f>IF(ADRYr2!$B34=0,"",ADRYr2!E34)</f>
        <v>0</v>
      </c>
      <c r="F34" s="11" t="str">
        <f>IF(ADRYr2!$B34=0,"",ADRYr2!F34)</f>
        <v>Behavior</v>
      </c>
      <c r="G34" s="12" t="str">
        <f>IF(ADRYr2!$G34&lt;&gt;0,ADRYr2!G34,"")</f>
        <v/>
      </c>
      <c r="H34" s="1125" t="str">
        <f>IF($G34="","",ROUND(ADRYr2!H34,0))</f>
        <v/>
      </c>
      <c r="I34" s="47" t="str">
        <f>IF($G34="","",ADRYr2!I34*ADRYr2!P34*G34)</f>
        <v/>
      </c>
      <c r="J34" s="47" t="str">
        <f>IF($G34="","",ADRYr2!J34*G34)</f>
        <v/>
      </c>
      <c r="K34" s="47" t="str">
        <f t="shared" si="17"/>
        <v/>
      </c>
      <c r="L34" s="27" t="str">
        <f>IF($G34="","",ADRYr2!V34*G34/1000)</f>
        <v/>
      </c>
      <c r="M34" s="27" t="str">
        <f>IF($G34="","",L34*ADRYr2!$Q34*ADRYr2!$R34)</f>
        <v/>
      </c>
      <c r="N34" s="27" t="str">
        <f t="shared" si="18"/>
        <v/>
      </c>
      <c r="O34" s="27" t="str">
        <f t="shared" si="19"/>
        <v/>
      </c>
      <c r="P34" s="27" t="str">
        <f>IF($G34="","",M34*ADRYr2!P34)</f>
        <v/>
      </c>
      <c r="Q34" s="27" t="str">
        <f t="shared" si="20"/>
        <v/>
      </c>
      <c r="R34" s="27" t="str">
        <f>IF($G34="","",$Q34*ADRYr2!Z34)</f>
        <v/>
      </c>
      <c r="S34" s="27" t="str">
        <f>IF($G34="","",$Q34*ADRYr2!AA34)</f>
        <v/>
      </c>
      <c r="T34" s="27" t="str">
        <f>IF($G34="","",$Q34*ADRYr2!AB34)</f>
        <v/>
      </c>
      <c r="U34" s="27" t="str">
        <f>IF($G34="","",$Q34*ADRYr2!AC34)</f>
        <v/>
      </c>
      <c r="V34" s="27" t="str">
        <f>IF($G34="","",G34*ADRYr2!$AD34*ADRYr2!$P34*ADRYr2!$Q34)</f>
        <v/>
      </c>
      <c r="W34" s="27" t="str">
        <f>IF($G34="","",$G34*ADRYr2!$AD34*ADRYr2!$AF34*ADRYr2!Q34*ADRYr2!$S34)</f>
        <v/>
      </c>
      <c r="X34" s="27" t="str">
        <f>IF($G34="","",$G34*ADRYr2!$AD34*ADRYr2!$AF34*ADRYr2!P34*ADRYr2!Q34*ADRYr2!$S34)</f>
        <v/>
      </c>
      <c r="Y34" s="27" t="str">
        <f>IF($G34="","",$G34*ADRYr2!$AD34*ADRYr2!$AE34*ADRYr2!Q34*ADRYr2!$T34)</f>
        <v/>
      </c>
      <c r="Z34" s="27" t="str">
        <f>IF($G34="","",$G34*ADRYr2!$AD34*ADRYr2!$AE34*ADRYr2!P34*ADRYr2!Q34*ADRYr2!$T34)</f>
        <v/>
      </c>
      <c r="AA34" s="45" t="str">
        <f>IF($G34="","",$G34*ADRYr2!$Q34*ADRYr2!$U34*(IF(IFERROR(SEARCH("NG", ADRYr2!$AI34),0),ADRYr2!$AJ34,0)+IF(IFERROR(SEARCH("NG", ADRYr2!$AK34),0),ADRYr2!$AL34,0)+IF(IFERROR(SEARCH("NG", ADRYr2!$AM34),0),ADRYr2!$AN34,0)))</f>
        <v/>
      </c>
      <c r="AB34" s="45" t="str">
        <f t="shared" si="21"/>
        <v/>
      </c>
      <c r="AC34" s="45">
        <f>IF($G34="",0,AA34*ADRYr2!$P34)</f>
        <v>0</v>
      </c>
      <c r="AD34" s="45" t="str">
        <f t="shared" si="22"/>
        <v/>
      </c>
      <c r="AE34" s="45" t="str">
        <f>IF($G34="","",$G34*ADRYr2!$Q34*ADRYr2!$U34*(IF(IFERROR(SEARCH("Oil", ADRYr2!$AI34), 0),ADRYr2!$AJ34,0)+IF(IFERROR(SEARCH("Oil", ADRYr2!$AK34), 0),ADRYr2!$AL34,0)+IF(IFERROR(SEARCH("Oil", ADRYr2!$AM34), 0),ADRYr2!$AN34,0)))</f>
        <v/>
      </c>
      <c r="AF34" s="45" t="str">
        <f t="shared" si="23"/>
        <v/>
      </c>
      <c r="AG34" s="45">
        <f>IF($G34="",0,AE34*ADRYr2!$P34)</f>
        <v>0</v>
      </c>
      <c r="AH34" s="45" t="str">
        <f t="shared" si="24"/>
        <v/>
      </c>
      <c r="AI34" s="45" t="str">
        <f>IF($G34="","",$G34*ADRYr2!$Q34*ADRYr2!$U34*(IF(ADRYr2!$AI34=Lookups!$E$114,ADRYr2!$AJ34,IF(ADRYr2!$AK34=Lookups!$E$114,ADRYr2!$AL34,IF(ADRYr2!$AM34=Lookups!$E$114,ADRYr2!$AN34,0)))))</f>
        <v/>
      </c>
      <c r="AJ34" s="45" t="str">
        <f t="shared" si="25"/>
        <v/>
      </c>
      <c r="AK34" s="45">
        <f>IF($G34="",0,AI34*ADRYr2!$P34)</f>
        <v>0</v>
      </c>
      <c r="AL34" s="45" t="str">
        <f t="shared" si="26"/>
        <v/>
      </c>
      <c r="AM34" s="45" t="str">
        <f>IF($G34="","",$G34*ADRYr2!$Q34*ADRYr2!$U34*(IF(ADRYr2!$AI34=Lookups!$E$113,ADRYr2!$AJ34,IF(ADRYr2!$AK34=Lookups!$E$113,ADRYr2!$AL34,IF(ADRYr2!$AM34=Lookups!$E$113,ADRYr2!$AN34,0)))))</f>
        <v/>
      </c>
      <c r="AN34" s="45" t="str">
        <f t="shared" si="27"/>
        <v/>
      </c>
      <c r="AO34" s="45">
        <f>IF($G34="",0,AM34*ADRYr2!$P34)</f>
        <v>0</v>
      </c>
      <c r="AP34" s="45" t="str">
        <f t="shared" si="28"/>
        <v/>
      </c>
      <c r="AQ34" s="45" t="str">
        <f>IF($G34="","",$G34*ADRYr2!$Q34*ADRYr2!$U34*(IF(ADRYr2!$AI34=Lookups!$E$115,ADRYr2!$AJ34,IF(ADRYr2!$AK34=Lookups!$E$115,ADRYr2!$AL34,IF(ADRYr2!$AM34=Lookups!$E$115,ADRYr2!$AN34,0)))))</f>
        <v/>
      </c>
      <c r="AR34" s="45" t="str">
        <f t="shared" si="29"/>
        <v/>
      </c>
      <c r="AS34" s="45" t="str">
        <f>IF($G34="","",AQ34*ADRYr2!$P34)</f>
        <v/>
      </c>
      <c r="AT34" s="45" t="str">
        <f t="shared" si="30"/>
        <v/>
      </c>
      <c r="AU34" s="45" t="str">
        <f>IF($G34="","",$G34*ADRYr2!$Q34*ADRYr2!$U34*(IF(ADRYr2!$AI34=Lookups!$E$116,ADRYr2!$AJ34,IF(ADRYr2!$AK34=Lookups!$E$116,ADRYr2!$AL34,IF(ADRYr2!$AM34=Lookups!$E$116,ADRYr2!$AN34,0)))))</f>
        <v/>
      </c>
      <c r="AV34" s="45" t="str">
        <f t="shared" si="31"/>
        <v/>
      </c>
      <c r="AW34" s="45" t="str">
        <f>IF($G34="","",AU34*ADRYr2!$P34)</f>
        <v/>
      </c>
      <c r="AX34" s="45" t="str">
        <f t="shared" si="32"/>
        <v/>
      </c>
      <c r="AY34" s="45">
        <f t="shared" si="49"/>
        <v>0</v>
      </c>
      <c r="AZ34" s="45">
        <f t="shared" si="49"/>
        <v>0</v>
      </c>
      <c r="BA34" s="101" t="str">
        <f>IF($G34="","",$G34*ADRYr2!$P34*ADRYr2!$Q34*ADRYr2!$U34*ADRYr2!AO34)</f>
        <v/>
      </c>
      <c r="BB34" s="102" t="str">
        <f>IF($G34="","",$G34*ADRYr2!$P34*ADRYr2!$Q34*ADRYr2!$U34*ADRYr2!AP34)</f>
        <v/>
      </c>
      <c r="BC34" s="100" t="str">
        <f t="shared" si="34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5"/>
        <v/>
      </c>
      <c r="BO34" s="31" t="str">
        <f t="shared" si="35"/>
        <v/>
      </c>
      <c r="BP34" s="1129" t="str">
        <f t="shared" si="6"/>
        <v/>
      </c>
      <c r="BQ34" s="28" t="str">
        <f t="shared" si="7"/>
        <v/>
      </c>
      <c r="BR34" s="1129" t="str">
        <f t="shared" si="8"/>
        <v/>
      </c>
      <c r="BS34" s="1129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6"/>
        <v/>
      </c>
      <c r="BX34" s="29" t="str">
        <f t="shared" si="37"/>
        <v/>
      </c>
      <c r="BY34" s="28" t="str">
        <f>IF($G34="","",$G34*(IF(ADRYr2!$AI34=BY$4,ADRYr2!$AJ34,IF(ADRYr2!$AK34=BY$4,ADRYr2!$AL34,IF(ADRYr2!$AM34=BY$4,ADRYr2!$AN34,0))))*(INDEX(avoidedcosttbl2,$H34,BY$2)+(($H34-ROUNDDOWN($H34,0))*(INDEX(avoidedcosttbl2,ROUNDUP($H34,0),BY$2)-(INDEX(avoidedcosttbl2,ROUNDDOWN($H34,0),BY$2)))))*ADRYr2!P34*ADRYr2!Q34*ADRYr2!U34)</f>
        <v/>
      </c>
      <c r="BZ34" s="28" t="str">
        <f>IF($G34="","",$G34*(IF(ADRYr2!$AI34=BZ$4,ADRYr2!$AJ34,IF(ADRYr2!$AK34=BZ$4,ADRYr2!$AL34,IF(ADRYr2!$AM34=BZ$4,ADRYr2!$AN34,0))))*(INDEX(avoidedcosttbl2,$H34,BZ$2)+(($H34-ROUNDDOWN($H34,0))*(INDEX(avoidedcosttbl2,ROUNDUP($H34,0),BZ$2)-(INDEX(avoidedcosttbl2,ROUNDDOWN($H34,0),BZ$2)))))*ADRYr2!P34*ADRYr2!Q34*ADRYr2!U34)</f>
        <v/>
      </c>
      <c r="CA34" s="28" t="str">
        <f>IF($G34="","",$G34*(IF(ADRYr2!$AI34=CA$4,ADRYr2!$AJ34,IF(ADRYr2!$AK34=CA$4,ADRYr2!$AL34,IF(ADRYr2!$AM34=CA$4,ADRYr2!$AN34,0))))*(INDEX(avoidedcosttbl2,$H34,CA$2)+(($H34-ROUNDDOWN($H34,0))*(INDEX(avoidedcosttbl2,ROUNDUP($H34,0),CA$2)-(INDEX(avoidedcosttbl2,ROUNDDOWN($H34,0),CA$2)))))*ADRYr2!P34*ADRYr2!Q34*ADRYr2!U34)</f>
        <v/>
      </c>
      <c r="CB34" s="28" t="str">
        <f>IF($G34="","",$G34*(IF(ADRYr2!$AI34=CB$4,ADRYr2!$AJ34,IF(ADRYr2!$AK34=CB$4,ADRYr2!$AL34,IF(ADRYr2!$AM34=CB$4,ADRYr2!$AN34,0))))*(INDEX(avoidedcosttbl2,$H34,CB$2)+(($H34-ROUNDDOWN($H34,0))*(INDEX(avoidedcosttbl2,ROUNDUP($H34,0),CB$2)-(INDEX(avoidedcosttbl2,ROUNDDOWN($H34,0),CB$2)))))*ADRYr2!P34*ADRYr2!Q34*ADRYr2!U34)</f>
        <v/>
      </c>
      <c r="CC34" s="28" t="str">
        <f>IF($G34="","",$G34*(IF(ADRYr2!$AI34=CC$4,ADRYr2!$AJ34,IF(ADRYr2!$AK34=CC$4,ADRYr2!$AL34,IF(ADRYr2!$AM34=CC$4,ADRYr2!$AN34,0))))*(INDEX(avoidedcosttbl2,$H34,CC$2)+(($H34-ROUNDDOWN($H34,0))*(INDEX(avoidedcosttbl2,ROUNDUP($H34,0),CC$2)-(INDEX(avoidedcosttbl2,ROUNDDOWN($H34,0),CC$2)))))*ADRYr2!P34*ADRYr2!Q34*ADRYr2!U34)</f>
        <v/>
      </c>
      <c r="CD34" s="28" t="str">
        <f>IF($G34="","",$G34*(IF(ADRYr2!$AI34=CD$4,ADRYr2!$AJ34,IF(ADRYr2!$AK34=CD$4,ADRYr2!$AL34,IF(ADRYr2!$AM34=CD$4,ADRYr2!$AN34,0))))*(INDEX(avoidedcosttbl2,$H34,CD$2)+(($H34-ROUNDDOWN($H34,0))*(INDEX(avoidedcosttbl2,ROUNDUP($H34,0),CD$2)-(INDEX(avoidedcosttbl2,ROUNDDOWN($H34,0),CD$2)))))*ADRYr2!P34*ADRYr2!Q34*ADRYr2!U34)</f>
        <v/>
      </c>
      <c r="CE34" s="28" t="str">
        <f>IF($G34="","",$G34*(IF(ADRYr2!$AI34=CE$4,ADRYr2!$AJ34,IF(ADRYr2!$AK34=CE$4,ADRYr2!$AL34,IF(ADRYr2!$AM34=CE$4,ADRYr2!$AN34,0))))*(INDEX(avoidedcosttbl2,$H34,CE$2)+(($H34-ROUNDDOWN($H34,0))*(INDEX(avoidedcosttbl2,ROUNDUP($H34,0),CE$2)-(INDEX(avoidedcosttbl2,ROUNDDOWN($H34,0),CE$2)))))*ADRYr2!P34*ADRYr2!Q34*ADRYr2!U34)</f>
        <v/>
      </c>
      <c r="CF34" s="41" t="str">
        <f t="shared" si="38"/>
        <v/>
      </c>
      <c r="CG34" s="30" t="str">
        <f t="shared" si="11"/>
        <v/>
      </c>
      <c r="CH34" s="30" t="str">
        <f>IF($G34="","",$G34*(IF(ADRYr2!$AI34=BY$4,ADRYr2!$AJ34,IF(ADRYr2!$AK34=BY$4,ADRYr2!$AL34,IF(ADRYr2!$AM34=BY$4,ADRYr2!$AN34,0))))*(INDEX(avoidedcosttbl2,$H34,CH$2)+(($H34-ROUNDDOWN($H34,0))*(INDEX(avoidedcosttbl2,ROUNDUP($H34,0),CH$2)-(INDEX(avoidedcosttbl2,ROUNDDOWN($H34,0),CH$2)))))*ADRYr2!P34*ADRYr2!Q34*ADRYr2!U34)</f>
        <v/>
      </c>
      <c r="CI34" s="30" t="str">
        <f>IF($G34="","",$G34*(IF(ADRYr2!$AI34=BZ$4,ADRYr2!$AJ34,IF(ADRYr2!$AK34=BZ$4,ADRYr2!$AL34,IF(ADRYr2!$AM34=BZ$4,ADRYr2!$AN34,0))))*(INDEX(avoidedcosttbl2,$H34,CI$2)+(($H34-ROUNDDOWN($H34,0))*(INDEX(avoidedcosttbl2,ROUNDUP($H34,0),CI$2)-(INDEX(avoidedcosttbl2,ROUNDDOWN($H34,0),CI$2)))))*ADRYr2!P34*ADRYr2!Q34*ADRYr2!U34)</f>
        <v/>
      </c>
      <c r="CJ34" s="30" t="str">
        <f>IF($G34="","",$G34*(IF(ADRYr2!$AI34=CA$4,ADRYr2!$AJ34,IF(ADRYr2!$AK34=CA$4,ADRYr2!$AL34,IF(ADRYr2!$AM34=CA$4,ADRYr2!$AN34,0))))*(INDEX(avoidedcosttbl2,$H34,CJ$2)+(($H34-ROUNDDOWN($H34,0))*(INDEX(avoidedcosttbl2,ROUNDUP($H34,0),CJ$2)-(INDEX(avoidedcosttbl2,ROUNDDOWN($H34,0),CJ$2)))))*ADRYr2!P34*ADRYr2!Q34*ADRYr2!U34)</f>
        <v/>
      </c>
      <c r="CK34" s="30" t="str">
        <f>IF($G34="","",$G34*(IF(ADRYr2!$AI34=CB$4,ADRYr2!$AJ34,IF(ADRYr2!$AK34=CB$4,ADRYr2!$AL34,IF(ADRYr2!$AM34=CB$4,ADRYr2!$AN34,0))))*(INDEX(avoidedcosttbl2,$H34,CK$2)+(($H34-ROUNDDOWN($H34,0))*(INDEX(avoidedcosttbl2,ROUNDUP($H34,0),CK$2)-(INDEX(avoidedcosttbl2,ROUNDDOWN($H34,0),CK$2)))))*ADRYr2!P34*ADRYr2!Q34*ADRYr2!U34)</f>
        <v/>
      </c>
      <c r="CL34" s="30" t="str">
        <f>IF($G34="","",$G34*(IF(ADRYr2!$AI34=CC$4,ADRYr2!$AJ34,IF(ADRYr2!$AK34=CC$4,ADRYr2!$AL34,IF(ADRYr2!$AM34=CC$4,ADRYr2!$AN34,0))))*(INDEX(avoidedcosttbl2,$H34,CL$2)+(($H34-ROUNDDOWN($H34,0))*(INDEX(avoidedcosttbl2,ROUNDUP($H34,0),CL$2)-(INDEX(avoidedcosttbl2,ROUNDDOWN($H34,0),CL$2)))))*ADRYr2!P34*ADRYr2!Q34*ADRYr2!U34)</f>
        <v/>
      </c>
      <c r="CM34" s="30" t="str">
        <f>IF($G34="","",$G34*(IF(ADRYr2!$AI34=CD$4,ADRYr2!$AJ34,IF(ADRYr2!$AK34=CD$4,ADRYr2!$AL34,IF(ADRYr2!$AM34=CD$4,ADRYr2!$AN34,0))))*(INDEX(avoidedcosttbl2,$H34,CM$2)+(($H34-ROUNDDOWN($H34,0))*(INDEX(avoidedcosttbl2,ROUNDUP($H34,0),CM$2)-(INDEX(avoidedcosttbl2,ROUNDDOWN($H34,0),CM$2)))))*ADRYr2!P34*ADRYr2!Q34*ADRYr2!U34)</f>
        <v/>
      </c>
      <c r="CN34" s="30" t="str">
        <f>IF($G34="","",$G34*(IF(ADRYr2!$AI34=CE$4,ADRYr2!$AJ34,IF(ADRYr2!$AK34=CE$4,ADRYr2!$AL34,IF(ADRYr2!$AM34=CE$4,ADRYr2!$AN34,0))))*(INDEX(avoidedcosttbl2,$H34,CN$2)+(($H34-ROUNDDOWN($H34,0))*(INDEX(avoidedcosttbl2,ROUNDUP($H34,0),CN$2)-(INDEX(avoidedcosttbl2,ROUNDDOWN($H34,0),CN$2)))))*ADRYr2!P34*ADRYr2!Q34*ADRYr2!U34)</f>
        <v/>
      </c>
      <c r="CO34" s="220" t="str">
        <f t="shared" si="39"/>
        <v/>
      </c>
      <c r="CP34" s="220" t="str">
        <f t="shared" si="40"/>
        <v/>
      </c>
      <c r="CQ34" s="157" t="str">
        <f>IF($G34="","",$G34*(IF(ADRYr2!$AI34=CQ$4,ADRYr2!$AJ34,IF(ADRYr2!$AK34=CQ$4,ADRYr2!$AL34,IF(ADRYr2!$AM34=CQ$4,ADRYr2!$AN34,0))))*(INDEX(avoidedcosttbl2,$H34,CQ$2)+(($H34-ROUNDDOWN($H34,0))*(INDEX(avoidedcosttbl2,ROUNDUP($H34,0),CQ$2)-(INDEX(avoidedcosttbl2,ROUNDDOWN($H34,0),CQ$2)))))*ADRYr2!$P34*ADRYr2!$Q34*ADRYr2!$U34)</f>
        <v/>
      </c>
      <c r="CR34" s="28" t="str">
        <f>IF($G34="","",G34*(IF(ADRYr2!$AI34=CR$4,ADRYr2!$AJ34,IF(ADRYr2!$AK34=CR$4,ADRYr2!$AL34,IF(ADRYr2!$AM34=CR$4,ADRYr2!$AN34,0))))*(INDEX(avoidedcosttbl2,$H34,CR$2)+(($H34-ROUNDDOWN($H34,0))*(INDEX(avoidedcosttbl2,ROUNDUP($H34,0),CR$2)-(INDEX(avoidedcosttbl2,ROUNDDOWN($H34,0),CR$2)))))*ADRYr2!$P34*ADRYr2!$Q34*ADRYr2!$U34)</f>
        <v/>
      </c>
      <c r="CS34" s="28" t="str">
        <f>IF($G34="","",G34*(IF(ADRYr2!$AI34=CS$4,ADRYr2!$AJ34,IF(ADRYr2!$AK34=CS$4,ADRYr2!$AL34,IF(ADRYr2!$AM34=CS$4,ADRYr2!$AN34,0))))*(INDEX(avoidedcosttbl2,$H34,CS$2)+(($H34-ROUNDDOWN($H34,0))*(INDEX(avoidedcosttbl2,ROUNDUP($H34,0),CS$2)-(INDEX(avoidedcosttbl2,ROUNDDOWN($H34,0),CS$2)))))*ADRYr2!$P34*ADRYr2!$Q34*ADRYr2!$U34)</f>
        <v/>
      </c>
      <c r="CT34" s="28" t="str">
        <f t="shared" si="12"/>
        <v/>
      </c>
      <c r="CU34" s="28" t="str">
        <f>IF($G34="","",G34*(IF(ADRYr2!$AI34=CU$4,ADRYr2!$AJ34,IF(ADRYr2!$AK34=CU$4,ADRYr2!$AL34,IF(ADRYr2!$AM34=CU$4,ADRYr2!$AN34,0))))*(INDEX(avoidedcosttbl2,$H34,CU$2)+(($H34-ROUNDDOWN($H34,0))*(INDEX(avoidedcosttbl2,ROUNDUP($H34,0),CU$2)-(INDEX(avoidedcosttbl2,ROUNDDOWN($H34,0),CU$2)))))*ADRYr2!$P34*ADRYr2!$Q34*ADRYr2!$U34)</f>
        <v/>
      </c>
      <c r="CV34" s="28" t="str">
        <f>IF($G34="","",G34*(IF(ADRYr2!$AI34=CV$4,ADRYr2!$AJ34,IF(ADRYr2!$AK34=CV$4,ADRYr2!$AL34,IF(ADRYr2!$AM34=CV$4,ADRYr2!$AN34,0))))*(INDEX(avoidedcosttbl2,$H34,CV$2)+(($H34-ROUNDDOWN($H34,0))*(INDEX(avoidedcosttbl2,ROUNDUP($H34,0),CV$2)-(INDEX(avoidedcosttbl2,ROUNDDOWN($H34,0),CV$2)))))*ADRYr2!$P34*ADRYr2!$Q34*ADRYr2!$U34)</f>
        <v/>
      </c>
      <c r="CW34" s="28" t="str">
        <f>IF($G34="","",G34*(IF(ADRYr2!$AI34=CW$4,ADRYr2!$AJ34,IF(ADRYr2!$AK34=CW$4,ADRYr2!$AL34,IF(ADRYr2!$AM34=CW$4,ADRYr2!$AN34,0))))*(INDEX(avoidedcosttbl2,$H34,CW$2)+(($H34-ROUNDDOWN($H34,0))*(INDEX(avoidedcosttbl2,ROUNDUP($H34,0),CW$2)-(INDEX(avoidedcosttbl2,ROUNDDOWN($H34,0),CW$2)))))*ADRYr2!$P34*ADRYr2!$Q34*ADRYr2!$U34)</f>
        <v/>
      </c>
      <c r="CX34" s="28" t="str">
        <f>IF($G34="","",G34*(IF(ADRYr2!$AI34=CX$4,ADRYr2!$AJ34,IF(ADRYr2!$AK34=CX$4,ADRYr2!$AL34,IF(ADRYr2!$AM34=CX$4,ADRYr2!$AN34,0))))*(INDEX(avoidedcosttbl2,$H34,CX$2)+(($H34-ROUNDDOWN($H34,0))*(INDEX(avoidedcosttbl2,ROUNDUP($H34,0),CX$2)-(INDEX(avoidedcosttbl2,ROUNDDOWN($H34,0),CX$2)))))*ADRYr2!$P34*ADRYr2!$Q34*ADRYr2!$U34)</f>
        <v/>
      </c>
      <c r="CY34" s="28" t="str">
        <f t="shared" si="13"/>
        <v/>
      </c>
      <c r="CZ34" s="32" t="str">
        <f t="shared" si="14"/>
        <v/>
      </c>
      <c r="DA34" s="84" t="str">
        <f t="shared" si="41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15"/>
        <v/>
      </c>
      <c r="DD34" s="166" t="str">
        <f t="shared" si="16"/>
        <v/>
      </c>
      <c r="DE34" s="82">
        <f t="shared" si="42"/>
        <v>0</v>
      </c>
      <c r="DF34" s="760" t="str">
        <f>IF($G34="","",(1+WntPeakEnergyLL)*(INDEX(avoidedcosttbl2,$H34,DF$2)+(($H34-ROUNDDOWN($H34,0))*(INDEX(avoidedcosttbl2,ROUNDUP($H34,0),DF$2)-(INDEX(avoidedcosttbl2,ROUNDDOWN($H34,0),DF$2)))))*$P34*1000*ADRYr2!Z34)</f>
        <v/>
      </c>
      <c r="DG34" s="760" t="str">
        <f>IF($G34="","",(1+WntOffPeakEnergyLL)*(INDEX(avoidedcosttbl2,$H34,DG$2)+(($H34-ROUNDDOWN($H34,0))*(INDEX(avoidedcosttbl2,ROUNDUP($H34,0),DG$2)-(INDEX(avoidedcosttbl2,ROUNDDOWN($H34,0),DG$2)))))*$P34*1000*ADRYr2!AA34)</f>
        <v/>
      </c>
      <c r="DH34" s="760" t="str">
        <f>IF($G34="","",(1+SumPeakEnergyLL)*(INDEX(avoidedcosttbl2,$H34,DH$2)+(($H34-ROUNDDOWN($H34,0))*(INDEX(avoidedcosttbl2,ROUNDUP($H34,0),DH$2)-(INDEX(avoidedcosttbl2,ROUNDDOWN($H34,0),DH$2)))))*$P34*1000*ADRYr2!AB34)</f>
        <v/>
      </c>
      <c r="DI34" s="760" t="str">
        <f>IF($G34="","",(1+SumOffPeakEnergyLL)*(INDEX(avoidedcosttbl2,$H34,DI$2)+(($H34-ROUNDDOWN($H34,0))*(INDEX(avoidedcosttbl2,ROUNDUP($H34,0),DI$2)-(INDEX(avoidedcosttbl2,ROUNDDOWN($H34,0),DI$2)))))*$P34*1000*ADRYr2!AC34)</f>
        <v/>
      </c>
      <c r="DJ34" s="29" t="str">
        <f t="shared" si="43"/>
        <v/>
      </c>
      <c r="DK34" s="161" t="str">
        <f t="shared" si="44"/>
        <v/>
      </c>
      <c r="DL34" s="1375" t="str">
        <f t="shared" si="45"/>
        <v/>
      </c>
      <c r="DM34" s="1375" t="str">
        <f t="shared" si="46"/>
        <v/>
      </c>
      <c r="DN34" s="43" t="str">
        <f t="shared" si="47"/>
        <v/>
      </c>
      <c r="DO34" s="1131" t="str">
        <f>IF($G34="","",ADRYr2!AQ34)</f>
        <v/>
      </c>
      <c r="DP34" s="1133" t="str">
        <f>IF($G34="","",ADRYr2!AR34)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48"/>
        <v/>
      </c>
      <c r="DU34" s="1135" t="str">
        <f>IF($G34="","",ADRYr2!AS34)</f>
        <v/>
      </c>
      <c r="DV34" s="1136" t="str">
        <f>IF($G34="","",ADRYr2!AT34)</f>
        <v/>
      </c>
      <c r="DW34" s="1344" t="str">
        <f>IF($G34="","",INDEX(AvoidedEnergy!$H$4:$H$10,MATCH($DO34,AvoidedEnergy!$A$4:$A$10,0)))</f>
        <v/>
      </c>
    </row>
    <row r="35" spans="1:127">
      <c r="A35" s="160" t="str">
        <f>IF(ADRYr2!$B35=0,"",ADRYr2!A35)</f>
        <v>C - Commercial &amp; Industrial</v>
      </c>
      <c r="B35" s="9" t="str">
        <f>IF(ADRYr2!$B35=0,"",ADRYr2!B35)</f>
        <v>C5 - C&amp;I Active Demand Response</v>
      </c>
      <c r="C35" s="9" t="str">
        <f>IF(ADRYr2!$B35=0,"",ADRYr2!C35)</f>
        <v>C5a - C&amp;I Active Demand Response</v>
      </c>
      <c r="D35" s="9" t="str">
        <f>IF(ADRYr2!$B35=0,"",ADRYr2!D35)</f>
        <v>Storage Daily Dispatch P4P (savings) Summer</v>
      </c>
      <c r="E35" s="9" t="str">
        <f>IF(ADRYr2!$B35=0,"",ADRYr2!E35)</f>
        <v>E21C5a002</v>
      </c>
      <c r="F35" s="11" t="str">
        <f>IF(ADRYr2!$B35=0,"",ADRYr2!F35)</f>
        <v>Behavior</v>
      </c>
      <c r="G35" s="12">
        <f>IF(ADRYr2!$G35&lt;&gt;0,ADRYr2!G35,"")</f>
        <v>1</v>
      </c>
      <c r="H35" s="1125">
        <f>IF($G35="","",ROUND(ADRYr2!H35,0))</f>
        <v>1</v>
      </c>
      <c r="I35" s="47">
        <f>IF($G35="","",ADRYr2!I35*ADRYr2!P35*G35)</f>
        <v>20000</v>
      </c>
      <c r="J35" s="47">
        <f>IF($G35="","",ADRYr2!J35*G35)</f>
        <v>20000</v>
      </c>
      <c r="K35" s="47">
        <f t="shared" si="17"/>
        <v>0</v>
      </c>
      <c r="L35" s="27">
        <f>IF($G35="","",ADRYr2!V35*G35/1000)</f>
        <v>15</v>
      </c>
      <c r="M35" s="27">
        <f>IF($G35="","",L35*ADRYr2!$Q35*ADRYr2!$R35)</f>
        <v>15</v>
      </c>
      <c r="N35" s="27">
        <f t="shared" si="18"/>
        <v>15</v>
      </c>
      <c r="O35" s="27">
        <f t="shared" si="19"/>
        <v>15</v>
      </c>
      <c r="P35" s="27">
        <f>IF($G35="","",M35*ADRYr2!P35)</f>
        <v>15</v>
      </c>
      <c r="Q35" s="27">
        <f t="shared" si="20"/>
        <v>15</v>
      </c>
      <c r="R35" s="27">
        <f>IF($G35="","",$Q35*ADRYr2!Z35)</f>
        <v>0</v>
      </c>
      <c r="S35" s="27">
        <f>IF($G35="","",$Q35*ADRYr2!AA35)</f>
        <v>0</v>
      </c>
      <c r="T35" s="27">
        <f>IF($G35="","",$Q35*ADRYr2!AB35)</f>
        <v>15</v>
      </c>
      <c r="U35" s="27">
        <f>IF($G35="","",$Q35*ADRYr2!AC35)</f>
        <v>0</v>
      </c>
      <c r="V35" s="27">
        <f>IF($G35="","",G35*ADRYr2!$AD35*ADRYr2!$P35*ADRYr2!$Q35)</f>
        <v>100</v>
      </c>
      <c r="W35" s="27">
        <f>IF($G35="","",$G35*ADRYr2!$AD35*ADRYr2!$AF35*ADRYr2!Q35*ADRYr2!$S35)</f>
        <v>0</v>
      </c>
      <c r="X35" s="27">
        <f>IF($G35="","",$G35*ADRYr2!$AD35*ADRYr2!$AF35*ADRYr2!P35*ADRYr2!Q35*ADRYr2!$S35)</f>
        <v>0</v>
      </c>
      <c r="Y35" s="27">
        <f>IF($G35="","",$G35*ADRYr2!$AD35*ADRYr2!$AE35*ADRYr2!Q35*ADRYr2!$T35)</f>
        <v>100</v>
      </c>
      <c r="Z35" s="27">
        <f>IF($G35="","",$G35*ADRYr2!$AD35*ADRYr2!$AE35*ADRYr2!P35*ADRYr2!Q35*ADRYr2!$T35)</f>
        <v>100</v>
      </c>
      <c r="AA35" s="45">
        <f>IF($G35="","",$G35*ADRYr2!$Q35*ADRYr2!$U35*(IF(IFERROR(SEARCH("NG", ADRYr2!$AI35),0),ADRYr2!$AJ35,0)+IF(IFERROR(SEARCH("NG", ADRYr2!$AK35),0),ADRYr2!$AL35,0)+IF(IFERROR(SEARCH("NG", ADRYr2!$AM35),0),ADRYr2!$AN35,0)))</f>
        <v>0</v>
      </c>
      <c r="AB35" s="45">
        <f t="shared" si="21"/>
        <v>0</v>
      </c>
      <c r="AC35" s="45">
        <f>IF($G35="",0,AA35*ADRYr2!$P35)</f>
        <v>0</v>
      </c>
      <c r="AD35" s="45">
        <f t="shared" si="22"/>
        <v>0</v>
      </c>
      <c r="AE35" s="45">
        <f>IF($G35="","",$G35*ADRYr2!$Q35*ADRYr2!$U35*(IF(IFERROR(SEARCH("Oil", ADRYr2!$AI35), 0),ADRYr2!$AJ35,0)+IF(IFERROR(SEARCH("Oil", ADRYr2!$AK35), 0),ADRYr2!$AL35,0)+IF(IFERROR(SEARCH("Oil", ADRYr2!$AM35), 0),ADRYr2!$AN35,0)))</f>
        <v>0</v>
      </c>
      <c r="AF35" s="45">
        <f t="shared" si="23"/>
        <v>0</v>
      </c>
      <c r="AG35" s="45">
        <f>IF($G35="",0,AE35*ADRYr2!$P35)</f>
        <v>0</v>
      </c>
      <c r="AH35" s="45">
        <f t="shared" si="24"/>
        <v>0</v>
      </c>
      <c r="AI35" s="45">
        <f>IF($G35="","",$G35*ADRYr2!$Q35*ADRYr2!$U35*(IF(ADRYr2!$AI35=Lookups!$E$114,ADRYr2!$AJ35,IF(ADRYr2!$AK35=Lookups!$E$114,ADRYr2!$AL35,IF(ADRYr2!$AM35=Lookups!$E$114,ADRYr2!$AN35,0)))))</f>
        <v>0</v>
      </c>
      <c r="AJ35" s="45">
        <f t="shared" si="25"/>
        <v>0</v>
      </c>
      <c r="AK35" s="45">
        <f>IF($G35="",0,AI35*ADRYr2!$P35)</f>
        <v>0</v>
      </c>
      <c r="AL35" s="45">
        <f t="shared" si="26"/>
        <v>0</v>
      </c>
      <c r="AM35" s="45">
        <f>IF($G35="","",$G35*ADRYr2!$Q35*ADRYr2!$U35*(IF(ADRYr2!$AI35=Lookups!$E$113,ADRYr2!$AJ35,IF(ADRYr2!$AK35=Lookups!$E$113,ADRYr2!$AL35,IF(ADRYr2!$AM35=Lookups!$E$113,ADRYr2!$AN35,0)))))</f>
        <v>0</v>
      </c>
      <c r="AN35" s="45">
        <f t="shared" si="27"/>
        <v>0</v>
      </c>
      <c r="AO35" s="45">
        <f>IF($G35="",0,AM35*ADRYr2!$P35)</f>
        <v>0</v>
      </c>
      <c r="AP35" s="45">
        <f t="shared" si="28"/>
        <v>0</v>
      </c>
      <c r="AQ35" s="45">
        <f>IF($G35="","",$G35*ADRYr2!$Q35*ADRYr2!$U35*(IF(ADRYr2!$AI35=Lookups!$E$115,ADRYr2!$AJ35,IF(ADRYr2!$AK35=Lookups!$E$115,ADRYr2!$AL35,IF(ADRYr2!$AM35=Lookups!$E$115,ADRYr2!$AN35,0)))))</f>
        <v>0</v>
      </c>
      <c r="AR35" s="45">
        <f t="shared" si="29"/>
        <v>0</v>
      </c>
      <c r="AS35" s="45">
        <f>IF($G35="","",AQ35*ADRYr2!$P35)</f>
        <v>0</v>
      </c>
      <c r="AT35" s="45">
        <f t="shared" si="30"/>
        <v>0</v>
      </c>
      <c r="AU35" s="45">
        <f>IF($G35="","",$G35*ADRYr2!$Q35*ADRYr2!$U35*(IF(ADRYr2!$AI35=Lookups!$E$116,ADRYr2!$AJ35,IF(ADRYr2!$AK35=Lookups!$E$116,ADRYr2!$AL35,IF(ADRYr2!$AM35=Lookups!$E$116,ADRYr2!$AN35,0)))))</f>
        <v>0</v>
      </c>
      <c r="AV35" s="45">
        <f t="shared" si="31"/>
        <v>0</v>
      </c>
      <c r="AW35" s="45">
        <f>IF($G35="","",AU35*ADRYr2!$P35)</f>
        <v>0</v>
      </c>
      <c r="AX35" s="45">
        <f t="shared" si="32"/>
        <v>0</v>
      </c>
      <c r="AY35" s="45">
        <f t="shared" si="49"/>
        <v>0</v>
      </c>
      <c r="AZ35" s="45">
        <f t="shared" si="49"/>
        <v>0</v>
      </c>
      <c r="BA35" s="101">
        <f>IF($G35="","",$G35*ADRYr2!$P35*ADRYr2!$Q35*ADRYr2!$U35*ADRYr2!AO35)</f>
        <v>0</v>
      </c>
      <c r="BB35" s="102">
        <f>IF($G35="","",$G35*ADRYr2!$P35*ADRYr2!$Q35*ADRYr2!$U35*ADRYr2!AP35)</f>
        <v>0</v>
      </c>
      <c r="BC35" s="100">
        <f t="shared" si="34"/>
        <v>0</v>
      </c>
      <c r="BD35" s="1126"/>
      <c r="BE35" s="1126"/>
      <c r="BF35" s="1126"/>
      <c r="BG35" s="1126"/>
      <c r="BH35" s="1127">
        <f t="shared" si="3"/>
        <v>910.02365593313118</v>
      </c>
      <c r="BI35" s="1126"/>
      <c r="BJ35" s="1126"/>
      <c r="BK35" s="1126"/>
      <c r="BL35" s="1126"/>
      <c r="BM35" s="30">
        <f t="shared" si="4"/>
        <v>27.983329418714675</v>
      </c>
      <c r="BN35" s="1128">
        <f t="shared" si="5"/>
        <v>27.983329418714675</v>
      </c>
      <c r="BO35" s="31">
        <f t="shared" si="35"/>
        <v>938.00698535184586</v>
      </c>
      <c r="BP35" s="1129">
        <f t="shared" si="6"/>
        <v>11064.15709366462</v>
      </c>
      <c r="BQ35" s="28">
        <f t="shared" si="7"/>
        <v>0</v>
      </c>
      <c r="BR35" s="1129">
        <f t="shared" si="8"/>
        <v>23533.23503846172</v>
      </c>
      <c r="BS35" s="1129">
        <f t="shared" si="9"/>
        <v>0</v>
      </c>
      <c r="BT35" s="28">
        <f t="shared" si="50"/>
        <v>10028.588050566668</v>
      </c>
      <c r="BU35" s="28">
        <f t="shared" si="50"/>
        <v>0</v>
      </c>
      <c r="BV35" s="28">
        <f t="shared" si="50"/>
        <v>8687.6527174799994</v>
      </c>
      <c r="BW35" s="29">
        <f t="shared" si="36"/>
        <v>53313.632900173005</v>
      </c>
      <c r="BX35" s="29">
        <f t="shared" si="37"/>
        <v>54251.639885524848</v>
      </c>
      <c r="BY35" s="28">
        <f>IF($G35="","",$G35*(IF(ADRYr2!$AI35=BY$4,ADRYr2!$AJ35,IF(ADRYr2!$AK35=BY$4,ADRYr2!$AL35,IF(ADRYr2!$AM35=BY$4,ADRYr2!$AN35,0))))*(INDEX(avoidedcosttbl2,$H35,BY$2)+(($H35-ROUNDDOWN($H35,0))*(INDEX(avoidedcosttbl2,ROUNDUP($H35,0),BY$2)-(INDEX(avoidedcosttbl2,ROUNDDOWN($H35,0),BY$2)))))*ADRYr2!P35*ADRYr2!Q35*ADRYr2!U35)</f>
        <v>0</v>
      </c>
      <c r="BZ35" s="28">
        <f>IF($G35="","",$G35*(IF(ADRYr2!$AI35=BZ$4,ADRYr2!$AJ35,IF(ADRYr2!$AK35=BZ$4,ADRYr2!$AL35,IF(ADRYr2!$AM35=BZ$4,ADRYr2!$AN35,0))))*(INDEX(avoidedcosttbl2,$H35,BZ$2)+(($H35-ROUNDDOWN($H35,0))*(INDEX(avoidedcosttbl2,ROUNDUP($H35,0),BZ$2)-(INDEX(avoidedcosttbl2,ROUNDDOWN($H35,0),BZ$2)))))*ADRYr2!P35*ADRYr2!Q35*ADRYr2!U35)</f>
        <v>0</v>
      </c>
      <c r="CA35" s="28">
        <f>IF($G35="","",$G35*(IF(ADRYr2!$AI35=CA$4,ADRYr2!$AJ35,IF(ADRYr2!$AK35=CA$4,ADRYr2!$AL35,IF(ADRYr2!$AM35=CA$4,ADRYr2!$AN35,0))))*(INDEX(avoidedcosttbl2,$H35,CA$2)+(($H35-ROUNDDOWN($H35,0))*(INDEX(avoidedcosttbl2,ROUNDUP($H35,0),CA$2)-(INDEX(avoidedcosttbl2,ROUNDDOWN($H35,0),CA$2)))))*ADRYr2!P35*ADRYr2!Q35*ADRYr2!U35)</f>
        <v>0</v>
      </c>
      <c r="CB35" s="28">
        <f>IF($G35="","",$G35*(IF(ADRYr2!$AI35=CB$4,ADRYr2!$AJ35,IF(ADRYr2!$AK35=CB$4,ADRYr2!$AL35,IF(ADRYr2!$AM35=CB$4,ADRYr2!$AN35,0))))*(INDEX(avoidedcosttbl2,$H35,CB$2)+(($H35-ROUNDDOWN($H35,0))*(INDEX(avoidedcosttbl2,ROUNDUP($H35,0),CB$2)-(INDEX(avoidedcosttbl2,ROUNDDOWN($H35,0),CB$2)))))*ADRYr2!P35*ADRYr2!Q35*ADRYr2!U35)</f>
        <v>0</v>
      </c>
      <c r="CC35" s="28">
        <f>IF($G35="","",$G35*(IF(ADRYr2!$AI35=CC$4,ADRYr2!$AJ35,IF(ADRYr2!$AK35=CC$4,ADRYr2!$AL35,IF(ADRYr2!$AM35=CC$4,ADRYr2!$AN35,0))))*(INDEX(avoidedcosttbl2,$H35,CC$2)+(($H35-ROUNDDOWN($H35,0))*(INDEX(avoidedcosttbl2,ROUNDUP($H35,0),CC$2)-(INDEX(avoidedcosttbl2,ROUNDDOWN($H35,0),CC$2)))))*ADRYr2!P35*ADRYr2!Q35*ADRYr2!U35)</f>
        <v>0</v>
      </c>
      <c r="CD35" s="28">
        <f>IF($G35="","",$G35*(IF(ADRYr2!$AI35=CD$4,ADRYr2!$AJ35,IF(ADRYr2!$AK35=CD$4,ADRYr2!$AL35,IF(ADRYr2!$AM35=CD$4,ADRYr2!$AN35,0))))*(INDEX(avoidedcosttbl2,$H35,CD$2)+(($H35-ROUNDDOWN($H35,0))*(INDEX(avoidedcosttbl2,ROUNDUP($H35,0),CD$2)-(INDEX(avoidedcosttbl2,ROUNDDOWN($H35,0),CD$2)))))*ADRYr2!P35*ADRYr2!Q35*ADRYr2!U35)</f>
        <v>0</v>
      </c>
      <c r="CE35" s="28">
        <f>IF($G35="","",$G35*(IF(ADRYr2!$AI35=CE$4,ADRYr2!$AJ35,IF(ADRYr2!$AK35=CE$4,ADRYr2!$AL35,IF(ADRYr2!$AM35=CE$4,ADRYr2!$AN35,0))))*(INDEX(avoidedcosttbl2,$H35,CE$2)+(($H35-ROUNDDOWN($H35,0))*(INDEX(avoidedcosttbl2,ROUNDUP($H35,0),CE$2)-(INDEX(avoidedcosttbl2,ROUNDDOWN($H35,0),CE$2)))))*ADRYr2!P35*ADRYr2!Q35*ADRYr2!U35)</f>
        <v>0</v>
      </c>
      <c r="CF35" s="41">
        <f t="shared" si="38"/>
        <v>0</v>
      </c>
      <c r="CG35" s="30">
        <f t="shared" si="11"/>
        <v>0</v>
      </c>
      <c r="CH35" s="30">
        <f>IF($G35="","",$G35*(IF(ADRYr2!$AI35=BY$4,ADRYr2!$AJ35,IF(ADRYr2!$AK35=BY$4,ADRYr2!$AL35,IF(ADRYr2!$AM35=BY$4,ADRYr2!$AN35,0))))*(INDEX(avoidedcosttbl2,$H35,CH$2)+(($H35-ROUNDDOWN($H35,0))*(INDEX(avoidedcosttbl2,ROUNDUP($H35,0),CH$2)-(INDEX(avoidedcosttbl2,ROUNDDOWN($H35,0),CH$2)))))*ADRYr2!P35*ADRYr2!Q35*ADRYr2!U35)</f>
        <v>0</v>
      </c>
      <c r="CI35" s="30">
        <f>IF($G35="","",$G35*(IF(ADRYr2!$AI35=BZ$4,ADRYr2!$AJ35,IF(ADRYr2!$AK35=BZ$4,ADRYr2!$AL35,IF(ADRYr2!$AM35=BZ$4,ADRYr2!$AN35,0))))*(INDEX(avoidedcosttbl2,$H35,CI$2)+(($H35-ROUNDDOWN($H35,0))*(INDEX(avoidedcosttbl2,ROUNDUP($H35,0),CI$2)-(INDEX(avoidedcosttbl2,ROUNDDOWN($H35,0),CI$2)))))*ADRYr2!P35*ADRYr2!Q35*ADRYr2!U35)</f>
        <v>0</v>
      </c>
      <c r="CJ35" s="30">
        <f>IF($G35="","",$G35*(IF(ADRYr2!$AI35=CA$4,ADRYr2!$AJ35,IF(ADRYr2!$AK35=CA$4,ADRYr2!$AL35,IF(ADRYr2!$AM35=CA$4,ADRYr2!$AN35,0))))*(INDEX(avoidedcosttbl2,$H35,CJ$2)+(($H35-ROUNDDOWN($H35,0))*(INDEX(avoidedcosttbl2,ROUNDUP($H35,0),CJ$2)-(INDEX(avoidedcosttbl2,ROUNDDOWN($H35,0),CJ$2)))))*ADRYr2!P35*ADRYr2!Q35*ADRYr2!U35)</f>
        <v>0</v>
      </c>
      <c r="CK35" s="30">
        <f>IF($G35="","",$G35*(IF(ADRYr2!$AI35=CB$4,ADRYr2!$AJ35,IF(ADRYr2!$AK35=CB$4,ADRYr2!$AL35,IF(ADRYr2!$AM35=CB$4,ADRYr2!$AN35,0))))*(INDEX(avoidedcosttbl2,$H35,CK$2)+(($H35-ROUNDDOWN($H35,0))*(INDEX(avoidedcosttbl2,ROUNDUP($H35,0),CK$2)-(INDEX(avoidedcosttbl2,ROUNDDOWN($H35,0),CK$2)))))*ADRYr2!P35*ADRYr2!Q35*ADRYr2!U35)</f>
        <v>0</v>
      </c>
      <c r="CL35" s="30">
        <f>IF($G35="","",$G35*(IF(ADRYr2!$AI35=CC$4,ADRYr2!$AJ35,IF(ADRYr2!$AK35=CC$4,ADRYr2!$AL35,IF(ADRYr2!$AM35=CC$4,ADRYr2!$AN35,0))))*(INDEX(avoidedcosttbl2,$H35,CL$2)+(($H35-ROUNDDOWN($H35,0))*(INDEX(avoidedcosttbl2,ROUNDUP($H35,0),CL$2)-(INDEX(avoidedcosttbl2,ROUNDDOWN($H35,0),CL$2)))))*ADRYr2!P35*ADRYr2!Q35*ADRYr2!U35)</f>
        <v>0</v>
      </c>
      <c r="CM35" s="30">
        <f>IF($G35="","",$G35*(IF(ADRYr2!$AI35=CD$4,ADRYr2!$AJ35,IF(ADRYr2!$AK35=CD$4,ADRYr2!$AL35,IF(ADRYr2!$AM35=CD$4,ADRYr2!$AN35,0))))*(INDEX(avoidedcosttbl2,$H35,CM$2)+(($H35-ROUNDDOWN($H35,0))*(INDEX(avoidedcosttbl2,ROUNDUP($H35,0),CM$2)-(INDEX(avoidedcosttbl2,ROUNDDOWN($H35,0),CM$2)))))*ADRYr2!P35*ADRYr2!Q35*ADRYr2!U35)</f>
        <v>0</v>
      </c>
      <c r="CN35" s="30">
        <f>IF($G35="","",$G35*(IF(ADRYr2!$AI35=CE$4,ADRYr2!$AJ35,IF(ADRYr2!$AK35=CE$4,ADRYr2!$AL35,IF(ADRYr2!$AM35=CE$4,ADRYr2!$AN35,0))))*(INDEX(avoidedcosttbl2,$H35,CN$2)+(($H35-ROUNDDOWN($H35,0))*(INDEX(avoidedcosttbl2,ROUNDUP($H35,0),CN$2)-(INDEX(avoidedcosttbl2,ROUNDDOWN($H35,0),CN$2)))))*ADRYr2!P35*ADRYr2!Q35*ADRYr2!U35)</f>
        <v>0</v>
      </c>
      <c r="CO35" s="220">
        <f t="shared" si="39"/>
        <v>0</v>
      </c>
      <c r="CP35" s="220">
        <f t="shared" si="40"/>
        <v>0</v>
      </c>
      <c r="CQ35" s="157">
        <f>IF($G35="","",$G35*(IF(ADRYr2!$AI35=CQ$4,ADRYr2!$AJ35,IF(ADRYr2!$AK35=CQ$4,ADRYr2!$AL35,IF(ADRYr2!$AM35=CQ$4,ADRYr2!$AN35,0))))*(INDEX(avoidedcosttbl2,$H35,CQ$2)+(($H35-ROUNDDOWN($H35,0))*(INDEX(avoidedcosttbl2,ROUNDUP($H35,0),CQ$2)-(INDEX(avoidedcosttbl2,ROUNDDOWN($H35,0),CQ$2)))))*ADRYr2!$P35*ADRYr2!$Q35*ADRYr2!$U35)</f>
        <v>0</v>
      </c>
      <c r="CR35" s="28">
        <f>IF($G35="","",G35*(IF(ADRYr2!$AI35=CR$4,ADRYr2!$AJ35,IF(ADRYr2!$AK35=CR$4,ADRYr2!$AL35,IF(ADRYr2!$AM35=CR$4,ADRYr2!$AN35,0))))*(INDEX(avoidedcosttbl2,$H35,CR$2)+(($H35-ROUNDDOWN($H35,0))*(INDEX(avoidedcosttbl2,ROUNDUP($H35,0),CR$2)-(INDEX(avoidedcosttbl2,ROUNDDOWN($H35,0),CR$2)))))*ADRYr2!$P35*ADRYr2!$Q35*ADRYr2!$U35)</f>
        <v>0</v>
      </c>
      <c r="CS35" s="28">
        <f>IF($G35="","",G35*(IF(ADRYr2!$AI35=CS$4,ADRYr2!$AJ35,IF(ADRYr2!$AK35=CS$4,ADRYr2!$AL35,IF(ADRYr2!$AM35=CS$4,ADRYr2!$AN35,0))))*(INDEX(avoidedcosttbl2,$H35,CS$2)+(($H35-ROUNDDOWN($H35,0))*(INDEX(avoidedcosttbl2,ROUNDUP($H35,0),CS$2)-(INDEX(avoidedcosttbl2,ROUNDDOWN($H35,0),CS$2)))))*ADRYr2!$P35*ADRYr2!$Q35*ADRYr2!$U35)</f>
        <v>0</v>
      </c>
      <c r="CT35" s="28">
        <f t="shared" si="12"/>
        <v>0</v>
      </c>
      <c r="CU35" s="28">
        <f>IF($G35="","",G35*(IF(ADRYr2!$AI35=CU$4,ADRYr2!$AJ35,IF(ADRYr2!$AK35=CU$4,ADRYr2!$AL35,IF(ADRYr2!$AM35=CU$4,ADRYr2!$AN35,0))))*(INDEX(avoidedcosttbl2,$H35,CU$2)+(($H35-ROUNDDOWN($H35,0))*(INDEX(avoidedcosttbl2,ROUNDUP($H35,0),CU$2)-(INDEX(avoidedcosttbl2,ROUNDDOWN($H35,0),CU$2)))))*ADRYr2!$P35*ADRYr2!$Q35*ADRYr2!$U35)</f>
        <v>0</v>
      </c>
      <c r="CV35" s="28">
        <f>IF($G35="","",G35*(IF(ADRYr2!$AI35=CV$4,ADRYr2!$AJ35,IF(ADRYr2!$AK35=CV$4,ADRYr2!$AL35,IF(ADRYr2!$AM35=CV$4,ADRYr2!$AN35,0))))*(INDEX(avoidedcosttbl2,$H35,CV$2)+(($H35-ROUNDDOWN($H35,0))*(INDEX(avoidedcosttbl2,ROUNDUP($H35,0),CV$2)-(INDEX(avoidedcosttbl2,ROUNDDOWN($H35,0),CV$2)))))*ADRYr2!$P35*ADRYr2!$Q35*ADRYr2!$U35)</f>
        <v>0</v>
      </c>
      <c r="CW35" s="28">
        <f>IF($G35="","",G35*(IF(ADRYr2!$AI35=CW$4,ADRYr2!$AJ35,IF(ADRYr2!$AK35=CW$4,ADRYr2!$AL35,IF(ADRYr2!$AM35=CW$4,ADRYr2!$AN35,0))))*(INDEX(avoidedcosttbl2,$H35,CW$2)+(($H35-ROUNDDOWN($H35,0))*(INDEX(avoidedcosttbl2,ROUNDUP($H35,0),CW$2)-(INDEX(avoidedcosttbl2,ROUNDDOWN($H35,0),CW$2)))))*ADRYr2!$P35*ADRYr2!$Q35*ADRYr2!$U35)</f>
        <v>0</v>
      </c>
      <c r="CX35" s="28">
        <f>IF($G35="","",G35*(IF(ADRYr2!$AI35=CX$4,ADRYr2!$AJ35,IF(ADRYr2!$AK35=CX$4,ADRYr2!$AL35,IF(ADRYr2!$AM35=CX$4,ADRYr2!$AN35,0))))*(INDEX(avoidedcosttbl2,$H35,CX$2)+(($H35-ROUNDDOWN($H35,0))*(INDEX(avoidedcosttbl2,ROUNDUP($H35,0),CX$2)-(INDEX(avoidedcosttbl2,ROUNDDOWN($H35,0),CX$2)))))*ADRYr2!$P35*ADRYr2!$Q35*ADRYr2!$U35)</f>
        <v>0</v>
      </c>
      <c r="CY35" s="28">
        <f t="shared" si="13"/>
        <v>0</v>
      </c>
      <c r="CZ35" s="32">
        <f t="shared" si="14"/>
        <v>0</v>
      </c>
      <c r="DA35" s="84">
        <f t="shared" si="41"/>
        <v>0</v>
      </c>
      <c r="DB35" s="81">
        <f>IF(NEIadder="Yes",IF($G35="","",INDEX(Lookups!$G$68:$G$70,MATCH($A35,Lookups!$E$68:$E$70,0))*(SUM(CP35:CX35,BX35))),"")</f>
        <v>5425.1639885524855</v>
      </c>
      <c r="DC35" s="263" t="str">
        <f t="shared" si="15"/>
        <v/>
      </c>
      <c r="DD35" s="166">
        <f t="shared" si="16"/>
        <v>0</v>
      </c>
      <c r="DE35" s="82">
        <f t="shared" si="42"/>
        <v>5425.1639885524855</v>
      </c>
      <c r="DF35" s="760">
        <f>IF($G35="","",(1+WntPeakEnergyLL)*(INDEX(avoidedcosttbl2,$H35,DF$2)+(($H35-ROUNDDOWN($H35,0))*(INDEX(avoidedcosttbl2,ROUNDUP($H35,0),DF$2)-(INDEX(avoidedcosttbl2,ROUNDDOWN($H35,0),DF$2)))))*$P35*1000*ADRYr2!Z35)</f>
        <v>0</v>
      </c>
      <c r="DG35" s="760">
        <f>IF($G35="","",(1+WntOffPeakEnergyLL)*(INDEX(avoidedcosttbl2,$H35,DG$2)+(($H35-ROUNDDOWN($H35,0))*(INDEX(avoidedcosttbl2,ROUNDUP($H35,0),DG$2)-(INDEX(avoidedcosttbl2,ROUNDDOWN($H35,0),DG$2)))))*$P35*1000*ADRYr2!AA35)</f>
        <v>0</v>
      </c>
      <c r="DH35" s="760">
        <f>IF($G35="","",(1+SumPeakEnergyLL)*(INDEX(avoidedcosttbl2,$H35,DH$2)+(($H35-ROUNDDOWN($H35,0))*(INDEX(avoidedcosttbl2,ROUNDUP($H35,0),DH$2)-(INDEX(avoidedcosttbl2,ROUNDDOWN($H35,0),DH$2)))))*$P35*1000*ADRYr2!AB35)</f>
        <v>723.72726034918981</v>
      </c>
      <c r="DI35" s="760">
        <f>IF($G35="","",(1+SumOffPeakEnergyLL)*(INDEX(avoidedcosttbl2,$H35,DI$2)+(($H35-ROUNDDOWN($H35,0))*(INDEX(avoidedcosttbl2,ROUNDUP($H35,0),DI$2)-(INDEX(avoidedcosttbl2,ROUNDDOWN($H35,0),DI$2)))))*$P35*1000*ADRYr2!AC35)</f>
        <v>0</v>
      </c>
      <c r="DJ35" s="29">
        <f t="shared" si="43"/>
        <v>723.72726034918981</v>
      </c>
      <c r="DK35" s="161">
        <f t="shared" si="44"/>
        <v>59676.803874077334</v>
      </c>
      <c r="DL35" s="1375">
        <f t="shared" si="45"/>
        <v>54251.639885524848</v>
      </c>
      <c r="DM35" s="1375">
        <f t="shared" si="46"/>
        <v>54251.639885524848</v>
      </c>
      <c r="DN35" s="43">
        <f t="shared" si="47"/>
        <v>60400.531134426521</v>
      </c>
      <c r="DO35" s="1131" t="str">
        <f>IF($G35="","",ADRYr2!AQ35)</f>
        <v>Summer Daily Discharge</v>
      </c>
      <c r="DP35" s="1133" t="str">
        <f>IF($G35="","",ADRYr2!AR35)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48"/>
        <v>2022-Summer Daily Discharge-1</v>
      </c>
      <c r="DU35" s="1135" t="str">
        <f>IF($G35="","",ADRYr2!AS35)</f>
        <v>No</v>
      </c>
      <c r="DV35" s="1136">
        <f>IF($G35="","",ADRYr2!AT35)</f>
        <v>1</v>
      </c>
      <c r="DW35" s="1344">
        <f>IF($G35="","",INDEX(AvoidedEnergy!$H$4:$H$10,MATCH($DO35,AvoidedEnergy!$A$4:$A$10,0)))</f>
        <v>0.08</v>
      </c>
    </row>
    <row r="36" spans="1:127">
      <c r="A36" s="160" t="str">
        <f>IF(ADRYr2!$B36=0,"",ADRYr2!A36)</f>
        <v>C - Commercial &amp; Industrial</v>
      </c>
      <c r="B36" s="9" t="str">
        <f>IF(ADRYr2!$B36=0,"",ADRYr2!B36)</f>
        <v>C5 - C&amp;I Active Demand Response</v>
      </c>
      <c r="C36" s="9" t="str">
        <f>IF(ADRYr2!$B36=0,"",ADRYr2!C36)</f>
        <v>C5a - C&amp;I Active Demand Response</v>
      </c>
      <c r="D36" s="9" t="str">
        <f>IF(ADRYr2!$B36=0,"",ADRYr2!D36)</f>
        <v>Storage Daily Dispatch P4P (consumption) Summer</v>
      </c>
      <c r="E36" s="9" t="str">
        <f>IF(ADRYr2!$B36=0,"",ADRYr2!E36)</f>
        <v>E21C5a003</v>
      </c>
      <c r="F36" s="11" t="str">
        <f>IF(ADRYr2!$B36=0,"",ADRYr2!F36)</f>
        <v>Behavior</v>
      </c>
      <c r="G36" s="12">
        <f>IF(ADRYr2!$G36&lt;&gt;0,ADRYr2!G36,"")</f>
        <v>1</v>
      </c>
      <c r="H36" s="1125">
        <f>IF($G36="","",ROUND(ADRYr2!H36,0))</f>
        <v>1</v>
      </c>
      <c r="I36" s="47">
        <f>IF($G36="","",ADRYr2!I36*ADRYr2!P36*G36)</f>
        <v>0</v>
      </c>
      <c r="J36" s="47">
        <f>IF($G36="","",ADRYr2!J36*G36)</f>
        <v>0</v>
      </c>
      <c r="K36" s="47">
        <f t="shared" si="17"/>
        <v>0</v>
      </c>
      <c r="L36" s="27">
        <f>IF($G36="","",ADRYr2!V36*G36/1000)</f>
        <v>-17.647058823529413</v>
      </c>
      <c r="M36" s="27">
        <f>IF($G36="","",L36*ADRYr2!$Q36*ADRYr2!$R36)</f>
        <v>-17.647058823529413</v>
      </c>
      <c r="N36" s="27">
        <f t="shared" si="18"/>
        <v>-17.647058823529413</v>
      </c>
      <c r="O36" s="27">
        <f t="shared" si="19"/>
        <v>-17.647058823529413</v>
      </c>
      <c r="P36" s="27">
        <f>IF($G36="","",M36*ADRYr2!P36)</f>
        <v>-17.647058823529413</v>
      </c>
      <c r="Q36" s="27">
        <f t="shared" si="20"/>
        <v>-17.647058823529413</v>
      </c>
      <c r="R36" s="27">
        <f>IF($G36="","",$Q36*ADRYr2!Z36)</f>
        <v>0</v>
      </c>
      <c r="S36" s="27">
        <f>IF($G36="","",$Q36*ADRYr2!AA36)</f>
        <v>0</v>
      </c>
      <c r="T36" s="27">
        <f>IF($G36="","",$Q36*ADRYr2!AB36)</f>
        <v>0</v>
      </c>
      <c r="U36" s="27">
        <f>IF($G36="","",$Q36*ADRYr2!AC36)</f>
        <v>-17.647058823529413</v>
      </c>
      <c r="V36" s="27">
        <f>IF($G36="","",G36*ADRYr2!$AD36*ADRYr2!$P36*ADRYr2!$Q36)</f>
        <v>0</v>
      </c>
      <c r="W36" s="27">
        <f>IF($G36="","",$G36*ADRYr2!$AD36*ADRYr2!$AF36*ADRYr2!Q36*ADRYr2!$S36)</f>
        <v>0</v>
      </c>
      <c r="X36" s="27">
        <f>IF($G36="","",$G36*ADRYr2!$AD36*ADRYr2!$AF36*ADRYr2!P36*ADRYr2!Q36*ADRYr2!$S36)</f>
        <v>0</v>
      </c>
      <c r="Y36" s="27">
        <f>IF($G36="","",$G36*ADRYr2!$AD36*ADRYr2!$AE36*ADRYr2!Q36*ADRYr2!$T36)</f>
        <v>0</v>
      </c>
      <c r="Z36" s="27">
        <f>IF($G36="","",$G36*ADRYr2!$AD36*ADRYr2!$AE36*ADRYr2!P36*ADRYr2!Q36*ADRYr2!$T36)</f>
        <v>0</v>
      </c>
      <c r="AA36" s="45">
        <f>IF($G36="","",$G36*ADRYr2!$Q36*ADRYr2!$U36*(IF(IFERROR(SEARCH("NG", ADRYr2!$AI36),0),ADRYr2!$AJ36,0)+IF(IFERROR(SEARCH("NG", ADRYr2!$AK36),0),ADRYr2!$AL36,0)+IF(IFERROR(SEARCH("NG", ADRYr2!$AM36),0),ADRYr2!$AN36,0)))</f>
        <v>0</v>
      </c>
      <c r="AB36" s="45">
        <f t="shared" si="21"/>
        <v>0</v>
      </c>
      <c r="AC36" s="45">
        <f>IF($G36="",0,AA36*ADRYr2!$P36)</f>
        <v>0</v>
      </c>
      <c r="AD36" s="45">
        <f t="shared" si="22"/>
        <v>0</v>
      </c>
      <c r="AE36" s="45">
        <f>IF($G36="","",$G36*ADRYr2!$Q36*ADRYr2!$U36*(IF(IFERROR(SEARCH("Oil", ADRYr2!$AI36), 0),ADRYr2!$AJ36,0)+IF(IFERROR(SEARCH("Oil", ADRYr2!$AK36), 0),ADRYr2!$AL36,0)+IF(IFERROR(SEARCH("Oil", ADRYr2!$AM36), 0),ADRYr2!$AN36,0)))</f>
        <v>0</v>
      </c>
      <c r="AF36" s="45">
        <f t="shared" si="23"/>
        <v>0</v>
      </c>
      <c r="AG36" s="45">
        <f>IF($G36="",0,AE36*ADRYr2!$P36)</f>
        <v>0</v>
      </c>
      <c r="AH36" s="45">
        <f t="shared" si="24"/>
        <v>0</v>
      </c>
      <c r="AI36" s="45">
        <f>IF($G36="","",$G36*ADRYr2!$Q36*ADRYr2!$U36*(IF(ADRYr2!$AI36=Lookups!$E$114,ADRYr2!$AJ36,IF(ADRYr2!$AK36=Lookups!$E$114,ADRYr2!$AL36,IF(ADRYr2!$AM36=Lookups!$E$114,ADRYr2!$AN36,0)))))</f>
        <v>0</v>
      </c>
      <c r="AJ36" s="45">
        <f t="shared" si="25"/>
        <v>0</v>
      </c>
      <c r="AK36" s="45">
        <f>IF($G36="",0,AI36*ADRYr2!$P36)</f>
        <v>0</v>
      </c>
      <c r="AL36" s="45">
        <f t="shared" si="26"/>
        <v>0</v>
      </c>
      <c r="AM36" s="45">
        <f>IF($G36="","",$G36*ADRYr2!$Q36*ADRYr2!$U36*(IF(ADRYr2!$AI36=Lookups!$E$113,ADRYr2!$AJ36,IF(ADRYr2!$AK36=Lookups!$E$113,ADRYr2!$AL36,IF(ADRYr2!$AM36=Lookups!$E$113,ADRYr2!$AN36,0)))))</f>
        <v>0</v>
      </c>
      <c r="AN36" s="45">
        <f t="shared" si="27"/>
        <v>0</v>
      </c>
      <c r="AO36" s="45">
        <f>IF($G36="",0,AM36*ADRYr2!$P36)</f>
        <v>0</v>
      </c>
      <c r="AP36" s="45">
        <f t="shared" si="28"/>
        <v>0</v>
      </c>
      <c r="AQ36" s="45">
        <f>IF($G36="","",$G36*ADRYr2!$Q36*ADRYr2!$U36*(IF(ADRYr2!$AI36=Lookups!$E$115,ADRYr2!$AJ36,IF(ADRYr2!$AK36=Lookups!$E$115,ADRYr2!$AL36,IF(ADRYr2!$AM36=Lookups!$E$115,ADRYr2!$AN36,0)))))</f>
        <v>0</v>
      </c>
      <c r="AR36" s="45">
        <f t="shared" si="29"/>
        <v>0</v>
      </c>
      <c r="AS36" s="45">
        <f>IF($G36="","",AQ36*ADRYr2!$P36)</f>
        <v>0</v>
      </c>
      <c r="AT36" s="45">
        <f t="shared" si="30"/>
        <v>0</v>
      </c>
      <c r="AU36" s="45">
        <f>IF($G36="","",$G36*ADRYr2!$Q36*ADRYr2!$U36*(IF(ADRYr2!$AI36=Lookups!$E$116,ADRYr2!$AJ36,IF(ADRYr2!$AK36=Lookups!$E$116,ADRYr2!$AL36,IF(ADRYr2!$AM36=Lookups!$E$116,ADRYr2!$AN36,0)))))</f>
        <v>0</v>
      </c>
      <c r="AV36" s="45">
        <f t="shared" si="31"/>
        <v>0</v>
      </c>
      <c r="AW36" s="45">
        <f>IF($G36="","",AU36*ADRYr2!$P36)</f>
        <v>0</v>
      </c>
      <c r="AX36" s="45">
        <f t="shared" si="32"/>
        <v>0</v>
      </c>
      <c r="AY36" s="45">
        <f t="shared" si="49"/>
        <v>0</v>
      </c>
      <c r="AZ36" s="45">
        <f t="shared" si="49"/>
        <v>0</v>
      </c>
      <c r="BA36" s="101">
        <f>IF($G36="","",$G36*ADRYr2!$P36*ADRYr2!$Q36*ADRYr2!$U36*ADRYr2!AO36)</f>
        <v>0</v>
      </c>
      <c r="BB36" s="102">
        <f>IF($G36="","",$G36*ADRYr2!$P36*ADRYr2!$Q36*ADRYr2!$U36*ADRYr2!AP36)</f>
        <v>0</v>
      </c>
      <c r="BC36" s="100">
        <f t="shared" si="34"/>
        <v>0</v>
      </c>
      <c r="BD36" s="1126"/>
      <c r="BE36" s="1126"/>
      <c r="BF36" s="1126"/>
      <c r="BG36" s="1126"/>
      <c r="BH36" s="1127">
        <f t="shared" si="3"/>
        <v>-823.14734837146295</v>
      </c>
      <c r="BI36" s="1126"/>
      <c r="BJ36" s="1126"/>
      <c r="BK36" s="1126"/>
      <c r="BL36" s="1126"/>
      <c r="BM36" s="30">
        <f t="shared" si="4"/>
        <v>-32.921564022017272</v>
      </c>
      <c r="BN36" s="1128">
        <f t="shared" si="5"/>
        <v>-32.921564022017272</v>
      </c>
      <c r="BO36" s="31">
        <f t="shared" si="35"/>
        <v>-856.06891239348022</v>
      </c>
      <c r="BP36" s="1129">
        <f t="shared" si="6"/>
        <v>0</v>
      </c>
      <c r="BQ36" s="28">
        <f t="shared" si="7"/>
        <v>0</v>
      </c>
      <c r="BR36" s="1129">
        <f t="shared" si="8"/>
        <v>0</v>
      </c>
      <c r="BS36" s="1129">
        <f t="shared" si="9"/>
        <v>0</v>
      </c>
      <c r="BT36" s="28">
        <f t="shared" si="50"/>
        <v>0</v>
      </c>
      <c r="BU36" s="28">
        <f t="shared" si="50"/>
        <v>0</v>
      </c>
      <c r="BV36" s="28">
        <f t="shared" si="50"/>
        <v>0</v>
      </c>
      <c r="BW36" s="29">
        <f t="shared" si="36"/>
        <v>0</v>
      </c>
      <c r="BX36" s="29">
        <f t="shared" si="37"/>
        <v>-856.06891239348022</v>
      </c>
      <c r="BY36" s="28">
        <f>IF($G36="","",$G36*(IF(ADRYr2!$AI36=BY$4,ADRYr2!$AJ36,IF(ADRYr2!$AK36=BY$4,ADRYr2!$AL36,IF(ADRYr2!$AM36=BY$4,ADRYr2!$AN36,0))))*(INDEX(avoidedcosttbl2,$H36,BY$2)+(($H36-ROUNDDOWN($H36,0))*(INDEX(avoidedcosttbl2,ROUNDUP($H36,0),BY$2)-(INDEX(avoidedcosttbl2,ROUNDDOWN($H36,0),BY$2)))))*ADRYr2!P36*ADRYr2!Q36*ADRYr2!U36)</f>
        <v>0</v>
      </c>
      <c r="BZ36" s="28">
        <f>IF($G36="","",$G36*(IF(ADRYr2!$AI36=BZ$4,ADRYr2!$AJ36,IF(ADRYr2!$AK36=BZ$4,ADRYr2!$AL36,IF(ADRYr2!$AM36=BZ$4,ADRYr2!$AN36,0))))*(INDEX(avoidedcosttbl2,$H36,BZ$2)+(($H36-ROUNDDOWN($H36,0))*(INDEX(avoidedcosttbl2,ROUNDUP($H36,0),BZ$2)-(INDEX(avoidedcosttbl2,ROUNDDOWN($H36,0),BZ$2)))))*ADRYr2!P36*ADRYr2!Q36*ADRYr2!U36)</f>
        <v>0</v>
      </c>
      <c r="CA36" s="28">
        <f>IF($G36="","",$G36*(IF(ADRYr2!$AI36=CA$4,ADRYr2!$AJ36,IF(ADRYr2!$AK36=CA$4,ADRYr2!$AL36,IF(ADRYr2!$AM36=CA$4,ADRYr2!$AN36,0))))*(INDEX(avoidedcosttbl2,$H36,CA$2)+(($H36-ROUNDDOWN($H36,0))*(INDEX(avoidedcosttbl2,ROUNDUP($H36,0),CA$2)-(INDEX(avoidedcosttbl2,ROUNDDOWN($H36,0),CA$2)))))*ADRYr2!P36*ADRYr2!Q36*ADRYr2!U36)</f>
        <v>0</v>
      </c>
      <c r="CB36" s="28">
        <f>IF($G36="","",$G36*(IF(ADRYr2!$AI36=CB$4,ADRYr2!$AJ36,IF(ADRYr2!$AK36=CB$4,ADRYr2!$AL36,IF(ADRYr2!$AM36=CB$4,ADRYr2!$AN36,0))))*(INDEX(avoidedcosttbl2,$H36,CB$2)+(($H36-ROUNDDOWN($H36,0))*(INDEX(avoidedcosttbl2,ROUNDUP($H36,0),CB$2)-(INDEX(avoidedcosttbl2,ROUNDDOWN($H36,0),CB$2)))))*ADRYr2!P36*ADRYr2!Q36*ADRYr2!U36)</f>
        <v>0</v>
      </c>
      <c r="CC36" s="28">
        <f>IF($G36="","",$G36*(IF(ADRYr2!$AI36=CC$4,ADRYr2!$AJ36,IF(ADRYr2!$AK36=CC$4,ADRYr2!$AL36,IF(ADRYr2!$AM36=CC$4,ADRYr2!$AN36,0))))*(INDEX(avoidedcosttbl2,$H36,CC$2)+(($H36-ROUNDDOWN($H36,0))*(INDEX(avoidedcosttbl2,ROUNDUP($H36,0),CC$2)-(INDEX(avoidedcosttbl2,ROUNDDOWN($H36,0),CC$2)))))*ADRYr2!P36*ADRYr2!Q36*ADRYr2!U36)</f>
        <v>0</v>
      </c>
      <c r="CD36" s="28">
        <f>IF($G36="","",$G36*(IF(ADRYr2!$AI36=CD$4,ADRYr2!$AJ36,IF(ADRYr2!$AK36=CD$4,ADRYr2!$AL36,IF(ADRYr2!$AM36=CD$4,ADRYr2!$AN36,0))))*(INDEX(avoidedcosttbl2,$H36,CD$2)+(($H36-ROUNDDOWN($H36,0))*(INDEX(avoidedcosttbl2,ROUNDUP($H36,0),CD$2)-(INDEX(avoidedcosttbl2,ROUNDDOWN($H36,0),CD$2)))))*ADRYr2!P36*ADRYr2!Q36*ADRYr2!U36)</f>
        <v>0</v>
      </c>
      <c r="CE36" s="28">
        <f>IF($G36="","",$G36*(IF(ADRYr2!$AI36=CE$4,ADRYr2!$AJ36,IF(ADRYr2!$AK36=CE$4,ADRYr2!$AL36,IF(ADRYr2!$AM36=CE$4,ADRYr2!$AN36,0))))*(INDEX(avoidedcosttbl2,$H36,CE$2)+(($H36-ROUNDDOWN($H36,0))*(INDEX(avoidedcosttbl2,ROUNDUP($H36,0),CE$2)-(INDEX(avoidedcosttbl2,ROUNDDOWN($H36,0),CE$2)))))*ADRYr2!P36*ADRYr2!Q36*ADRYr2!U36)</f>
        <v>0</v>
      </c>
      <c r="CF36" s="41">
        <f t="shared" si="38"/>
        <v>0</v>
      </c>
      <c r="CG36" s="30">
        <f t="shared" si="11"/>
        <v>0</v>
      </c>
      <c r="CH36" s="30">
        <f>IF($G36="","",$G36*(IF(ADRYr2!$AI36=BY$4,ADRYr2!$AJ36,IF(ADRYr2!$AK36=BY$4,ADRYr2!$AL36,IF(ADRYr2!$AM36=BY$4,ADRYr2!$AN36,0))))*(INDEX(avoidedcosttbl2,$H36,CH$2)+(($H36-ROUNDDOWN($H36,0))*(INDEX(avoidedcosttbl2,ROUNDUP($H36,0),CH$2)-(INDEX(avoidedcosttbl2,ROUNDDOWN($H36,0),CH$2)))))*ADRYr2!P36*ADRYr2!Q36*ADRYr2!U36)</f>
        <v>0</v>
      </c>
      <c r="CI36" s="30">
        <f>IF($G36="","",$G36*(IF(ADRYr2!$AI36=BZ$4,ADRYr2!$AJ36,IF(ADRYr2!$AK36=BZ$4,ADRYr2!$AL36,IF(ADRYr2!$AM36=BZ$4,ADRYr2!$AN36,0))))*(INDEX(avoidedcosttbl2,$H36,CI$2)+(($H36-ROUNDDOWN($H36,0))*(INDEX(avoidedcosttbl2,ROUNDUP($H36,0),CI$2)-(INDEX(avoidedcosttbl2,ROUNDDOWN($H36,0),CI$2)))))*ADRYr2!P36*ADRYr2!Q36*ADRYr2!U36)</f>
        <v>0</v>
      </c>
      <c r="CJ36" s="30">
        <f>IF($G36="","",$G36*(IF(ADRYr2!$AI36=CA$4,ADRYr2!$AJ36,IF(ADRYr2!$AK36=CA$4,ADRYr2!$AL36,IF(ADRYr2!$AM36=CA$4,ADRYr2!$AN36,0))))*(INDEX(avoidedcosttbl2,$H36,CJ$2)+(($H36-ROUNDDOWN($H36,0))*(INDEX(avoidedcosttbl2,ROUNDUP($H36,0),CJ$2)-(INDEX(avoidedcosttbl2,ROUNDDOWN($H36,0),CJ$2)))))*ADRYr2!P36*ADRYr2!Q36*ADRYr2!U36)</f>
        <v>0</v>
      </c>
      <c r="CK36" s="30">
        <f>IF($G36="","",$G36*(IF(ADRYr2!$AI36=CB$4,ADRYr2!$AJ36,IF(ADRYr2!$AK36=CB$4,ADRYr2!$AL36,IF(ADRYr2!$AM36=CB$4,ADRYr2!$AN36,0))))*(INDEX(avoidedcosttbl2,$H36,CK$2)+(($H36-ROUNDDOWN($H36,0))*(INDEX(avoidedcosttbl2,ROUNDUP($H36,0),CK$2)-(INDEX(avoidedcosttbl2,ROUNDDOWN($H36,0),CK$2)))))*ADRYr2!P36*ADRYr2!Q36*ADRYr2!U36)</f>
        <v>0</v>
      </c>
      <c r="CL36" s="30">
        <f>IF($G36="","",$G36*(IF(ADRYr2!$AI36=CC$4,ADRYr2!$AJ36,IF(ADRYr2!$AK36=CC$4,ADRYr2!$AL36,IF(ADRYr2!$AM36=CC$4,ADRYr2!$AN36,0))))*(INDEX(avoidedcosttbl2,$H36,CL$2)+(($H36-ROUNDDOWN($H36,0))*(INDEX(avoidedcosttbl2,ROUNDUP($H36,0),CL$2)-(INDEX(avoidedcosttbl2,ROUNDDOWN($H36,0),CL$2)))))*ADRYr2!P36*ADRYr2!Q36*ADRYr2!U36)</f>
        <v>0</v>
      </c>
      <c r="CM36" s="30">
        <f>IF($G36="","",$G36*(IF(ADRYr2!$AI36=CD$4,ADRYr2!$AJ36,IF(ADRYr2!$AK36=CD$4,ADRYr2!$AL36,IF(ADRYr2!$AM36=CD$4,ADRYr2!$AN36,0))))*(INDEX(avoidedcosttbl2,$H36,CM$2)+(($H36-ROUNDDOWN($H36,0))*(INDEX(avoidedcosttbl2,ROUNDUP($H36,0),CM$2)-(INDEX(avoidedcosttbl2,ROUNDDOWN($H36,0),CM$2)))))*ADRYr2!P36*ADRYr2!Q36*ADRYr2!U36)</f>
        <v>0</v>
      </c>
      <c r="CN36" s="30">
        <f>IF($G36="","",$G36*(IF(ADRYr2!$AI36=CE$4,ADRYr2!$AJ36,IF(ADRYr2!$AK36=CE$4,ADRYr2!$AL36,IF(ADRYr2!$AM36=CE$4,ADRYr2!$AN36,0))))*(INDEX(avoidedcosttbl2,$H36,CN$2)+(($H36-ROUNDDOWN($H36,0))*(INDEX(avoidedcosttbl2,ROUNDUP($H36,0),CN$2)-(INDEX(avoidedcosttbl2,ROUNDDOWN($H36,0),CN$2)))))*ADRYr2!P36*ADRYr2!Q36*ADRYr2!U36)</f>
        <v>0</v>
      </c>
      <c r="CO36" s="220">
        <f t="shared" si="39"/>
        <v>0</v>
      </c>
      <c r="CP36" s="220">
        <f t="shared" si="40"/>
        <v>0</v>
      </c>
      <c r="CQ36" s="157">
        <f>IF($G36="","",$G36*(IF(ADRYr2!$AI36=CQ$4,ADRYr2!$AJ36,IF(ADRYr2!$AK36=CQ$4,ADRYr2!$AL36,IF(ADRYr2!$AM36=CQ$4,ADRYr2!$AN36,0))))*(INDEX(avoidedcosttbl2,$H36,CQ$2)+(($H36-ROUNDDOWN($H36,0))*(INDEX(avoidedcosttbl2,ROUNDUP($H36,0),CQ$2)-(INDEX(avoidedcosttbl2,ROUNDDOWN($H36,0),CQ$2)))))*ADRYr2!$P36*ADRYr2!$Q36*ADRYr2!$U36)</f>
        <v>0</v>
      </c>
      <c r="CR36" s="28">
        <f>IF($G36="","",G36*(IF(ADRYr2!$AI36=CR$4,ADRYr2!$AJ36,IF(ADRYr2!$AK36=CR$4,ADRYr2!$AL36,IF(ADRYr2!$AM36=CR$4,ADRYr2!$AN36,0))))*(INDEX(avoidedcosttbl2,$H36,CR$2)+(($H36-ROUNDDOWN($H36,0))*(INDEX(avoidedcosttbl2,ROUNDUP($H36,0),CR$2)-(INDEX(avoidedcosttbl2,ROUNDDOWN($H36,0),CR$2)))))*ADRYr2!$P36*ADRYr2!$Q36*ADRYr2!$U36)</f>
        <v>0</v>
      </c>
      <c r="CS36" s="28">
        <f>IF($G36="","",G36*(IF(ADRYr2!$AI36=CS$4,ADRYr2!$AJ36,IF(ADRYr2!$AK36=CS$4,ADRYr2!$AL36,IF(ADRYr2!$AM36=CS$4,ADRYr2!$AN36,0))))*(INDEX(avoidedcosttbl2,$H36,CS$2)+(($H36-ROUNDDOWN($H36,0))*(INDEX(avoidedcosttbl2,ROUNDUP($H36,0),CS$2)-(INDEX(avoidedcosttbl2,ROUNDDOWN($H36,0),CS$2)))))*ADRYr2!$P36*ADRYr2!$Q36*ADRYr2!$U36)</f>
        <v>0</v>
      </c>
      <c r="CT36" s="28">
        <f t="shared" si="12"/>
        <v>0</v>
      </c>
      <c r="CU36" s="28">
        <f>IF($G36="","",G36*(IF(ADRYr2!$AI36=CU$4,ADRYr2!$AJ36,IF(ADRYr2!$AK36=CU$4,ADRYr2!$AL36,IF(ADRYr2!$AM36=CU$4,ADRYr2!$AN36,0))))*(INDEX(avoidedcosttbl2,$H36,CU$2)+(($H36-ROUNDDOWN($H36,0))*(INDEX(avoidedcosttbl2,ROUNDUP($H36,0),CU$2)-(INDEX(avoidedcosttbl2,ROUNDDOWN($H36,0),CU$2)))))*ADRYr2!$P36*ADRYr2!$Q36*ADRYr2!$U36)</f>
        <v>0</v>
      </c>
      <c r="CV36" s="28">
        <f>IF($G36="","",G36*(IF(ADRYr2!$AI36=CV$4,ADRYr2!$AJ36,IF(ADRYr2!$AK36=CV$4,ADRYr2!$AL36,IF(ADRYr2!$AM36=CV$4,ADRYr2!$AN36,0))))*(INDEX(avoidedcosttbl2,$H36,CV$2)+(($H36-ROUNDDOWN($H36,0))*(INDEX(avoidedcosttbl2,ROUNDUP($H36,0),CV$2)-(INDEX(avoidedcosttbl2,ROUNDDOWN($H36,0),CV$2)))))*ADRYr2!$P36*ADRYr2!$Q36*ADRYr2!$U36)</f>
        <v>0</v>
      </c>
      <c r="CW36" s="28">
        <f>IF($G36="","",G36*(IF(ADRYr2!$AI36=CW$4,ADRYr2!$AJ36,IF(ADRYr2!$AK36=CW$4,ADRYr2!$AL36,IF(ADRYr2!$AM36=CW$4,ADRYr2!$AN36,0))))*(INDEX(avoidedcosttbl2,$H36,CW$2)+(($H36-ROUNDDOWN($H36,0))*(INDEX(avoidedcosttbl2,ROUNDUP($H36,0),CW$2)-(INDEX(avoidedcosttbl2,ROUNDDOWN($H36,0),CW$2)))))*ADRYr2!$P36*ADRYr2!$Q36*ADRYr2!$U36)</f>
        <v>0</v>
      </c>
      <c r="CX36" s="28">
        <f>IF($G36="","",G36*(IF(ADRYr2!$AI36=CX$4,ADRYr2!$AJ36,IF(ADRYr2!$AK36=CX$4,ADRYr2!$AL36,IF(ADRYr2!$AM36=CX$4,ADRYr2!$AN36,0))))*(INDEX(avoidedcosttbl2,$H36,CX$2)+(($H36-ROUNDDOWN($H36,0))*(INDEX(avoidedcosttbl2,ROUNDUP($H36,0),CX$2)-(INDEX(avoidedcosttbl2,ROUNDDOWN($H36,0),CX$2)))))*ADRYr2!$P36*ADRYr2!$Q36*ADRYr2!$U36)</f>
        <v>0</v>
      </c>
      <c r="CY36" s="28">
        <f t="shared" si="13"/>
        <v>0</v>
      </c>
      <c r="CZ36" s="32">
        <f t="shared" si="14"/>
        <v>0</v>
      </c>
      <c r="DA36" s="84">
        <f t="shared" si="41"/>
        <v>0</v>
      </c>
      <c r="DB36" s="81">
        <f>IF(NEIadder="Yes",IF($G36="","",INDEX(Lookups!$G$68:$G$70,MATCH($A36,Lookups!$E$68:$E$70,0))*(SUM(CP36:CX36,BX36))),"")</f>
        <v>-85.60689123934803</v>
      </c>
      <c r="DC36" s="263" t="str">
        <f t="shared" si="15"/>
        <v/>
      </c>
      <c r="DD36" s="166">
        <f t="shared" si="16"/>
        <v>0</v>
      </c>
      <c r="DE36" s="82">
        <f t="shared" si="42"/>
        <v>-85.60689123934803</v>
      </c>
      <c r="DF36" s="760">
        <f>IF($G36="","",(1+WntPeakEnergyLL)*(INDEX(avoidedcosttbl2,$H36,DF$2)+(($H36-ROUNDDOWN($H36,0))*(INDEX(avoidedcosttbl2,ROUNDUP($H36,0),DF$2)-(INDEX(avoidedcosttbl2,ROUNDDOWN($H36,0),DF$2)))))*$P36*1000*ADRYr2!Z36)</f>
        <v>0</v>
      </c>
      <c r="DG36" s="760">
        <f>IF($G36="","",(1+WntOffPeakEnergyLL)*(INDEX(avoidedcosttbl2,$H36,DG$2)+(($H36-ROUNDDOWN($H36,0))*(INDEX(avoidedcosttbl2,ROUNDUP($H36,0),DG$2)-(INDEX(avoidedcosttbl2,ROUNDDOWN($H36,0),DG$2)))))*$P36*1000*ADRYr2!AA36)</f>
        <v>0</v>
      </c>
      <c r="DH36" s="760">
        <f>IF($G36="","",(1+SumPeakEnergyLL)*(INDEX(avoidedcosttbl2,$H36,DH$2)+(($H36-ROUNDDOWN($H36,0))*(INDEX(avoidedcosttbl2,ROUNDUP($H36,0),DH$2)-(INDEX(avoidedcosttbl2,ROUNDDOWN($H36,0),DH$2)))))*$P36*1000*ADRYr2!AB36)</f>
        <v>0</v>
      </c>
      <c r="DI36" s="760">
        <f>IF($G36="","",(1+SumOffPeakEnergyLL)*(INDEX(avoidedcosttbl2,$H36,DI$2)+(($H36-ROUNDDOWN($H36,0))*(INDEX(avoidedcosttbl2,ROUNDUP($H36,0),DI$2)-(INDEX(avoidedcosttbl2,ROUNDDOWN($H36,0),DI$2)))))*$P36*1000*ADRYr2!AC36)</f>
        <v>-856.85434851986452</v>
      </c>
      <c r="DJ36" s="29">
        <f t="shared" si="43"/>
        <v>-856.85434851986452</v>
      </c>
      <c r="DK36" s="161">
        <f t="shared" si="44"/>
        <v>-941.67580363282821</v>
      </c>
      <c r="DL36" s="1375">
        <f t="shared" si="45"/>
        <v>-856.06891239348022</v>
      </c>
      <c r="DM36" s="1375">
        <f t="shared" si="46"/>
        <v>-856.06891239348022</v>
      </c>
      <c r="DN36" s="43">
        <f t="shared" si="47"/>
        <v>-1798.5301521526926</v>
      </c>
      <c r="DO36" s="1131" t="str">
        <f>IF($G36="","",ADRYr2!AQ36)</f>
        <v>Summer Daily Charge</v>
      </c>
      <c r="DP36" s="1133" t="str">
        <f>IF($G36="","",ADRYr2!AR36)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48"/>
        <v>2022-Summer Daily Charge-1</v>
      </c>
      <c r="DU36" s="1135" t="str">
        <f>IF($G36="","",ADRYr2!AS36)</f>
        <v>No</v>
      </c>
      <c r="DV36" s="1136">
        <f>IF($G36="","",ADRYr2!AT36)</f>
        <v>1</v>
      </c>
      <c r="DW36" s="1344">
        <f>IF($G36="","",INDEX(AvoidedEnergy!$H$4:$H$10,MATCH($DO36,AvoidedEnergy!$A$4:$A$10,0)))</f>
        <v>0.08</v>
      </c>
    </row>
    <row r="37" spans="1:127">
      <c r="A37" s="160" t="str">
        <f>IF(ADRYr2!$B37=0,"",ADRYr2!A37)</f>
        <v>C - Commercial &amp; Industrial</v>
      </c>
      <c r="B37" s="9" t="str">
        <f>IF(ADRYr2!$B37=0,"",ADRYr2!B37)</f>
        <v>C5 - C&amp;I Active Demand Response</v>
      </c>
      <c r="C37" s="9" t="str">
        <f>IF(ADRYr2!$B37=0,"",ADRYr2!C37)</f>
        <v>C5a - C&amp;I Active Demand Response</v>
      </c>
      <c r="D37" s="9" t="str">
        <f>IF(ADRYr2!$B37=0,"",ADRYr2!D37)</f>
        <v>Storage Targeted Dispatch P4P (savings) Summer</v>
      </c>
      <c r="E37" s="9" t="str">
        <f>IF(ADRYr2!$B37=0,"",ADRYr2!E37)</f>
        <v>E21C5a004</v>
      </c>
      <c r="F37" s="11" t="str">
        <f>IF(ADRYr2!$B37=0,"",ADRYr2!F37)</f>
        <v>Behavior</v>
      </c>
      <c r="G37" s="12" t="str">
        <f>IF(ADRYr2!$G37&lt;&gt;0,ADRYr2!G37,"")</f>
        <v/>
      </c>
      <c r="H37" s="1125" t="str">
        <f>IF($G37="","",ROUND(ADRYr2!H37,0))</f>
        <v/>
      </c>
      <c r="I37" s="47" t="str">
        <f>IF($G37="","",ADRYr2!I37*ADRYr2!P37*G37)</f>
        <v/>
      </c>
      <c r="J37" s="47" t="str">
        <f>IF($G37="","",ADRYr2!J37*G37)</f>
        <v/>
      </c>
      <c r="K37" s="47" t="str">
        <f t="shared" si="17"/>
        <v/>
      </c>
      <c r="L37" s="27" t="str">
        <f>IF($G37="","",ADRYr2!V37*G37/1000)</f>
        <v/>
      </c>
      <c r="M37" s="27" t="str">
        <f>IF($G37="","",L37*ADRYr2!$Q37*ADRYr2!$R37)</f>
        <v/>
      </c>
      <c r="N37" s="27" t="str">
        <f t="shared" si="18"/>
        <v/>
      </c>
      <c r="O37" s="27" t="str">
        <f t="shared" si="19"/>
        <v/>
      </c>
      <c r="P37" s="27" t="str">
        <f>IF($G37="","",M37*ADRYr2!P37)</f>
        <v/>
      </c>
      <c r="Q37" s="27" t="str">
        <f t="shared" si="20"/>
        <v/>
      </c>
      <c r="R37" s="27" t="str">
        <f>IF($G37="","",$Q37*ADRYr2!Z37)</f>
        <v/>
      </c>
      <c r="S37" s="27" t="str">
        <f>IF($G37="","",$Q37*ADRYr2!AA37)</f>
        <v/>
      </c>
      <c r="T37" s="27" t="str">
        <f>IF($G37="","",$Q37*ADRYr2!AB37)</f>
        <v/>
      </c>
      <c r="U37" s="27" t="str">
        <f>IF($G37="","",$Q37*ADRYr2!AC37)</f>
        <v/>
      </c>
      <c r="V37" s="27" t="str">
        <f>IF($G37="","",G37*ADRYr2!$AD37*ADRYr2!$P37*ADRYr2!$Q37)</f>
        <v/>
      </c>
      <c r="W37" s="27" t="str">
        <f>IF($G37="","",$G37*ADRYr2!$AD37*ADRYr2!$AF37*ADRYr2!Q37*ADRYr2!$S37)</f>
        <v/>
      </c>
      <c r="X37" s="27" t="str">
        <f>IF($G37="","",$G37*ADRYr2!$AD37*ADRYr2!$AF37*ADRYr2!P37*ADRYr2!Q37*ADRYr2!$S37)</f>
        <v/>
      </c>
      <c r="Y37" s="27" t="str">
        <f>IF($G37="","",$G37*ADRYr2!$AD37*ADRYr2!$AE37*ADRYr2!Q37*ADRYr2!$T37)</f>
        <v/>
      </c>
      <c r="Z37" s="27" t="str">
        <f>IF($G37="","",$G37*ADRYr2!$AD37*ADRYr2!$AE37*ADRYr2!P37*ADRYr2!Q37*ADRYr2!$T37)</f>
        <v/>
      </c>
      <c r="AA37" s="45" t="str">
        <f>IF($G37="","",$G37*ADRYr2!$Q37*ADRYr2!$U37*(IF(IFERROR(SEARCH("NG", ADRYr2!$AI37),0),ADRYr2!$AJ37,0)+IF(IFERROR(SEARCH("NG", ADRYr2!$AK37),0),ADRYr2!$AL37,0)+IF(IFERROR(SEARCH("NG", ADRYr2!$AM37),0),ADRYr2!$AN37,0)))</f>
        <v/>
      </c>
      <c r="AB37" s="45" t="str">
        <f t="shared" si="21"/>
        <v/>
      </c>
      <c r="AC37" s="45">
        <f>IF($G37="",0,AA37*ADRYr2!$P37)</f>
        <v>0</v>
      </c>
      <c r="AD37" s="45" t="str">
        <f t="shared" si="22"/>
        <v/>
      </c>
      <c r="AE37" s="45" t="str">
        <f>IF($G37="","",$G37*ADRYr2!$Q37*ADRYr2!$U37*(IF(IFERROR(SEARCH("Oil", ADRYr2!$AI37), 0),ADRYr2!$AJ37,0)+IF(IFERROR(SEARCH("Oil", ADRYr2!$AK37), 0),ADRYr2!$AL37,0)+IF(IFERROR(SEARCH("Oil", ADRYr2!$AM37), 0),ADRYr2!$AN37,0)))</f>
        <v/>
      </c>
      <c r="AF37" s="45" t="str">
        <f t="shared" si="23"/>
        <v/>
      </c>
      <c r="AG37" s="45">
        <f>IF($G37="",0,AE37*ADRYr2!$P37)</f>
        <v>0</v>
      </c>
      <c r="AH37" s="45" t="str">
        <f t="shared" si="24"/>
        <v/>
      </c>
      <c r="AI37" s="45" t="str">
        <f>IF($G37="","",$G37*ADRYr2!$Q37*ADRYr2!$U37*(IF(ADRYr2!$AI37=Lookups!$E$114,ADRYr2!$AJ37,IF(ADRYr2!$AK37=Lookups!$E$114,ADRYr2!$AL37,IF(ADRYr2!$AM37=Lookups!$E$114,ADRYr2!$AN37,0)))))</f>
        <v/>
      </c>
      <c r="AJ37" s="45" t="str">
        <f t="shared" si="25"/>
        <v/>
      </c>
      <c r="AK37" s="45">
        <f>IF($G37="",0,AI37*ADRYr2!$P37)</f>
        <v>0</v>
      </c>
      <c r="AL37" s="45" t="str">
        <f t="shared" si="26"/>
        <v/>
      </c>
      <c r="AM37" s="45" t="str">
        <f>IF($G37="","",$G37*ADRYr2!$Q37*ADRYr2!$U37*(IF(ADRYr2!$AI37=Lookups!$E$113,ADRYr2!$AJ37,IF(ADRYr2!$AK37=Lookups!$E$113,ADRYr2!$AL37,IF(ADRYr2!$AM37=Lookups!$E$113,ADRYr2!$AN37,0)))))</f>
        <v/>
      </c>
      <c r="AN37" s="45" t="str">
        <f t="shared" si="27"/>
        <v/>
      </c>
      <c r="AO37" s="45">
        <f>IF($G37="",0,AM37*ADRYr2!$P37)</f>
        <v>0</v>
      </c>
      <c r="AP37" s="45" t="str">
        <f t="shared" si="28"/>
        <v/>
      </c>
      <c r="AQ37" s="45" t="str">
        <f>IF($G37="","",$G37*ADRYr2!$Q37*ADRYr2!$U37*(IF(ADRYr2!$AI37=Lookups!$E$115,ADRYr2!$AJ37,IF(ADRYr2!$AK37=Lookups!$E$115,ADRYr2!$AL37,IF(ADRYr2!$AM37=Lookups!$E$115,ADRYr2!$AN37,0)))))</f>
        <v/>
      </c>
      <c r="AR37" s="45" t="str">
        <f t="shared" si="29"/>
        <v/>
      </c>
      <c r="AS37" s="45" t="str">
        <f>IF($G37="","",AQ37*ADRYr2!$P37)</f>
        <v/>
      </c>
      <c r="AT37" s="45" t="str">
        <f t="shared" si="30"/>
        <v/>
      </c>
      <c r="AU37" s="45" t="str">
        <f>IF($G37="","",$G37*ADRYr2!$Q37*ADRYr2!$U37*(IF(ADRYr2!$AI37=Lookups!$E$116,ADRYr2!$AJ37,IF(ADRYr2!$AK37=Lookups!$E$116,ADRYr2!$AL37,IF(ADRYr2!$AM37=Lookups!$E$116,ADRYr2!$AN37,0)))))</f>
        <v/>
      </c>
      <c r="AV37" s="45" t="str">
        <f t="shared" si="31"/>
        <v/>
      </c>
      <c r="AW37" s="45" t="str">
        <f>IF($G37="","",AU37*ADRYr2!$P37)</f>
        <v/>
      </c>
      <c r="AX37" s="45" t="str">
        <f t="shared" si="32"/>
        <v/>
      </c>
      <c r="AY37" s="45">
        <f t="shared" si="49"/>
        <v>0</v>
      </c>
      <c r="AZ37" s="45">
        <f t="shared" si="49"/>
        <v>0</v>
      </c>
      <c r="BA37" s="101" t="str">
        <f>IF($G37="","",$G37*ADRYr2!$P37*ADRYr2!$Q37*ADRYr2!$U37*ADRYr2!AO37)</f>
        <v/>
      </c>
      <c r="BB37" s="102" t="str">
        <f>IF($G37="","",$G37*ADRYr2!$P37*ADRYr2!$Q37*ADRYr2!$U37*ADRYr2!AP37)</f>
        <v/>
      </c>
      <c r="BC37" s="100" t="str">
        <f t="shared" si="34"/>
        <v/>
      </c>
      <c r="BD37" s="1126"/>
      <c r="BE37" s="1126"/>
      <c r="BF37" s="1126"/>
      <c r="BG37" s="1126"/>
      <c r="BH37" s="1127" t="str">
        <f t="shared" si="3"/>
        <v/>
      </c>
      <c r="BI37" s="1126"/>
      <c r="BJ37" s="1126"/>
      <c r="BK37" s="1126"/>
      <c r="BL37" s="1126"/>
      <c r="BM37" s="30" t="str">
        <f t="shared" si="4"/>
        <v/>
      </c>
      <c r="BN37" s="1128" t="str">
        <f t="shared" si="5"/>
        <v/>
      </c>
      <c r="BO37" s="31" t="str">
        <f t="shared" si="35"/>
        <v/>
      </c>
      <c r="BP37" s="1129" t="str">
        <f t="shared" si="6"/>
        <v/>
      </c>
      <c r="BQ37" s="28" t="str">
        <f t="shared" si="7"/>
        <v/>
      </c>
      <c r="BR37" s="1129" t="str">
        <f t="shared" si="8"/>
        <v/>
      </c>
      <c r="BS37" s="1129" t="str">
        <f t="shared" si="9"/>
        <v/>
      </c>
      <c r="BT37" s="28" t="str">
        <f t="shared" si="50"/>
        <v/>
      </c>
      <c r="BU37" s="28" t="str">
        <f t="shared" si="50"/>
        <v/>
      </c>
      <c r="BV37" s="28" t="str">
        <f t="shared" si="50"/>
        <v/>
      </c>
      <c r="BW37" s="29" t="str">
        <f t="shared" si="36"/>
        <v/>
      </c>
      <c r="BX37" s="29" t="str">
        <f t="shared" si="37"/>
        <v/>
      </c>
      <c r="BY37" s="28" t="str">
        <f>IF($G37="","",$G37*(IF(ADRYr2!$AI37=BY$4,ADRYr2!$AJ37,IF(ADRYr2!$AK37=BY$4,ADRYr2!$AL37,IF(ADRYr2!$AM37=BY$4,ADRYr2!$AN37,0))))*(INDEX(avoidedcosttbl2,$H37,BY$2)+(($H37-ROUNDDOWN($H37,0))*(INDEX(avoidedcosttbl2,ROUNDUP($H37,0),BY$2)-(INDEX(avoidedcosttbl2,ROUNDDOWN($H37,0),BY$2)))))*ADRYr2!P37*ADRYr2!Q37*ADRYr2!U37)</f>
        <v/>
      </c>
      <c r="BZ37" s="28" t="str">
        <f>IF($G37="","",$G37*(IF(ADRYr2!$AI37=BZ$4,ADRYr2!$AJ37,IF(ADRYr2!$AK37=BZ$4,ADRYr2!$AL37,IF(ADRYr2!$AM37=BZ$4,ADRYr2!$AN37,0))))*(INDEX(avoidedcosttbl2,$H37,BZ$2)+(($H37-ROUNDDOWN($H37,0))*(INDEX(avoidedcosttbl2,ROUNDUP($H37,0),BZ$2)-(INDEX(avoidedcosttbl2,ROUNDDOWN($H37,0),BZ$2)))))*ADRYr2!P37*ADRYr2!Q37*ADRYr2!U37)</f>
        <v/>
      </c>
      <c r="CA37" s="28" t="str">
        <f>IF($G37="","",$G37*(IF(ADRYr2!$AI37=CA$4,ADRYr2!$AJ37,IF(ADRYr2!$AK37=CA$4,ADRYr2!$AL37,IF(ADRYr2!$AM37=CA$4,ADRYr2!$AN37,0))))*(INDEX(avoidedcosttbl2,$H37,CA$2)+(($H37-ROUNDDOWN($H37,0))*(INDEX(avoidedcosttbl2,ROUNDUP($H37,0),CA$2)-(INDEX(avoidedcosttbl2,ROUNDDOWN($H37,0),CA$2)))))*ADRYr2!P37*ADRYr2!Q37*ADRYr2!U37)</f>
        <v/>
      </c>
      <c r="CB37" s="28" t="str">
        <f>IF($G37="","",$G37*(IF(ADRYr2!$AI37=CB$4,ADRYr2!$AJ37,IF(ADRYr2!$AK37=CB$4,ADRYr2!$AL37,IF(ADRYr2!$AM37=CB$4,ADRYr2!$AN37,0))))*(INDEX(avoidedcosttbl2,$H37,CB$2)+(($H37-ROUNDDOWN($H37,0))*(INDEX(avoidedcosttbl2,ROUNDUP($H37,0),CB$2)-(INDEX(avoidedcosttbl2,ROUNDDOWN($H37,0),CB$2)))))*ADRYr2!P37*ADRYr2!Q37*ADRYr2!U37)</f>
        <v/>
      </c>
      <c r="CC37" s="28" t="str">
        <f>IF($G37="","",$G37*(IF(ADRYr2!$AI37=CC$4,ADRYr2!$AJ37,IF(ADRYr2!$AK37=CC$4,ADRYr2!$AL37,IF(ADRYr2!$AM37=CC$4,ADRYr2!$AN37,0))))*(INDEX(avoidedcosttbl2,$H37,CC$2)+(($H37-ROUNDDOWN($H37,0))*(INDEX(avoidedcosttbl2,ROUNDUP($H37,0),CC$2)-(INDEX(avoidedcosttbl2,ROUNDDOWN($H37,0),CC$2)))))*ADRYr2!P37*ADRYr2!Q37*ADRYr2!U37)</f>
        <v/>
      </c>
      <c r="CD37" s="28" t="str">
        <f>IF($G37="","",$G37*(IF(ADRYr2!$AI37=CD$4,ADRYr2!$AJ37,IF(ADRYr2!$AK37=CD$4,ADRYr2!$AL37,IF(ADRYr2!$AM37=CD$4,ADRYr2!$AN37,0))))*(INDEX(avoidedcosttbl2,$H37,CD$2)+(($H37-ROUNDDOWN($H37,0))*(INDEX(avoidedcosttbl2,ROUNDUP($H37,0),CD$2)-(INDEX(avoidedcosttbl2,ROUNDDOWN($H37,0),CD$2)))))*ADRYr2!P37*ADRYr2!Q37*ADRYr2!U37)</f>
        <v/>
      </c>
      <c r="CE37" s="28" t="str">
        <f>IF($G37="","",$G37*(IF(ADRYr2!$AI37=CE$4,ADRYr2!$AJ37,IF(ADRYr2!$AK37=CE$4,ADRYr2!$AL37,IF(ADRYr2!$AM37=CE$4,ADRYr2!$AN37,0))))*(INDEX(avoidedcosttbl2,$H37,CE$2)+(($H37-ROUNDDOWN($H37,0))*(INDEX(avoidedcosttbl2,ROUNDUP($H37,0),CE$2)-(INDEX(avoidedcosttbl2,ROUNDDOWN($H37,0),CE$2)))))*ADRYr2!P37*ADRYr2!Q37*ADRYr2!U37)</f>
        <v/>
      </c>
      <c r="CF37" s="41" t="str">
        <f t="shared" si="38"/>
        <v/>
      </c>
      <c r="CG37" s="30" t="str">
        <f t="shared" si="11"/>
        <v/>
      </c>
      <c r="CH37" s="30" t="str">
        <f>IF($G37="","",$G37*(IF(ADRYr2!$AI37=BY$4,ADRYr2!$AJ37,IF(ADRYr2!$AK37=BY$4,ADRYr2!$AL37,IF(ADRYr2!$AM37=BY$4,ADRYr2!$AN37,0))))*(INDEX(avoidedcosttbl2,$H37,CH$2)+(($H37-ROUNDDOWN($H37,0))*(INDEX(avoidedcosttbl2,ROUNDUP($H37,0),CH$2)-(INDEX(avoidedcosttbl2,ROUNDDOWN($H37,0),CH$2)))))*ADRYr2!P37*ADRYr2!Q37*ADRYr2!U37)</f>
        <v/>
      </c>
      <c r="CI37" s="30" t="str">
        <f>IF($G37="","",$G37*(IF(ADRYr2!$AI37=BZ$4,ADRYr2!$AJ37,IF(ADRYr2!$AK37=BZ$4,ADRYr2!$AL37,IF(ADRYr2!$AM37=BZ$4,ADRYr2!$AN37,0))))*(INDEX(avoidedcosttbl2,$H37,CI$2)+(($H37-ROUNDDOWN($H37,0))*(INDEX(avoidedcosttbl2,ROUNDUP($H37,0),CI$2)-(INDEX(avoidedcosttbl2,ROUNDDOWN($H37,0),CI$2)))))*ADRYr2!P37*ADRYr2!Q37*ADRYr2!U37)</f>
        <v/>
      </c>
      <c r="CJ37" s="30" t="str">
        <f>IF($G37="","",$G37*(IF(ADRYr2!$AI37=CA$4,ADRYr2!$AJ37,IF(ADRYr2!$AK37=CA$4,ADRYr2!$AL37,IF(ADRYr2!$AM37=CA$4,ADRYr2!$AN37,0))))*(INDEX(avoidedcosttbl2,$H37,CJ$2)+(($H37-ROUNDDOWN($H37,0))*(INDEX(avoidedcosttbl2,ROUNDUP($H37,0),CJ$2)-(INDEX(avoidedcosttbl2,ROUNDDOWN($H37,0),CJ$2)))))*ADRYr2!P37*ADRYr2!Q37*ADRYr2!U37)</f>
        <v/>
      </c>
      <c r="CK37" s="30" t="str">
        <f>IF($G37="","",$G37*(IF(ADRYr2!$AI37=CB$4,ADRYr2!$AJ37,IF(ADRYr2!$AK37=CB$4,ADRYr2!$AL37,IF(ADRYr2!$AM37=CB$4,ADRYr2!$AN37,0))))*(INDEX(avoidedcosttbl2,$H37,CK$2)+(($H37-ROUNDDOWN($H37,0))*(INDEX(avoidedcosttbl2,ROUNDUP($H37,0),CK$2)-(INDEX(avoidedcosttbl2,ROUNDDOWN($H37,0),CK$2)))))*ADRYr2!P37*ADRYr2!Q37*ADRYr2!U37)</f>
        <v/>
      </c>
      <c r="CL37" s="30" t="str">
        <f>IF($G37="","",$G37*(IF(ADRYr2!$AI37=CC$4,ADRYr2!$AJ37,IF(ADRYr2!$AK37=CC$4,ADRYr2!$AL37,IF(ADRYr2!$AM37=CC$4,ADRYr2!$AN37,0))))*(INDEX(avoidedcosttbl2,$H37,CL$2)+(($H37-ROUNDDOWN($H37,0))*(INDEX(avoidedcosttbl2,ROUNDUP($H37,0),CL$2)-(INDEX(avoidedcosttbl2,ROUNDDOWN($H37,0),CL$2)))))*ADRYr2!P37*ADRYr2!Q37*ADRYr2!U37)</f>
        <v/>
      </c>
      <c r="CM37" s="30" t="str">
        <f>IF($G37="","",$G37*(IF(ADRYr2!$AI37=CD$4,ADRYr2!$AJ37,IF(ADRYr2!$AK37=CD$4,ADRYr2!$AL37,IF(ADRYr2!$AM37=CD$4,ADRYr2!$AN37,0))))*(INDEX(avoidedcosttbl2,$H37,CM$2)+(($H37-ROUNDDOWN($H37,0))*(INDEX(avoidedcosttbl2,ROUNDUP($H37,0),CM$2)-(INDEX(avoidedcosttbl2,ROUNDDOWN($H37,0),CM$2)))))*ADRYr2!P37*ADRYr2!Q37*ADRYr2!U37)</f>
        <v/>
      </c>
      <c r="CN37" s="30" t="str">
        <f>IF($G37="","",$G37*(IF(ADRYr2!$AI37=CE$4,ADRYr2!$AJ37,IF(ADRYr2!$AK37=CE$4,ADRYr2!$AL37,IF(ADRYr2!$AM37=CE$4,ADRYr2!$AN37,0))))*(INDEX(avoidedcosttbl2,$H37,CN$2)+(($H37-ROUNDDOWN($H37,0))*(INDEX(avoidedcosttbl2,ROUNDUP($H37,0),CN$2)-(INDEX(avoidedcosttbl2,ROUNDDOWN($H37,0),CN$2)))))*ADRYr2!P37*ADRYr2!Q37*ADRYr2!U37)</f>
        <v/>
      </c>
      <c r="CO37" s="220" t="str">
        <f t="shared" si="39"/>
        <v/>
      </c>
      <c r="CP37" s="220" t="str">
        <f t="shared" si="40"/>
        <v/>
      </c>
      <c r="CQ37" s="157" t="str">
        <f>IF($G37="","",$G37*(IF(ADRYr2!$AI37=CQ$4,ADRYr2!$AJ37,IF(ADRYr2!$AK37=CQ$4,ADRYr2!$AL37,IF(ADRYr2!$AM37=CQ$4,ADRYr2!$AN37,0))))*(INDEX(avoidedcosttbl2,$H37,CQ$2)+(($H37-ROUNDDOWN($H37,0))*(INDEX(avoidedcosttbl2,ROUNDUP($H37,0),CQ$2)-(INDEX(avoidedcosttbl2,ROUNDDOWN($H37,0),CQ$2)))))*ADRYr2!$P37*ADRYr2!$Q37*ADRYr2!$U37)</f>
        <v/>
      </c>
      <c r="CR37" s="28" t="str">
        <f>IF($G37="","",G37*(IF(ADRYr2!$AI37=CR$4,ADRYr2!$AJ37,IF(ADRYr2!$AK37=CR$4,ADRYr2!$AL37,IF(ADRYr2!$AM37=CR$4,ADRYr2!$AN37,0))))*(INDEX(avoidedcosttbl2,$H37,CR$2)+(($H37-ROUNDDOWN($H37,0))*(INDEX(avoidedcosttbl2,ROUNDUP($H37,0),CR$2)-(INDEX(avoidedcosttbl2,ROUNDDOWN($H37,0),CR$2)))))*ADRYr2!$P37*ADRYr2!$Q37*ADRYr2!$U37)</f>
        <v/>
      </c>
      <c r="CS37" s="28" t="str">
        <f>IF($G37="","",G37*(IF(ADRYr2!$AI37=CS$4,ADRYr2!$AJ37,IF(ADRYr2!$AK37=CS$4,ADRYr2!$AL37,IF(ADRYr2!$AM37=CS$4,ADRYr2!$AN37,0))))*(INDEX(avoidedcosttbl2,$H37,CS$2)+(($H37-ROUNDDOWN($H37,0))*(INDEX(avoidedcosttbl2,ROUNDUP($H37,0),CS$2)-(INDEX(avoidedcosttbl2,ROUNDDOWN($H37,0),CS$2)))))*ADRYr2!$P37*ADRYr2!$Q37*ADRYr2!$U37)</f>
        <v/>
      </c>
      <c r="CT37" s="28" t="str">
        <f t="shared" si="12"/>
        <v/>
      </c>
      <c r="CU37" s="28" t="str">
        <f>IF($G37="","",G37*(IF(ADRYr2!$AI37=CU$4,ADRYr2!$AJ37,IF(ADRYr2!$AK37=CU$4,ADRYr2!$AL37,IF(ADRYr2!$AM37=CU$4,ADRYr2!$AN37,0))))*(INDEX(avoidedcosttbl2,$H37,CU$2)+(($H37-ROUNDDOWN($H37,0))*(INDEX(avoidedcosttbl2,ROUNDUP($H37,0),CU$2)-(INDEX(avoidedcosttbl2,ROUNDDOWN($H37,0),CU$2)))))*ADRYr2!$P37*ADRYr2!$Q37*ADRYr2!$U37)</f>
        <v/>
      </c>
      <c r="CV37" s="28" t="str">
        <f>IF($G37="","",G37*(IF(ADRYr2!$AI37=CV$4,ADRYr2!$AJ37,IF(ADRYr2!$AK37=CV$4,ADRYr2!$AL37,IF(ADRYr2!$AM37=CV$4,ADRYr2!$AN37,0))))*(INDEX(avoidedcosttbl2,$H37,CV$2)+(($H37-ROUNDDOWN($H37,0))*(INDEX(avoidedcosttbl2,ROUNDUP($H37,0),CV$2)-(INDEX(avoidedcosttbl2,ROUNDDOWN($H37,0),CV$2)))))*ADRYr2!$P37*ADRYr2!$Q37*ADRYr2!$U37)</f>
        <v/>
      </c>
      <c r="CW37" s="28" t="str">
        <f>IF($G37="","",G37*(IF(ADRYr2!$AI37=CW$4,ADRYr2!$AJ37,IF(ADRYr2!$AK37=CW$4,ADRYr2!$AL37,IF(ADRYr2!$AM37=CW$4,ADRYr2!$AN37,0))))*(INDEX(avoidedcosttbl2,$H37,CW$2)+(($H37-ROUNDDOWN($H37,0))*(INDEX(avoidedcosttbl2,ROUNDUP($H37,0),CW$2)-(INDEX(avoidedcosttbl2,ROUNDDOWN($H37,0),CW$2)))))*ADRYr2!$P37*ADRYr2!$Q37*ADRYr2!$U37)</f>
        <v/>
      </c>
      <c r="CX37" s="28" t="str">
        <f>IF($G37="","",G37*(IF(ADRYr2!$AI37=CX$4,ADRYr2!$AJ37,IF(ADRYr2!$AK37=CX$4,ADRYr2!$AL37,IF(ADRYr2!$AM37=CX$4,ADRYr2!$AN37,0))))*(INDEX(avoidedcosttbl2,$H37,CX$2)+(($H37-ROUNDDOWN($H37,0))*(INDEX(avoidedcosttbl2,ROUNDUP($H37,0),CX$2)-(INDEX(avoidedcosttbl2,ROUNDDOWN($H37,0),CX$2)))))*ADRYr2!$P37*ADRYr2!$Q37*ADRYr2!$U37)</f>
        <v/>
      </c>
      <c r="CY37" s="28" t="str">
        <f t="shared" si="13"/>
        <v/>
      </c>
      <c r="CZ37" s="32" t="str">
        <f t="shared" si="14"/>
        <v/>
      </c>
      <c r="DA37" s="84" t="str">
        <f t="shared" si="41"/>
        <v/>
      </c>
      <c r="DB37" s="81" t="str">
        <f>IF(NEIadder="Yes",IF($G37="","",INDEX(Lookups!$G$68:$G$70,MATCH($A37,Lookups!$E$68:$E$70,0))*(SUM(CP37:CX37,BX37))),"")</f>
        <v/>
      </c>
      <c r="DC37" s="263" t="str">
        <f t="shared" si="15"/>
        <v/>
      </c>
      <c r="DD37" s="166" t="str">
        <f t="shared" si="16"/>
        <v/>
      </c>
      <c r="DE37" s="82">
        <f t="shared" si="42"/>
        <v>0</v>
      </c>
      <c r="DF37" s="760" t="str">
        <f>IF($G37="","",(1+WntPeakEnergyLL)*(INDEX(avoidedcosttbl2,$H37,DF$2)+(($H37-ROUNDDOWN($H37,0))*(INDEX(avoidedcosttbl2,ROUNDUP($H37,0),DF$2)-(INDEX(avoidedcosttbl2,ROUNDDOWN($H37,0),DF$2)))))*$P37*1000*ADRYr2!Z37)</f>
        <v/>
      </c>
      <c r="DG37" s="760" t="str">
        <f>IF($G37="","",(1+WntOffPeakEnergyLL)*(INDEX(avoidedcosttbl2,$H37,DG$2)+(($H37-ROUNDDOWN($H37,0))*(INDEX(avoidedcosttbl2,ROUNDUP($H37,0),DG$2)-(INDEX(avoidedcosttbl2,ROUNDDOWN($H37,0),DG$2)))))*$P37*1000*ADRYr2!AA37)</f>
        <v/>
      </c>
      <c r="DH37" s="760" t="str">
        <f>IF($G37="","",(1+SumPeakEnergyLL)*(INDEX(avoidedcosttbl2,$H37,DH$2)+(($H37-ROUNDDOWN($H37,0))*(INDEX(avoidedcosttbl2,ROUNDUP($H37,0),DH$2)-(INDEX(avoidedcosttbl2,ROUNDDOWN($H37,0),DH$2)))))*$P37*1000*ADRYr2!AB37)</f>
        <v/>
      </c>
      <c r="DI37" s="760" t="str">
        <f>IF($G37="","",(1+SumOffPeakEnergyLL)*(INDEX(avoidedcosttbl2,$H37,DI$2)+(($H37-ROUNDDOWN($H37,0))*(INDEX(avoidedcosttbl2,ROUNDUP($H37,0),DI$2)-(INDEX(avoidedcosttbl2,ROUNDDOWN($H37,0),DI$2)))))*$P37*1000*ADRYr2!AC37)</f>
        <v/>
      </c>
      <c r="DJ37" s="29" t="str">
        <f t="shared" si="43"/>
        <v/>
      </c>
      <c r="DK37" s="161" t="str">
        <f t="shared" si="44"/>
        <v/>
      </c>
      <c r="DL37" s="1375" t="str">
        <f t="shared" si="45"/>
        <v/>
      </c>
      <c r="DM37" s="1375" t="str">
        <f t="shared" si="46"/>
        <v/>
      </c>
      <c r="DN37" s="43" t="str">
        <f t="shared" si="47"/>
        <v/>
      </c>
      <c r="DO37" s="1131" t="str">
        <f>IF($G37="","",ADRYr2!AQ37)</f>
        <v/>
      </c>
      <c r="DP37" s="1133" t="str">
        <f>IF($G37="","",ADRYr2!AR37)</f>
        <v/>
      </c>
      <c r="DQ37" s="1135" t="str">
        <f>IF($G37="","",IF($DP37="Yes",COLUMN(AESC!$L$10),IF($DP37="No","Using AvoidedDemand tab",IF($DP37="Mixed",COLUMN(AESC!$N$10)))))</f>
        <v/>
      </c>
      <c r="DR37" s="1135" t="str">
        <f>IF($G37="","",IF($DP37="Yes",COLUMN(AESC!$P$10),IF($DP37="No","Using AvoidedDemand tab",IF($DP37="Mixed",COLUMN(AESC!$R$10)))))</f>
        <v/>
      </c>
      <c r="DS37" s="1135" t="str">
        <f>IF($G37="","",IF($DP37="Yes",COLUMN(AESC!$S$10),IF($DP37="No",COLUMN(AESC!$T$10),IF($DP37="Mixed",COLUMN(AESC!$U$10)))))</f>
        <v/>
      </c>
      <c r="DT37" s="1135" t="str">
        <f t="shared" si="48"/>
        <v/>
      </c>
      <c r="DU37" s="1135" t="str">
        <f>IF($G37="","",ADRYr2!AS37)</f>
        <v/>
      </c>
      <c r="DV37" s="1136" t="str">
        <f>IF($G37="","",ADRYr2!AT37)</f>
        <v/>
      </c>
      <c r="DW37" s="1344" t="str">
        <f>IF($G37="","",INDEX(AvoidedEnergy!$H$4:$H$10,MATCH($DO37,AvoidedEnergy!$A$4:$A$10,0)))</f>
        <v/>
      </c>
    </row>
    <row r="38" spans="1:127">
      <c r="A38" s="160" t="str">
        <f>IF(ADRYr2!$B38=0,"",ADRYr2!A38)</f>
        <v>C - Commercial &amp; Industrial</v>
      </c>
      <c r="B38" s="9" t="str">
        <f>IF(ADRYr2!$B38=0,"",ADRYr2!B38)</f>
        <v>C5 - C&amp;I Active Demand Response</v>
      </c>
      <c r="C38" s="9" t="str">
        <f>IF(ADRYr2!$B38=0,"",ADRYr2!C38)</f>
        <v>C5a - C&amp;I Active Demand Response</v>
      </c>
      <c r="D38" s="9" t="str">
        <f>IF(ADRYr2!$B38=0,"",ADRYr2!D38)</f>
        <v>Storage Targeted Dispatch P4P (consumption) Summer</v>
      </c>
      <c r="E38" s="9" t="str">
        <f>IF(ADRYr2!$B38=0,"",ADRYr2!E38)</f>
        <v>E21C5a005</v>
      </c>
      <c r="F38" s="11" t="str">
        <f>IF(ADRYr2!$B38=0,"",ADRYr2!F38)</f>
        <v>Behavior</v>
      </c>
      <c r="G38" s="12" t="str">
        <f>IF(ADRYr2!$G38&lt;&gt;0,ADRYr2!G38,"")</f>
        <v/>
      </c>
      <c r="H38" s="1125" t="str">
        <f>IF($G38="","",ROUND(ADRYr2!H38,0))</f>
        <v/>
      </c>
      <c r="I38" s="47" t="str">
        <f>IF($G38="","",ADRYr2!I38*ADRYr2!P38*G38)</f>
        <v/>
      </c>
      <c r="J38" s="47" t="str">
        <f>IF($G38="","",ADRYr2!J38*G38)</f>
        <v/>
      </c>
      <c r="K38" s="47" t="str">
        <f t="shared" si="17"/>
        <v/>
      </c>
      <c r="L38" s="27" t="str">
        <f>IF($G38="","",ADRYr2!V38*G38/1000)</f>
        <v/>
      </c>
      <c r="M38" s="27" t="str">
        <f>IF($G38="","",L38*ADRYr2!$Q38*ADRYr2!$R38)</f>
        <v/>
      </c>
      <c r="N38" s="27" t="str">
        <f t="shared" si="18"/>
        <v/>
      </c>
      <c r="O38" s="27" t="str">
        <f t="shared" si="19"/>
        <v/>
      </c>
      <c r="P38" s="27" t="str">
        <f>IF($G38="","",M38*ADRYr2!P38)</f>
        <v/>
      </c>
      <c r="Q38" s="27" t="str">
        <f t="shared" si="20"/>
        <v/>
      </c>
      <c r="R38" s="27" t="str">
        <f>IF($G38="","",$Q38*ADRYr2!Z38)</f>
        <v/>
      </c>
      <c r="S38" s="27" t="str">
        <f>IF($G38="","",$Q38*ADRYr2!AA38)</f>
        <v/>
      </c>
      <c r="T38" s="27" t="str">
        <f>IF($G38="","",$Q38*ADRYr2!AB38)</f>
        <v/>
      </c>
      <c r="U38" s="27" t="str">
        <f>IF($G38="","",$Q38*ADRYr2!AC38)</f>
        <v/>
      </c>
      <c r="V38" s="27" t="str">
        <f>IF($G38="","",G38*ADRYr2!$AD38*ADRYr2!$P38*ADRYr2!$Q38)</f>
        <v/>
      </c>
      <c r="W38" s="27" t="str">
        <f>IF($G38="","",$G38*ADRYr2!$AD38*ADRYr2!$AF38*ADRYr2!Q38*ADRYr2!$S38)</f>
        <v/>
      </c>
      <c r="X38" s="27" t="str">
        <f>IF($G38="","",$G38*ADRYr2!$AD38*ADRYr2!$AF38*ADRYr2!P38*ADRYr2!Q38*ADRYr2!$S38)</f>
        <v/>
      </c>
      <c r="Y38" s="27" t="str">
        <f>IF($G38="","",$G38*ADRYr2!$AD38*ADRYr2!$AE38*ADRYr2!Q38*ADRYr2!$T38)</f>
        <v/>
      </c>
      <c r="Z38" s="27" t="str">
        <f>IF($G38="","",$G38*ADRYr2!$AD38*ADRYr2!$AE38*ADRYr2!P38*ADRYr2!Q38*ADRYr2!$T38)</f>
        <v/>
      </c>
      <c r="AA38" s="45" t="str">
        <f>IF($G38="","",$G38*ADRYr2!$Q38*ADRYr2!$U38*(IF(IFERROR(SEARCH("NG", ADRYr2!$AI38),0),ADRYr2!$AJ38,0)+IF(IFERROR(SEARCH("NG", ADRYr2!$AK38),0),ADRYr2!$AL38,0)+IF(IFERROR(SEARCH("NG", ADRYr2!$AM38),0),ADRYr2!$AN38,0)))</f>
        <v/>
      </c>
      <c r="AB38" s="45" t="str">
        <f t="shared" si="21"/>
        <v/>
      </c>
      <c r="AC38" s="45">
        <f>IF($G38="",0,AA38*ADRYr2!$P38)</f>
        <v>0</v>
      </c>
      <c r="AD38" s="45" t="str">
        <f t="shared" si="22"/>
        <v/>
      </c>
      <c r="AE38" s="45" t="str">
        <f>IF($G38="","",$G38*ADRYr2!$Q38*ADRYr2!$U38*(IF(IFERROR(SEARCH("Oil", ADRYr2!$AI38), 0),ADRYr2!$AJ38,0)+IF(IFERROR(SEARCH("Oil", ADRYr2!$AK38), 0),ADRYr2!$AL38,0)+IF(IFERROR(SEARCH("Oil", ADRYr2!$AM38), 0),ADRYr2!$AN38,0)))</f>
        <v/>
      </c>
      <c r="AF38" s="45" t="str">
        <f t="shared" si="23"/>
        <v/>
      </c>
      <c r="AG38" s="45">
        <f>IF($G38="",0,AE38*ADRYr2!$P38)</f>
        <v>0</v>
      </c>
      <c r="AH38" s="45" t="str">
        <f t="shared" si="24"/>
        <v/>
      </c>
      <c r="AI38" s="45" t="str">
        <f>IF($G38="","",$G38*ADRYr2!$Q38*ADRYr2!$U38*(IF(ADRYr2!$AI38=Lookups!$E$114,ADRYr2!$AJ38,IF(ADRYr2!$AK38=Lookups!$E$114,ADRYr2!$AL38,IF(ADRYr2!$AM38=Lookups!$E$114,ADRYr2!$AN38,0)))))</f>
        <v/>
      </c>
      <c r="AJ38" s="45" t="str">
        <f t="shared" si="25"/>
        <v/>
      </c>
      <c r="AK38" s="45">
        <f>IF($G38="",0,AI38*ADRYr2!$P38)</f>
        <v>0</v>
      </c>
      <c r="AL38" s="45" t="str">
        <f t="shared" si="26"/>
        <v/>
      </c>
      <c r="AM38" s="45" t="str">
        <f>IF($G38="","",$G38*ADRYr2!$Q38*ADRYr2!$U38*(IF(ADRYr2!$AI38=Lookups!$E$113,ADRYr2!$AJ38,IF(ADRYr2!$AK38=Lookups!$E$113,ADRYr2!$AL38,IF(ADRYr2!$AM38=Lookups!$E$113,ADRYr2!$AN38,0)))))</f>
        <v/>
      </c>
      <c r="AN38" s="45" t="str">
        <f t="shared" si="27"/>
        <v/>
      </c>
      <c r="AO38" s="45">
        <f>IF($G38="",0,AM38*ADRYr2!$P38)</f>
        <v>0</v>
      </c>
      <c r="AP38" s="45" t="str">
        <f t="shared" si="28"/>
        <v/>
      </c>
      <c r="AQ38" s="45" t="str">
        <f>IF($G38="","",$G38*ADRYr2!$Q38*ADRYr2!$U38*(IF(ADRYr2!$AI38=Lookups!$E$115,ADRYr2!$AJ38,IF(ADRYr2!$AK38=Lookups!$E$115,ADRYr2!$AL38,IF(ADRYr2!$AM38=Lookups!$E$115,ADRYr2!$AN38,0)))))</f>
        <v/>
      </c>
      <c r="AR38" s="45" t="str">
        <f t="shared" si="29"/>
        <v/>
      </c>
      <c r="AS38" s="45" t="str">
        <f>IF($G38="","",AQ38*ADRYr2!$P38)</f>
        <v/>
      </c>
      <c r="AT38" s="45" t="str">
        <f t="shared" si="30"/>
        <v/>
      </c>
      <c r="AU38" s="45" t="str">
        <f>IF($G38="","",$G38*ADRYr2!$Q38*ADRYr2!$U38*(IF(ADRYr2!$AI38=Lookups!$E$116,ADRYr2!$AJ38,IF(ADRYr2!$AK38=Lookups!$E$116,ADRYr2!$AL38,IF(ADRYr2!$AM38=Lookups!$E$116,ADRYr2!$AN38,0)))))</f>
        <v/>
      </c>
      <c r="AV38" s="45" t="str">
        <f t="shared" si="31"/>
        <v/>
      </c>
      <c r="AW38" s="45" t="str">
        <f>IF($G38="","",AU38*ADRYr2!$P38)</f>
        <v/>
      </c>
      <c r="AX38" s="45" t="str">
        <f t="shared" si="32"/>
        <v/>
      </c>
      <c r="AY38" s="45">
        <f t="shared" si="49"/>
        <v>0</v>
      </c>
      <c r="AZ38" s="45">
        <f t="shared" si="49"/>
        <v>0</v>
      </c>
      <c r="BA38" s="101" t="str">
        <f>IF($G38="","",$G38*ADRYr2!$P38*ADRYr2!$Q38*ADRYr2!$U38*ADRYr2!AO38)</f>
        <v/>
      </c>
      <c r="BB38" s="102" t="str">
        <f>IF($G38="","",$G38*ADRYr2!$P38*ADRYr2!$Q38*ADRYr2!$U38*ADRYr2!AP38)</f>
        <v/>
      </c>
      <c r="BC38" s="100" t="str">
        <f t="shared" si="34"/>
        <v/>
      </c>
      <c r="BD38" s="1126"/>
      <c r="BE38" s="1126"/>
      <c r="BF38" s="1126"/>
      <c r="BG38" s="1126"/>
      <c r="BH38" s="1127" t="str">
        <f t="shared" si="3"/>
        <v/>
      </c>
      <c r="BI38" s="1126"/>
      <c r="BJ38" s="1126"/>
      <c r="BK38" s="1126"/>
      <c r="BL38" s="1126"/>
      <c r="BM38" s="30" t="str">
        <f t="shared" si="4"/>
        <v/>
      </c>
      <c r="BN38" s="1128" t="str">
        <f t="shared" si="5"/>
        <v/>
      </c>
      <c r="BO38" s="31" t="str">
        <f t="shared" si="35"/>
        <v/>
      </c>
      <c r="BP38" s="1129" t="str">
        <f t="shared" si="6"/>
        <v/>
      </c>
      <c r="BQ38" s="28" t="str">
        <f t="shared" si="7"/>
        <v/>
      </c>
      <c r="BR38" s="1129" t="str">
        <f t="shared" si="8"/>
        <v/>
      </c>
      <c r="BS38" s="1129" t="str">
        <f t="shared" si="9"/>
        <v/>
      </c>
      <c r="BT38" s="28" t="str">
        <f t="shared" si="50"/>
        <v/>
      </c>
      <c r="BU38" s="28" t="str">
        <f t="shared" si="50"/>
        <v/>
      </c>
      <c r="BV38" s="28" t="str">
        <f t="shared" si="50"/>
        <v/>
      </c>
      <c r="BW38" s="29" t="str">
        <f t="shared" si="36"/>
        <v/>
      </c>
      <c r="BX38" s="29" t="str">
        <f t="shared" si="37"/>
        <v/>
      </c>
      <c r="BY38" s="28" t="str">
        <f>IF($G38="","",$G38*(IF(ADRYr2!$AI38=BY$4,ADRYr2!$AJ38,IF(ADRYr2!$AK38=BY$4,ADRYr2!$AL38,IF(ADRYr2!$AM38=BY$4,ADRYr2!$AN38,0))))*(INDEX(avoidedcosttbl2,$H38,BY$2)+(($H38-ROUNDDOWN($H38,0))*(INDEX(avoidedcosttbl2,ROUNDUP($H38,0),BY$2)-(INDEX(avoidedcosttbl2,ROUNDDOWN($H38,0),BY$2)))))*ADRYr2!P38*ADRYr2!Q38*ADRYr2!U38)</f>
        <v/>
      </c>
      <c r="BZ38" s="28" t="str">
        <f>IF($G38="","",$G38*(IF(ADRYr2!$AI38=BZ$4,ADRYr2!$AJ38,IF(ADRYr2!$AK38=BZ$4,ADRYr2!$AL38,IF(ADRYr2!$AM38=BZ$4,ADRYr2!$AN38,0))))*(INDEX(avoidedcosttbl2,$H38,BZ$2)+(($H38-ROUNDDOWN($H38,0))*(INDEX(avoidedcosttbl2,ROUNDUP($H38,0),BZ$2)-(INDEX(avoidedcosttbl2,ROUNDDOWN($H38,0),BZ$2)))))*ADRYr2!P38*ADRYr2!Q38*ADRYr2!U38)</f>
        <v/>
      </c>
      <c r="CA38" s="28" t="str">
        <f>IF($G38="","",$G38*(IF(ADRYr2!$AI38=CA$4,ADRYr2!$AJ38,IF(ADRYr2!$AK38=CA$4,ADRYr2!$AL38,IF(ADRYr2!$AM38=CA$4,ADRYr2!$AN38,0))))*(INDEX(avoidedcosttbl2,$H38,CA$2)+(($H38-ROUNDDOWN($H38,0))*(INDEX(avoidedcosttbl2,ROUNDUP($H38,0),CA$2)-(INDEX(avoidedcosttbl2,ROUNDDOWN($H38,0),CA$2)))))*ADRYr2!P38*ADRYr2!Q38*ADRYr2!U38)</f>
        <v/>
      </c>
      <c r="CB38" s="28" t="str">
        <f>IF($G38="","",$G38*(IF(ADRYr2!$AI38=CB$4,ADRYr2!$AJ38,IF(ADRYr2!$AK38=CB$4,ADRYr2!$AL38,IF(ADRYr2!$AM38=CB$4,ADRYr2!$AN38,0))))*(INDEX(avoidedcosttbl2,$H38,CB$2)+(($H38-ROUNDDOWN($H38,0))*(INDEX(avoidedcosttbl2,ROUNDUP($H38,0),CB$2)-(INDEX(avoidedcosttbl2,ROUNDDOWN($H38,0),CB$2)))))*ADRYr2!P38*ADRYr2!Q38*ADRYr2!U38)</f>
        <v/>
      </c>
      <c r="CC38" s="28" t="str">
        <f>IF($G38="","",$G38*(IF(ADRYr2!$AI38=CC$4,ADRYr2!$AJ38,IF(ADRYr2!$AK38=CC$4,ADRYr2!$AL38,IF(ADRYr2!$AM38=CC$4,ADRYr2!$AN38,0))))*(INDEX(avoidedcosttbl2,$H38,CC$2)+(($H38-ROUNDDOWN($H38,0))*(INDEX(avoidedcosttbl2,ROUNDUP($H38,0),CC$2)-(INDEX(avoidedcosttbl2,ROUNDDOWN($H38,0),CC$2)))))*ADRYr2!P38*ADRYr2!Q38*ADRYr2!U38)</f>
        <v/>
      </c>
      <c r="CD38" s="28" t="str">
        <f>IF($G38="","",$G38*(IF(ADRYr2!$AI38=CD$4,ADRYr2!$AJ38,IF(ADRYr2!$AK38=CD$4,ADRYr2!$AL38,IF(ADRYr2!$AM38=CD$4,ADRYr2!$AN38,0))))*(INDEX(avoidedcosttbl2,$H38,CD$2)+(($H38-ROUNDDOWN($H38,0))*(INDEX(avoidedcosttbl2,ROUNDUP($H38,0),CD$2)-(INDEX(avoidedcosttbl2,ROUNDDOWN($H38,0),CD$2)))))*ADRYr2!P38*ADRYr2!Q38*ADRYr2!U38)</f>
        <v/>
      </c>
      <c r="CE38" s="28" t="str">
        <f>IF($G38="","",$G38*(IF(ADRYr2!$AI38=CE$4,ADRYr2!$AJ38,IF(ADRYr2!$AK38=CE$4,ADRYr2!$AL38,IF(ADRYr2!$AM38=CE$4,ADRYr2!$AN38,0))))*(INDEX(avoidedcosttbl2,$H38,CE$2)+(($H38-ROUNDDOWN($H38,0))*(INDEX(avoidedcosttbl2,ROUNDUP($H38,0),CE$2)-(INDEX(avoidedcosttbl2,ROUNDDOWN($H38,0),CE$2)))))*ADRYr2!P38*ADRYr2!Q38*ADRYr2!U38)</f>
        <v/>
      </c>
      <c r="CF38" s="41" t="str">
        <f t="shared" si="38"/>
        <v/>
      </c>
      <c r="CG38" s="30" t="str">
        <f t="shared" si="11"/>
        <v/>
      </c>
      <c r="CH38" s="30" t="str">
        <f>IF($G38="","",$G38*(IF(ADRYr2!$AI38=BY$4,ADRYr2!$AJ38,IF(ADRYr2!$AK38=BY$4,ADRYr2!$AL38,IF(ADRYr2!$AM38=BY$4,ADRYr2!$AN38,0))))*(INDEX(avoidedcosttbl2,$H38,CH$2)+(($H38-ROUNDDOWN($H38,0))*(INDEX(avoidedcosttbl2,ROUNDUP($H38,0),CH$2)-(INDEX(avoidedcosttbl2,ROUNDDOWN($H38,0),CH$2)))))*ADRYr2!P38*ADRYr2!Q38*ADRYr2!U38)</f>
        <v/>
      </c>
      <c r="CI38" s="30" t="str">
        <f>IF($G38="","",$G38*(IF(ADRYr2!$AI38=BZ$4,ADRYr2!$AJ38,IF(ADRYr2!$AK38=BZ$4,ADRYr2!$AL38,IF(ADRYr2!$AM38=BZ$4,ADRYr2!$AN38,0))))*(INDEX(avoidedcosttbl2,$H38,CI$2)+(($H38-ROUNDDOWN($H38,0))*(INDEX(avoidedcosttbl2,ROUNDUP($H38,0),CI$2)-(INDEX(avoidedcosttbl2,ROUNDDOWN($H38,0),CI$2)))))*ADRYr2!P38*ADRYr2!Q38*ADRYr2!U38)</f>
        <v/>
      </c>
      <c r="CJ38" s="30" t="str">
        <f>IF($G38="","",$G38*(IF(ADRYr2!$AI38=CA$4,ADRYr2!$AJ38,IF(ADRYr2!$AK38=CA$4,ADRYr2!$AL38,IF(ADRYr2!$AM38=CA$4,ADRYr2!$AN38,0))))*(INDEX(avoidedcosttbl2,$H38,CJ$2)+(($H38-ROUNDDOWN($H38,0))*(INDEX(avoidedcosttbl2,ROUNDUP($H38,0),CJ$2)-(INDEX(avoidedcosttbl2,ROUNDDOWN($H38,0),CJ$2)))))*ADRYr2!P38*ADRYr2!Q38*ADRYr2!U38)</f>
        <v/>
      </c>
      <c r="CK38" s="30" t="str">
        <f>IF($G38="","",$G38*(IF(ADRYr2!$AI38=CB$4,ADRYr2!$AJ38,IF(ADRYr2!$AK38=CB$4,ADRYr2!$AL38,IF(ADRYr2!$AM38=CB$4,ADRYr2!$AN38,0))))*(INDEX(avoidedcosttbl2,$H38,CK$2)+(($H38-ROUNDDOWN($H38,0))*(INDEX(avoidedcosttbl2,ROUNDUP($H38,0),CK$2)-(INDEX(avoidedcosttbl2,ROUNDDOWN($H38,0),CK$2)))))*ADRYr2!P38*ADRYr2!Q38*ADRYr2!U38)</f>
        <v/>
      </c>
      <c r="CL38" s="30" t="str">
        <f>IF($G38="","",$G38*(IF(ADRYr2!$AI38=CC$4,ADRYr2!$AJ38,IF(ADRYr2!$AK38=CC$4,ADRYr2!$AL38,IF(ADRYr2!$AM38=CC$4,ADRYr2!$AN38,0))))*(INDEX(avoidedcosttbl2,$H38,CL$2)+(($H38-ROUNDDOWN($H38,0))*(INDEX(avoidedcosttbl2,ROUNDUP($H38,0),CL$2)-(INDEX(avoidedcosttbl2,ROUNDDOWN($H38,0),CL$2)))))*ADRYr2!P38*ADRYr2!Q38*ADRYr2!U38)</f>
        <v/>
      </c>
      <c r="CM38" s="30" t="str">
        <f>IF($G38="","",$G38*(IF(ADRYr2!$AI38=CD$4,ADRYr2!$AJ38,IF(ADRYr2!$AK38=CD$4,ADRYr2!$AL38,IF(ADRYr2!$AM38=CD$4,ADRYr2!$AN38,0))))*(INDEX(avoidedcosttbl2,$H38,CM$2)+(($H38-ROUNDDOWN($H38,0))*(INDEX(avoidedcosttbl2,ROUNDUP($H38,0),CM$2)-(INDEX(avoidedcosttbl2,ROUNDDOWN($H38,0),CM$2)))))*ADRYr2!P38*ADRYr2!Q38*ADRYr2!U38)</f>
        <v/>
      </c>
      <c r="CN38" s="30" t="str">
        <f>IF($G38="","",$G38*(IF(ADRYr2!$AI38=CE$4,ADRYr2!$AJ38,IF(ADRYr2!$AK38=CE$4,ADRYr2!$AL38,IF(ADRYr2!$AM38=CE$4,ADRYr2!$AN38,0))))*(INDEX(avoidedcosttbl2,$H38,CN$2)+(($H38-ROUNDDOWN($H38,0))*(INDEX(avoidedcosttbl2,ROUNDUP($H38,0),CN$2)-(INDEX(avoidedcosttbl2,ROUNDDOWN($H38,0),CN$2)))))*ADRYr2!P38*ADRYr2!Q38*ADRYr2!U38)</f>
        <v/>
      </c>
      <c r="CO38" s="220" t="str">
        <f t="shared" si="39"/>
        <v/>
      </c>
      <c r="CP38" s="220" t="str">
        <f t="shared" si="40"/>
        <v/>
      </c>
      <c r="CQ38" s="157" t="str">
        <f>IF($G38="","",$G38*(IF(ADRYr2!$AI38=CQ$4,ADRYr2!$AJ38,IF(ADRYr2!$AK38=CQ$4,ADRYr2!$AL38,IF(ADRYr2!$AM38=CQ$4,ADRYr2!$AN38,0))))*(INDEX(avoidedcosttbl2,$H38,CQ$2)+(($H38-ROUNDDOWN($H38,0))*(INDEX(avoidedcosttbl2,ROUNDUP($H38,0),CQ$2)-(INDEX(avoidedcosttbl2,ROUNDDOWN($H38,0),CQ$2)))))*ADRYr2!$P38*ADRYr2!$Q38*ADRYr2!$U38)</f>
        <v/>
      </c>
      <c r="CR38" s="28" t="str">
        <f>IF($G38="","",G38*(IF(ADRYr2!$AI38=CR$4,ADRYr2!$AJ38,IF(ADRYr2!$AK38=CR$4,ADRYr2!$AL38,IF(ADRYr2!$AM38=CR$4,ADRYr2!$AN38,0))))*(INDEX(avoidedcosttbl2,$H38,CR$2)+(($H38-ROUNDDOWN($H38,0))*(INDEX(avoidedcosttbl2,ROUNDUP($H38,0),CR$2)-(INDEX(avoidedcosttbl2,ROUNDDOWN($H38,0),CR$2)))))*ADRYr2!$P38*ADRYr2!$Q38*ADRYr2!$U38)</f>
        <v/>
      </c>
      <c r="CS38" s="28" t="str">
        <f>IF($G38="","",G38*(IF(ADRYr2!$AI38=CS$4,ADRYr2!$AJ38,IF(ADRYr2!$AK38=CS$4,ADRYr2!$AL38,IF(ADRYr2!$AM38=CS$4,ADRYr2!$AN38,0))))*(INDEX(avoidedcosttbl2,$H38,CS$2)+(($H38-ROUNDDOWN($H38,0))*(INDEX(avoidedcosttbl2,ROUNDUP($H38,0),CS$2)-(INDEX(avoidedcosttbl2,ROUNDDOWN($H38,0),CS$2)))))*ADRYr2!$P38*ADRYr2!$Q38*ADRYr2!$U38)</f>
        <v/>
      </c>
      <c r="CT38" s="28" t="str">
        <f t="shared" si="12"/>
        <v/>
      </c>
      <c r="CU38" s="28" t="str">
        <f>IF($G38="","",G38*(IF(ADRYr2!$AI38=CU$4,ADRYr2!$AJ38,IF(ADRYr2!$AK38=CU$4,ADRYr2!$AL38,IF(ADRYr2!$AM38=CU$4,ADRYr2!$AN38,0))))*(INDEX(avoidedcosttbl2,$H38,CU$2)+(($H38-ROUNDDOWN($H38,0))*(INDEX(avoidedcosttbl2,ROUNDUP($H38,0),CU$2)-(INDEX(avoidedcosttbl2,ROUNDDOWN($H38,0),CU$2)))))*ADRYr2!$P38*ADRYr2!$Q38*ADRYr2!$U38)</f>
        <v/>
      </c>
      <c r="CV38" s="28" t="str">
        <f>IF($G38="","",G38*(IF(ADRYr2!$AI38=CV$4,ADRYr2!$AJ38,IF(ADRYr2!$AK38=CV$4,ADRYr2!$AL38,IF(ADRYr2!$AM38=CV$4,ADRYr2!$AN38,0))))*(INDEX(avoidedcosttbl2,$H38,CV$2)+(($H38-ROUNDDOWN($H38,0))*(INDEX(avoidedcosttbl2,ROUNDUP($H38,0),CV$2)-(INDEX(avoidedcosttbl2,ROUNDDOWN($H38,0),CV$2)))))*ADRYr2!$P38*ADRYr2!$Q38*ADRYr2!$U38)</f>
        <v/>
      </c>
      <c r="CW38" s="28" t="str">
        <f>IF($G38="","",G38*(IF(ADRYr2!$AI38=CW$4,ADRYr2!$AJ38,IF(ADRYr2!$AK38=CW$4,ADRYr2!$AL38,IF(ADRYr2!$AM38=CW$4,ADRYr2!$AN38,0))))*(INDEX(avoidedcosttbl2,$H38,CW$2)+(($H38-ROUNDDOWN($H38,0))*(INDEX(avoidedcosttbl2,ROUNDUP($H38,0),CW$2)-(INDEX(avoidedcosttbl2,ROUNDDOWN($H38,0),CW$2)))))*ADRYr2!$P38*ADRYr2!$Q38*ADRYr2!$U38)</f>
        <v/>
      </c>
      <c r="CX38" s="28" t="str">
        <f>IF($G38="","",G38*(IF(ADRYr2!$AI38=CX$4,ADRYr2!$AJ38,IF(ADRYr2!$AK38=CX$4,ADRYr2!$AL38,IF(ADRYr2!$AM38=CX$4,ADRYr2!$AN38,0))))*(INDEX(avoidedcosttbl2,$H38,CX$2)+(($H38-ROUNDDOWN($H38,0))*(INDEX(avoidedcosttbl2,ROUNDUP($H38,0),CX$2)-(INDEX(avoidedcosttbl2,ROUNDDOWN($H38,0),CX$2)))))*ADRYr2!$P38*ADRYr2!$Q38*ADRYr2!$U38)</f>
        <v/>
      </c>
      <c r="CY38" s="28" t="str">
        <f t="shared" si="13"/>
        <v/>
      </c>
      <c r="CZ38" s="32" t="str">
        <f t="shared" si="14"/>
        <v/>
      </c>
      <c r="DA38" s="84" t="str">
        <f t="shared" si="41"/>
        <v/>
      </c>
      <c r="DB38" s="81" t="str">
        <f>IF(NEIadder="Yes",IF($G38="","",INDEX(Lookups!$G$68:$G$70,MATCH($A38,Lookups!$E$68:$E$70,0))*(SUM(CP38:CX38,BX38))),"")</f>
        <v/>
      </c>
      <c r="DC38" s="263" t="str">
        <f t="shared" si="15"/>
        <v/>
      </c>
      <c r="DD38" s="166" t="str">
        <f t="shared" si="16"/>
        <v/>
      </c>
      <c r="DE38" s="82">
        <f t="shared" si="42"/>
        <v>0</v>
      </c>
      <c r="DF38" s="760" t="str">
        <f>IF($G38="","",(1+WntPeakEnergyLL)*(INDEX(avoidedcosttbl2,$H38,DF$2)+(($H38-ROUNDDOWN($H38,0))*(INDEX(avoidedcosttbl2,ROUNDUP($H38,0),DF$2)-(INDEX(avoidedcosttbl2,ROUNDDOWN($H38,0),DF$2)))))*$P38*1000*ADRYr2!Z38)</f>
        <v/>
      </c>
      <c r="DG38" s="760" t="str">
        <f>IF($G38="","",(1+WntOffPeakEnergyLL)*(INDEX(avoidedcosttbl2,$H38,DG$2)+(($H38-ROUNDDOWN($H38,0))*(INDEX(avoidedcosttbl2,ROUNDUP($H38,0),DG$2)-(INDEX(avoidedcosttbl2,ROUNDDOWN($H38,0),DG$2)))))*$P38*1000*ADRYr2!AA38)</f>
        <v/>
      </c>
      <c r="DH38" s="760" t="str">
        <f>IF($G38="","",(1+SumPeakEnergyLL)*(INDEX(avoidedcosttbl2,$H38,DH$2)+(($H38-ROUNDDOWN($H38,0))*(INDEX(avoidedcosttbl2,ROUNDUP($H38,0),DH$2)-(INDEX(avoidedcosttbl2,ROUNDDOWN($H38,0),DH$2)))))*$P38*1000*ADRYr2!AB38)</f>
        <v/>
      </c>
      <c r="DI38" s="760" t="str">
        <f>IF($G38="","",(1+SumOffPeakEnergyLL)*(INDEX(avoidedcosttbl2,$H38,DI$2)+(($H38-ROUNDDOWN($H38,0))*(INDEX(avoidedcosttbl2,ROUNDUP($H38,0),DI$2)-(INDEX(avoidedcosttbl2,ROUNDDOWN($H38,0),DI$2)))))*$P38*1000*ADRYr2!AC38)</f>
        <v/>
      </c>
      <c r="DJ38" s="29" t="str">
        <f t="shared" si="43"/>
        <v/>
      </c>
      <c r="DK38" s="161" t="str">
        <f t="shared" si="44"/>
        <v/>
      </c>
      <c r="DL38" s="1375" t="str">
        <f t="shared" si="45"/>
        <v/>
      </c>
      <c r="DM38" s="1375" t="str">
        <f t="shared" si="46"/>
        <v/>
      </c>
      <c r="DN38" s="43" t="str">
        <f t="shared" si="47"/>
        <v/>
      </c>
      <c r="DO38" s="1131" t="str">
        <f>IF($G38="","",ADRYr2!AQ38)</f>
        <v/>
      </c>
      <c r="DP38" s="1133" t="str">
        <f>IF($G38="","",ADRYr2!AR38)</f>
        <v/>
      </c>
      <c r="DQ38" s="1135" t="str">
        <f>IF($G38="","",IF($DP38="Yes",COLUMN(AESC!$L$10),IF($DP38="No","Using AvoidedDemand tab",IF($DP38="Mixed",COLUMN(AESC!$N$10)))))</f>
        <v/>
      </c>
      <c r="DR38" s="1135" t="str">
        <f>IF($G38="","",IF($DP38="Yes",COLUMN(AESC!$P$10),IF($DP38="No","Using AvoidedDemand tab",IF($DP38="Mixed",COLUMN(AESC!$R$10)))))</f>
        <v/>
      </c>
      <c r="DS38" s="1135" t="str">
        <f>IF($G38="","",IF($DP38="Yes",COLUMN(AESC!$S$10),IF($DP38="No",COLUMN(AESC!$T$10),IF($DP38="Mixed",COLUMN(AESC!$U$10)))))</f>
        <v/>
      </c>
      <c r="DT38" s="1135" t="str">
        <f t="shared" si="48"/>
        <v/>
      </c>
      <c r="DU38" s="1135" t="str">
        <f>IF($G38="","",ADRYr2!AS38)</f>
        <v/>
      </c>
      <c r="DV38" s="1136" t="str">
        <f>IF($G38="","",ADRYr2!AT38)</f>
        <v/>
      </c>
      <c r="DW38" s="1344" t="str">
        <f>IF($G38="","",INDEX(AvoidedEnergy!$H$4:$H$10,MATCH($DO38,AvoidedEnergy!$A$4:$A$10,0)))</f>
        <v/>
      </c>
    </row>
    <row r="39" spans="1:127">
      <c r="A39" s="160" t="str">
        <f>IF(ADRYr2!$B39=0,"",ADRYr2!A39)</f>
        <v>C - Commercial &amp; Industrial</v>
      </c>
      <c r="B39" s="9" t="str">
        <f>IF(ADRYr2!$B39=0,"",ADRYr2!B39)</f>
        <v>C5 - C&amp;I Active Demand Response</v>
      </c>
      <c r="C39" s="9" t="str">
        <f>IF(ADRYr2!$B39=0,"",ADRYr2!C39)</f>
        <v>C5a - C&amp;I Active Demand Response</v>
      </c>
      <c r="D39" s="9" t="str">
        <f>IF(ADRYr2!$B39=0,"",ADRYr2!D39)</f>
        <v>Storage Targeted Dispatch P4P (savings) Winter</v>
      </c>
      <c r="E39" s="9">
        <f>IF(ADRYr2!$B39=0,"",ADRYr2!E39)</f>
        <v>0</v>
      </c>
      <c r="F39" s="11" t="str">
        <f>IF(ADRYr2!$B39=0,"",ADRYr2!F39)</f>
        <v>Behavior</v>
      </c>
      <c r="G39" s="12" t="str">
        <f>IF(ADRYr2!$G39&lt;&gt;0,ADRYr2!G39,"")</f>
        <v/>
      </c>
      <c r="H39" s="1125" t="str">
        <f>IF($G39="","",ROUND(ADRYr2!H39,0))</f>
        <v/>
      </c>
      <c r="I39" s="47" t="str">
        <f>IF($G39="","",ADRYr2!I39*ADRYr2!P39*G39)</f>
        <v/>
      </c>
      <c r="J39" s="47" t="str">
        <f>IF($G39="","",ADRYr2!J39*G39)</f>
        <v/>
      </c>
      <c r="K39" s="47" t="str">
        <f t="shared" si="17"/>
        <v/>
      </c>
      <c r="L39" s="27" t="str">
        <f>IF($G39="","",ADRYr2!V39*G39/1000)</f>
        <v/>
      </c>
      <c r="M39" s="27" t="str">
        <f>IF($G39="","",L39*ADRYr2!$Q39*ADRYr2!$R39)</f>
        <v/>
      </c>
      <c r="N39" s="27" t="str">
        <f t="shared" si="18"/>
        <v/>
      </c>
      <c r="O39" s="27" t="str">
        <f t="shared" si="19"/>
        <v/>
      </c>
      <c r="P39" s="27" t="str">
        <f>IF($G39="","",M39*ADRYr2!P39)</f>
        <v/>
      </c>
      <c r="Q39" s="27" t="str">
        <f t="shared" si="20"/>
        <v/>
      </c>
      <c r="R39" s="27" t="str">
        <f>IF($G39="","",$Q39*ADRYr2!Z39)</f>
        <v/>
      </c>
      <c r="S39" s="27" t="str">
        <f>IF($G39="","",$Q39*ADRYr2!AA39)</f>
        <v/>
      </c>
      <c r="T39" s="27" t="str">
        <f>IF($G39="","",$Q39*ADRYr2!AB39)</f>
        <v/>
      </c>
      <c r="U39" s="27" t="str">
        <f>IF($G39="","",$Q39*ADRYr2!AC39)</f>
        <v/>
      </c>
      <c r="V39" s="27" t="str">
        <f>IF($G39="","",G39*ADRYr2!$AD39*ADRYr2!$P39*ADRYr2!$Q39)</f>
        <v/>
      </c>
      <c r="W39" s="27" t="str">
        <f>IF($G39="","",$G39*ADRYr2!$AD39*ADRYr2!$AF39*ADRYr2!Q39*ADRYr2!$S39)</f>
        <v/>
      </c>
      <c r="X39" s="27" t="str">
        <f>IF($G39="","",$G39*ADRYr2!$AD39*ADRYr2!$AF39*ADRYr2!P39*ADRYr2!Q39*ADRYr2!$S39)</f>
        <v/>
      </c>
      <c r="Y39" s="27" t="str">
        <f>IF($G39="","",$G39*ADRYr2!$AD39*ADRYr2!$AE39*ADRYr2!Q39*ADRYr2!$T39)</f>
        <v/>
      </c>
      <c r="Z39" s="27" t="str">
        <f>IF($G39="","",$G39*ADRYr2!$AD39*ADRYr2!$AE39*ADRYr2!P39*ADRYr2!Q39*ADRYr2!$T39)</f>
        <v/>
      </c>
      <c r="AA39" s="45" t="str">
        <f>IF($G39="","",$G39*ADRYr2!$Q39*ADRYr2!$U39*(IF(IFERROR(SEARCH("NG", ADRYr2!$AI39),0),ADRYr2!$AJ39,0)+IF(IFERROR(SEARCH("NG", ADRYr2!$AK39),0),ADRYr2!$AL39,0)+IF(IFERROR(SEARCH("NG", ADRYr2!$AM39),0),ADRYr2!$AN39,0)))</f>
        <v/>
      </c>
      <c r="AB39" s="45" t="str">
        <f t="shared" si="21"/>
        <v/>
      </c>
      <c r="AC39" s="45">
        <f>IF($G39="",0,AA39*ADRYr2!$P39)</f>
        <v>0</v>
      </c>
      <c r="AD39" s="45" t="str">
        <f t="shared" si="22"/>
        <v/>
      </c>
      <c r="AE39" s="45" t="str">
        <f>IF($G39="","",$G39*ADRYr2!$Q39*ADRYr2!$U39*(IF(IFERROR(SEARCH("Oil", ADRYr2!$AI39), 0),ADRYr2!$AJ39,0)+IF(IFERROR(SEARCH("Oil", ADRYr2!$AK39), 0),ADRYr2!$AL39,0)+IF(IFERROR(SEARCH("Oil", ADRYr2!$AM39), 0),ADRYr2!$AN39,0)))</f>
        <v/>
      </c>
      <c r="AF39" s="45" t="str">
        <f t="shared" si="23"/>
        <v/>
      </c>
      <c r="AG39" s="45">
        <f>IF($G39="",0,AE39*ADRYr2!$P39)</f>
        <v>0</v>
      </c>
      <c r="AH39" s="45" t="str">
        <f t="shared" si="24"/>
        <v/>
      </c>
      <c r="AI39" s="45" t="str">
        <f>IF($G39="","",$G39*ADRYr2!$Q39*ADRYr2!$U39*(IF(ADRYr2!$AI39=Lookups!$E$114,ADRYr2!$AJ39,IF(ADRYr2!$AK39=Lookups!$E$114,ADRYr2!$AL39,IF(ADRYr2!$AM39=Lookups!$E$114,ADRYr2!$AN39,0)))))</f>
        <v/>
      </c>
      <c r="AJ39" s="45" t="str">
        <f t="shared" si="25"/>
        <v/>
      </c>
      <c r="AK39" s="45">
        <f>IF($G39="",0,AI39*ADRYr2!$P39)</f>
        <v>0</v>
      </c>
      <c r="AL39" s="45" t="str">
        <f t="shared" si="26"/>
        <v/>
      </c>
      <c r="AM39" s="45" t="str">
        <f>IF($G39="","",$G39*ADRYr2!$Q39*ADRYr2!$U39*(IF(ADRYr2!$AI39=Lookups!$E$113,ADRYr2!$AJ39,IF(ADRYr2!$AK39=Lookups!$E$113,ADRYr2!$AL39,IF(ADRYr2!$AM39=Lookups!$E$113,ADRYr2!$AN39,0)))))</f>
        <v/>
      </c>
      <c r="AN39" s="45" t="str">
        <f t="shared" si="27"/>
        <v/>
      </c>
      <c r="AO39" s="45">
        <f>IF($G39="",0,AM39*ADRYr2!$P39)</f>
        <v>0</v>
      </c>
      <c r="AP39" s="45" t="str">
        <f t="shared" si="28"/>
        <v/>
      </c>
      <c r="AQ39" s="45" t="str">
        <f>IF($G39="","",$G39*ADRYr2!$Q39*ADRYr2!$U39*(IF(ADRYr2!$AI39=Lookups!$E$115,ADRYr2!$AJ39,IF(ADRYr2!$AK39=Lookups!$E$115,ADRYr2!$AL39,IF(ADRYr2!$AM39=Lookups!$E$115,ADRYr2!$AN39,0)))))</f>
        <v/>
      </c>
      <c r="AR39" s="45" t="str">
        <f t="shared" si="29"/>
        <v/>
      </c>
      <c r="AS39" s="45" t="str">
        <f>IF($G39="","",AQ39*ADRYr2!$P39)</f>
        <v/>
      </c>
      <c r="AT39" s="45" t="str">
        <f t="shared" si="30"/>
        <v/>
      </c>
      <c r="AU39" s="45" t="str">
        <f>IF($G39="","",$G39*ADRYr2!$Q39*ADRYr2!$U39*(IF(ADRYr2!$AI39=Lookups!$E$116,ADRYr2!$AJ39,IF(ADRYr2!$AK39=Lookups!$E$116,ADRYr2!$AL39,IF(ADRYr2!$AM39=Lookups!$E$116,ADRYr2!$AN39,0)))))</f>
        <v/>
      </c>
      <c r="AV39" s="45" t="str">
        <f t="shared" si="31"/>
        <v/>
      </c>
      <c r="AW39" s="45" t="str">
        <f>IF($G39="","",AU39*ADRYr2!$P39)</f>
        <v/>
      </c>
      <c r="AX39" s="45" t="str">
        <f t="shared" si="32"/>
        <v/>
      </c>
      <c r="AY39" s="45">
        <f t="shared" si="49"/>
        <v>0</v>
      </c>
      <c r="AZ39" s="45">
        <f t="shared" si="49"/>
        <v>0</v>
      </c>
      <c r="BA39" s="101" t="str">
        <f>IF($G39="","",$G39*ADRYr2!$P39*ADRYr2!$Q39*ADRYr2!$U39*ADRYr2!AO39)</f>
        <v/>
      </c>
      <c r="BB39" s="102" t="str">
        <f>IF($G39="","",$G39*ADRYr2!$P39*ADRYr2!$Q39*ADRYr2!$U39*ADRYr2!AP39)</f>
        <v/>
      </c>
      <c r="BC39" s="100" t="str">
        <f t="shared" si="34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5"/>
        <v/>
      </c>
      <c r="BO39" s="31" t="str">
        <f t="shared" si="35"/>
        <v/>
      </c>
      <c r="BP39" s="1129" t="str">
        <f t="shared" si="6"/>
        <v/>
      </c>
      <c r="BQ39" s="28" t="str">
        <f t="shared" si="7"/>
        <v/>
      </c>
      <c r="BR39" s="1129" t="str">
        <f t="shared" si="8"/>
        <v/>
      </c>
      <c r="BS39" s="1129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6"/>
        <v/>
      </c>
      <c r="BX39" s="29" t="str">
        <f t="shared" si="37"/>
        <v/>
      </c>
      <c r="BY39" s="28" t="str">
        <f>IF($G39="","",$G39*(IF(ADRYr2!$AI39=BY$4,ADRYr2!$AJ39,IF(ADRYr2!$AK39=BY$4,ADRYr2!$AL39,IF(ADRYr2!$AM39=BY$4,ADRYr2!$AN39,0))))*(INDEX(avoidedcosttbl2,$H39,BY$2)+(($H39-ROUNDDOWN($H39,0))*(INDEX(avoidedcosttbl2,ROUNDUP($H39,0),BY$2)-(INDEX(avoidedcosttbl2,ROUNDDOWN($H39,0),BY$2)))))*ADRYr2!P39*ADRYr2!Q39*ADRYr2!U39)</f>
        <v/>
      </c>
      <c r="BZ39" s="28" t="str">
        <f>IF($G39="","",$G39*(IF(ADRYr2!$AI39=BZ$4,ADRYr2!$AJ39,IF(ADRYr2!$AK39=BZ$4,ADRYr2!$AL39,IF(ADRYr2!$AM39=BZ$4,ADRYr2!$AN39,0))))*(INDEX(avoidedcosttbl2,$H39,BZ$2)+(($H39-ROUNDDOWN($H39,0))*(INDEX(avoidedcosttbl2,ROUNDUP($H39,0),BZ$2)-(INDEX(avoidedcosttbl2,ROUNDDOWN($H39,0),BZ$2)))))*ADRYr2!P39*ADRYr2!Q39*ADRYr2!U39)</f>
        <v/>
      </c>
      <c r="CA39" s="28" t="str">
        <f>IF($G39="","",$G39*(IF(ADRYr2!$AI39=CA$4,ADRYr2!$AJ39,IF(ADRYr2!$AK39=CA$4,ADRYr2!$AL39,IF(ADRYr2!$AM39=CA$4,ADRYr2!$AN39,0))))*(INDEX(avoidedcosttbl2,$H39,CA$2)+(($H39-ROUNDDOWN($H39,0))*(INDEX(avoidedcosttbl2,ROUNDUP($H39,0),CA$2)-(INDEX(avoidedcosttbl2,ROUNDDOWN($H39,0),CA$2)))))*ADRYr2!P39*ADRYr2!Q39*ADRYr2!U39)</f>
        <v/>
      </c>
      <c r="CB39" s="28" t="str">
        <f>IF($G39="","",$G39*(IF(ADRYr2!$AI39=CB$4,ADRYr2!$AJ39,IF(ADRYr2!$AK39=CB$4,ADRYr2!$AL39,IF(ADRYr2!$AM39=CB$4,ADRYr2!$AN39,0))))*(INDEX(avoidedcosttbl2,$H39,CB$2)+(($H39-ROUNDDOWN($H39,0))*(INDEX(avoidedcosttbl2,ROUNDUP($H39,0),CB$2)-(INDEX(avoidedcosttbl2,ROUNDDOWN($H39,0),CB$2)))))*ADRYr2!P39*ADRYr2!Q39*ADRYr2!U39)</f>
        <v/>
      </c>
      <c r="CC39" s="28" t="str">
        <f>IF($G39="","",$G39*(IF(ADRYr2!$AI39=CC$4,ADRYr2!$AJ39,IF(ADRYr2!$AK39=CC$4,ADRYr2!$AL39,IF(ADRYr2!$AM39=CC$4,ADRYr2!$AN39,0))))*(INDEX(avoidedcosttbl2,$H39,CC$2)+(($H39-ROUNDDOWN($H39,0))*(INDEX(avoidedcosttbl2,ROUNDUP($H39,0),CC$2)-(INDEX(avoidedcosttbl2,ROUNDDOWN($H39,0),CC$2)))))*ADRYr2!P39*ADRYr2!Q39*ADRYr2!U39)</f>
        <v/>
      </c>
      <c r="CD39" s="28" t="str">
        <f>IF($G39="","",$G39*(IF(ADRYr2!$AI39=CD$4,ADRYr2!$AJ39,IF(ADRYr2!$AK39=CD$4,ADRYr2!$AL39,IF(ADRYr2!$AM39=CD$4,ADRYr2!$AN39,0))))*(INDEX(avoidedcosttbl2,$H39,CD$2)+(($H39-ROUNDDOWN($H39,0))*(INDEX(avoidedcosttbl2,ROUNDUP($H39,0),CD$2)-(INDEX(avoidedcosttbl2,ROUNDDOWN($H39,0),CD$2)))))*ADRYr2!P39*ADRYr2!Q39*ADRYr2!U39)</f>
        <v/>
      </c>
      <c r="CE39" s="28" t="str">
        <f>IF($G39="","",$G39*(IF(ADRYr2!$AI39=CE$4,ADRYr2!$AJ39,IF(ADRYr2!$AK39=CE$4,ADRYr2!$AL39,IF(ADRYr2!$AM39=CE$4,ADRYr2!$AN39,0))))*(INDEX(avoidedcosttbl2,$H39,CE$2)+(($H39-ROUNDDOWN($H39,0))*(INDEX(avoidedcosttbl2,ROUNDUP($H39,0),CE$2)-(INDEX(avoidedcosttbl2,ROUNDDOWN($H39,0),CE$2)))))*ADRYr2!P39*ADRYr2!Q39*ADRYr2!U39)</f>
        <v/>
      </c>
      <c r="CF39" s="41" t="str">
        <f t="shared" si="38"/>
        <v/>
      </c>
      <c r="CG39" s="30" t="str">
        <f t="shared" si="11"/>
        <v/>
      </c>
      <c r="CH39" s="30" t="str">
        <f>IF($G39="","",$G39*(IF(ADRYr2!$AI39=BY$4,ADRYr2!$AJ39,IF(ADRYr2!$AK39=BY$4,ADRYr2!$AL39,IF(ADRYr2!$AM39=BY$4,ADRYr2!$AN39,0))))*(INDEX(avoidedcosttbl2,$H39,CH$2)+(($H39-ROUNDDOWN($H39,0))*(INDEX(avoidedcosttbl2,ROUNDUP($H39,0),CH$2)-(INDEX(avoidedcosttbl2,ROUNDDOWN($H39,0),CH$2)))))*ADRYr2!P39*ADRYr2!Q39*ADRYr2!U39)</f>
        <v/>
      </c>
      <c r="CI39" s="30" t="str">
        <f>IF($G39="","",$G39*(IF(ADRYr2!$AI39=BZ$4,ADRYr2!$AJ39,IF(ADRYr2!$AK39=BZ$4,ADRYr2!$AL39,IF(ADRYr2!$AM39=BZ$4,ADRYr2!$AN39,0))))*(INDEX(avoidedcosttbl2,$H39,CI$2)+(($H39-ROUNDDOWN($H39,0))*(INDEX(avoidedcosttbl2,ROUNDUP($H39,0),CI$2)-(INDEX(avoidedcosttbl2,ROUNDDOWN($H39,0),CI$2)))))*ADRYr2!P39*ADRYr2!Q39*ADRYr2!U39)</f>
        <v/>
      </c>
      <c r="CJ39" s="30" t="str">
        <f>IF($G39="","",$G39*(IF(ADRYr2!$AI39=CA$4,ADRYr2!$AJ39,IF(ADRYr2!$AK39=CA$4,ADRYr2!$AL39,IF(ADRYr2!$AM39=CA$4,ADRYr2!$AN39,0))))*(INDEX(avoidedcosttbl2,$H39,CJ$2)+(($H39-ROUNDDOWN($H39,0))*(INDEX(avoidedcosttbl2,ROUNDUP($H39,0),CJ$2)-(INDEX(avoidedcosttbl2,ROUNDDOWN($H39,0),CJ$2)))))*ADRYr2!P39*ADRYr2!Q39*ADRYr2!U39)</f>
        <v/>
      </c>
      <c r="CK39" s="30" t="str">
        <f>IF($G39="","",$G39*(IF(ADRYr2!$AI39=CB$4,ADRYr2!$AJ39,IF(ADRYr2!$AK39=CB$4,ADRYr2!$AL39,IF(ADRYr2!$AM39=CB$4,ADRYr2!$AN39,0))))*(INDEX(avoidedcosttbl2,$H39,CK$2)+(($H39-ROUNDDOWN($H39,0))*(INDEX(avoidedcosttbl2,ROUNDUP($H39,0),CK$2)-(INDEX(avoidedcosttbl2,ROUNDDOWN($H39,0),CK$2)))))*ADRYr2!P39*ADRYr2!Q39*ADRYr2!U39)</f>
        <v/>
      </c>
      <c r="CL39" s="30" t="str">
        <f>IF($G39="","",$G39*(IF(ADRYr2!$AI39=CC$4,ADRYr2!$AJ39,IF(ADRYr2!$AK39=CC$4,ADRYr2!$AL39,IF(ADRYr2!$AM39=CC$4,ADRYr2!$AN39,0))))*(INDEX(avoidedcosttbl2,$H39,CL$2)+(($H39-ROUNDDOWN($H39,0))*(INDEX(avoidedcosttbl2,ROUNDUP($H39,0),CL$2)-(INDEX(avoidedcosttbl2,ROUNDDOWN($H39,0),CL$2)))))*ADRYr2!P39*ADRYr2!Q39*ADRYr2!U39)</f>
        <v/>
      </c>
      <c r="CM39" s="30" t="str">
        <f>IF($G39="","",$G39*(IF(ADRYr2!$AI39=CD$4,ADRYr2!$AJ39,IF(ADRYr2!$AK39=CD$4,ADRYr2!$AL39,IF(ADRYr2!$AM39=CD$4,ADRYr2!$AN39,0))))*(INDEX(avoidedcosttbl2,$H39,CM$2)+(($H39-ROUNDDOWN($H39,0))*(INDEX(avoidedcosttbl2,ROUNDUP($H39,0),CM$2)-(INDEX(avoidedcosttbl2,ROUNDDOWN($H39,0),CM$2)))))*ADRYr2!P39*ADRYr2!Q39*ADRYr2!U39)</f>
        <v/>
      </c>
      <c r="CN39" s="30" t="str">
        <f>IF($G39="","",$G39*(IF(ADRYr2!$AI39=CE$4,ADRYr2!$AJ39,IF(ADRYr2!$AK39=CE$4,ADRYr2!$AL39,IF(ADRYr2!$AM39=CE$4,ADRYr2!$AN39,0))))*(INDEX(avoidedcosttbl2,$H39,CN$2)+(($H39-ROUNDDOWN($H39,0))*(INDEX(avoidedcosttbl2,ROUNDUP($H39,0),CN$2)-(INDEX(avoidedcosttbl2,ROUNDDOWN($H39,0),CN$2)))))*ADRYr2!P39*ADRYr2!Q39*ADRYr2!U39)</f>
        <v/>
      </c>
      <c r="CO39" s="220" t="str">
        <f t="shared" si="39"/>
        <v/>
      </c>
      <c r="CP39" s="220" t="str">
        <f t="shared" si="40"/>
        <v/>
      </c>
      <c r="CQ39" s="157" t="str">
        <f>IF($G39="","",$G39*(IF(ADRYr2!$AI39=CQ$4,ADRYr2!$AJ39,IF(ADRYr2!$AK39=CQ$4,ADRYr2!$AL39,IF(ADRYr2!$AM39=CQ$4,ADRYr2!$AN39,0))))*(INDEX(avoidedcosttbl2,$H39,CQ$2)+(($H39-ROUNDDOWN($H39,0))*(INDEX(avoidedcosttbl2,ROUNDUP($H39,0),CQ$2)-(INDEX(avoidedcosttbl2,ROUNDDOWN($H39,0),CQ$2)))))*ADRYr2!$P39*ADRYr2!$Q39*ADRYr2!$U39)</f>
        <v/>
      </c>
      <c r="CR39" s="28" t="str">
        <f>IF($G39="","",G39*(IF(ADRYr2!$AI39=CR$4,ADRYr2!$AJ39,IF(ADRYr2!$AK39=CR$4,ADRYr2!$AL39,IF(ADRYr2!$AM39=CR$4,ADRYr2!$AN39,0))))*(INDEX(avoidedcosttbl2,$H39,CR$2)+(($H39-ROUNDDOWN($H39,0))*(INDEX(avoidedcosttbl2,ROUNDUP($H39,0),CR$2)-(INDEX(avoidedcosttbl2,ROUNDDOWN($H39,0),CR$2)))))*ADRYr2!$P39*ADRYr2!$Q39*ADRYr2!$U39)</f>
        <v/>
      </c>
      <c r="CS39" s="28" t="str">
        <f>IF($G39="","",G39*(IF(ADRYr2!$AI39=CS$4,ADRYr2!$AJ39,IF(ADRYr2!$AK39=CS$4,ADRYr2!$AL39,IF(ADRYr2!$AM39=CS$4,ADRYr2!$AN39,0))))*(INDEX(avoidedcosttbl2,$H39,CS$2)+(($H39-ROUNDDOWN($H39,0))*(INDEX(avoidedcosttbl2,ROUNDUP($H39,0),CS$2)-(INDEX(avoidedcosttbl2,ROUNDDOWN($H39,0),CS$2)))))*ADRYr2!$P39*ADRYr2!$Q39*ADRYr2!$U39)</f>
        <v/>
      </c>
      <c r="CT39" s="28" t="str">
        <f t="shared" si="12"/>
        <v/>
      </c>
      <c r="CU39" s="28" t="str">
        <f>IF($G39="","",G39*(IF(ADRYr2!$AI39=CU$4,ADRYr2!$AJ39,IF(ADRYr2!$AK39=CU$4,ADRYr2!$AL39,IF(ADRYr2!$AM39=CU$4,ADRYr2!$AN39,0))))*(INDEX(avoidedcosttbl2,$H39,CU$2)+(($H39-ROUNDDOWN($H39,0))*(INDEX(avoidedcosttbl2,ROUNDUP($H39,0),CU$2)-(INDEX(avoidedcosttbl2,ROUNDDOWN($H39,0),CU$2)))))*ADRYr2!$P39*ADRYr2!$Q39*ADRYr2!$U39)</f>
        <v/>
      </c>
      <c r="CV39" s="28" t="str">
        <f>IF($G39="","",G39*(IF(ADRYr2!$AI39=CV$4,ADRYr2!$AJ39,IF(ADRYr2!$AK39=CV$4,ADRYr2!$AL39,IF(ADRYr2!$AM39=CV$4,ADRYr2!$AN39,0))))*(INDEX(avoidedcosttbl2,$H39,CV$2)+(($H39-ROUNDDOWN($H39,0))*(INDEX(avoidedcosttbl2,ROUNDUP($H39,0),CV$2)-(INDEX(avoidedcosttbl2,ROUNDDOWN($H39,0),CV$2)))))*ADRYr2!$P39*ADRYr2!$Q39*ADRYr2!$U39)</f>
        <v/>
      </c>
      <c r="CW39" s="28" t="str">
        <f>IF($G39="","",G39*(IF(ADRYr2!$AI39=CW$4,ADRYr2!$AJ39,IF(ADRYr2!$AK39=CW$4,ADRYr2!$AL39,IF(ADRYr2!$AM39=CW$4,ADRYr2!$AN39,0))))*(INDEX(avoidedcosttbl2,$H39,CW$2)+(($H39-ROUNDDOWN($H39,0))*(INDEX(avoidedcosttbl2,ROUNDUP($H39,0),CW$2)-(INDEX(avoidedcosttbl2,ROUNDDOWN($H39,0),CW$2)))))*ADRYr2!$P39*ADRYr2!$Q39*ADRYr2!$U39)</f>
        <v/>
      </c>
      <c r="CX39" s="28" t="str">
        <f>IF($G39="","",G39*(IF(ADRYr2!$AI39=CX$4,ADRYr2!$AJ39,IF(ADRYr2!$AK39=CX$4,ADRYr2!$AL39,IF(ADRYr2!$AM39=CX$4,ADRYr2!$AN39,0))))*(INDEX(avoidedcosttbl2,$H39,CX$2)+(($H39-ROUNDDOWN($H39,0))*(INDEX(avoidedcosttbl2,ROUNDUP($H39,0),CX$2)-(INDEX(avoidedcosttbl2,ROUNDDOWN($H39,0),CX$2)))))*ADRYr2!$P39*ADRYr2!$Q39*ADRYr2!$U39)</f>
        <v/>
      </c>
      <c r="CY39" s="28" t="str">
        <f t="shared" si="13"/>
        <v/>
      </c>
      <c r="CZ39" s="32" t="str">
        <f t="shared" si="14"/>
        <v/>
      </c>
      <c r="DA39" s="84" t="str">
        <f t="shared" si="41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15"/>
        <v/>
      </c>
      <c r="DD39" s="166" t="str">
        <f t="shared" si="16"/>
        <v/>
      </c>
      <c r="DE39" s="82">
        <f t="shared" si="42"/>
        <v>0</v>
      </c>
      <c r="DF39" s="760" t="str">
        <f>IF($G39="","",(1+WntPeakEnergyLL)*(INDEX(avoidedcosttbl2,$H39,DF$2)+(($H39-ROUNDDOWN($H39,0))*(INDEX(avoidedcosttbl2,ROUNDUP($H39,0),DF$2)-(INDEX(avoidedcosttbl2,ROUNDDOWN($H39,0),DF$2)))))*$P39*1000*ADRYr2!Z39)</f>
        <v/>
      </c>
      <c r="DG39" s="760" t="str">
        <f>IF($G39="","",(1+WntOffPeakEnergyLL)*(INDEX(avoidedcosttbl2,$H39,DG$2)+(($H39-ROUNDDOWN($H39,0))*(INDEX(avoidedcosttbl2,ROUNDUP($H39,0),DG$2)-(INDEX(avoidedcosttbl2,ROUNDDOWN($H39,0),DG$2)))))*$P39*1000*ADRYr2!AA39)</f>
        <v/>
      </c>
      <c r="DH39" s="760" t="str">
        <f>IF($G39="","",(1+SumPeakEnergyLL)*(INDEX(avoidedcosttbl2,$H39,DH$2)+(($H39-ROUNDDOWN($H39,0))*(INDEX(avoidedcosttbl2,ROUNDUP($H39,0),DH$2)-(INDEX(avoidedcosttbl2,ROUNDDOWN($H39,0),DH$2)))))*$P39*1000*ADRYr2!AB39)</f>
        <v/>
      </c>
      <c r="DI39" s="760" t="str">
        <f>IF($G39="","",(1+SumOffPeakEnergyLL)*(INDEX(avoidedcosttbl2,$H39,DI$2)+(($H39-ROUNDDOWN($H39,0))*(INDEX(avoidedcosttbl2,ROUNDUP($H39,0),DI$2)-(INDEX(avoidedcosttbl2,ROUNDDOWN($H39,0),DI$2)))))*$P39*1000*ADRYr2!AC39)</f>
        <v/>
      </c>
      <c r="DJ39" s="29" t="str">
        <f t="shared" si="43"/>
        <v/>
      </c>
      <c r="DK39" s="161" t="str">
        <f t="shared" si="44"/>
        <v/>
      </c>
      <c r="DL39" s="1375" t="str">
        <f t="shared" si="45"/>
        <v/>
      </c>
      <c r="DM39" s="1375" t="str">
        <f t="shared" si="46"/>
        <v/>
      </c>
      <c r="DN39" s="43" t="str">
        <f t="shared" si="47"/>
        <v/>
      </c>
      <c r="DO39" s="1131" t="str">
        <f>IF($G39="","",ADRYr2!AQ39)</f>
        <v/>
      </c>
      <c r="DP39" s="1133" t="str">
        <f>IF($G39="","",ADRYr2!AR39)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48"/>
        <v/>
      </c>
      <c r="DU39" s="1135" t="str">
        <f>IF($G39="","",ADRYr2!AS39)</f>
        <v/>
      </c>
      <c r="DV39" s="1136" t="str">
        <f>IF($G39="","",ADRYr2!AT39)</f>
        <v/>
      </c>
      <c r="DW39" s="1344" t="str">
        <f>IF($G39="","",INDEX(AvoidedEnergy!$H$4:$H$10,MATCH($DO39,AvoidedEnergy!$A$4:$A$10,0)))</f>
        <v/>
      </c>
    </row>
    <row r="40" spans="1:127">
      <c r="A40" s="160" t="str">
        <f>IF(ADRYr2!$B40=0,"",ADRYr2!A40)</f>
        <v>C - Commercial &amp; Industrial</v>
      </c>
      <c r="B40" s="9" t="str">
        <f>IF(ADRYr2!$B40=0,"",ADRYr2!B40)</f>
        <v>C5 - C&amp;I Active Demand Response</v>
      </c>
      <c r="C40" s="9" t="str">
        <f>IF(ADRYr2!$B40=0,"",ADRYr2!C40)</f>
        <v>C5a - C&amp;I Active Demand Response</v>
      </c>
      <c r="D40" s="9" t="str">
        <f>IF(ADRYr2!$B40=0,"",ADRYr2!D40)</f>
        <v>Storage Targeted Dispatch P4P (consumption) Winter</v>
      </c>
      <c r="E40" s="9">
        <f>IF(ADRYr2!$B40=0,"",ADRYr2!E40)</f>
        <v>0</v>
      </c>
      <c r="F40" s="11" t="str">
        <f>IF(ADRYr2!$B40=0,"",ADRYr2!F40)</f>
        <v>Behavior</v>
      </c>
      <c r="G40" s="12" t="str">
        <f>IF(ADRYr2!$G40&lt;&gt;0,ADRYr2!G40,"")</f>
        <v/>
      </c>
      <c r="H40" s="1125" t="str">
        <f>IF($G40="","",ROUND(ADRYr2!H40,0))</f>
        <v/>
      </c>
      <c r="I40" s="47" t="str">
        <f>IF($G40="","",ADRYr2!I40*ADRYr2!P40*G40)</f>
        <v/>
      </c>
      <c r="J40" s="47" t="str">
        <f>IF($G40="","",ADRYr2!J40*G40)</f>
        <v/>
      </c>
      <c r="K40" s="47" t="str">
        <f t="shared" si="17"/>
        <v/>
      </c>
      <c r="L40" s="27" t="str">
        <f>IF($G40="","",ADRYr2!V40*G40/1000)</f>
        <v/>
      </c>
      <c r="M40" s="27" t="str">
        <f>IF($G40="","",L40*ADRYr2!$Q40*ADRYr2!$R40)</f>
        <v/>
      </c>
      <c r="N40" s="27" t="str">
        <f t="shared" si="18"/>
        <v/>
      </c>
      <c r="O40" s="27" t="str">
        <f t="shared" si="19"/>
        <v/>
      </c>
      <c r="P40" s="27" t="str">
        <f>IF($G40="","",M40*ADRYr2!P40)</f>
        <v/>
      </c>
      <c r="Q40" s="27" t="str">
        <f t="shared" si="20"/>
        <v/>
      </c>
      <c r="R40" s="27" t="str">
        <f>IF($G40="","",$Q40*ADRYr2!Z40)</f>
        <v/>
      </c>
      <c r="S40" s="27" t="str">
        <f>IF($G40="","",$Q40*ADRYr2!AA40)</f>
        <v/>
      </c>
      <c r="T40" s="27" t="str">
        <f>IF($G40="","",$Q40*ADRYr2!AB40)</f>
        <v/>
      </c>
      <c r="U40" s="27" t="str">
        <f>IF($G40="","",$Q40*ADRYr2!AC40)</f>
        <v/>
      </c>
      <c r="V40" s="27" t="str">
        <f>IF($G40="","",G40*ADRYr2!$AD40*ADRYr2!$P40*ADRYr2!$Q40)</f>
        <v/>
      </c>
      <c r="W40" s="27" t="str">
        <f>IF($G40="","",$G40*ADRYr2!$AD40*ADRYr2!$AF40*ADRYr2!Q40*ADRYr2!$S40)</f>
        <v/>
      </c>
      <c r="X40" s="27" t="str">
        <f>IF($G40="","",$G40*ADRYr2!$AD40*ADRYr2!$AF40*ADRYr2!P40*ADRYr2!Q40*ADRYr2!$S40)</f>
        <v/>
      </c>
      <c r="Y40" s="27" t="str">
        <f>IF($G40="","",$G40*ADRYr2!$AD40*ADRYr2!$AE40*ADRYr2!Q40*ADRYr2!$T40)</f>
        <v/>
      </c>
      <c r="Z40" s="27" t="str">
        <f>IF($G40="","",$G40*ADRYr2!$AD40*ADRYr2!$AE40*ADRYr2!P40*ADRYr2!Q40*ADRYr2!$T40)</f>
        <v/>
      </c>
      <c r="AA40" s="45" t="str">
        <f>IF($G40="","",$G40*ADRYr2!$Q40*ADRYr2!$U40*(IF(IFERROR(SEARCH("NG", ADRYr2!$AI40),0),ADRYr2!$AJ40,0)+IF(IFERROR(SEARCH("NG", ADRYr2!$AK40),0),ADRYr2!$AL40,0)+IF(IFERROR(SEARCH("NG", ADRYr2!$AM40),0),ADRYr2!$AN40,0)))</f>
        <v/>
      </c>
      <c r="AB40" s="45" t="str">
        <f t="shared" si="21"/>
        <v/>
      </c>
      <c r="AC40" s="45">
        <f>IF($G40="",0,AA40*ADRYr2!$P40)</f>
        <v>0</v>
      </c>
      <c r="AD40" s="45" t="str">
        <f t="shared" si="22"/>
        <v/>
      </c>
      <c r="AE40" s="45" t="str">
        <f>IF($G40="","",$G40*ADRYr2!$Q40*ADRYr2!$U40*(IF(IFERROR(SEARCH("Oil", ADRYr2!$AI40), 0),ADRYr2!$AJ40,0)+IF(IFERROR(SEARCH("Oil", ADRYr2!$AK40), 0),ADRYr2!$AL40,0)+IF(IFERROR(SEARCH("Oil", ADRYr2!$AM40), 0),ADRYr2!$AN40,0)))</f>
        <v/>
      </c>
      <c r="AF40" s="45" t="str">
        <f t="shared" si="23"/>
        <v/>
      </c>
      <c r="AG40" s="45">
        <f>IF($G40="",0,AE40*ADRYr2!$P40)</f>
        <v>0</v>
      </c>
      <c r="AH40" s="45" t="str">
        <f t="shared" si="24"/>
        <v/>
      </c>
      <c r="AI40" s="45" t="str">
        <f>IF($G40="","",$G40*ADRYr2!$Q40*ADRYr2!$U40*(IF(ADRYr2!$AI40=Lookups!$E$114,ADRYr2!$AJ40,IF(ADRYr2!$AK40=Lookups!$E$114,ADRYr2!$AL40,IF(ADRYr2!$AM40=Lookups!$E$114,ADRYr2!$AN40,0)))))</f>
        <v/>
      </c>
      <c r="AJ40" s="45" t="str">
        <f t="shared" si="25"/>
        <v/>
      </c>
      <c r="AK40" s="45">
        <f>IF($G40="",0,AI40*ADRYr2!$P40)</f>
        <v>0</v>
      </c>
      <c r="AL40" s="45" t="str">
        <f t="shared" si="26"/>
        <v/>
      </c>
      <c r="AM40" s="45" t="str">
        <f>IF($G40="","",$G40*ADRYr2!$Q40*ADRYr2!$U40*(IF(ADRYr2!$AI40=Lookups!$E$113,ADRYr2!$AJ40,IF(ADRYr2!$AK40=Lookups!$E$113,ADRYr2!$AL40,IF(ADRYr2!$AM40=Lookups!$E$113,ADRYr2!$AN40,0)))))</f>
        <v/>
      </c>
      <c r="AN40" s="45" t="str">
        <f t="shared" si="27"/>
        <v/>
      </c>
      <c r="AO40" s="45">
        <f>IF($G40="",0,AM40*ADRYr2!$P40)</f>
        <v>0</v>
      </c>
      <c r="AP40" s="45" t="str">
        <f t="shared" si="28"/>
        <v/>
      </c>
      <c r="AQ40" s="45" t="str">
        <f>IF($G40="","",$G40*ADRYr2!$Q40*ADRYr2!$U40*(IF(ADRYr2!$AI40=Lookups!$E$115,ADRYr2!$AJ40,IF(ADRYr2!$AK40=Lookups!$E$115,ADRYr2!$AL40,IF(ADRYr2!$AM40=Lookups!$E$115,ADRYr2!$AN40,0)))))</f>
        <v/>
      </c>
      <c r="AR40" s="45" t="str">
        <f t="shared" si="29"/>
        <v/>
      </c>
      <c r="AS40" s="45" t="str">
        <f>IF($G40="","",AQ40*ADRYr2!$P40)</f>
        <v/>
      </c>
      <c r="AT40" s="45" t="str">
        <f t="shared" si="30"/>
        <v/>
      </c>
      <c r="AU40" s="45" t="str">
        <f>IF($G40="","",$G40*ADRYr2!$Q40*ADRYr2!$U40*(IF(ADRYr2!$AI40=Lookups!$E$116,ADRYr2!$AJ40,IF(ADRYr2!$AK40=Lookups!$E$116,ADRYr2!$AL40,IF(ADRYr2!$AM40=Lookups!$E$116,ADRYr2!$AN40,0)))))</f>
        <v/>
      </c>
      <c r="AV40" s="45" t="str">
        <f t="shared" si="31"/>
        <v/>
      </c>
      <c r="AW40" s="45" t="str">
        <f>IF($G40="","",AU40*ADRYr2!$P40)</f>
        <v/>
      </c>
      <c r="AX40" s="45" t="str">
        <f t="shared" si="32"/>
        <v/>
      </c>
      <c r="AY40" s="45">
        <f t="shared" si="49"/>
        <v>0</v>
      </c>
      <c r="AZ40" s="45">
        <f t="shared" si="49"/>
        <v>0</v>
      </c>
      <c r="BA40" s="101" t="str">
        <f>IF($G40="","",$G40*ADRYr2!$P40*ADRYr2!$Q40*ADRYr2!$U40*ADRYr2!AO40)</f>
        <v/>
      </c>
      <c r="BB40" s="102" t="str">
        <f>IF($G40="","",$G40*ADRYr2!$P40*ADRYr2!$Q40*ADRYr2!$U40*ADRYr2!AP40)</f>
        <v/>
      </c>
      <c r="BC40" s="100" t="str">
        <f t="shared" si="34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5"/>
        <v/>
      </c>
      <c r="BO40" s="31" t="str">
        <f t="shared" si="35"/>
        <v/>
      </c>
      <c r="BP40" s="1129" t="str">
        <f t="shared" si="6"/>
        <v/>
      </c>
      <c r="BQ40" s="28" t="str">
        <f t="shared" si="7"/>
        <v/>
      </c>
      <c r="BR40" s="1129" t="str">
        <f t="shared" si="8"/>
        <v/>
      </c>
      <c r="BS40" s="1129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6"/>
        <v/>
      </c>
      <c r="BX40" s="29" t="str">
        <f t="shared" si="37"/>
        <v/>
      </c>
      <c r="BY40" s="28" t="str">
        <f>IF($G40="","",$G40*(IF(ADRYr2!$AI40=BY$4,ADRYr2!$AJ40,IF(ADRYr2!$AK40=BY$4,ADRYr2!$AL40,IF(ADRYr2!$AM40=BY$4,ADRYr2!$AN40,0))))*(INDEX(avoidedcosttbl2,$H40,BY$2)+(($H40-ROUNDDOWN($H40,0))*(INDEX(avoidedcosttbl2,ROUNDUP($H40,0),BY$2)-(INDEX(avoidedcosttbl2,ROUNDDOWN($H40,0),BY$2)))))*ADRYr2!P40*ADRYr2!Q40*ADRYr2!U40)</f>
        <v/>
      </c>
      <c r="BZ40" s="28" t="str">
        <f>IF($G40="","",$G40*(IF(ADRYr2!$AI40=BZ$4,ADRYr2!$AJ40,IF(ADRYr2!$AK40=BZ$4,ADRYr2!$AL40,IF(ADRYr2!$AM40=BZ$4,ADRYr2!$AN40,0))))*(INDEX(avoidedcosttbl2,$H40,BZ$2)+(($H40-ROUNDDOWN($H40,0))*(INDEX(avoidedcosttbl2,ROUNDUP($H40,0),BZ$2)-(INDEX(avoidedcosttbl2,ROUNDDOWN($H40,0),BZ$2)))))*ADRYr2!P40*ADRYr2!Q40*ADRYr2!U40)</f>
        <v/>
      </c>
      <c r="CA40" s="28" t="str">
        <f>IF($G40="","",$G40*(IF(ADRYr2!$AI40=CA$4,ADRYr2!$AJ40,IF(ADRYr2!$AK40=CA$4,ADRYr2!$AL40,IF(ADRYr2!$AM40=CA$4,ADRYr2!$AN40,0))))*(INDEX(avoidedcosttbl2,$H40,CA$2)+(($H40-ROUNDDOWN($H40,0))*(INDEX(avoidedcosttbl2,ROUNDUP($H40,0),CA$2)-(INDEX(avoidedcosttbl2,ROUNDDOWN($H40,0),CA$2)))))*ADRYr2!P40*ADRYr2!Q40*ADRYr2!U40)</f>
        <v/>
      </c>
      <c r="CB40" s="28" t="str">
        <f>IF($G40="","",$G40*(IF(ADRYr2!$AI40=CB$4,ADRYr2!$AJ40,IF(ADRYr2!$AK40=CB$4,ADRYr2!$AL40,IF(ADRYr2!$AM40=CB$4,ADRYr2!$AN40,0))))*(INDEX(avoidedcosttbl2,$H40,CB$2)+(($H40-ROUNDDOWN($H40,0))*(INDEX(avoidedcosttbl2,ROUNDUP($H40,0),CB$2)-(INDEX(avoidedcosttbl2,ROUNDDOWN($H40,0),CB$2)))))*ADRYr2!P40*ADRYr2!Q40*ADRYr2!U40)</f>
        <v/>
      </c>
      <c r="CC40" s="28" t="str">
        <f>IF($G40="","",$G40*(IF(ADRYr2!$AI40=CC$4,ADRYr2!$AJ40,IF(ADRYr2!$AK40=CC$4,ADRYr2!$AL40,IF(ADRYr2!$AM40=CC$4,ADRYr2!$AN40,0))))*(INDEX(avoidedcosttbl2,$H40,CC$2)+(($H40-ROUNDDOWN($H40,0))*(INDEX(avoidedcosttbl2,ROUNDUP($H40,0),CC$2)-(INDEX(avoidedcosttbl2,ROUNDDOWN($H40,0),CC$2)))))*ADRYr2!P40*ADRYr2!Q40*ADRYr2!U40)</f>
        <v/>
      </c>
      <c r="CD40" s="28" t="str">
        <f>IF($G40="","",$G40*(IF(ADRYr2!$AI40=CD$4,ADRYr2!$AJ40,IF(ADRYr2!$AK40=CD$4,ADRYr2!$AL40,IF(ADRYr2!$AM40=CD$4,ADRYr2!$AN40,0))))*(INDEX(avoidedcosttbl2,$H40,CD$2)+(($H40-ROUNDDOWN($H40,0))*(INDEX(avoidedcosttbl2,ROUNDUP($H40,0),CD$2)-(INDEX(avoidedcosttbl2,ROUNDDOWN($H40,0),CD$2)))))*ADRYr2!P40*ADRYr2!Q40*ADRYr2!U40)</f>
        <v/>
      </c>
      <c r="CE40" s="28" t="str">
        <f>IF($G40="","",$G40*(IF(ADRYr2!$AI40=CE$4,ADRYr2!$AJ40,IF(ADRYr2!$AK40=CE$4,ADRYr2!$AL40,IF(ADRYr2!$AM40=CE$4,ADRYr2!$AN40,0))))*(INDEX(avoidedcosttbl2,$H40,CE$2)+(($H40-ROUNDDOWN($H40,0))*(INDEX(avoidedcosttbl2,ROUNDUP($H40,0),CE$2)-(INDEX(avoidedcosttbl2,ROUNDDOWN($H40,0),CE$2)))))*ADRYr2!P40*ADRYr2!Q40*ADRYr2!U40)</f>
        <v/>
      </c>
      <c r="CF40" s="41" t="str">
        <f t="shared" si="38"/>
        <v/>
      </c>
      <c r="CG40" s="30" t="str">
        <f t="shared" si="11"/>
        <v/>
      </c>
      <c r="CH40" s="30" t="str">
        <f>IF($G40="","",$G40*(IF(ADRYr2!$AI40=BY$4,ADRYr2!$AJ40,IF(ADRYr2!$AK40=BY$4,ADRYr2!$AL40,IF(ADRYr2!$AM40=BY$4,ADRYr2!$AN40,0))))*(INDEX(avoidedcosttbl2,$H40,CH$2)+(($H40-ROUNDDOWN($H40,0))*(INDEX(avoidedcosttbl2,ROUNDUP($H40,0),CH$2)-(INDEX(avoidedcosttbl2,ROUNDDOWN($H40,0),CH$2)))))*ADRYr2!P40*ADRYr2!Q40*ADRYr2!U40)</f>
        <v/>
      </c>
      <c r="CI40" s="30" t="str">
        <f>IF($G40="","",$G40*(IF(ADRYr2!$AI40=BZ$4,ADRYr2!$AJ40,IF(ADRYr2!$AK40=BZ$4,ADRYr2!$AL40,IF(ADRYr2!$AM40=BZ$4,ADRYr2!$AN40,0))))*(INDEX(avoidedcosttbl2,$H40,CI$2)+(($H40-ROUNDDOWN($H40,0))*(INDEX(avoidedcosttbl2,ROUNDUP($H40,0),CI$2)-(INDEX(avoidedcosttbl2,ROUNDDOWN($H40,0),CI$2)))))*ADRYr2!P40*ADRYr2!Q40*ADRYr2!U40)</f>
        <v/>
      </c>
      <c r="CJ40" s="30" t="str">
        <f>IF($G40="","",$G40*(IF(ADRYr2!$AI40=CA$4,ADRYr2!$AJ40,IF(ADRYr2!$AK40=CA$4,ADRYr2!$AL40,IF(ADRYr2!$AM40=CA$4,ADRYr2!$AN40,0))))*(INDEX(avoidedcosttbl2,$H40,CJ$2)+(($H40-ROUNDDOWN($H40,0))*(INDEX(avoidedcosttbl2,ROUNDUP($H40,0),CJ$2)-(INDEX(avoidedcosttbl2,ROUNDDOWN($H40,0),CJ$2)))))*ADRYr2!P40*ADRYr2!Q40*ADRYr2!U40)</f>
        <v/>
      </c>
      <c r="CK40" s="30" t="str">
        <f>IF($G40="","",$G40*(IF(ADRYr2!$AI40=CB$4,ADRYr2!$AJ40,IF(ADRYr2!$AK40=CB$4,ADRYr2!$AL40,IF(ADRYr2!$AM40=CB$4,ADRYr2!$AN40,0))))*(INDEX(avoidedcosttbl2,$H40,CK$2)+(($H40-ROUNDDOWN($H40,0))*(INDEX(avoidedcosttbl2,ROUNDUP($H40,0),CK$2)-(INDEX(avoidedcosttbl2,ROUNDDOWN($H40,0),CK$2)))))*ADRYr2!P40*ADRYr2!Q40*ADRYr2!U40)</f>
        <v/>
      </c>
      <c r="CL40" s="30" t="str">
        <f>IF($G40="","",$G40*(IF(ADRYr2!$AI40=CC$4,ADRYr2!$AJ40,IF(ADRYr2!$AK40=CC$4,ADRYr2!$AL40,IF(ADRYr2!$AM40=CC$4,ADRYr2!$AN40,0))))*(INDEX(avoidedcosttbl2,$H40,CL$2)+(($H40-ROUNDDOWN($H40,0))*(INDEX(avoidedcosttbl2,ROUNDUP($H40,0),CL$2)-(INDEX(avoidedcosttbl2,ROUNDDOWN($H40,0),CL$2)))))*ADRYr2!P40*ADRYr2!Q40*ADRYr2!U40)</f>
        <v/>
      </c>
      <c r="CM40" s="30" t="str">
        <f>IF($G40="","",$G40*(IF(ADRYr2!$AI40=CD$4,ADRYr2!$AJ40,IF(ADRYr2!$AK40=CD$4,ADRYr2!$AL40,IF(ADRYr2!$AM40=CD$4,ADRYr2!$AN40,0))))*(INDEX(avoidedcosttbl2,$H40,CM$2)+(($H40-ROUNDDOWN($H40,0))*(INDEX(avoidedcosttbl2,ROUNDUP($H40,0),CM$2)-(INDEX(avoidedcosttbl2,ROUNDDOWN($H40,0),CM$2)))))*ADRYr2!P40*ADRYr2!Q40*ADRYr2!U40)</f>
        <v/>
      </c>
      <c r="CN40" s="30" t="str">
        <f>IF($G40="","",$G40*(IF(ADRYr2!$AI40=CE$4,ADRYr2!$AJ40,IF(ADRYr2!$AK40=CE$4,ADRYr2!$AL40,IF(ADRYr2!$AM40=CE$4,ADRYr2!$AN40,0))))*(INDEX(avoidedcosttbl2,$H40,CN$2)+(($H40-ROUNDDOWN($H40,0))*(INDEX(avoidedcosttbl2,ROUNDUP($H40,0),CN$2)-(INDEX(avoidedcosttbl2,ROUNDDOWN($H40,0),CN$2)))))*ADRYr2!P40*ADRYr2!Q40*ADRYr2!U40)</f>
        <v/>
      </c>
      <c r="CO40" s="220" t="str">
        <f t="shared" si="39"/>
        <v/>
      </c>
      <c r="CP40" s="220" t="str">
        <f t="shared" si="40"/>
        <v/>
      </c>
      <c r="CQ40" s="157" t="str">
        <f>IF($G40="","",$G40*(IF(ADRYr2!$AI40=CQ$4,ADRYr2!$AJ40,IF(ADRYr2!$AK40=CQ$4,ADRYr2!$AL40,IF(ADRYr2!$AM40=CQ$4,ADRYr2!$AN40,0))))*(INDEX(avoidedcosttbl2,$H40,CQ$2)+(($H40-ROUNDDOWN($H40,0))*(INDEX(avoidedcosttbl2,ROUNDUP($H40,0),CQ$2)-(INDEX(avoidedcosttbl2,ROUNDDOWN($H40,0),CQ$2)))))*ADRYr2!$P40*ADRYr2!$Q40*ADRYr2!$U40)</f>
        <v/>
      </c>
      <c r="CR40" s="28" t="str">
        <f>IF($G40="","",G40*(IF(ADRYr2!$AI40=CR$4,ADRYr2!$AJ40,IF(ADRYr2!$AK40=CR$4,ADRYr2!$AL40,IF(ADRYr2!$AM40=CR$4,ADRYr2!$AN40,0))))*(INDEX(avoidedcosttbl2,$H40,CR$2)+(($H40-ROUNDDOWN($H40,0))*(INDEX(avoidedcosttbl2,ROUNDUP($H40,0),CR$2)-(INDEX(avoidedcosttbl2,ROUNDDOWN($H40,0),CR$2)))))*ADRYr2!$P40*ADRYr2!$Q40*ADRYr2!$U40)</f>
        <v/>
      </c>
      <c r="CS40" s="28" t="str">
        <f>IF($G40="","",G40*(IF(ADRYr2!$AI40=CS$4,ADRYr2!$AJ40,IF(ADRYr2!$AK40=CS$4,ADRYr2!$AL40,IF(ADRYr2!$AM40=CS$4,ADRYr2!$AN40,0))))*(INDEX(avoidedcosttbl2,$H40,CS$2)+(($H40-ROUNDDOWN($H40,0))*(INDEX(avoidedcosttbl2,ROUNDUP($H40,0),CS$2)-(INDEX(avoidedcosttbl2,ROUNDDOWN($H40,0),CS$2)))))*ADRYr2!$P40*ADRYr2!$Q40*ADRYr2!$U40)</f>
        <v/>
      </c>
      <c r="CT40" s="28" t="str">
        <f t="shared" si="12"/>
        <v/>
      </c>
      <c r="CU40" s="28" t="str">
        <f>IF($G40="","",G40*(IF(ADRYr2!$AI40=CU$4,ADRYr2!$AJ40,IF(ADRYr2!$AK40=CU$4,ADRYr2!$AL40,IF(ADRYr2!$AM40=CU$4,ADRYr2!$AN40,0))))*(INDEX(avoidedcosttbl2,$H40,CU$2)+(($H40-ROUNDDOWN($H40,0))*(INDEX(avoidedcosttbl2,ROUNDUP($H40,0),CU$2)-(INDEX(avoidedcosttbl2,ROUNDDOWN($H40,0),CU$2)))))*ADRYr2!$P40*ADRYr2!$Q40*ADRYr2!$U40)</f>
        <v/>
      </c>
      <c r="CV40" s="28" t="str">
        <f>IF($G40="","",G40*(IF(ADRYr2!$AI40=CV$4,ADRYr2!$AJ40,IF(ADRYr2!$AK40=CV$4,ADRYr2!$AL40,IF(ADRYr2!$AM40=CV$4,ADRYr2!$AN40,0))))*(INDEX(avoidedcosttbl2,$H40,CV$2)+(($H40-ROUNDDOWN($H40,0))*(INDEX(avoidedcosttbl2,ROUNDUP($H40,0),CV$2)-(INDEX(avoidedcosttbl2,ROUNDDOWN($H40,0),CV$2)))))*ADRYr2!$P40*ADRYr2!$Q40*ADRYr2!$U40)</f>
        <v/>
      </c>
      <c r="CW40" s="28" t="str">
        <f>IF($G40="","",G40*(IF(ADRYr2!$AI40=CW$4,ADRYr2!$AJ40,IF(ADRYr2!$AK40=CW$4,ADRYr2!$AL40,IF(ADRYr2!$AM40=CW$4,ADRYr2!$AN40,0))))*(INDEX(avoidedcosttbl2,$H40,CW$2)+(($H40-ROUNDDOWN($H40,0))*(INDEX(avoidedcosttbl2,ROUNDUP($H40,0),CW$2)-(INDEX(avoidedcosttbl2,ROUNDDOWN($H40,0),CW$2)))))*ADRYr2!$P40*ADRYr2!$Q40*ADRYr2!$U40)</f>
        <v/>
      </c>
      <c r="CX40" s="28" t="str">
        <f>IF($G40="","",G40*(IF(ADRYr2!$AI40=CX$4,ADRYr2!$AJ40,IF(ADRYr2!$AK40=CX$4,ADRYr2!$AL40,IF(ADRYr2!$AM40=CX$4,ADRYr2!$AN40,0))))*(INDEX(avoidedcosttbl2,$H40,CX$2)+(($H40-ROUNDDOWN($H40,0))*(INDEX(avoidedcosttbl2,ROUNDUP($H40,0),CX$2)-(INDEX(avoidedcosttbl2,ROUNDDOWN($H40,0),CX$2)))))*ADRYr2!$P40*ADRYr2!$Q40*ADRYr2!$U40)</f>
        <v/>
      </c>
      <c r="CY40" s="28" t="str">
        <f t="shared" si="13"/>
        <v/>
      </c>
      <c r="CZ40" s="32" t="str">
        <f t="shared" si="14"/>
        <v/>
      </c>
      <c r="DA40" s="84" t="str">
        <f t="shared" si="41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15"/>
        <v/>
      </c>
      <c r="DD40" s="166" t="str">
        <f t="shared" si="16"/>
        <v/>
      </c>
      <c r="DE40" s="82">
        <f t="shared" si="42"/>
        <v>0</v>
      </c>
      <c r="DF40" s="760" t="str">
        <f>IF($G40="","",(1+WntPeakEnergyLL)*(INDEX(avoidedcosttbl2,$H40,DF$2)+(($H40-ROUNDDOWN($H40,0))*(INDEX(avoidedcosttbl2,ROUNDUP($H40,0),DF$2)-(INDEX(avoidedcosttbl2,ROUNDDOWN($H40,0),DF$2)))))*$P40*1000*ADRYr2!Z40)</f>
        <v/>
      </c>
      <c r="DG40" s="760" t="str">
        <f>IF($G40="","",(1+WntOffPeakEnergyLL)*(INDEX(avoidedcosttbl2,$H40,DG$2)+(($H40-ROUNDDOWN($H40,0))*(INDEX(avoidedcosttbl2,ROUNDUP($H40,0),DG$2)-(INDEX(avoidedcosttbl2,ROUNDDOWN($H40,0),DG$2)))))*$P40*1000*ADRYr2!AA40)</f>
        <v/>
      </c>
      <c r="DH40" s="760" t="str">
        <f>IF($G40="","",(1+SumPeakEnergyLL)*(INDEX(avoidedcosttbl2,$H40,DH$2)+(($H40-ROUNDDOWN($H40,0))*(INDEX(avoidedcosttbl2,ROUNDUP($H40,0),DH$2)-(INDEX(avoidedcosttbl2,ROUNDDOWN($H40,0),DH$2)))))*$P40*1000*ADRYr2!AB40)</f>
        <v/>
      </c>
      <c r="DI40" s="760" t="str">
        <f>IF($G40="","",(1+SumOffPeakEnergyLL)*(INDEX(avoidedcosttbl2,$H40,DI$2)+(($H40-ROUNDDOWN($H40,0))*(INDEX(avoidedcosttbl2,ROUNDUP($H40,0),DI$2)-(INDEX(avoidedcosttbl2,ROUNDDOWN($H40,0),DI$2)))))*$P40*1000*ADRYr2!AC40)</f>
        <v/>
      </c>
      <c r="DJ40" s="29" t="str">
        <f t="shared" si="43"/>
        <v/>
      </c>
      <c r="DK40" s="161" t="str">
        <f t="shared" si="44"/>
        <v/>
      </c>
      <c r="DL40" s="1375" t="str">
        <f t="shared" si="45"/>
        <v/>
      </c>
      <c r="DM40" s="1375" t="str">
        <f t="shared" si="46"/>
        <v/>
      </c>
      <c r="DN40" s="43" t="str">
        <f t="shared" si="47"/>
        <v/>
      </c>
      <c r="DO40" s="1131" t="str">
        <f>IF($G40="","",ADRYr2!AQ40)</f>
        <v/>
      </c>
      <c r="DP40" s="1133" t="str">
        <f>IF($G40="","",ADRYr2!AR40)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48"/>
        <v/>
      </c>
      <c r="DU40" s="1135" t="str">
        <f>IF($G40="","",ADRYr2!AS40)</f>
        <v/>
      </c>
      <c r="DV40" s="1136" t="str">
        <f>IF($G40="","",ADRYr2!AT40)</f>
        <v/>
      </c>
      <c r="DW40" s="1344" t="str">
        <f>IF($G40="","",INDEX(AvoidedEnergy!$H$4:$H$10,MATCH($DO40,AvoidedEnergy!$A$4:$A$10,0)))</f>
        <v/>
      </c>
    </row>
    <row r="41" spans="1:127">
      <c r="A41" s="160" t="str">
        <f>IF(ADRYr2!$B41=0,"",ADRYr2!A41)</f>
        <v>C - Commercial &amp; Industrial</v>
      </c>
      <c r="B41" s="9" t="str">
        <f>IF(ADRYr2!$B41=0,"",ADRYr2!B41)</f>
        <v>C5 - C&amp;I Active Demand Response</v>
      </c>
      <c r="C41" s="9" t="str">
        <f>IF(ADRYr2!$B41=0,"",ADRYr2!C41)</f>
        <v>C5a - C&amp;I Active Demand Response</v>
      </c>
      <c r="D41" s="9" t="str">
        <f>IF(ADRYr2!$B41=0,"",ADRYr2!D41)</f>
        <v>Custom</v>
      </c>
      <c r="E41" s="9">
        <f>IF(ADRYr2!$B41=0,"",ADRYr2!E41)</f>
        <v>0</v>
      </c>
      <c r="F41" s="11" t="str">
        <f>IF(ADRYr2!$B41=0,"",ADRYr2!F41)</f>
        <v>Behavior</v>
      </c>
      <c r="G41" s="12" t="str">
        <f>IF(ADRYr2!$G41&lt;&gt;0,ADRYr2!G41,"")</f>
        <v/>
      </c>
      <c r="H41" s="1125" t="str">
        <f>IF($G41="","",ROUND(ADRYr2!H41,0))</f>
        <v/>
      </c>
      <c r="I41" s="47" t="str">
        <f>IF($G41="","",ADRYr2!I41*ADRYr2!P41*G41)</f>
        <v/>
      </c>
      <c r="J41" s="47" t="str">
        <f>IF($G41="","",ADRYr2!J41*G41)</f>
        <v/>
      </c>
      <c r="K41" s="47" t="str">
        <f t="shared" si="17"/>
        <v/>
      </c>
      <c r="L41" s="27" t="str">
        <f>IF($G41="","",ADRYr2!V41*G41/1000)</f>
        <v/>
      </c>
      <c r="M41" s="27" t="str">
        <f>IF($G41="","",L41*ADRYr2!$Q41*ADRYr2!$R41)</f>
        <v/>
      </c>
      <c r="N41" s="27" t="str">
        <f t="shared" si="18"/>
        <v/>
      </c>
      <c r="O41" s="27" t="str">
        <f t="shared" si="19"/>
        <v/>
      </c>
      <c r="P41" s="27" t="str">
        <f>IF($G41="","",M41*ADRYr2!P41)</f>
        <v/>
      </c>
      <c r="Q41" s="27" t="str">
        <f t="shared" si="20"/>
        <v/>
      </c>
      <c r="R41" s="27" t="str">
        <f>IF($G41="","",$Q41*ADRYr2!Z41)</f>
        <v/>
      </c>
      <c r="S41" s="27" t="str">
        <f>IF($G41="","",$Q41*ADRYr2!AA41)</f>
        <v/>
      </c>
      <c r="T41" s="27" t="str">
        <f>IF($G41="","",$Q41*ADRYr2!AB41)</f>
        <v/>
      </c>
      <c r="U41" s="27" t="str">
        <f>IF($G41="","",$Q41*ADRYr2!AC41)</f>
        <v/>
      </c>
      <c r="V41" s="27" t="str">
        <f>IF($G41="","",G41*ADRYr2!$AD41*ADRYr2!$P41*ADRYr2!$Q41)</f>
        <v/>
      </c>
      <c r="W41" s="27" t="str">
        <f>IF($G41="","",$G41*ADRYr2!$AD41*ADRYr2!$AF41*ADRYr2!Q41*ADRYr2!$S41)</f>
        <v/>
      </c>
      <c r="X41" s="27" t="str">
        <f>IF($G41="","",$G41*ADRYr2!$AD41*ADRYr2!$AF41*ADRYr2!P41*ADRYr2!Q41*ADRYr2!$S41)</f>
        <v/>
      </c>
      <c r="Y41" s="27" t="str">
        <f>IF($G41="","",$G41*ADRYr2!$AD41*ADRYr2!$AE41*ADRYr2!Q41*ADRYr2!$T41)</f>
        <v/>
      </c>
      <c r="Z41" s="27" t="str">
        <f>IF($G41="","",$G41*ADRYr2!$AD41*ADRYr2!$AE41*ADRYr2!P41*ADRYr2!Q41*ADRYr2!$T41)</f>
        <v/>
      </c>
      <c r="AA41" s="45" t="str">
        <f>IF($G41="","",$G41*ADRYr2!$Q41*ADRYr2!$U41*(IF(IFERROR(SEARCH("NG", ADRYr2!$AI41),0),ADRYr2!$AJ41,0)+IF(IFERROR(SEARCH("NG", ADRYr2!$AK41),0),ADRYr2!$AL41,0)+IF(IFERROR(SEARCH("NG", ADRYr2!$AM41),0),ADRYr2!$AN41,0)))</f>
        <v/>
      </c>
      <c r="AB41" s="45" t="str">
        <f t="shared" si="21"/>
        <v/>
      </c>
      <c r="AC41" s="45">
        <f>IF($G41="",0,AA41*ADRYr2!$P41)</f>
        <v>0</v>
      </c>
      <c r="AD41" s="45" t="str">
        <f t="shared" si="22"/>
        <v/>
      </c>
      <c r="AE41" s="45" t="str">
        <f>IF($G41="","",$G41*ADRYr2!$Q41*ADRYr2!$U41*(IF(IFERROR(SEARCH("Oil", ADRYr2!$AI41), 0),ADRYr2!$AJ41,0)+IF(IFERROR(SEARCH("Oil", ADRYr2!$AK41), 0),ADRYr2!$AL41,0)+IF(IFERROR(SEARCH("Oil", ADRYr2!$AM41), 0),ADRYr2!$AN41,0)))</f>
        <v/>
      </c>
      <c r="AF41" s="45" t="str">
        <f t="shared" si="23"/>
        <v/>
      </c>
      <c r="AG41" s="45">
        <f>IF($G41="",0,AE41*ADRYr2!$P41)</f>
        <v>0</v>
      </c>
      <c r="AH41" s="45" t="str">
        <f t="shared" si="24"/>
        <v/>
      </c>
      <c r="AI41" s="45" t="str">
        <f>IF($G41="","",$G41*ADRYr2!$Q41*ADRYr2!$U41*(IF(ADRYr2!$AI41=Lookups!$E$114,ADRYr2!$AJ41,IF(ADRYr2!$AK41=Lookups!$E$114,ADRYr2!$AL41,IF(ADRYr2!$AM41=Lookups!$E$114,ADRYr2!$AN41,0)))))</f>
        <v/>
      </c>
      <c r="AJ41" s="45" t="str">
        <f t="shared" si="25"/>
        <v/>
      </c>
      <c r="AK41" s="45">
        <f>IF($G41="",0,AI41*ADRYr2!$P41)</f>
        <v>0</v>
      </c>
      <c r="AL41" s="45" t="str">
        <f t="shared" si="26"/>
        <v/>
      </c>
      <c r="AM41" s="45" t="str">
        <f>IF($G41="","",$G41*ADRYr2!$Q41*ADRYr2!$U41*(IF(ADRYr2!$AI41=Lookups!$E$113,ADRYr2!$AJ41,IF(ADRYr2!$AK41=Lookups!$E$113,ADRYr2!$AL41,IF(ADRYr2!$AM41=Lookups!$E$113,ADRYr2!$AN41,0)))))</f>
        <v/>
      </c>
      <c r="AN41" s="45" t="str">
        <f t="shared" si="27"/>
        <v/>
      </c>
      <c r="AO41" s="45">
        <f>IF($G41="",0,AM41*ADRYr2!$P41)</f>
        <v>0</v>
      </c>
      <c r="AP41" s="45" t="str">
        <f t="shared" si="28"/>
        <v/>
      </c>
      <c r="AQ41" s="45" t="str">
        <f>IF($G41="","",$G41*ADRYr2!$Q41*ADRYr2!$U41*(IF(ADRYr2!$AI41=Lookups!$E$115,ADRYr2!$AJ41,IF(ADRYr2!$AK41=Lookups!$E$115,ADRYr2!$AL41,IF(ADRYr2!$AM41=Lookups!$E$115,ADRYr2!$AN41,0)))))</f>
        <v/>
      </c>
      <c r="AR41" s="45" t="str">
        <f t="shared" si="29"/>
        <v/>
      </c>
      <c r="AS41" s="45" t="str">
        <f>IF($G41="","",AQ41*ADRYr2!$P41)</f>
        <v/>
      </c>
      <c r="AT41" s="45" t="str">
        <f t="shared" si="30"/>
        <v/>
      </c>
      <c r="AU41" s="45" t="str">
        <f>IF($G41="","",$G41*ADRYr2!$Q41*ADRYr2!$U41*(IF(ADRYr2!$AI41=Lookups!$E$116,ADRYr2!$AJ41,IF(ADRYr2!$AK41=Lookups!$E$116,ADRYr2!$AL41,IF(ADRYr2!$AM41=Lookups!$E$116,ADRYr2!$AN41,0)))))</f>
        <v/>
      </c>
      <c r="AV41" s="45" t="str">
        <f t="shared" si="31"/>
        <v/>
      </c>
      <c r="AW41" s="45" t="str">
        <f>IF($G41="","",AU41*ADRYr2!$P41)</f>
        <v/>
      </c>
      <c r="AX41" s="45" t="str">
        <f t="shared" si="32"/>
        <v/>
      </c>
      <c r="AY41" s="45">
        <f t="shared" si="49"/>
        <v>0</v>
      </c>
      <c r="AZ41" s="45">
        <f t="shared" si="49"/>
        <v>0</v>
      </c>
      <c r="BA41" s="101" t="str">
        <f>IF($G41="","",$G41*ADRYr2!$P41*ADRYr2!$Q41*ADRYr2!$U41*ADRYr2!AO41)</f>
        <v/>
      </c>
      <c r="BB41" s="102" t="str">
        <f>IF($G41="","",$G41*ADRYr2!$P41*ADRYr2!$Q41*ADRYr2!$U41*ADRYr2!AP41)</f>
        <v/>
      </c>
      <c r="BC41" s="100" t="str">
        <f t="shared" si="34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5"/>
        <v/>
      </c>
      <c r="BO41" s="31" t="str">
        <f t="shared" si="35"/>
        <v/>
      </c>
      <c r="BP41" s="1129" t="str">
        <f t="shared" si="6"/>
        <v/>
      </c>
      <c r="BQ41" s="28" t="str">
        <f t="shared" si="7"/>
        <v/>
      </c>
      <c r="BR41" s="1129" t="str">
        <f t="shared" si="8"/>
        <v/>
      </c>
      <c r="BS41" s="1129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6"/>
        <v/>
      </c>
      <c r="BX41" s="29" t="str">
        <f t="shared" si="37"/>
        <v/>
      </c>
      <c r="BY41" s="28" t="str">
        <f>IF($G41="","",$G41*(IF(ADRYr2!$AI41=BY$4,ADRYr2!$AJ41,IF(ADRYr2!$AK41=BY$4,ADRYr2!$AL41,IF(ADRYr2!$AM41=BY$4,ADRYr2!$AN41,0))))*(INDEX(avoidedcosttbl2,$H41,BY$2)+(($H41-ROUNDDOWN($H41,0))*(INDEX(avoidedcosttbl2,ROUNDUP($H41,0),BY$2)-(INDEX(avoidedcosttbl2,ROUNDDOWN($H41,0),BY$2)))))*ADRYr2!P41*ADRYr2!Q41*ADRYr2!U41)</f>
        <v/>
      </c>
      <c r="BZ41" s="28" t="str">
        <f>IF($G41="","",$G41*(IF(ADRYr2!$AI41=BZ$4,ADRYr2!$AJ41,IF(ADRYr2!$AK41=BZ$4,ADRYr2!$AL41,IF(ADRYr2!$AM41=BZ$4,ADRYr2!$AN41,0))))*(INDEX(avoidedcosttbl2,$H41,BZ$2)+(($H41-ROUNDDOWN($H41,0))*(INDEX(avoidedcosttbl2,ROUNDUP($H41,0),BZ$2)-(INDEX(avoidedcosttbl2,ROUNDDOWN($H41,0),BZ$2)))))*ADRYr2!P41*ADRYr2!Q41*ADRYr2!U41)</f>
        <v/>
      </c>
      <c r="CA41" s="28" t="str">
        <f>IF($G41="","",$G41*(IF(ADRYr2!$AI41=CA$4,ADRYr2!$AJ41,IF(ADRYr2!$AK41=CA$4,ADRYr2!$AL41,IF(ADRYr2!$AM41=CA$4,ADRYr2!$AN41,0))))*(INDEX(avoidedcosttbl2,$H41,CA$2)+(($H41-ROUNDDOWN($H41,0))*(INDEX(avoidedcosttbl2,ROUNDUP($H41,0),CA$2)-(INDEX(avoidedcosttbl2,ROUNDDOWN($H41,0),CA$2)))))*ADRYr2!P41*ADRYr2!Q41*ADRYr2!U41)</f>
        <v/>
      </c>
      <c r="CB41" s="28" t="str">
        <f>IF($G41="","",$G41*(IF(ADRYr2!$AI41=CB$4,ADRYr2!$AJ41,IF(ADRYr2!$AK41=CB$4,ADRYr2!$AL41,IF(ADRYr2!$AM41=CB$4,ADRYr2!$AN41,0))))*(INDEX(avoidedcosttbl2,$H41,CB$2)+(($H41-ROUNDDOWN($H41,0))*(INDEX(avoidedcosttbl2,ROUNDUP($H41,0),CB$2)-(INDEX(avoidedcosttbl2,ROUNDDOWN($H41,0),CB$2)))))*ADRYr2!P41*ADRYr2!Q41*ADRYr2!U41)</f>
        <v/>
      </c>
      <c r="CC41" s="28" t="str">
        <f>IF($G41="","",$G41*(IF(ADRYr2!$AI41=CC$4,ADRYr2!$AJ41,IF(ADRYr2!$AK41=CC$4,ADRYr2!$AL41,IF(ADRYr2!$AM41=CC$4,ADRYr2!$AN41,0))))*(INDEX(avoidedcosttbl2,$H41,CC$2)+(($H41-ROUNDDOWN($H41,0))*(INDEX(avoidedcosttbl2,ROUNDUP($H41,0),CC$2)-(INDEX(avoidedcosttbl2,ROUNDDOWN($H41,0),CC$2)))))*ADRYr2!P41*ADRYr2!Q41*ADRYr2!U41)</f>
        <v/>
      </c>
      <c r="CD41" s="28" t="str">
        <f>IF($G41="","",$G41*(IF(ADRYr2!$AI41=CD$4,ADRYr2!$AJ41,IF(ADRYr2!$AK41=CD$4,ADRYr2!$AL41,IF(ADRYr2!$AM41=CD$4,ADRYr2!$AN41,0))))*(INDEX(avoidedcosttbl2,$H41,CD$2)+(($H41-ROUNDDOWN($H41,0))*(INDEX(avoidedcosttbl2,ROUNDUP($H41,0),CD$2)-(INDEX(avoidedcosttbl2,ROUNDDOWN($H41,0),CD$2)))))*ADRYr2!P41*ADRYr2!Q41*ADRYr2!U41)</f>
        <v/>
      </c>
      <c r="CE41" s="28" t="str">
        <f>IF($G41="","",$G41*(IF(ADRYr2!$AI41=CE$4,ADRYr2!$AJ41,IF(ADRYr2!$AK41=CE$4,ADRYr2!$AL41,IF(ADRYr2!$AM41=CE$4,ADRYr2!$AN41,0))))*(INDEX(avoidedcosttbl2,$H41,CE$2)+(($H41-ROUNDDOWN($H41,0))*(INDEX(avoidedcosttbl2,ROUNDUP($H41,0),CE$2)-(INDEX(avoidedcosttbl2,ROUNDDOWN($H41,0),CE$2)))))*ADRYr2!P41*ADRYr2!Q41*ADRYr2!U41)</f>
        <v/>
      </c>
      <c r="CF41" s="41" t="str">
        <f t="shared" si="38"/>
        <v/>
      </c>
      <c r="CG41" s="30" t="str">
        <f t="shared" si="11"/>
        <v/>
      </c>
      <c r="CH41" s="30" t="str">
        <f>IF($G41="","",$G41*(IF(ADRYr2!$AI41=BY$4,ADRYr2!$AJ41,IF(ADRYr2!$AK41=BY$4,ADRYr2!$AL41,IF(ADRYr2!$AM41=BY$4,ADRYr2!$AN41,0))))*(INDEX(avoidedcosttbl2,$H41,CH$2)+(($H41-ROUNDDOWN($H41,0))*(INDEX(avoidedcosttbl2,ROUNDUP($H41,0),CH$2)-(INDEX(avoidedcosttbl2,ROUNDDOWN($H41,0),CH$2)))))*ADRYr2!P41*ADRYr2!Q41*ADRYr2!U41)</f>
        <v/>
      </c>
      <c r="CI41" s="30" t="str">
        <f>IF($G41="","",$G41*(IF(ADRYr2!$AI41=BZ$4,ADRYr2!$AJ41,IF(ADRYr2!$AK41=BZ$4,ADRYr2!$AL41,IF(ADRYr2!$AM41=BZ$4,ADRYr2!$AN41,0))))*(INDEX(avoidedcosttbl2,$H41,CI$2)+(($H41-ROUNDDOWN($H41,0))*(INDEX(avoidedcosttbl2,ROUNDUP($H41,0),CI$2)-(INDEX(avoidedcosttbl2,ROUNDDOWN($H41,0),CI$2)))))*ADRYr2!P41*ADRYr2!Q41*ADRYr2!U41)</f>
        <v/>
      </c>
      <c r="CJ41" s="30" t="str">
        <f>IF($G41="","",$G41*(IF(ADRYr2!$AI41=CA$4,ADRYr2!$AJ41,IF(ADRYr2!$AK41=CA$4,ADRYr2!$AL41,IF(ADRYr2!$AM41=CA$4,ADRYr2!$AN41,0))))*(INDEX(avoidedcosttbl2,$H41,CJ$2)+(($H41-ROUNDDOWN($H41,0))*(INDEX(avoidedcosttbl2,ROUNDUP($H41,0),CJ$2)-(INDEX(avoidedcosttbl2,ROUNDDOWN($H41,0),CJ$2)))))*ADRYr2!P41*ADRYr2!Q41*ADRYr2!U41)</f>
        <v/>
      </c>
      <c r="CK41" s="30" t="str">
        <f>IF($G41="","",$G41*(IF(ADRYr2!$AI41=CB$4,ADRYr2!$AJ41,IF(ADRYr2!$AK41=CB$4,ADRYr2!$AL41,IF(ADRYr2!$AM41=CB$4,ADRYr2!$AN41,0))))*(INDEX(avoidedcosttbl2,$H41,CK$2)+(($H41-ROUNDDOWN($H41,0))*(INDEX(avoidedcosttbl2,ROUNDUP($H41,0),CK$2)-(INDEX(avoidedcosttbl2,ROUNDDOWN($H41,0),CK$2)))))*ADRYr2!P41*ADRYr2!Q41*ADRYr2!U41)</f>
        <v/>
      </c>
      <c r="CL41" s="30" t="str">
        <f>IF($G41="","",$G41*(IF(ADRYr2!$AI41=CC$4,ADRYr2!$AJ41,IF(ADRYr2!$AK41=CC$4,ADRYr2!$AL41,IF(ADRYr2!$AM41=CC$4,ADRYr2!$AN41,0))))*(INDEX(avoidedcosttbl2,$H41,CL$2)+(($H41-ROUNDDOWN($H41,0))*(INDEX(avoidedcosttbl2,ROUNDUP($H41,0),CL$2)-(INDEX(avoidedcosttbl2,ROUNDDOWN($H41,0),CL$2)))))*ADRYr2!P41*ADRYr2!Q41*ADRYr2!U41)</f>
        <v/>
      </c>
      <c r="CM41" s="30" t="str">
        <f>IF($G41="","",$G41*(IF(ADRYr2!$AI41=CD$4,ADRYr2!$AJ41,IF(ADRYr2!$AK41=CD$4,ADRYr2!$AL41,IF(ADRYr2!$AM41=CD$4,ADRYr2!$AN41,0))))*(INDEX(avoidedcosttbl2,$H41,CM$2)+(($H41-ROUNDDOWN($H41,0))*(INDEX(avoidedcosttbl2,ROUNDUP($H41,0),CM$2)-(INDEX(avoidedcosttbl2,ROUNDDOWN($H41,0),CM$2)))))*ADRYr2!P41*ADRYr2!Q41*ADRYr2!U41)</f>
        <v/>
      </c>
      <c r="CN41" s="30" t="str">
        <f>IF($G41="","",$G41*(IF(ADRYr2!$AI41=CE$4,ADRYr2!$AJ41,IF(ADRYr2!$AK41=CE$4,ADRYr2!$AL41,IF(ADRYr2!$AM41=CE$4,ADRYr2!$AN41,0))))*(INDEX(avoidedcosttbl2,$H41,CN$2)+(($H41-ROUNDDOWN($H41,0))*(INDEX(avoidedcosttbl2,ROUNDUP($H41,0),CN$2)-(INDEX(avoidedcosttbl2,ROUNDDOWN($H41,0),CN$2)))))*ADRYr2!P41*ADRYr2!Q41*ADRYr2!U41)</f>
        <v/>
      </c>
      <c r="CO41" s="220" t="str">
        <f t="shared" si="39"/>
        <v/>
      </c>
      <c r="CP41" s="220" t="str">
        <f t="shared" si="40"/>
        <v/>
      </c>
      <c r="CQ41" s="157" t="str">
        <f>IF($G41="","",$G41*(IF(ADRYr2!$AI41=CQ$4,ADRYr2!$AJ41,IF(ADRYr2!$AK41=CQ$4,ADRYr2!$AL41,IF(ADRYr2!$AM41=CQ$4,ADRYr2!$AN41,0))))*(INDEX(avoidedcosttbl2,$H41,CQ$2)+(($H41-ROUNDDOWN($H41,0))*(INDEX(avoidedcosttbl2,ROUNDUP($H41,0),CQ$2)-(INDEX(avoidedcosttbl2,ROUNDDOWN($H41,0),CQ$2)))))*ADRYr2!$P41*ADRYr2!$Q41*ADRYr2!$U41)</f>
        <v/>
      </c>
      <c r="CR41" s="28" t="str">
        <f>IF($G41="","",G41*(IF(ADRYr2!$AI41=CR$4,ADRYr2!$AJ41,IF(ADRYr2!$AK41=CR$4,ADRYr2!$AL41,IF(ADRYr2!$AM41=CR$4,ADRYr2!$AN41,0))))*(INDEX(avoidedcosttbl2,$H41,CR$2)+(($H41-ROUNDDOWN($H41,0))*(INDEX(avoidedcosttbl2,ROUNDUP($H41,0),CR$2)-(INDEX(avoidedcosttbl2,ROUNDDOWN($H41,0),CR$2)))))*ADRYr2!$P41*ADRYr2!$Q41*ADRYr2!$U41)</f>
        <v/>
      </c>
      <c r="CS41" s="28" t="str">
        <f>IF($G41="","",G41*(IF(ADRYr2!$AI41=CS$4,ADRYr2!$AJ41,IF(ADRYr2!$AK41=CS$4,ADRYr2!$AL41,IF(ADRYr2!$AM41=CS$4,ADRYr2!$AN41,0))))*(INDEX(avoidedcosttbl2,$H41,CS$2)+(($H41-ROUNDDOWN($H41,0))*(INDEX(avoidedcosttbl2,ROUNDUP($H41,0),CS$2)-(INDEX(avoidedcosttbl2,ROUNDDOWN($H41,0),CS$2)))))*ADRYr2!$P41*ADRYr2!$Q41*ADRYr2!$U41)</f>
        <v/>
      </c>
      <c r="CT41" s="28" t="str">
        <f t="shared" si="12"/>
        <v/>
      </c>
      <c r="CU41" s="28" t="str">
        <f>IF($G41="","",G41*(IF(ADRYr2!$AI41=CU$4,ADRYr2!$AJ41,IF(ADRYr2!$AK41=CU$4,ADRYr2!$AL41,IF(ADRYr2!$AM41=CU$4,ADRYr2!$AN41,0))))*(INDEX(avoidedcosttbl2,$H41,CU$2)+(($H41-ROUNDDOWN($H41,0))*(INDEX(avoidedcosttbl2,ROUNDUP($H41,0),CU$2)-(INDEX(avoidedcosttbl2,ROUNDDOWN($H41,0),CU$2)))))*ADRYr2!$P41*ADRYr2!$Q41*ADRYr2!$U41)</f>
        <v/>
      </c>
      <c r="CV41" s="28" t="str">
        <f>IF($G41="","",G41*(IF(ADRYr2!$AI41=CV$4,ADRYr2!$AJ41,IF(ADRYr2!$AK41=CV$4,ADRYr2!$AL41,IF(ADRYr2!$AM41=CV$4,ADRYr2!$AN41,0))))*(INDEX(avoidedcosttbl2,$H41,CV$2)+(($H41-ROUNDDOWN($H41,0))*(INDEX(avoidedcosttbl2,ROUNDUP($H41,0),CV$2)-(INDEX(avoidedcosttbl2,ROUNDDOWN($H41,0),CV$2)))))*ADRYr2!$P41*ADRYr2!$Q41*ADRYr2!$U41)</f>
        <v/>
      </c>
      <c r="CW41" s="28" t="str">
        <f>IF($G41="","",G41*(IF(ADRYr2!$AI41=CW$4,ADRYr2!$AJ41,IF(ADRYr2!$AK41=CW$4,ADRYr2!$AL41,IF(ADRYr2!$AM41=CW$4,ADRYr2!$AN41,0))))*(INDEX(avoidedcosttbl2,$H41,CW$2)+(($H41-ROUNDDOWN($H41,0))*(INDEX(avoidedcosttbl2,ROUNDUP($H41,0),CW$2)-(INDEX(avoidedcosttbl2,ROUNDDOWN($H41,0),CW$2)))))*ADRYr2!$P41*ADRYr2!$Q41*ADRYr2!$U41)</f>
        <v/>
      </c>
      <c r="CX41" s="28" t="str">
        <f>IF($G41="","",G41*(IF(ADRYr2!$AI41=CX$4,ADRYr2!$AJ41,IF(ADRYr2!$AK41=CX$4,ADRYr2!$AL41,IF(ADRYr2!$AM41=CX$4,ADRYr2!$AN41,0))))*(INDEX(avoidedcosttbl2,$H41,CX$2)+(($H41-ROUNDDOWN($H41,0))*(INDEX(avoidedcosttbl2,ROUNDUP($H41,0),CX$2)-(INDEX(avoidedcosttbl2,ROUNDDOWN($H41,0),CX$2)))))*ADRYr2!$P41*ADRYr2!$Q41*ADRYr2!$U41)</f>
        <v/>
      </c>
      <c r="CY41" s="28" t="str">
        <f t="shared" si="13"/>
        <v/>
      </c>
      <c r="CZ41" s="32" t="str">
        <f t="shared" si="14"/>
        <v/>
      </c>
      <c r="DA41" s="84" t="str">
        <f t="shared" si="41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15"/>
        <v/>
      </c>
      <c r="DD41" s="166" t="str">
        <f t="shared" si="16"/>
        <v/>
      </c>
      <c r="DE41" s="82">
        <f t="shared" si="42"/>
        <v>0</v>
      </c>
      <c r="DF41" s="760" t="str">
        <f>IF($G41="","",(1+WntPeakEnergyLL)*(INDEX(avoidedcosttbl2,$H41,DF$2)+(($H41-ROUNDDOWN($H41,0))*(INDEX(avoidedcosttbl2,ROUNDUP($H41,0),DF$2)-(INDEX(avoidedcosttbl2,ROUNDDOWN($H41,0),DF$2)))))*$P41*1000*ADRYr2!Z41)</f>
        <v/>
      </c>
      <c r="DG41" s="760" t="str">
        <f>IF($G41="","",(1+WntOffPeakEnergyLL)*(INDEX(avoidedcosttbl2,$H41,DG$2)+(($H41-ROUNDDOWN($H41,0))*(INDEX(avoidedcosttbl2,ROUNDUP($H41,0),DG$2)-(INDEX(avoidedcosttbl2,ROUNDDOWN($H41,0),DG$2)))))*$P41*1000*ADRYr2!AA41)</f>
        <v/>
      </c>
      <c r="DH41" s="760" t="str">
        <f>IF($G41="","",(1+SumPeakEnergyLL)*(INDEX(avoidedcosttbl2,$H41,DH$2)+(($H41-ROUNDDOWN($H41,0))*(INDEX(avoidedcosttbl2,ROUNDUP($H41,0),DH$2)-(INDEX(avoidedcosttbl2,ROUNDDOWN($H41,0),DH$2)))))*$P41*1000*ADRYr2!AB41)</f>
        <v/>
      </c>
      <c r="DI41" s="760" t="str">
        <f>IF($G41="","",(1+SumOffPeakEnergyLL)*(INDEX(avoidedcosttbl2,$H41,DI$2)+(($H41-ROUNDDOWN($H41,0))*(INDEX(avoidedcosttbl2,ROUNDUP($H41,0),DI$2)-(INDEX(avoidedcosttbl2,ROUNDDOWN($H41,0),DI$2)))))*$P41*1000*ADRYr2!AC41)</f>
        <v/>
      </c>
      <c r="DJ41" s="29" t="str">
        <f t="shared" si="43"/>
        <v/>
      </c>
      <c r="DK41" s="161" t="str">
        <f t="shared" si="44"/>
        <v/>
      </c>
      <c r="DL41" s="1375" t="str">
        <f t="shared" si="45"/>
        <v/>
      </c>
      <c r="DM41" s="1375" t="str">
        <f t="shared" si="46"/>
        <v/>
      </c>
      <c r="DN41" s="43" t="str">
        <f t="shared" si="47"/>
        <v/>
      </c>
      <c r="DO41" s="1131" t="str">
        <f>IF($G41="","",ADRYr2!AQ41)</f>
        <v/>
      </c>
      <c r="DP41" s="1133" t="str">
        <f>IF($G41="","",ADRYr2!AR41)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48"/>
        <v/>
      </c>
      <c r="DU41" s="1135" t="str">
        <f>IF($G41="","",ADRYr2!AS41)</f>
        <v/>
      </c>
      <c r="DV41" s="1136" t="str">
        <f>IF($G41="","",ADRYr2!AT41)</f>
        <v/>
      </c>
      <c r="DW41" s="1344" t="str">
        <f>IF($G41="","",INDEX(AvoidedEnergy!$H$4:$H$10,MATCH($DO41,AvoidedEnergy!$A$4:$A$10,0)))</f>
        <v/>
      </c>
    </row>
    <row r="42" spans="1:127">
      <c r="A42" s="160" t="str">
        <f>IF(ADRYr2!$B42=0,"",ADRYr2!A42)</f>
        <v/>
      </c>
      <c r="B42" s="9" t="str">
        <f>IF(ADRYr2!$B42=0,"",ADRYr2!B42)</f>
        <v/>
      </c>
      <c r="C42" s="9" t="str">
        <f>IF(ADRYr2!$B42=0,"",ADRYr2!C42)</f>
        <v/>
      </c>
      <c r="D42" s="9" t="str">
        <f>IF(ADRYr2!$B42=0,"",ADRYr2!D42)</f>
        <v/>
      </c>
      <c r="E42" s="9"/>
      <c r="F42" s="11" t="str">
        <f>IF(ADRYr2!$B42=0,"",ADRYr2!F42)</f>
        <v/>
      </c>
      <c r="G42" s="12" t="str">
        <f>IF(ADRYr2!$G42&lt;&gt;0,ADRYr2!G42,"")</f>
        <v/>
      </c>
      <c r="H42" s="1125" t="str">
        <f>IF($G42="","",ROUND(ADRYr2!H42,0))</f>
        <v/>
      </c>
      <c r="I42" s="47" t="str">
        <f>IF($G42="","",ADRYr2!I42*ADRYr2!P42*G42)</f>
        <v/>
      </c>
      <c r="J42" s="47" t="str">
        <f>IF($G42="","",ADRYr2!J42*G42)</f>
        <v/>
      </c>
      <c r="K42" s="47" t="str">
        <f t="shared" si="17"/>
        <v/>
      </c>
      <c r="L42" s="27" t="str">
        <f>IF($G42="","",ADRYr2!V42*G42/1000)</f>
        <v/>
      </c>
      <c r="M42" s="27" t="str">
        <f>IF($G42="","",L42*ADRYr2!$Q42*ADRYr2!$R42)</f>
        <v/>
      </c>
      <c r="N42" s="27" t="str">
        <f t="shared" si="18"/>
        <v/>
      </c>
      <c r="O42" s="27" t="str">
        <f t="shared" si="19"/>
        <v/>
      </c>
      <c r="P42" s="27" t="str">
        <f>IF($G42="","",M42*ADRYr2!P42)</f>
        <v/>
      </c>
      <c r="Q42" s="27" t="str">
        <f t="shared" si="20"/>
        <v/>
      </c>
      <c r="R42" s="27" t="str">
        <f>IF($G42="","",$Q42*ADRYr2!Z42)</f>
        <v/>
      </c>
      <c r="S42" s="27" t="str">
        <f>IF($G42="","",$Q42*ADRYr2!AA42)</f>
        <v/>
      </c>
      <c r="T42" s="27" t="str">
        <f>IF($G42="","",$Q42*ADRYr2!AB42)</f>
        <v/>
      </c>
      <c r="U42" s="27" t="str">
        <f>IF($G42="","",$Q42*ADRYr2!AC42)</f>
        <v/>
      </c>
      <c r="V42" s="27" t="str">
        <f>IF($G42="","",G42*ADRYr2!$AD42*ADRYr2!$P42*ADRYr2!$Q42)</f>
        <v/>
      </c>
      <c r="W42" s="27" t="str">
        <f>IF($G42="","",$G42*ADRYr2!$AD42*ADRYr2!$AF42*ADRYr2!Q42*ADRYr2!$S42)</f>
        <v/>
      </c>
      <c r="X42" s="27" t="str">
        <f>IF($G42="","",$G42*ADRYr2!$AD42*ADRYr2!$AF42*ADRYr2!P42*ADRYr2!Q42*ADRYr2!$S42)</f>
        <v/>
      </c>
      <c r="Y42" s="27" t="str">
        <f>IF($G42="","",$G42*ADRYr2!$AD42*ADRYr2!$AE42*ADRYr2!Q42*ADRYr2!$T42)</f>
        <v/>
      </c>
      <c r="Z42" s="27" t="str">
        <f>IF($G42="","",$G42*ADRYr2!$AD42*ADRYr2!$AE42*ADRYr2!P42*ADRYr2!Q42*ADRYr2!$T42)</f>
        <v/>
      </c>
      <c r="AA42" s="45" t="str">
        <f>IF($G42="","",$G42*ADRYr2!$Q42*ADRYr2!$U42*(IF(IFERROR(SEARCH("NG", ADRYr2!$AI42),0),ADRYr2!$AJ42,0)+IF(IFERROR(SEARCH("NG", ADRYr2!$AK42),0),ADRYr2!$AL42,0)+IF(IFERROR(SEARCH("NG", ADRYr2!$AM42),0),ADRYr2!$AN42,0)))</f>
        <v/>
      </c>
      <c r="AB42" s="45" t="str">
        <f t="shared" si="21"/>
        <v/>
      </c>
      <c r="AC42" s="45">
        <f>IF($G42="",0,AA42*ADRYr2!$P42)</f>
        <v>0</v>
      </c>
      <c r="AD42" s="45" t="str">
        <f t="shared" si="22"/>
        <v/>
      </c>
      <c r="AE42" s="45" t="str">
        <f>IF($G42="","",$G42*ADRYr2!$Q42*ADRYr2!$U42*(IF(IFERROR(SEARCH("Oil", ADRYr2!$AI42), 0),ADRYr2!$AJ42,0)+IF(IFERROR(SEARCH("Oil", ADRYr2!$AK42), 0),ADRYr2!$AL42,0)+IF(IFERROR(SEARCH("Oil", ADRYr2!$AM42), 0),ADRYr2!$AN42,0)))</f>
        <v/>
      </c>
      <c r="AF42" s="45" t="str">
        <f t="shared" si="23"/>
        <v/>
      </c>
      <c r="AG42" s="45">
        <f>IF($G42="",0,AE42*ADRYr2!$P42)</f>
        <v>0</v>
      </c>
      <c r="AH42" s="45" t="str">
        <f t="shared" si="24"/>
        <v/>
      </c>
      <c r="AI42" s="45" t="str">
        <f>IF($G42="","",$G42*ADRYr2!$Q42*ADRYr2!$U42*(IF(ADRYr2!$AI42=Lookups!$E$114,ADRYr2!$AJ42,IF(ADRYr2!$AK42=Lookups!$E$114,ADRYr2!$AL42,IF(ADRYr2!$AM42=Lookups!$E$114,ADRYr2!$AN42,0)))))</f>
        <v/>
      </c>
      <c r="AJ42" s="45" t="str">
        <f t="shared" si="25"/>
        <v/>
      </c>
      <c r="AK42" s="45">
        <f>IF($G42="",0,AI42*ADRYr2!$P42)</f>
        <v>0</v>
      </c>
      <c r="AL42" s="45" t="str">
        <f t="shared" si="26"/>
        <v/>
      </c>
      <c r="AM42" s="45" t="str">
        <f>IF($G42="","",$G42*ADRYr2!$Q42*ADRYr2!$U42*(IF(ADRYr2!$AI42=Lookups!$E$113,ADRYr2!$AJ42,IF(ADRYr2!$AK42=Lookups!$E$113,ADRYr2!$AL42,IF(ADRYr2!$AM42=Lookups!$E$113,ADRYr2!$AN42,0)))))</f>
        <v/>
      </c>
      <c r="AN42" s="45" t="str">
        <f t="shared" si="27"/>
        <v/>
      </c>
      <c r="AO42" s="45">
        <f>IF($G42="",0,AM42*ADRYr2!$P42)</f>
        <v>0</v>
      </c>
      <c r="AP42" s="45" t="str">
        <f t="shared" si="28"/>
        <v/>
      </c>
      <c r="AQ42" s="45" t="str">
        <f>IF($G42="","",$G42*ADRYr2!$Q42*ADRYr2!$U42*(IF(ADRYr2!$AI42=Lookups!$E$115,ADRYr2!$AJ42,IF(ADRYr2!$AK42=Lookups!$E$115,ADRYr2!$AL42,IF(ADRYr2!$AM42=Lookups!$E$115,ADRYr2!$AN42,0)))))</f>
        <v/>
      </c>
      <c r="AR42" s="45" t="str">
        <f t="shared" si="29"/>
        <v/>
      </c>
      <c r="AS42" s="45" t="str">
        <f>IF($G42="","",AQ42*ADRYr2!$P42)</f>
        <v/>
      </c>
      <c r="AT42" s="45" t="str">
        <f t="shared" si="30"/>
        <v/>
      </c>
      <c r="AU42" s="45" t="str">
        <f>IF($G42="","",$G42*ADRYr2!$Q42*ADRYr2!$U42*(IF(ADRYr2!$AI42=Lookups!$E$116,ADRYr2!$AJ42,IF(ADRYr2!$AK42=Lookups!$E$116,ADRYr2!$AL42,IF(ADRYr2!$AM42=Lookups!$E$116,ADRYr2!$AN42,0)))))</f>
        <v/>
      </c>
      <c r="AV42" s="45" t="str">
        <f t="shared" si="31"/>
        <v/>
      </c>
      <c r="AW42" s="45" t="str">
        <f>IF($G42="","",AU42*ADRYr2!$P42)</f>
        <v/>
      </c>
      <c r="AX42" s="45" t="str">
        <f t="shared" si="32"/>
        <v/>
      </c>
      <c r="AY42" s="45">
        <f t="shared" si="49"/>
        <v>0</v>
      </c>
      <c r="AZ42" s="45">
        <f t="shared" si="49"/>
        <v>0</v>
      </c>
      <c r="BA42" s="101" t="str">
        <f>IF($G42="","",$G42*ADRYr2!$P42*ADRYr2!$Q42*ADRYr2!$U42*ADRYr2!AO42)</f>
        <v/>
      </c>
      <c r="BB42" s="102" t="str">
        <f>IF($G42="","",$G42*ADRYr2!$P42*ADRYr2!$Q42*ADRYr2!$U42*ADRYr2!AP42)</f>
        <v/>
      </c>
      <c r="BC42" s="100" t="str">
        <f t="shared" si="34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5"/>
        <v/>
      </c>
      <c r="BO42" s="31" t="str">
        <f t="shared" si="35"/>
        <v/>
      </c>
      <c r="BP42" s="1129" t="str">
        <f t="shared" si="6"/>
        <v/>
      </c>
      <c r="BQ42" s="28" t="str">
        <f t="shared" si="7"/>
        <v/>
      </c>
      <c r="BR42" s="1129" t="str">
        <f t="shared" si="8"/>
        <v/>
      </c>
      <c r="BS42" s="1129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6"/>
        <v/>
      </c>
      <c r="BX42" s="29" t="str">
        <f t="shared" si="37"/>
        <v/>
      </c>
      <c r="BY42" s="28" t="str">
        <f>IF($G42="","",$G42*(IF(ADRYr2!$AI42=BY$4,ADRYr2!$AJ42,IF(ADRYr2!$AK42=BY$4,ADRYr2!$AL42,IF(ADRYr2!$AM42=BY$4,ADRYr2!$AN42,0))))*(INDEX(avoidedcosttbl2,$H42,BY$2)+(($H42-ROUNDDOWN($H42,0))*(INDEX(avoidedcosttbl2,ROUNDUP($H42,0),BY$2)-(INDEX(avoidedcosttbl2,ROUNDDOWN($H42,0),BY$2)))))*ADRYr2!P42*ADRYr2!Q42*ADRYr2!U42)</f>
        <v/>
      </c>
      <c r="BZ42" s="28" t="str">
        <f>IF($G42="","",$G42*(IF(ADRYr2!$AI42=BZ$4,ADRYr2!$AJ42,IF(ADRYr2!$AK42=BZ$4,ADRYr2!$AL42,IF(ADRYr2!$AM42=BZ$4,ADRYr2!$AN42,0))))*(INDEX(avoidedcosttbl2,$H42,BZ$2)+(($H42-ROUNDDOWN($H42,0))*(INDEX(avoidedcosttbl2,ROUNDUP($H42,0),BZ$2)-(INDEX(avoidedcosttbl2,ROUNDDOWN($H42,0),BZ$2)))))*ADRYr2!P42*ADRYr2!Q42*ADRYr2!U42)</f>
        <v/>
      </c>
      <c r="CA42" s="28" t="str">
        <f>IF($G42="","",$G42*(IF(ADRYr2!$AI42=CA$4,ADRYr2!$AJ42,IF(ADRYr2!$AK42=CA$4,ADRYr2!$AL42,IF(ADRYr2!$AM42=CA$4,ADRYr2!$AN42,0))))*(INDEX(avoidedcosttbl2,$H42,CA$2)+(($H42-ROUNDDOWN($H42,0))*(INDEX(avoidedcosttbl2,ROUNDUP($H42,0),CA$2)-(INDEX(avoidedcosttbl2,ROUNDDOWN($H42,0),CA$2)))))*ADRYr2!P42*ADRYr2!Q42*ADRYr2!U42)</f>
        <v/>
      </c>
      <c r="CB42" s="28" t="str">
        <f>IF($G42="","",$G42*(IF(ADRYr2!$AI42=CB$4,ADRYr2!$AJ42,IF(ADRYr2!$AK42=CB$4,ADRYr2!$AL42,IF(ADRYr2!$AM42=CB$4,ADRYr2!$AN42,0))))*(INDEX(avoidedcosttbl2,$H42,CB$2)+(($H42-ROUNDDOWN($H42,0))*(INDEX(avoidedcosttbl2,ROUNDUP($H42,0),CB$2)-(INDEX(avoidedcosttbl2,ROUNDDOWN($H42,0),CB$2)))))*ADRYr2!P42*ADRYr2!Q42*ADRYr2!U42)</f>
        <v/>
      </c>
      <c r="CC42" s="28" t="str">
        <f>IF($G42="","",$G42*(IF(ADRYr2!$AI42=CC$4,ADRYr2!$AJ42,IF(ADRYr2!$AK42=CC$4,ADRYr2!$AL42,IF(ADRYr2!$AM42=CC$4,ADRYr2!$AN42,0))))*(INDEX(avoidedcosttbl2,$H42,CC$2)+(($H42-ROUNDDOWN($H42,0))*(INDEX(avoidedcosttbl2,ROUNDUP($H42,0),CC$2)-(INDEX(avoidedcosttbl2,ROUNDDOWN($H42,0),CC$2)))))*ADRYr2!P42*ADRYr2!Q42*ADRYr2!U42)</f>
        <v/>
      </c>
      <c r="CD42" s="28" t="str">
        <f>IF($G42="","",$G42*(IF(ADRYr2!$AI42=CD$4,ADRYr2!$AJ42,IF(ADRYr2!$AK42=CD$4,ADRYr2!$AL42,IF(ADRYr2!$AM42=CD$4,ADRYr2!$AN42,0))))*(INDEX(avoidedcosttbl2,$H42,CD$2)+(($H42-ROUNDDOWN($H42,0))*(INDEX(avoidedcosttbl2,ROUNDUP($H42,0),CD$2)-(INDEX(avoidedcosttbl2,ROUNDDOWN($H42,0),CD$2)))))*ADRYr2!P42*ADRYr2!Q42*ADRYr2!U42)</f>
        <v/>
      </c>
      <c r="CE42" s="28" t="str">
        <f>IF($G42="","",$G42*(IF(ADRYr2!$AI42=CE$4,ADRYr2!$AJ42,IF(ADRYr2!$AK42=CE$4,ADRYr2!$AL42,IF(ADRYr2!$AM42=CE$4,ADRYr2!$AN42,0))))*(INDEX(avoidedcosttbl2,$H42,CE$2)+(($H42-ROUNDDOWN($H42,0))*(INDEX(avoidedcosttbl2,ROUNDUP($H42,0),CE$2)-(INDEX(avoidedcosttbl2,ROUNDDOWN($H42,0),CE$2)))))*ADRYr2!P42*ADRYr2!Q42*ADRYr2!U42)</f>
        <v/>
      </c>
      <c r="CF42" s="41" t="str">
        <f t="shared" si="38"/>
        <v/>
      </c>
      <c r="CG42" s="30" t="str">
        <f t="shared" si="11"/>
        <v/>
      </c>
      <c r="CH42" s="30" t="str">
        <f>IF($G42="","",$G42*(IF(ADRYr2!$AI42=BY$4,ADRYr2!$AJ42,IF(ADRYr2!$AK42=BY$4,ADRYr2!$AL42,IF(ADRYr2!$AM42=BY$4,ADRYr2!$AN42,0))))*(INDEX(avoidedcosttbl2,$H42,CH$2)+(($H42-ROUNDDOWN($H42,0))*(INDEX(avoidedcosttbl2,ROUNDUP($H42,0),CH$2)-(INDEX(avoidedcosttbl2,ROUNDDOWN($H42,0),CH$2)))))*ADRYr2!P42*ADRYr2!Q42*ADRYr2!U42)</f>
        <v/>
      </c>
      <c r="CI42" s="30" t="str">
        <f>IF($G42="","",$G42*(IF(ADRYr2!$AI42=BZ$4,ADRYr2!$AJ42,IF(ADRYr2!$AK42=BZ$4,ADRYr2!$AL42,IF(ADRYr2!$AM42=BZ$4,ADRYr2!$AN42,0))))*(INDEX(avoidedcosttbl2,$H42,CI$2)+(($H42-ROUNDDOWN($H42,0))*(INDEX(avoidedcosttbl2,ROUNDUP($H42,0),CI$2)-(INDEX(avoidedcosttbl2,ROUNDDOWN($H42,0),CI$2)))))*ADRYr2!P42*ADRYr2!Q42*ADRYr2!U42)</f>
        <v/>
      </c>
      <c r="CJ42" s="30" t="str">
        <f>IF($G42="","",$G42*(IF(ADRYr2!$AI42=CA$4,ADRYr2!$AJ42,IF(ADRYr2!$AK42=CA$4,ADRYr2!$AL42,IF(ADRYr2!$AM42=CA$4,ADRYr2!$AN42,0))))*(INDEX(avoidedcosttbl2,$H42,CJ$2)+(($H42-ROUNDDOWN($H42,0))*(INDEX(avoidedcosttbl2,ROUNDUP($H42,0),CJ$2)-(INDEX(avoidedcosttbl2,ROUNDDOWN($H42,0),CJ$2)))))*ADRYr2!P42*ADRYr2!Q42*ADRYr2!U42)</f>
        <v/>
      </c>
      <c r="CK42" s="30" t="str">
        <f>IF($G42="","",$G42*(IF(ADRYr2!$AI42=CB$4,ADRYr2!$AJ42,IF(ADRYr2!$AK42=CB$4,ADRYr2!$AL42,IF(ADRYr2!$AM42=CB$4,ADRYr2!$AN42,0))))*(INDEX(avoidedcosttbl2,$H42,CK$2)+(($H42-ROUNDDOWN($H42,0))*(INDEX(avoidedcosttbl2,ROUNDUP($H42,0),CK$2)-(INDEX(avoidedcosttbl2,ROUNDDOWN($H42,0),CK$2)))))*ADRYr2!P42*ADRYr2!Q42*ADRYr2!U42)</f>
        <v/>
      </c>
      <c r="CL42" s="30" t="str">
        <f>IF($G42="","",$G42*(IF(ADRYr2!$AI42=CC$4,ADRYr2!$AJ42,IF(ADRYr2!$AK42=CC$4,ADRYr2!$AL42,IF(ADRYr2!$AM42=CC$4,ADRYr2!$AN42,0))))*(INDEX(avoidedcosttbl2,$H42,CL$2)+(($H42-ROUNDDOWN($H42,0))*(INDEX(avoidedcosttbl2,ROUNDUP($H42,0),CL$2)-(INDEX(avoidedcosttbl2,ROUNDDOWN($H42,0),CL$2)))))*ADRYr2!P42*ADRYr2!Q42*ADRYr2!U42)</f>
        <v/>
      </c>
      <c r="CM42" s="30" t="str">
        <f>IF($G42="","",$G42*(IF(ADRYr2!$AI42=CD$4,ADRYr2!$AJ42,IF(ADRYr2!$AK42=CD$4,ADRYr2!$AL42,IF(ADRYr2!$AM42=CD$4,ADRYr2!$AN42,0))))*(INDEX(avoidedcosttbl2,$H42,CM$2)+(($H42-ROUNDDOWN($H42,0))*(INDEX(avoidedcosttbl2,ROUNDUP($H42,0),CM$2)-(INDEX(avoidedcosttbl2,ROUNDDOWN($H42,0),CM$2)))))*ADRYr2!P42*ADRYr2!Q42*ADRYr2!U42)</f>
        <v/>
      </c>
      <c r="CN42" s="30" t="str">
        <f>IF($G42="","",$G42*(IF(ADRYr2!$AI42=CE$4,ADRYr2!$AJ42,IF(ADRYr2!$AK42=CE$4,ADRYr2!$AL42,IF(ADRYr2!$AM42=CE$4,ADRYr2!$AN42,0))))*(INDEX(avoidedcosttbl2,$H42,CN$2)+(($H42-ROUNDDOWN($H42,0))*(INDEX(avoidedcosttbl2,ROUNDUP($H42,0),CN$2)-(INDEX(avoidedcosttbl2,ROUNDDOWN($H42,0),CN$2)))))*ADRYr2!P42*ADRYr2!Q42*ADRYr2!U42)</f>
        <v/>
      </c>
      <c r="CO42" s="220" t="str">
        <f t="shared" si="39"/>
        <v/>
      </c>
      <c r="CP42" s="220" t="str">
        <f t="shared" si="40"/>
        <v/>
      </c>
      <c r="CQ42" s="157" t="str">
        <f>IF($G42="","",$G42*(IF(ADRYr2!$AI42=CQ$4,ADRYr2!$AJ42,IF(ADRYr2!$AK42=CQ$4,ADRYr2!$AL42,IF(ADRYr2!$AM42=CQ$4,ADRYr2!$AN42,0))))*(INDEX(avoidedcosttbl2,$H42,CQ$2)+(($H42-ROUNDDOWN($H42,0))*(INDEX(avoidedcosttbl2,ROUNDUP($H42,0),CQ$2)-(INDEX(avoidedcosttbl2,ROUNDDOWN($H42,0),CQ$2)))))*ADRYr2!$P42*ADRYr2!$Q42*ADRYr2!$U42)</f>
        <v/>
      </c>
      <c r="CR42" s="28" t="str">
        <f>IF($G42="","",G42*(IF(ADRYr2!$AI42=CR$4,ADRYr2!$AJ42,IF(ADRYr2!$AK42=CR$4,ADRYr2!$AL42,IF(ADRYr2!$AM42=CR$4,ADRYr2!$AN42,0))))*(INDEX(avoidedcosttbl2,$H42,CR$2)+(($H42-ROUNDDOWN($H42,0))*(INDEX(avoidedcosttbl2,ROUNDUP($H42,0),CR$2)-(INDEX(avoidedcosttbl2,ROUNDDOWN($H42,0),CR$2)))))*ADRYr2!$P42*ADRYr2!$Q42*ADRYr2!$U42)</f>
        <v/>
      </c>
      <c r="CS42" s="28" t="str">
        <f>IF($G42="","",G42*(IF(ADRYr2!$AI42=CS$4,ADRYr2!$AJ42,IF(ADRYr2!$AK42=CS$4,ADRYr2!$AL42,IF(ADRYr2!$AM42=CS$4,ADRYr2!$AN42,0))))*(INDEX(avoidedcosttbl2,$H42,CS$2)+(($H42-ROUNDDOWN($H42,0))*(INDEX(avoidedcosttbl2,ROUNDUP($H42,0),CS$2)-(INDEX(avoidedcosttbl2,ROUNDDOWN($H42,0),CS$2)))))*ADRYr2!$P42*ADRYr2!$Q42*ADRYr2!$U42)</f>
        <v/>
      </c>
      <c r="CT42" s="28" t="str">
        <f t="shared" si="12"/>
        <v/>
      </c>
      <c r="CU42" s="28" t="str">
        <f>IF($G42="","",G42*(IF(ADRYr2!$AI42=CU$4,ADRYr2!$AJ42,IF(ADRYr2!$AK42=CU$4,ADRYr2!$AL42,IF(ADRYr2!$AM42=CU$4,ADRYr2!$AN42,0))))*(INDEX(avoidedcosttbl2,$H42,CU$2)+(($H42-ROUNDDOWN($H42,0))*(INDEX(avoidedcosttbl2,ROUNDUP($H42,0),CU$2)-(INDEX(avoidedcosttbl2,ROUNDDOWN($H42,0),CU$2)))))*ADRYr2!$P42*ADRYr2!$Q42*ADRYr2!$U42)</f>
        <v/>
      </c>
      <c r="CV42" s="28" t="str">
        <f>IF($G42="","",G42*(IF(ADRYr2!$AI42=CV$4,ADRYr2!$AJ42,IF(ADRYr2!$AK42=CV$4,ADRYr2!$AL42,IF(ADRYr2!$AM42=CV$4,ADRYr2!$AN42,0))))*(INDEX(avoidedcosttbl2,$H42,CV$2)+(($H42-ROUNDDOWN($H42,0))*(INDEX(avoidedcosttbl2,ROUNDUP($H42,0),CV$2)-(INDEX(avoidedcosttbl2,ROUNDDOWN($H42,0),CV$2)))))*ADRYr2!$P42*ADRYr2!$Q42*ADRYr2!$U42)</f>
        <v/>
      </c>
      <c r="CW42" s="28" t="str">
        <f>IF($G42="","",G42*(IF(ADRYr2!$AI42=CW$4,ADRYr2!$AJ42,IF(ADRYr2!$AK42=CW$4,ADRYr2!$AL42,IF(ADRYr2!$AM42=CW$4,ADRYr2!$AN42,0))))*(INDEX(avoidedcosttbl2,$H42,CW$2)+(($H42-ROUNDDOWN($H42,0))*(INDEX(avoidedcosttbl2,ROUNDUP($H42,0),CW$2)-(INDEX(avoidedcosttbl2,ROUNDDOWN($H42,0),CW$2)))))*ADRYr2!$P42*ADRYr2!$Q42*ADRYr2!$U42)</f>
        <v/>
      </c>
      <c r="CX42" s="28" t="str">
        <f>IF($G42="","",G42*(IF(ADRYr2!$AI42=CX$4,ADRYr2!$AJ42,IF(ADRYr2!$AK42=CX$4,ADRYr2!$AL42,IF(ADRYr2!$AM42=CX$4,ADRYr2!$AN42,0))))*(INDEX(avoidedcosttbl2,$H42,CX$2)+(($H42-ROUNDDOWN($H42,0))*(INDEX(avoidedcosttbl2,ROUNDUP($H42,0),CX$2)-(INDEX(avoidedcosttbl2,ROUNDDOWN($H42,0),CX$2)))))*ADRYr2!$P42*ADRYr2!$Q42*ADRYr2!$U42)</f>
        <v/>
      </c>
      <c r="CY42" s="28" t="str">
        <f t="shared" si="13"/>
        <v/>
      </c>
      <c r="CZ42" s="32" t="str">
        <f t="shared" si="14"/>
        <v/>
      </c>
      <c r="DA42" s="84" t="str">
        <f t="shared" si="41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15"/>
        <v/>
      </c>
      <c r="DD42" s="166" t="str">
        <f t="shared" si="16"/>
        <v/>
      </c>
      <c r="DE42" s="82">
        <f t="shared" si="42"/>
        <v>0</v>
      </c>
      <c r="DF42" s="760" t="str">
        <f>IF($G42="","",(1+WntPeakEnergyLL)*(INDEX(avoidedcosttbl2,$H42,DF$2)+(($H42-ROUNDDOWN($H42,0))*(INDEX(avoidedcosttbl2,ROUNDUP($H42,0),DF$2)-(INDEX(avoidedcosttbl2,ROUNDDOWN($H42,0),DF$2)))))*$P42*1000*ADRYr2!Z42)</f>
        <v/>
      </c>
      <c r="DG42" s="760" t="str">
        <f>IF($G42="","",(1+WntOffPeakEnergyLL)*(INDEX(avoidedcosttbl2,$H42,DG$2)+(($H42-ROUNDDOWN($H42,0))*(INDEX(avoidedcosttbl2,ROUNDUP($H42,0),DG$2)-(INDEX(avoidedcosttbl2,ROUNDDOWN($H42,0),DG$2)))))*$P42*1000*ADRYr2!AA42)</f>
        <v/>
      </c>
      <c r="DH42" s="760" t="str">
        <f>IF($G42="","",(1+SumPeakEnergyLL)*(INDEX(avoidedcosttbl2,$H42,DH$2)+(($H42-ROUNDDOWN($H42,0))*(INDEX(avoidedcosttbl2,ROUNDUP($H42,0),DH$2)-(INDEX(avoidedcosttbl2,ROUNDDOWN($H42,0),DH$2)))))*$P42*1000*ADRYr2!AB42)</f>
        <v/>
      </c>
      <c r="DI42" s="760" t="str">
        <f>IF($G42="","",(1+SumOffPeakEnergyLL)*(INDEX(avoidedcosttbl2,$H42,DI$2)+(($H42-ROUNDDOWN($H42,0))*(INDEX(avoidedcosttbl2,ROUNDUP($H42,0),DI$2)-(INDEX(avoidedcosttbl2,ROUNDDOWN($H42,0),DI$2)))))*$P42*1000*ADRYr2!AC42)</f>
        <v/>
      </c>
      <c r="DJ42" s="29" t="str">
        <f t="shared" si="43"/>
        <v/>
      </c>
      <c r="DK42" s="161" t="str">
        <f t="shared" ref="DK42:DK50" si="51">IF($G42="","",DE42+DA42+BX42+DJ42)</f>
        <v/>
      </c>
      <c r="DO42" s="1131" t="str">
        <f>IF($G42="","",ADRYr2!AQ42)</f>
        <v/>
      </c>
      <c r="DP42" s="1133" t="str">
        <f>IF($G42="","",ADRYr2!AR42)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48"/>
        <v/>
      </c>
      <c r="DU42" s="1135" t="str">
        <f>IF($G42="","",ADRYr2!AS42)</f>
        <v/>
      </c>
      <c r="DV42" s="1136" t="str">
        <f>IF($G42="","",ADRYr2!AT42)</f>
        <v/>
      </c>
      <c r="DW42" s="1344" t="str">
        <f>IF($G42="","",INDEX(AvoidedEnergy!$H$4:$H$10,MATCH($DO42,AvoidedEnergy!$A$4:$A$10,0)))</f>
        <v/>
      </c>
    </row>
    <row r="43" spans="1:127">
      <c r="A43" s="160" t="str">
        <f>IF(ADRYr2!$B43=0,"",ADRYr2!A43)</f>
        <v/>
      </c>
      <c r="B43" s="9" t="str">
        <f>IF(ADRYr2!$B43=0,"",ADRYr2!B43)</f>
        <v/>
      </c>
      <c r="C43" s="9" t="str">
        <f>IF(ADRYr2!$B43=0,"",ADRYr2!C43)</f>
        <v/>
      </c>
      <c r="D43" s="9" t="str">
        <f>IF(ADRYr2!$B43=0,"",ADRYr2!D43)</f>
        <v/>
      </c>
      <c r="E43" s="9"/>
      <c r="F43" s="11" t="str">
        <f>IF(ADRYr2!$B43=0,"",ADRYr2!F43)</f>
        <v/>
      </c>
      <c r="G43" s="12" t="str">
        <f>IF(ADRYr2!$G43&lt;&gt;0,ADRYr2!G43,"")</f>
        <v/>
      </c>
      <c r="H43" s="1125" t="str">
        <f>IF($G43="","",ROUND(ADRYr2!H43,0))</f>
        <v/>
      </c>
      <c r="I43" s="47" t="str">
        <f>IF($G43="","",ADRYr2!I43*ADRYr2!P43*G43)</f>
        <v/>
      </c>
      <c r="J43" s="47" t="str">
        <f>IF($G43="","",ADRYr2!J43*G43)</f>
        <v/>
      </c>
      <c r="K43" s="47" t="str">
        <f t="shared" si="17"/>
        <v/>
      </c>
      <c r="L43" s="27" t="str">
        <f>IF($G43="","",ADRYr2!V43*G43/1000)</f>
        <v/>
      </c>
      <c r="M43" s="27" t="str">
        <f>IF($G43="","",L43*ADRYr2!$Q43*ADRYr2!$R43)</f>
        <v/>
      </c>
      <c r="N43" s="27" t="str">
        <f t="shared" si="18"/>
        <v/>
      </c>
      <c r="O43" s="27" t="str">
        <f t="shared" si="19"/>
        <v/>
      </c>
      <c r="P43" s="27" t="str">
        <f>IF($G43="","",M43*ADRYr2!P43)</f>
        <v/>
      </c>
      <c r="Q43" s="27" t="str">
        <f t="shared" si="20"/>
        <v/>
      </c>
      <c r="R43" s="27" t="str">
        <f>IF($G43="","",$Q43*ADRYr2!Z43)</f>
        <v/>
      </c>
      <c r="S43" s="27" t="str">
        <f>IF($G43="","",$Q43*ADRYr2!AA43)</f>
        <v/>
      </c>
      <c r="T43" s="27" t="str">
        <f>IF($G43="","",$Q43*ADRYr2!AB43)</f>
        <v/>
      </c>
      <c r="U43" s="27" t="str">
        <f>IF($G43="","",$Q43*ADRYr2!AC43)</f>
        <v/>
      </c>
      <c r="V43" s="27" t="str">
        <f>IF($G43="","",G43*ADRYr2!$AD43*ADRYr2!$P43*ADRYr2!$Q43)</f>
        <v/>
      </c>
      <c r="W43" s="27" t="str">
        <f>IF($G43="","",$G43*ADRYr2!$AD43*ADRYr2!$AF43*ADRYr2!Q43*ADRYr2!$S43)</f>
        <v/>
      </c>
      <c r="X43" s="27" t="str">
        <f>IF($G43="","",$G43*ADRYr2!$AD43*ADRYr2!$AF43*ADRYr2!P43*ADRYr2!Q43*ADRYr2!$S43)</f>
        <v/>
      </c>
      <c r="Y43" s="27" t="str">
        <f>IF($G43="","",$G43*ADRYr2!$AD43*ADRYr2!$AE43*ADRYr2!Q43*ADRYr2!$T43)</f>
        <v/>
      </c>
      <c r="Z43" s="27" t="str">
        <f>IF($G43="","",$G43*ADRYr2!$AD43*ADRYr2!$AE43*ADRYr2!P43*ADRYr2!Q43*ADRYr2!$T43)</f>
        <v/>
      </c>
      <c r="AA43" s="45" t="str">
        <f>IF($G43="","",$G43*ADRYr2!$Q43*ADRYr2!$U43*(IF(IFERROR(SEARCH("NG", ADRYr2!$AI43),0),ADRYr2!$AJ43,0)+IF(IFERROR(SEARCH("NG", ADRYr2!$AK43),0),ADRYr2!$AL43,0)+IF(IFERROR(SEARCH("NG", ADRYr2!$AM43),0),ADRYr2!$AN43,0)))</f>
        <v/>
      </c>
      <c r="AB43" s="45" t="str">
        <f t="shared" si="21"/>
        <v/>
      </c>
      <c r="AC43" s="45">
        <f>IF($G43="",0,AA43*ADRYr2!$P43)</f>
        <v>0</v>
      </c>
      <c r="AD43" s="45" t="str">
        <f t="shared" si="22"/>
        <v/>
      </c>
      <c r="AE43" s="45" t="str">
        <f>IF($G43="","",$G43*ADRYr2!$Q43*ADRYr2!$U43*(IF(IFERROR(SEARCH("Oil", ADRYr2!$AI43), 0),ADRYr2!$AJ43,0)+IF(IFERROR(SEARCH("Oil", ADRYr2!$AK43), 0),ADRYr2!$AL43,0)+IF(IFERROR(SEARCH("Oil", ADRYr2!$AM43), 0),ADRYr2!$AN43,0)))</f>
        <v/>
      </c>
      <c r="AF43" s="45" t="str">
        <f t="shared" si="23"/>
        <v/>
      </c>
      <c r="AG43" s="45">
        <f>IF($G43="",0,AE43*ADRYr2!$P43)</f>
        <v>0</v>
      </c>
      <c r="AH43" s="45" t="str">
        <f t="shared" si="24"/>
        <v/>
      </c>
      <c r="AI43" s="45" t="str">
        <f>IF($G43="","",$G43*ADRYr2!$Q43*ADRYr2!$U43*(IF(ADRYr2!$AI43=Lookups!$E$114,ADRYr2!$AJ43,IF(ADRYr2!$AK43=Lookups!$E$114,ADRYr2!$AL43,IF(ADRYr2!$AM43=Lookups!$E$114,ADRYr2!$AN43,0)))))</f>
        <v/>
      </c>
      <c r="AJ43" s="45" t="str">
        <f t="shared" si="25"/>
        <v/>
      </c>
      <c r="AK43" s="45">
        <f>IF($G43="",0,AI43*ADRYr2!$P43)</f>
        <v>0</v>
      </c>
      <c r="AL43" s="45" t="str">
        <f t="shared" si="26"/>
        <v/>
      </c>
      <c r="AM43" s="45" t="str">
        <f>IF($G43="","",$G43*ADRYr2!$Q43*ADRYr2!$U43*(IF(ADRYr2!$AI43=Lookups!$E$113,ADRYr2!$AJ43,IF(ADRYr2!$AK43=Lookups!$E$113,ADRYr2!$AL43,IF(ADRYr2!$AM43=Lookups!$E$113,ADRYr2!$AN43,0)))))</f>
        <v/>
      </c>
      <c r="AN43" s="45" t="str">
        <f t="shared" si="27"/>
        <v/>
      </c>
      <c r="AO43" s="45">
        <f>IF($G43="",0,AM43*ADRYr2!$P43)</f>
        <v>0</v>
      </c>
      <c r="AP43" s="45" t="str">
        <f t="shared" si="28"/>
        <v/>
      </c>
      <c r="AQ43" s="45" t="str">
        <f>IF($G43="","",$G43*ADRYr2!$Q43*ADRYr2!$U43*(IF(ADRYr2!$AI43=Lookups!$E$115,ADRYr2!$AJ43,IF(ADRYr2!$AK43=Lookups!$E$115,ADRYr2!$AL43,IF(ADRYr2!$AM43=Lookups!$E$115,ADRYr2!$AN43,0)))))</f>
        <v/>
      </c>
      <c r="AR43" s="45" t="str">
        <f t="shared" si="29"/>
        <v/>
      </c>
      <c r="AS43" s="45" t="str">
        <f>IF($G43="","",AQ43*ADRYr2!$P43)</f>
        <v/>
      </c>
      <c r="AT43" s="45" t="str">
        <f t="shared" si="30"/>
        <v/>
      </c>
      <c r="AU43" s="45" t="str">
        <f>IF($G43="","",$G43*ADRYr2!$Q43*ADRYr2!$U43*(IF(ADRYr2!$AI43=Lookups!$E$116,ADRYr2!$AJ43,IF(ADRYr2!$AK43=Lookups!$E$116,ADRYr2!$AL43,IF(ADRYr2!$AM43=Lookups!$E$116,ADRYr2!$AN43,0)))))</f>
        <v/>
      </c>
      <c r="AV43" s="45" t="str">
        <f t="shared" si="31"/>
        <v/>
      </c>
      <c r="AW43" s="45" t="str">
        <f>IF($G43="","",AU43*ADRYr2!$P43)</f>
        <v/>
      </c>
      <c r="AX43" s="45" t="str">
        <f t="shared" si="32"/>
        <v/>
      </c>
      <c r="AY43" s="45">
        <f t="shared" si="49"/>
        <v>0</v>
      </c>
      <c r="AZ43" s="45">
        <f t="shared" si="49"/>
        <v>0</v>
      </c>
      <c r="BA43" s="101" t="str">
        <f>IF($G43="","",$G43*ADRYr2!$P43*ADRYr2!$Q43*ADRYr2!$U43*ADRYr2!AO43)</f>
        <v/>
      </c>
      <c r="BB43" s="102" t="str">
        <f>IF($G43="","",$G43*ADRYr2!$P43*ADRYr2!$Q43*ADRYr2!$U43*ADRYr2!AP43)</f>
        <v/>
      </c>
      <c r="BC43" s="100" t="str">
        <f t="shared" si="34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5"/>
        <v/>
      </c>
      <c r="BO43" s="31" t="str">
        <f t="shared" si="35"/>
        <v/>
      </c>
      <c r="BP43" s="1129" t="str">
        <f t="shared" si="6"/>
        <v/>
      </c>
      <c r="BQ43" s="28" t="str">
        <f t="shared" si="7"/>
        <v/>
      </c>
      <c r="BR43" s="1129" t="str">
        <f t="shared" si="8"/>
        <v/>
      </c>
      <c r="BS43" s="1129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6"/>
        <v/>
      </c>
      <c r="BX43" s="29" t="str">
        <f t="shared" si="37"/>
        <v/>
      </c>
      <c r="BY43" s="28" t="str">
        <f>IF($G43="","",$G43*(IF(ADRYr2!$AI43=BY$4,ADRYr2!$AJ43,IF(ADRYr2!$AK43=BY$4,ADRYr2!$AL43,IF(ADRYr2!$AM43=BY$4,ADRYr2!$AN43,0))))*(INDEX(avoidedcosttbl2,$H43,BY$2)+(($H43-ROUNDDOWN($H43,0))*(INDEX(avoidedcosttbl2,ROUNDUP($H43,0),BY$2)-(INDEX(avoidedcosttbl2,ROUNDDOWN($H43,0),BY$2)))))*ADRYr2!P43*ADRYr2!Q43*ADRYr2!U43)</f>
        <v/>
      </c>
      <c r="BZ43" s="28" t="str">
        <f>IF($G43="","",$G43*(IF(ADRYr2!$AI43=BZ$4,ADRYr2!$AJ43,IF(ADRYr2!$AK43=BZ$4,ADRYr2!$AL43,IF(ADRYr2!$AM43=BZ$4,ADRYr2!$AN43,0))))*(INDEX(avoidedcosttbl2,$H43,BZ$2)+(($H43-ROUNDDOWN($H43,0))*(INDEX(avoidedcosttbl2,ROUNDUP($H43,0),BZ$2)-(INDEX(avoidedcosttbl2,ROUNDDOWN($H43,0),BZ$2)))))*ADRYr2!P43*ADRYr2!Q43*ADRYr2!U43)</f>
        <v/>
      </c>
      <c r="CA43" s="28" t="str">
        <f>IF($G43="","",$G43*(IF(ADRYr2!$AI43=CA$4,ADRYr2!$AJ43,IF(ADRYr2!$AK43=CA$4,ADRYr2!$AL43,IF(ADRYr2!$AM43=CA$4,ADRYr2!$AN43,0))))*(INDEX(avoidedcosttbl2,$H43,CA$2)+(($H43-ROUNDDOWN($H43,0))*(INDEX(avoidedcosttbl2,ROUNDUP($H43,0),CA$2)-(INDEX(avoidedcosttbl2,ROUNDDOWN($H43,0),CA$2)))))*ADRYr2!P43*ADRYr2!Q43*ADRYr2!U43)</f>
        <v/>
      </c>
      <c r="CB43" s="28" t="str">
        <f>IF($G43="","",$G43*(IF(ADRYr2!$AI43=CB$4,ADRYr2!$AJ43,IF(ADRYr2!$AK43=CB$4,ADRYr2!$AL43,IF(ADRYr2!$AM43=CB$4,ADRYr2!$AN43,0))))*(INDEX(avoidedcosttbl2,$H43,CB$2)+(($H43-ROUNDDOWN($H43,0))*(INDEX(avoidedcosttbl2,ROUNDUP($H43,0),CB$2)-(INDEX(avoidedcosttbl2,ROUNDDOWN($H43,0),CB$2)))))*ADRYr2!P43*ADRYr2!Q43*ADRYr2!U43)</f>
        <v/>
      </c>
      <c r="CC43" s="28" t="str">
        <f>IF($G43="","",$G43*(IF(ADRYr2!$AI43=CC$4,ADRYr2!$AJ43,IF(ADRYr2!$AK43=CC$4,ADRYr2!$AL43,IF(ADRYr2!$AM43=CC$4,ADRYr2!$AN43,0))))*(INDEX(avoidedcosttbl2,$H43,CC$2)+(($H43-ROUNDDOWN($H43,0))*(INDEX(avoidedcosttbl2,ROUNDUP($H43,0),CC$2)-(INDEX(avoidedcosttbl2,ROUNDDOWN($H43,0),CC$2)))))*ADRYr2!P43*ADRYr2!Q43*ADRYr2!U43)</f>
        <v/>
      </c>
      <c r="CD43" s="28" t="str">
        <f>IF($G43="","",$G43*(IF(ADRYr2!$AI43=CD$4,ADRYr2!$AJ43,IF(ADRYr2!$AK43=CD$4,ADRYr2!$AL43,IF(ADRYr2!$AM43=CD$4,ADRYr2!$AN43,0))))*(INDEX(avoidedcosttbl2,$H43,CD$2)+(($H43-ROUNDDOWN($H43,0))*(INDEX(avoidedcosttbl2,ROUNDUP($H43,0),CD$2)-(INDEX(avoidedcosttbl2,ROUNDDOWN($H43,0),CD$2)))))*ADRYr2!P43*ADRYr2!Q43*ADRYr2!U43)</f>
        <v/>
      </c>
      <c r="CE43" s="28" t="str">
        <f>IF($G43="","",$G43*(IF(ADRYr2!$AI43=CE$4,ADRYr2!$AJ43,IF(ADRYr2!$AK43=CE$4,ADRYr2!$AL43,IF(ADRYr2!$AM43=CE$4,ADRYr2!$AN43,0))))*(INDEX(avoidedcosttbl2,$H43,CE$2)+(($H43-ROUNDDOWN($H43,0))*(INDEX(avoidedcosttbl2,ROUNDUP($H43,0),CE$2)-(INDEX(avoidedcosttbl2,ROUNDDOWN($H43,0),CE$2)))))*ADRYr2!P43*ADRYr2!Q43*ADRYr2!U43)</f>
        <v/>
      </c>
      <c r="CF43" s="41" t="str">
        <f t="shared" si="38"/>
        <v/>
      </c>
      <c r="CG43" s="30" t="str">
        <f t="shared" si="11"/>
        <v/>
      </c>
      <c r="CH43" s="30" t="str">
        <f>IF($G43="","",$G43*(IF(ADRYr2!$AI43=BY$4,ADRYr2!$AJ43,IF(ADRYr2!$AK43=BY$4,ADRYr2!$AL43,IF(ADRYr2!$AM43=BY$4,ADRYr2!$AN43,0))))*(INDEX(avoidedcosttbl2,$H43,CH$2)+(($H43-ROUNDDOWN($H43,0))*(INDEX(avoidedcosttbl2,ROUNDUP($H43,0),CH$2)-(INDEX(avoidedcosttbl2,ROUNDDOWN($H43,0),CH$2)))))*ADRYr2!P43*ADRYr2!Q43*ADRYr2!U43)</f>
        <v/>
      </c>
      <c r="CI43" s="30" t="str">
        <f>IF($G43="","",$G43*(IF(ADRYr2!$AI43=BZ$4,ADRYr2!$AJ43,IF(ADRYr2!$AK43=BZ$4,ADRYr2!$AL43,IF(ADRYr2!$AM43=BZ$4,ADRYr2!$AN43,0))))*(INDEX(avoidedcosttbl2,$H43,CI$2)+(($H43-ROUNDDOWN($H43,0))*(INDEX(avoidedcosttbl2,ROUNDUP($H43,0),CI$2)-(INDEX(avoidedcosttbl2,ROUNDDOWN($H43,0),CI$2)))))*ADRYr2!P43*ADRYr2!Q43*ADRYr2!U43)</f>
        <v/>
      </c>
      <c r="CJ43" s="30" t="str">
        <f>IF($G43="","",$G43*(IF(ADRYr2!$AI43=CA$4,ADRYr2!$AJ43,IF(ADRYr2!$AK43=CA$4,ADRYr2!$AL43,IF(ADRYr2!$AM43=CA$4,ADRYr2!$AN43,0))))*(INDEX(avoidedcosttbl2,$H43,CJ$2)+(($H43-ROUNDDOWN($H43,0))*(INDEX(avoidedcosttbl2,ROUNDUP($H43,0),CJ$2)-(INDEX(avoidedcosttbl2,ROUNDDOWN($H43,0),CJ$2)))))*ADRYr2!P43*ADRYr2!Q43*ADRYr2!U43)</f>
        <v/>
      </c>
      <c r="CK43" s="30" t="str">
        <f>IF($G43="","",$G43*(IF(ADRYr2!$AI43=CB$4,ADRYr2!$AJ43,IF(ADRYr2!$AK43=CB$4,ADRYr2!$AL43,IF(ADRYr2!$AM43=CB$4,ADRYr2!$AN43,0))))*(INDEX(avoidedcosttbl2,$H43,CK$2)+(($H43-ROUNDDOWN($H43,0))*(INDEX(avoidedcosttbl2,ROUNDUP($H43,0),CK$2)-(INDEX(avoidedcosttbl2,ROUNDDOWN($H43,0),CK$2)))))*ADRYr2!P43*ADRYr2!Q43*ADRYr2!U43)</f>
        <v/>
      </c>
      <c r="CL43" s="30" t="str">
        <f>IF($G43="","",$G43*(IF(ADRYr2!$AI43=CC$4,ADRYr2!$AJ43,IF(ADRYr2!$AK43=CC$4,ADRYr2!$AL43,IF(ADRYr2!$AM43=CC$4,ADRYr2!$AN43,0))))*(INDEX(avoidedcosttbl2,$H43,CL$2)+(($H43-ROUNDDOWN($H43,0))*(INDEX(avoidedcosttbl2,ROUNDUP($H43,0),CL$2)-(INDEX(avoidedcosttbl2,ROUNDDOWN($H43,0),CL$2)))))*ADRYr2!P43*ADRYr2!Q43*ADRYr2!U43)</f>
        <v/>
      </c>
      <c r="CM43" s="30" t="str">
        <f>IF($G43="","",$G43*(IF(ADRYr2!$AI43=CD$4,ADRYr2!$AJ43,IF(ADRYr2!$AK43=CD$4,ADRYr2!$AL43,IF(ADRYr2!$AM43=CD$4,ADRYr2!$AN43,0))))*(INDEX(avoidedcosttbl2,$H43,CM$2)+(($H43-ROUNDDOWN($H43,0))*(INDEX(avoidedcosttbl2,ROUNDUP($H43,0),CM$2)-(INDEX(avoidedcosttbl2,ROUNDDOWN($H43,0),CM$2)))))*ADRYr2!P43*ADRYr2!Q43*ADRYr2!U43)</f>
        <v/>
      </c>
      <c r="CN43" s="30" t="str">
        <f>IF($G43="","",$G43*(IF(ADRYr2!$AI43=CE$4,ADRYr2!$AJ43,IF(ADRYr2!$AK43=CE$4,ADRYr2!$AL43,IF(ADRYr2!$AM43=CE$4,ADRYr2!$AN43,0))))*(INDEX(avoidedcosttbl2,$H43,CN$2)+(($H43-ROUNDDOWN($H43,0))*(INDEX(avoidedcosttbl2,ROUNDUP($H43,0),CN$2)-(INDEX(avoidedcosttbl2,ROUNDDOWN($H43,0),CN$2)))))*ADRYr2!P43*ADRYr2!Q43*ADRYr2!U43)</f>
        <v/>
      </c>
      <c r="CO43" s="220" t="str">
        <f t="shared" si="39"/>
        <v/>
      </c>
      <c r="CP43" s="220" t="str">
        <f t="shared" si="40"/>
        <v/>
      </c>
      <c r="CQ43" s="157" t="str">
        <f>IF($G43="","",$G43*(IF(ADRYr2!$AI43=CQ$4,ADRYr2!$AJ43,IF(ADRYr2!$AK43=CQ$4,ADRYr2!$AL43,IF(ADRYr2!$AM43=CQ$4,ADRYr2!$AN43,0))))*(INDEX(avoidedcosttbl2,$H43,CQ$2)+(($H43-ROUNDDOWN($H43,0))*(INDEX(avoidedcosttbl2,ROUNDUP($H43,0),CQ$2)-(INDEX(avoidedcosttbl2,ROUNDDOWN($H43,0),CQ$2)))))*ADRYr2!$P43*ADRYr2!$Q43*ADRYr2!$U43)</f>
        <v/>
      </c>
      <c r="CR43" s="28" t="str">
        <f>IF($G43="","",G43*(IF(ADRYr2!$AI43=CR$4,ADRYr2!$AJ43,IF(ADRYr2!$AK43=CR$4,ADRYr2!$AL43,IF(ADRYr2!$AM43=CR$4,ADRYr2!$AN43,0))))*(INDEX(avoidedcosttbl2,$H43,CR$2)+(($H43-ROUNDDOWN($H43,0))*(INDEX(avoidedcosttbl2,ROUNDUP($H43,0),CR$2)-(INDEX(avoidedcosttbl2,ROUNDDOWN($H43,0),CR$2)))))*ADRYr2!$P43*ADRYr2!$Q43*ADRYr2!$U43)</f>
        <v/>
      </c>
      <c r="CS43" s="28" t="str">
        <f>IF($G43="","",G43*(IF(ADRYr2!$AI43=CS$4,ADRYr2!$AJ43,IF(ADRYr2!$AK43=CS$4,ADRYr2!$AL43,IF(ADRYr2!$AM43=CS$4,ADRYr2!$AN43,0))))*(INDEX(avoidedcosttbl2,$H43,CS$2)+(($H43-ROUNDDOWN($H43,0))*(INDEX(avoidedcosttbl2,ROUNDUP($H43,0),CS$2)-(INDEX(avoidedcosttbl2,ROUNDDOWN($H43,0),CS$2)))))*ADRYr2!$P43*ADRYr2!$Q43*ADRYr2!$U43)</f>
        <v/>
      </c>
      <c r="CT43" s="28" t="str">
        <f t="shared" si="12"/>
        <v/>
      </c>
      <c r="CU43" s="28" t="str">
        <f>IF($G43="","",G43*(IF(ADRYr2!$AI43=CU$4,ADRYr2!$AJ43,IF(ADRYr2!$AK43=CU$4,ADRYr2!$AL43,IF(ADRYr2!$AM43=CU$4,ADRYr2!$AN43,0))))*(INDEX(avoidedcosttbl2,$H43,CU$2)+(($H43-ROUNDDOWN($H43,0))*(INDEX(avoidedcosttbl2,ROUNDUP($H43,0),CU$2)-(INDEX(avoidedcosttbl2,ROUNDDOWN($H43,0),CU$2)))))*ADRYr2!$P43*ADRYr2!$Q43*ADRYr2!$U43)</f>
        <v/>
      </c>
      <c r="CV43" s="28" t="str">
        <f>IF($G43="","",G43*(IF(ADRYr2!$AI43=CV$4,ADRYr2!$AJ43,IF(ADRYr2!$AK43=CV$4,ADRYr2!$AL43,IF(ADRYr2!$AM43=CV$4,ADRYr2!$AN43,0))))*(INDEX(avoidedcosttbl2,$H43,CV$2)+(($H43-ROUNDDOWN($H43,0))*(INDEX(avoidedcosttbl2,ROUNDUP($H43,0),CV$2)-(INDEX(avoidedcosttbl2,ROUNDDOWN($H43,0),CV$2)))))*ADRYr2!$P43*ADRYr2!$Q43*ADRYr2!$U43)</f>
        <v/>
      </c>
      <c r="CW43" s="28" t="str">
        <f>IF($G43="","",G43*(IF(ADRYr2!$AI43=CW$4,ADRYr2!$AJ43,IF(ADRYr2!$AK43=CW$4,ADRYr2!$AL43,IF(ADRYr2!$AM43=CW$4,ADRYr2!$AN43,0))))*(INDEX(avoidedcosttbl2,$H43,CW$2)+(($H43-ROUNDDOWN($H43,0))*(INDEX(avoidedcosttbl2,ROUNDUP($H43,0),CW$2)-(INDEX(avoidedcosttbl2,ROUNDDOWN($H43,0),CW$2)))))*ADRYr2!$P43*ADRYr2!$Q43*ADRYr2!$U43)</f>
        <v/>
      </c>
      <c r="CX43" s="28" t="str">
        <f>IF($G43="","",G43*(IF(ADRYr2!$AI43=CX$4,ADRYr2!$AJ43,IF(ADRYr2!$AK43=CX$4,ADRYr2!$AL43,IF(ADRYr2!$AM43=CX$4,ADRYr2!$AN43,0))))*(INDEX(avoidedcosttbl2,$H43,CX$2)+(($H43-ROUNDDOWN($H43,0))*(INDEX(avoidedcosttbl2,ROUNDUP($H43,0),CX$2)-(INDEX(avoidedcosttbl2,ROUNDDOWN($H43,0),CX$2)))))*ADRYr2!$P43*ADRYr2!$Q43*ADRYr2!$U43)</f>
        <v/>
      </c>
      <c r="CY43" s="28" t="str">
        <f t="shared" si="13"/>
        <v/>
      </c>
      <c r="CZ43" s="32" t="str">
        <f t="shared" si="14"/>
        <v/>
      </c>
      <c r="DA43" s="84" t="str">
        <f t="shared" si="41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15"/>
        <v/>
      </c>
      <c r="DD43" s="166" t="str">
        <f t="shared" si="16"/>
        <v/>
      </c>
      <c r="DE43" s="82">
        <f t="shared" si="42"/>
        <v>0</v>
      </c>
      <c r="DF43" s="760" t="str">
        <f>IF($G43="","",(1+WntPeakEnergyLL)*(INDEX(avoidedcosttbl2,$H43,DF$2)+(($H43-ROUNDDOWN($H43,0))*(INDEX(avoidedcosttbl2,ROUNDUP($H43,0),DF$2)-(INDEX(avoidedcosttbl2,ROUNDDOWN($H43,0),DF$2)))))*$P43*1000*ADRYr2!Z43)</f>
        <v/>
      </c>
      <c r="DG43" s="760" t="str">
        <f>IF($G43="","",(1+WntOffPeakEnergyLL)*(INDEX(avoidedcosttbl2,$H43,DG$2)+(($H43-ROUNDDOWN($H43,0))*(INDEX(avoidedcosttbl2,ROUNDUP($H43,0),DG$2)-(INDEX(avoidedcosttbl2,ROUNDDOWN($H43,0),DG$2)))))*$P43*1000*ADRYr2!AA43)</f>
        <v/>
      </c>
      <c r="DH43" s="760" t="str">
        <f>IF($G43="","",(1+SumPeakEnergyLL)*(INDEX(avoidedcosttbl2,$H43,DH$2)+(($H43-ROUNDDOWN($H43,0))*(INDEX(avoidedcosttbl2,ROUNDUP($H43,0),DH$2)-(INDEX(avoidedcosttbl2,ROUNDDOWN($H43,0),DH$2)))))*$P43*1000*ADRYr2!AB43)</f>
        <v/>
      </c>
      <c r="DI43" s="760" t="str">
        <f>IF($G43="","",(1+SumOffPeakEnergyLL)*(INDEX(avoidedcosttbl2,$H43,DI$2)+(($H43-ROUNDDOWN($H43,0))*(INDEX(avoidedcosttbl2,ROUNDUP($H43,0),DI$2)-(INDEX(avoidedcosttbl2,ROUNDDOWN($H43,0),DI$2)))))*$P43*1000*ADRYr2!AC43)</f>
        <v/>
      </c>
      <c r="DJ43" s="29" t="str">
        <f t="shared" si="43"/>
        <v/>
      </c>
      <c r="DK43" s="161" t="str">
        <f t="shared" si="51"/>
        <v/>
      </c>
      <c r="DO43" s="1131" t="str">
        <f>IF($G43="","",ADRYr2!AQ43)</f>
        <v/>
      </c>
      <c r="DP43" s="1133" t="str">
        <f>IF($G43="","",ADRYr2!AR43)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48"/>
        <v/>
      </c>
      <c r="DU43" s="1135" t="str">
        <f>IF($G43="","",ADRYr2!AS43)</f>
        <v/>
      </c>
      <c r="DV43" s="1136" t="str">
        <f>IF($G43="","",ADRYr2!AT43)</f>
        <v/>
      </c>
      <c r="DW43" s="1344" t="str">
        <f>IF($G43="","",INDEX(AvoidedEnergy!$H$4:$H$10,MATCH($DO43,AvoidedEnergy!$A$4:$A$10,0)))</f>
        <v/>
      </c>
    </row>
    <row r="44" spans="1:127">
      <c r="A44" s="160" t="str">
        <f>IF(ADRYr2!$B44=0,"",ADRYr2!A44)</f>
        <v/>
      </c>
      <c r="B44" s="9" t="str">
        <f>IF(ADRYr2!$B44=0,"",ADRYr2!B44)</f>
        <v/>
      </c>
      <c r="C44" s="9" t="str">
        <f>IF(ADRYr2!$B44=0,"",ADRYr2!C44)</f>
        <v/>
      </c>
      <c r="D44" s="9" t="str">
        <f>IF(ADRYr2!$B44=0,"",ADRYr2!D44)</f>
        <v/>
      </c>
      <c r="E44" s="9"/>
      <c r="F44" s="11" t="str">
        <f>IF(ADRYr2!$B44=0,"",ADRYr2!F44)</f>
        <v/>
      </c>
      <c r="G44" s="12" t="str">
        <f>IF(ADRYr2!$G44&lt;&gt;0,ADRYr2!G44,"")</f>
        <v/>
      </c>
      <c r="H44" s="1125" t="str">
        <f>IF($G44="","",ROUND(ADRYr2!H44,0))</f>
        <v/>
      </c>
      <c r="I44" s="47" t="str">
        <f>IF($G44="","",ADRYr2!I44*ADRYr2!P44*G44)</f>
        <v/>
      </c>
      <c r="J44" s="47" t="str">
        <f>IF($G44="","",ADRYr2!J44*G44)</f>
        <v/>
      </c>
      <c r="K44" s="47" t="str">
        <f t="shared" si="17"/>
        <v/>
      </c>
      <c r="L44" s="27" t="str">
        <f>IF($G44="","",ADRYr2!V44*G44/1000)</f>
        <v/>
      </c>
      <c r="M44" s="27" t="str">
        <f>IF($G44="","",L44*ADRYr2!$Q44*ADRYr2!$R44)</f>
        <v/>
      </c>
      <c r="N44" s="27" t="str">
        <f t="shared" si="18"/>
        <v/>
      </c>
      <c r="O44" s="27" t="str">
        <f t="shared" si="19"/>
        <v/>
      </c>
      <c r="P44" s="27" t="str">
        <f>IF($G44="","",M44*ADRYr2!P44)</f>
        <v/>
      </c>
      <c r="Q44" s="27" t="str">
        <f t="shared" si="20"/>
        <v/>
      </c>
      <c r="R44" s="27" t="str">
        <f>IF($G44="","",$Q44*ADRYr2!Z44)</f>
        <v/>
      </c>
      <c r="S44" s="27" t="str">
        <f>IF($G44="","",$Q44*ADRYr2!AA44)</f>
        <v/>
      </c>
      <c r="T44" s="27" t="str">
        <f>IF($G44="","",$Q44*ADRYr2!AB44)</f>
        <v/>
      </c>
      <c r="U44" s="27" t="str">
        <f>IF($G44="","",$Q44*ADRYr2!AC44)</f>
        <v/>
      </c>
      <c r="V44" s="27" t="str">
        <f>IF($G44="","",G44*ADRYr2!$AD44*ADRYr2!$P44*ADRYr2!$Q44)</f>
        <v/>
      </c>
      <c r="W44" s="27" t="str">
        <f>IF($G44="","",$G44*ADRYr2!$AD44*ADRYr2!$AF44*ADRYr2!Q44*ADRYr2!$S44)</f>
        <v/>
      </c>
      <c r="X44" s="27" t="str">
        <f>IF($G44="","",$G44*ADRYr2!$AD44*ADRYr2!$AF44*ADRYr2!P44*ADRYr2!Q44*ADRYr2!$S44)</f>
        <v/>
      </c>
      <c r="Y44" s="27" t="str">
        <f>IF($G44="","",$G44*ADRYr2!$AD44*ADRYr2!$AE44*ADRYr2!Q44*ADRYr2!$T44)</f>
        <v/>
      </c>
      <c r="Z44" s="27" t="str">
        <f>IF($G44="","",$G44*ADRYr2!$AD44*ADRYr2!$AE44*ADRYr2!P44*ADRYr2!Q44*ADRYr2!$T44)</f>
        <v/>
      </c>
      <c r="AA44" s="45" t="str">
        <f>IF($G44="","",$G44*ADRYr2!$Q44*ADRYr2!$U44*(IF(IFERROR(SEARCH("NG", ADRYr2!$AI44),0),ADRYr2!$AJ44,0)+IF(IFERROR(SEARCH("NG", ADRYr2!$AK44),0),ADRYr2!$AL44,0)+IF(IFERROR(SEARCH("NG", ADRYr2!$AM44),0),ADRYr2!$AN44,0)))</f>
        <v/>
      </c>
      <c r="AB44" s="45" t="str">
        <f t="shared" si="21"/>
        <v/>
      </c>
      <c r="AC44" s="45">
        <f>IF($G44="",0,AA44*ADRYr2!$P44)</f>
        <v>0</v>
      </c>
      <c r="AD44" s="45" t="str">
        <f t="shared" si="22"/>
        <v/>
      </c>
      <c r="AE44" s="45" t="str">
        <f>IF($G44="","",$G44*ADRYr2!$Q44*ADRYr2!$U44*(IF(IFERROR(SEARCH("Oil", ADRYr2!$AI44), 0),ADRYr2!$AJ44,0)+IF(IFERROR(SEARCH("Oil", ADRYr2!$AK44), 0),ADRYr2!$AL44,0)+IF(IFERROR(SEARCH("Oil", ADRYr2!$AM44), 0),ADRYr2!$AN44,0)))</f>
        <v/>
      </c>
      <c r="AF44" s="45" t="str">
        <f t="shared" si="23"/>
        <v/>
      </c>
      <c r="AG44" s="45">
        <f>IF($G44="",0,AE44*ADRYr2!$P44)</f>
        <v>0</v>
      </c>
      <c r="AH44" s="45" t="str">
        <f t="shared" si="24"/>
        <v/>
      </c>
      <c r="AI44" s="45" t="str">
        <f>IF($G44="","",$G44*ADRYr2!$Q44*ADRYr2!$U44*(IF(ADRYr2!$AI44=Lookups!$E$114,ADRYr2!$AJ44,IF(ADRYr2!$AK44=Lookups!$E$114,ADRYr2!$AL44,IF(ADRYr2!$AM44=Lookups!$E$114,ADRYr2!$AN44,0)))))</f>
        <v/>
      </c>
      <c r="AJ44" s="45" t="str">
        <f t="shared" si="25"/>
        <v/>
      </c>
      <c r="AK44" s="45">
        <f>IF($G44="",0,AI44*ADRYr2!$P44)</f>
        <v>0</v>
      </c>
      <c r="AL44" s="45" t="str">
        <f t="shared" si="26"/>
        <v/>
      </c>
      <c r="AM44" s="45" t="str">
        <f>IF($G44="","",$G44*ADRYr2!$Q44*ADRYr2!$U44*(IF(ADRYr2!$AI44=Lookups!$E$113,ADRYr2!$AJ44,IF(ADRYr2!$AK44=Lookups!$E$113,ADRYr2!$AL44,IF(ADRYr2!$AM44=Lookups!$E$113,ADRYr2!$AN44,0)))))</f>
        <v/>
      </c>
      <c r="AN44" s="45" t="str">
        <f t="shared" si="27"/>
        <v/>
      </c>
      <c r="AO44" s="45">
        <f>IF($G44="",0,AM44*ADRYr2!$P44)</f>
        <v>0</v>
      </c>
      <c r="AP44" s="45" t="str">
        <f t="shared" si="28"/>
        <v/>
      </c>
      <c r="AQ44" s="45" t="str">
        <f>IF($G44="","",$G44*ADRYr2!$Q44*ADRYr2!$U44*(IF(ADRYr2!$AI44=Lookups!$E$115,ADRYr2!$AJ44,IF(ADRYr2!$AK44=Lookups!$E$115,ADRYr2!$AL44,IF(ADRYr2!$AM44=Lookups!$E$115,ADRYr2!$AN44,0)))))</f>
        <v/>
      </c>
      <c r="AR44" s="45" t="str">
        <f t="shared" si="29"/>
        <v/>
      </c>
      <c r="AS44" s="45" t="str">
        <f>IF($G44="","",AQ44*ADRYr2!$P44)</f>
        <v/>
      </c>
      <c r="AT44" s="45" t="str">
        <f t="shared" si="30"/>
        <v/>
      </c>
      <c r="AU44" s="45" t="str">
        <f>IF($G44="","",$G44*ADRYr2!$Q44*ADRYr2!$U44*(IF(ADRYr2!$AI44=Lookups!$E$116,ADRYr2!$AJ44,IF(ADRYr2!$AK44=Lookups!$E$116,ADRYr2!$AL44,IF(ADRYr2!$AM44=Lookups!$E$116,ADRYr2!$AN44,0)))))</f>
        <v/>
      </c>
      <c r="AV44" s="45" t="str">
        <f t="shared" si="31"/>
        <v/>
      </c>
      <c r="AW44" s="45" t="str">
        <f>IF($G44="","",AU44*ADRYr2!$P44)</f>
        <v/>
      </c>
      <c r="AX44" s="45" t="str">
        <f t="shared" si="32"/>
        <v/>
      </c>
      <c r="AY44" s="45">
        <f t="shared" si="49"/>
        <v>0</v>
      </c>
      <c r="AZ44" s="45">
        <f t="shared" si="49"/>
        <v>0</v>
      </c>
      <c r="BA44" s="101" t="str">
        <f>IF($G44="","",$G44*ADRYr2!$P44*ADRYr2!$Q44*ADRYr2!$U44*ADRYr2!AO44)</f>
        <v/>
      </c>
      <c r="BB44" s="102" t="str">
        <f>IF($G44="","",$G44*ADRYr2!$P44*ADRYr2!$Q44*ADRYr2!$U44*ADRYr2!AP44)</f>
        <v/>
      </c>
      <c r="BC44" s="100" t="str">
        <f t="shared" si="34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5"/>
        <v/>
      </c>
      <c r="BO44" s="31" t="str">
        <f t="shared" si="35"/>
        <v/>
      </c>
      <c r="BP44" s="1129" t="str">
        <f t="shared" si="6"/>
        <v/>
      </c>
      <c r="BQ44" s="28" t="str">
        <f t="shared" si="7"/>
        <v/>
      </c>
      <c r="BR44" s="1129" t="str">
        <f t="shared" si="8"/>
        <v/>
      </c>
      <c r="BS44" s="1129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6"/>
        <v/>
      </c>
      <c r="BX44" s="29" t="str">
        <f t="shared" si="37"/>
        <v/>
      </c>
      <c r="BY44" s="28" t="str">
        <f>IF($G44="","",$G44*(IF(ADRYr2!$AI44=BY$4,ADRYr2!$AJ44,IF(ADRYr2!$AK44=BY$4,ADRYr2!$AL44,IF(ADRYr2!$AM44=BY$4,ADRYr2!$AN44,0))))*(INDEX(avoidedcosttbl2,$H44,BY$2)+(($H44-ROUNDDOWN($H44,0))*(INDEX(avoidedcosttbl2,ROUNDUP($H44,0),BY$2)-(INDEX(avoidedcosttbl2,ROUNDDOWN($H44,0),BY$2)))))*ADRYr2!P44*ADRYr2!Q44*ADRYr2!U44)</f>
        <v/>
      </c>
      <c r="BZ44" s="28" t="str">
        <f>IF($G44="","",$G44*(IF(ADRYr2!$AI44=BZ$4,ADRYr2!$AJ44,IF(ADRYr2!$AK44=BZ$4,ADRYr2!$AL44,IF(ADRYr2!$AM44=BZ$4,ADRYr2!$AN44,0))))*(INDEX(avoidedcosttbl2,$H44,BZ$2)+(($H44-ROUNDDOWN($H44,0))*(INDEX(avoidedcosttbl2,ROUNDUP($H44,0),BZ$2)-(INDEX(avoidedcosttbl2,ROUNDDOWN($H44,0),BZ$2)))))*ADRYr2!P44*ADRYr2!Q44*ADRYr2!U44)</f>
        <v/>
      </c>
      <c r="CA44" s="28" t="str">
        <f>IF($G44="","",$G44*(IF(ADRYr2!$AI44=CA$4,ADRYr2!$AJ44,IF(ADRYr2!$AK44=CA$4,ADRYr2!$AL44,IF(ADRYr2!$AM44=CA$4,ADRYr2!$AN44,0))))*(INDEX(avoidedcosttbl2,$H44,CA$2)+(($H44-ROUNDDOWN($H44,0))*(INDEX(avoidedcosttbl2,ROUNDUP($H44,0),CA$2)-(INDEX(avoidedcosttbl2,ROUNDDOWN($H44,0),CA$2)))))*ADRYr2!P44*ADRYr2!Q44*ADRYr2!U44)</f>
        <v/>
      </c>
      <c r="CB44" s="28" t="str">
        <f>IF($G44="","",$G44*(IF(ADRYr2!$AI44=CB$4,ADRYr2!$AJ44,IF(ADRYr2!$AK44=CB$4,ADRYr2!$AL44,IF(ADRYr2!$AM44=CB$4,ADRYr2!$AN44,0))))*(INDEX(avoidedcosttbl2,$H44,CB$2)+(($H44-ROUNDDOWN($H44,0))*(INDEX(avoidedcosttbl2,ROUNDUP($H44,0),CB$2)-(INDEX(avoidedcosttbl2,ROUNDDOWN($H44,0),CB$2)))))*ADRYr2!P44*ADRYr2!Q44*ADRYr2!U44)</f>
        <v/>
      </c>
      <c r="CC44" s="28" t="str">
        <f>IF($G44="","",$G44*(IF(ADRYr2!$AI44=CC$4,ADRYr2!$AJ44,IF(ADRYr2!$AK44=CC$4,ADRYr2!$AL44,IF(ADRYr2!$AM44=CC$4,ADRYr2!$AN44,0))))*(INDEX(avoidedcosttbl2,$H44,CC$2)+(($H44-ROUNDDOWN($H44,0))*(INDEX(avoidedcosttbl2,ROUNDUP($H44,0),CC$2)-(INDEX(avoidedcosttbl2,ROUNDDOWN($H44,0),CC$2)))))*ADRYr2!P44*ADRYr2!Q44*ADRYr2!U44)</f>
        <v/>
      </c>
      <c r="CD44" s="28" t="str">
        <f>IF($G44="","",$G44*(IF(ADRYr2!$AI44=CD$4,ADRYr2!$AJ44,IF(ADRYr2!$AK44=CD$4,ADRYr2!$AL44,IF(ADRYr2!$AM44=CD$4,ADRYr2!$AN44,0))))*(INDEX(avoidedcosttbl2,$H44,CD$2)+(($H44-ROUNDDOWN($H44,0))*(INDEX(avoidedcosttbl2,ROUNDUP($H44,0),CD$2)-(INDEX(avoidedcosttbl2,ROUNDDOWN($H44,0),CD$2)))))*ADRYr2!P44*ADRYr2!Q44*ADRYr2!U44)</f>
        <v/>
      </c>
      <c r="CE44" s="28" t="str">
        <f>IF($G44="","",$G44*(IF(ADRYr2!$AI44=CE$4,ADRYr2!$AJ44,IF(ADRYr2!$AK44=CE$4,ADRYr2!$AL44,IF(ADRYr2!$AM44=CE$4,ADRYr2!$AN44,0))))*(INDEX(avoidedcosttbl2,$H44,CE$2)+(($H44-ROUNDDOWN($H44,0))*(INDEX(avoidedcosttbl2,ROUNDUP($H44,0),CE$2)-(INDEX(avoidedcosttbl2,ROUNDDOWN($H44,0),CE$2)))))*ADRYr2!P44*ADRYr2!Q44*ADRYr2!U44)</f>
        <v/>
      </c>
      <c r="CF44" s="41" t="str">
        <f t="shared" si="38"/>
        <v/>
      </c>
      <c r="CG44" s="30" t="str">
        <f t="shared" si="11"/>
        <v/>
      </c>
      <c r="CH44" s="30" t="str">
        <f>IF($G44="","",$G44*(IF(ADRYr2!$AI44=BY$4,ADRYr2!$AJ44,IF(ADRYr2!$AK44=BY$4,ADRYr2!$AL44,IF(ADRYr2!$AM44=BY$4,ADRYr2!$AN44,0))))*(INDEX(avoidedcosttbl2,$H44,CH$2)+(($H44-ROUNDDOWN($H44,0))*(INDEX(avoidedcosttbl2,ROUNDUP($H44,0),CH$2)-(INDEX(avoidedcosttbl2,ROUNDDOWN($H44,0),CH$2)))))*ADRYr2!P44*ADRYr2!Q44*ADRYr2!U44)</f>
        <v/>
      </c>
      <c r="CI44" s="30" t="str">
        <f>IF($G44="","",$G44*(IF(ADRYr2!$AI44=BZ$4,ADRYr2!$AJ44,IF(ADRYr2!$AK44=BZ$4,ADRYr2!$AL44,IF(ADRYr2!$AM44=BZ$4,ADRYr2!$AN44,0))))*(INDEX(avoidedcosttbl2,$H44,CI$2)+(($H44-ROUNDDOWN($H44,0))*(INDEX(avoidedcosttbl2,ROUNDUP($H44,0),CI$2)-(INDEX(avoidedcosttbl2,ROUNDDOWN($H44,0),CI$2)))))*ADRYr2!P44*ADRYr2!Q44*ADRYr2!U44)</f>
        <v/>
      </c>
      <c r="CJ44" s="30" t="str">
        <f>IF($G44="","",$G44*(IF(ADRYr2!$AI44=CA$4,ADRYr2!$AJ44,IF(ADRYr2!$AK44=CA$4,ADRYr2!$AL44,IF(ADRYr2!$AM44=CA$4,ADRYr2!$AN44,0))))*(INDEX(avoidedcosttbl2,$H44,CJ$2)+(($H44-ROUNDDOWN($H44,0))*(INDEX(avoidedcosttbl2,ROUNDUP($H44,0),CJ$2)-(INDEX(avoidedcosttbl2,ROUNDDOWN($H44,0),CJ$2)))))*ADRYr2!P44*ADRYr2!Q44*ADRYr2!U44)</f>
        <v/>
      </c>
      <c r="CK44" s="30" t="str">
        <f>IF($G44="","",$G44*(IF(ADRYr2!$AI44=CB$4,ADRYr2!$AJ44,IF(ADRYr2!$AK44=CB$4,ADRYr2!$AL44,IF(ADRYr2!$AM44=CB$4,ADRYr2!$AN44,0))))*(INDEX(avoidedcosttbl2,$H44,CK$2)+(($H44-ROUNDDOWN($H44,0))*(INDEX(avoidedcosttbl2,ROUNDUP($H44,0),CK$2)-(INDEX(avoidedcosttbl2,ROUNDDOWN($H44,0),CK$2)))))*ADRYr2!P44*ADRYr2!Q44*ADRYr2!U44)</f>
        <v/>
      </c>
      <c r="CL44" s="30" t="str">
        <f>IF($G44="","",$G44*(IF(ADRYr2!$AI44=CC$4,ADRYr2!$AJ44,IF(ADRYr2!$AK44=CC$4,ADRYr2!$AL44,IF(ADRYr2!$AM44=CC$4,ADRYr2!$AN44,0))))*(INDEX(avoidedcosttbl2,$H44,CL$2)+(($H44-ROUNDDOWN($H44,0))*(INDEX(avoidedcosttbl2,ROUNDUP($H44,0),CL$2)-(INDEX(avoidedcosttbl2,ROUNDDOWN($H44,0),CL$2)))))*ADRYr2!P44*ADRYr2!Q44*ADRYr2!U44)</f>
        <v/>
      </c>
      <c r="CM44" s="30" t="str">
        <f>IF($G44="","",$G44*(IF(ADRYr2!$AI44=CD$4,ADRYr2!$AJ44,IF(ADRYr2!$AK44=CD$4,ADRYr2!$AL44,IF(ADRYr2!$AM44=CD$4,ADRYr2!$AN44,0))))*(INDEX(avoidedcosttbl2,$H44,CM$2)+(($H44-ROUNDDOWN($H44,0))*(INDEX(avoidedcosttbl2,ROUNDUP($H44,0),CM$2)-(INDEX(avoidedcosttbl2,ROUNDDOWN($H44,0),CM$2)))))*ADRYr2!P44*ADRYr2!Q44*ADRYr2!U44)</f>
        <v/>
      </c>
      <c r="CN44" s="30" t="str">
        <f>IF($G44="","",$G44*(IF(ADRYr2!$AI44=CE$4,ADRYr2!$AJ44,IF(ADRYr2!$AK44=CE$4,ADRYr2!$AL44,IF(ADRYr2!$AM44=CE$4,ADRYr2!$AN44,0))))*(INDEX(avoidedcosttbl2,$H44,CN$2)+(($H44-ROUNDDOWN($H44,0))*(INDEX(avoidedcosttbl2,ROUNDUP($H44,0),CN$2)-(INDEX(avoidedcosttbl2,ROUNDDOWN($H44,0),CN$2)))))*ADRYr2!P44*ADRYr2!Q44*ADRYr2!U44)</f>
        <v/>
      </c>
      <c r="CO44" s="220" t="str">
        <f t="shared" si="39"/>
        <v/>
      </c>
      <c r="CP44" s="220" t="str">
        <f t="shared" si="40"/>
        <v/>
      </c>
      <c r="CQ44" s="157" t="str">
        <f>IF($G44="","",$G44*(IF(ADRYr2!$AI44=CQ$4,ADRYr2!$AJ44,IF(ADRYr2!$AK44=CQ$4,ADRYr2!$AL44,IF(ADRYr2!$AM44=CQ$4,ADRYr2!$AN44,0))))*(INDEX(avoidedcosttbl2,$H44,CQ$2)+(($H44-ROUNDDOWN($H44,0))*(INDEX(avoidedcosttbl2,ROUNDUP($H44,0),CQ$2)-(INDEX(avoidedcosttbl2,ROUNDDOWN($H44,0),CQ$2)))))*ADRYr2!$P44*ADRYr2!$Q44*ADRYr2!$U44)</f>
        <v/>
      </c>
      <c r="CR44" s="28" t="str">
        <f>IF($G44="","",G44*(IF(ADRYr2!$AI44=CR$4,ADRYr2!$AJ44,IF(ADRYr2!$AK44=CR$4,ADRYr2!$AL44,IF(ADRYr2!$AM44=CR$4,ADRYr2!$AN44,0))))*(INDEX(avoidedcosttbl2,$H44,CR$2)+(($H44-ROUNDDOWN($H44,0))*(INDEX(avoidedcosttbl2,ROUNDUP($H44,0),CR$2)-(INDEX(avoidedcosttbl2,ROUNDDOWN($H44,0),CR$2)))))*ADRYr2!$P44*ADRYr2!$Q44*ADRYr2!$U44)</f>
        <v/>
      </c>
      <c r="CS44" s="28" t="str">
        <f>IF($G44="","",G44*(IF(ADRYr2!$AI44=CS$4,ADRYr2!$AJ44,IF(ADRYr2!$AK44=CS$4,ADRYr2!$AL44,IF(ADRYr2!$AM44=CS$4,ADRYr2!$AN44,0))))*(INDEX(avoidedcosttbl2,$H44,CS$2)+(($H44-ROUNDDOWN($H44,0))*(INDEX(avoidedcosttbl2,ROUNDUP($H44,0),CS$2)-(INDEX(avoidedcosttbl2,ROUNDDOWN($H44,0),CS$2)))))*ADRYr2!$P44*ADRYr2!$Q44*ADRYr2!$U44)</f>
        <v/>
      </c>
      <c r="CT44" s="28" t="str">
        <f t="shared" si="12"/>
        <v/>
      </c>
      <c r="CU44" s="28" t="str">
        <f>IF($G44="","",G44*(IF(ADRYr2!$AI44=CU$4,ADRYr2!$AJ44,IF(ADRYr2!$AK44=CU$4,ADRYr2!$AL44,IF(ADRYr2!$AM44=CU$4,ADRYr2!$AN44,0))))*(INDEX(avoidedcosttbl2,$H44,CU$2)+(($H44-ROUNDDOWN($H44,0))*(INDEX(avoidedcosttbl2,ROUNDUP($H44,0),CU$2)-(INDEX(avoidedcosttbl2,ROUNDDOWN($H44,0),CU$2)))))*ADRYr2!$P44*ADRYr2!$Q44*ADRYr2!$U44)</f>
        <v/>
      </c>
      <c r="CV44" s="28" t="str">
        <f>IF($G44="","",G44*(IF(ADRYr2!$AI44=CV$4,ADRYr2!$AJ44,IF(ADRYr2!$AK44=CV$4,ADRYr2!$AL44,IF(ADRYr2!$AM44=CV$4,ADRYr2!$AN44,0))))*(INDEX(avoidedcosttbl2,$H44,CV$2)+(($H44-ROUNDDOWN($H44,0))*(INDEX(avoidedcosttbl2,ROUNDUP($H44,0),CV$2)-(INDEX(avoidedcosttbl2,ROUNDDOWN($H44,0),CV$2)))))*ADRYr2!$P44*ADRYr2!$Q44*ADRYr2!$U44)</f>
        <v/>
      </c>
      <c r="CW44" s="28" t="str">
        <f>IF($G44="","",G44*(IF(ADRYr2!$AI44=CW$4,ADRYr2!$AJ44,IF(ADRYr2!$AK44=CW$4,ADRYr2!$AL44,IF(ADRYr2!$AM44=CW$4,ADRYr2!$AN44,0))))*(INDEX(avoidedcosttbl2,$H44,CW$2)+(($H44-ROUNDDOWN($H44,0))*(INDEX(avoidedcosttbl2,ROUNDUP($H44,0),CW$2)-(INDEX(avoidedcosttbl2,ROUNDDOWN($H44,0),CW$2)))))*ADRYr2!$P44*ADRYr2!$Q44*ADRYr2!$U44)</f>
        <v/>
      </c>
      <c r="CX44" s="28" t="str">
        <f>IF($G44="","",G44*(IF(ADRYr2!$AI44=CX$4,ADRYr2!$AJ44,IF(ADRYr2!$AK44=CX$4,ADRYr2!$AL44,IF(ADRYr2!$AM44=CX$4,ADRYr2!$AN44,0))))*(INDEX(avoidedcosttbl2,$H44,CX$2)+(($H44-ROUNDDOWN($H44,0))*(INDEX(avoidedcosttbl2,ROUNDUP($H44,0),CX$2)-(INDEX(avoidedcosttbl2,ROUNDDOWN($H44,0),CX$2)))))*ADRYr2!$P44*ADRYr2!$Q44*ADRYr2!$U44)</f>
        <v/>
      </c>
      <c r="CY44" s="28" t="str">
        <f t="shared" si="13"/>
        <v/>
      </c>
      <c r="CZ44" s="32" t="str">
        <f t="shared" si="14"/>
        <v/>
      </c>
      <c r="DA44" s="84" t="str">
        <f t="shared" si="41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15"/>
        <v/>
      </c>
      <c r="DD44" s="166" t="str">
        <f t="shared" si="16"/>
        <v/>
      </c>
      <c r="DE44" s="82">
        <f t="shared" si="42"/>
        <v>0</v>
      </c>
      <c r="DF44" s="760" t="str">
        <f>IF($G44="","",(1+WntPeakEnergyLL)*(INDEX(avoidedcosttbl2,$H44,DF$2)+(($H44-ROUNDDOWN($H44,0))*(INDEX(avoidedcosttbl2,ROUNDUP($H44,0),DF$2)-(INDEX(avoidedcosttbl2,ROUNDDOWN($H44,0),DF$2)))))*$P44*1000*ADRYr2!Z44)</f>
        <v/>
      </c>
      <c r="DG44" s="760" t="str">
        <f>IF($G44="","",(1+WntOffPeakEnergyLL)*(INDEX(avoidedcosttbl2,$H44,DG$2)+(($H44-ROUNDDOWN($H44,0))*(INDEX(avoidedcosttbl2,ROUNDUP($H44,0),DG$2)-(INDEX(avoidedcosttbl2,ROUNDDOWN($H44,0),DG$2)))))*$P44*1000*ADRYr2!AA44)</f>
        <v/>
      </c>
      <c r="DH44" s="760" t="str">
        <f>IF($G44="","",(1+SumPeakEnergyLL)*(INDEX(avoidedcosttbl2,$H44,DH$2)+(($H44-ROUNDDOWN($H44,0))*(INDEX(avoidedcosttbl2,ROUNDUP($H44,0),DH$2)-(INDEX(avoidedcosttbl2,ROUNDDOWN($H44,0),DH$2)))))*$P44*1000*ADRYr2!AB44)</f>
        <v/>
      </c>
      <c r="DI44" s="760" t="str">
        <f>IF($G44="","",(1+SumOffPeakEnergyLL)*(INDEX(avoidedcosttbl2,$H44,DI$2)+(($H44-ROUNDDOWN($H44,0))*(INDEX(avoidedcosttbl2,ROUNDUP($H44,0),DI$2)-(INDEX(avoidedcosttbl2,ROUNDDOWN($H44,0),DI$2)))))*$P44*1000*ADRYr2!AC44)</f>
        <v/>
      </c>
      <c r="DJ44" s="29" t="str">
        <f t="shared" si="43"/>
        <v/>
      </c>
      <c r="DK44" s="161" t="str">
        <f t="shared" si="51"/>
        <v/>
      </c>
      <c r="DO44" s="1131" t="str">
        <f>IF($G44="","",ADRYr2!AQ44)</f>
        <v/>
      </c>
      <c r="DP44" s="1133" t="str">
        <f>IF($G44="","",ADRYr2!AR44)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48"/>
        <v/>
      </c>
      <c r="DU44" s="1135" t="str">
        <f>IF($G44="","",ADRYr2!AS44)</f>
        <v/>
      </c>
      <c r="DV44" s="1136" t="str">
        <f>IF($G44="","",ADRYr2!AT44)</f>
        <v/>
      </c>
      <c r="DW44" s="1344" t="str">
        <f>IF($G44="","",INDEX(AvoidedEnergy!$H$4:$H$10,MATCH($DO44,AvoidedEnergy!$A$4:$A$10,0)))</f>
        <v/>
      </c>
    </row>
    <row r="45" spans="1:127">
      <c r="A45" s="160" t="str">
        <f>IF(ADRYr2!$B45=0,"",ADRYr2!A45)</f>
        <v/>
      </c>
      <c r="B45" s="9" t="str">
        <f>IF(ADRYr2!$B45=0,"",ADRYr2!B45)</f>
        <v/>
      </c>
      <c r="C45" s="9" t="str">
        <f>IF(ADRYr2!$B45=0,"",ADRYr2!C45)</f>
        <v/>
      </c>
      <c r="D45" s="9" t="str">
        <f>IF(ADRYr2!$B45=0,"",ADRYr2!D45)</f>
        <v/>
      </c>
      <c r="E45" s="9"/>
      <c r="F45" s="11" t="str">
        <f>IF(ADRYr2!$B45=0,"",ADRYr2!F45)</f>
        <v/>
      </c>
      <c r="G45" s="12" t="str">
        <f>IF(ADRYr2!$G45&lt;&gt;0,ADRYr2!G45,"")</f>
        <v/>
      </c>
      <c r="H45" s="1125" t="str">
        <f>IF($G45="","",ROUND(ADRYr2!H45,0))</f>
        <v/>
      </c>
      <c r="I45" s="47" t="str">
        <f>IF($G45="","",ADRYr2!I45*ADRYr2!P45*G45)</f>
        <v/>
      </c>
      <c r="J45" s="47" t="str">
        <f>IF($G45="","",ADRYr2!J45*G45)</f>
        <v/>
      </c>
      <c r="K45" s="47" t="str">
        <f t="shared" si="17"/>
        <v/>
      </c>
      <c r="L45" s="27" t="str">
        <f>IF($G45="","",ADRYr2!V45*G45/1000)</f>
        <v/>
      </c>
      <c r="M45" s="27" t="str">
        <f>IF($G45="","",L45*ADRYr2!$Q45*ADRYr2!$R45)</f>
        <v/>
      </c>
      <c r="N45" s="27" t="str">
        <f t="shared" si="18"/>
        <v/>
      </c>
      <c r="O45" s="27" t="str">
        <f t="shared" si="19"/>
        <v/>
      </c>
      <c r="P45" s="27" t="str">
        <f>IF($G45="","",M45*ADRYr2!P45)</f>
        <v/>
      </c>
      <c r="Q45" s="27" t="str">
        <f t="shared" si="20"/>
        <v/>
      </c>
      <c r="R45" s="27" t="str">
        <f>IF($G45="","",$Q45*ADRYr2!Z45)</f>
        <v/>
      </c>
      <c r="S45" s="27" t="str">
        <f>IF($G45="","",$Q45*ADRYr2!AA45)</f>
        <v/>
      </c>
      <c r="T45" s="27" t="str">
        <f>IF($G45="","",$Q45*ADRYr2!AB45)</f>
        <v/>
      </c>
      <c r="U45" s="27" t="str">
        <f>IF($G45="","",$Q45*ADRYr2!AC45)</f>
        <v/>
      </c>
      <c r="V45" s="27" t="str">
        <f>IF($G45="","",G45*ADRYr2!$AD45*ADRYr2!$P45*ADRYr2!$Q45)</f>
        <v/>
      </c>
      <c r="W45" s="27" t="str">
        <f>IF($G45="","",$G45*ADRYr2!$AD45*ADRYr2!$AF45*ADRYr2!Q45*ADRYr2!$S45)</f>
        <v/>
      </c>
      <c r="X45" s="27" t="str">
        <f>IF($G45="","",$G45*ADRYr2!$AD45*ADRYr2!$AF45*ADRYr2!P45*ADRYr2!Q45*ADRYr2!$S45)</f>
        <v/>
      </c>
      <c r="Y45" s="27" t="str">
        <f>IF($G45="","",$G45*ADRYr2!$AD45*ADRYr2!$AE45*ADRYr2!Q45*ADRYr2!$T45)</f>
        <v/>
      </c>
      <c r="Z45" s="27" t="str">
        <f>IF($G45="","",$G45*ADRYr2!$AD45*ADRYr2!$AE45*ADRYr2!P45*ADRYr2!Q45*ADRYr2!$T45)</f>
        <v/>
      </c>
      <c r="AA45" s="45" t="str">
        <f>IF($G45="","",$G45*ADRYr2!$Q45*ADRYr2!$U45*(IF(IFERROR(SEARCH("NG", ADRYr2!$AI45),0),ADRYr2!$AJ45,0)+IF(IFERROR(SEARCH("NG", ADRYr2!$AK45),0),ADRYr2!$AL45,0)+IF(IFERROR(SEARCH("NG", ADRYr2!$AM45),0),ADRYr2!$AN45,0)))</f>
        <v/>
      </c>
      <c r="AB45" s="45" t="str">
        <f t="shared" si="21"/>
        <v/>
      </c>
      <c r="AC45" s="45">
        <f>IF($G45="",0,AA45*ADRYr2!$P45)</f>
        <v>0</v>
      </c>
      <c r="AD45" s="45" t="str">
        <f t="shared" si="22"/>
        <v/>
      </c>
      <c r="AE45" s="45" t="str">
        <f>IF($G45="","",$G45*ADRYr2!$Q45*ADRYr2!$U45*(IF(IFERROR(SEARCH("Oil", ADRYr2!$AI45), 0),ADRYr2!$AJ45,0)+IF(IFERROR(SEARCH("Oil", ADRYr2!$AK45), 0),ADRYr2!$AL45,0)+IF(IFERROR(SEARCH("Oil", ADRYr2!$AM45), 0),ADRYr2!$AN45,0)))</f>
        <v/>
      </c>
      <c r="AF45" s="45" t="str">
        <f t="shared" si="23"/>
        <v/>
      </c>
      <c r="AG45" s="45">
        <f>IF($G45="",0,AE45*ADRYr2!$P45)</f>
        <v>0</v>
      </c>
      <c r="AH45" s="45" t="str">
        <f t="shared" si="24"/>
        <v/>
      </c>
      <c r="AI45" s="45" t="str">
        <f>IF($G45="","",$G45*ADRYr2!$Q45*ADRYr2!$U45*(IF(ADRYr2!$AI45=Lookups!$E$114,ADRYr2!$AJ45,IF(ADRYr2!$AK45=Lookups!$E$114,ADRYr2!$AL45,IF(ADRYr2!$AM45=Lookups!$E$114,ADRYr2!$AN45,0)))))</f>
        <v/>
      </c>
      <c r="AJ45" s="45" t="str">
        <f t="shared" si="25"/>
        <v/>
      </c>
      <c r="AK45" s="45">
        <f>IF($G45="",0,AI45*ADRYr2!$P45)</f>
        <v>0</v>
      </c>
      <c r="AL45" s="45" t="str">
        <f t="shared" si="26"/>
        <v/>
      </c>
      <c r="AM45" s="45" t="str">
        <f>IF($G45="","",$G45*ADRYr2!$Q45*ADRYr2!$U45*(IF(ADRYr2!$AI45=Lookups!$E$113,ADRYr2!$AJ45,IF(ADRYr2!$AK45=Lookups!$E$113,ADRYr2!$AL45,IF(ADRYr2!$AM45=Lookups!$E$113,ADRYr2!$AN45,0)))))</f>
        <v/>
      </c>
      <c r="AN45" s="45" t="str">
        <f t="shared" si="27"/>
        <v/>
      </c>
      <c r="AO45" s="45">
        <f>IF($G45="",0,AM45*ADRYr2!$P45)</f>
        <v>0</v>
      </c>
      <c r="AP45" s="45" t="str">
        <f t="shared" si="28"/>
        <v/>
      </c>
      <c r="AQ45" s="45" t="str">
        <f>IF($G45="","",$G45*ADRYr2!$Q45*ADRYr2!$U45*(IF(ADRYr2!$AI45=Lookups!$E$115,ADRYr2!$AJ45,IF(ADRYr2!$AK45=Lookups!$E$115,ADRYr2!$AL45,IF(ADRYr2!$AM45=Lookups!$E$115,ADRYr2!$AN45,0)))))</f>
        <v/>
      </c>
      <c r="AR45" s="45" t="str">
        <f t="shared" si="29"/>
        <v/>
      </c>
      <c r="AS45" s="45" t="str">
        <f>IF($G45="","",AQ45*ADRYr2!$P45)</f>
        <v/>
      </c>
      <c r="AT45" s="45" t="str">
        <f t="shared" si="30"/>
        <v/>
      </c>
      <c r="AU45" s="45" t="str">
        <f>IF($G45="","",$G45*ADRYr2!$Q45*ADRYr2!$U45*(IF(ADRYr2!$AI45=Lookups!$E$116,ADRYr2!$AJ45,IF(ADRYr2!$AK45=Lookups!$E$116,ADRYr2!$AL45,IF(ADRYr2!$AM45=Lookups!$E$116,ADRYr2!$AN45,0)))))</f>
        <v/>
      </c>
      <c r="AV45" s="45" t="str">
        <f t="shared" si="31"/>
        <v/>
      </c>
      <c r="AW45" s="45" t="str">
        <f>IF($G45="","",AU45*ADRYr2!$P45)</f>
        <v/>
      </c>
      <c r="AX45" s="45" t="str">
        <f t="shared" si="32"/>
        <v/>
      </c>
      <c r="AY45" s="45">
        <f t="shared" si="49"/>
        <v>0</v>
      </c>
      <c r="AZ45" s="45">
        <f t="shared" si="49"/>
        <v>0</v>
      </c>
      <c r="BA45" s="101" t="str">
        <f>IF($G45="","",$G45*ADRYr2!$P45*ADRYr2!$Q45*ADRYr2!$U45*ADRYr2!AO45)</f>
        <v/>
      </c>
      <c r="BB45" s="102" t="str">
        <f>IF($G45="","",$G45*ADRYr2!$P45*ADRYr2!$Q45*ADRYr2!$U45*ADRYr2!AP45)</f>
        <v/>
      </c>
      <c r="BC45" s="100" t="str">
        <f t="shared" si="34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5"/>
        <v/>
      </c>
      <c r="BO45" s="31" t="str">
        <f t="shared" si="35"/>
        <v/>
      </c>
      <c r="BP45" s="1129" t="str">
        <f t="shared" si="6"/>
        <v/>
      </c>
      <c r="BQ45" s="28" t="str">
        <f t="shared" si="7"/>
        <v/>
      </c>
      <c r="BR45" s="1129" t="str">
        <f t="shared" si="8"/>
        <v/>
      </c>
      <c r="BS45" s="1129" t="str">
        <f t="shared" si="9"/>
        <v/>
      </c>
      <c r="BT45" s="28" t="str">
        <f t="shared" ref="BT45:BV50" si="52">IF($G45="","",(INDEX(avoidedcosttbl2,$H45,BT$2)+(($H45-ROUNDDOWN($H45,0))*(INDEX(avoidedcosttbl2,ROUNDUP($H45,0),BT$2)-(INDEX(avoidedcosttbl2,ROUNDDOWN($H45,0),BT$2)))))*$Z45)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6"/>
        <v/>
      </c>
      <c r="BX45" s="29" t="str">
        <f t="shared" si="37"/>
        <v/>
      </c>
      <c r="BY45" s="28" t="str">
        <f>IF($G45="","",$G45*(IF(ADRYr2!$AI45=BY$4,ADRYr2!$AJ45,IF(ADRYr2!$AK45=BY$4,ADRYr2!$AL45,IF(ADRYr2!$AM45=BY$4,ADRYr2!$AN45,0))))*(INDEX(avoidedcosttbl2,$H45,BY$2)+(($H45-ROUNDDOWN($H45,0))*(INDEX(avoidedcosttbl2,ROUNDUP($H45,0),BY$2)-(INDEX(avoidedcosttbl2,ROUNDDOWN($H45,0),BY$2)))))*ADRYr2!P45*ADRYr2!Q45*ADRYr2!U45)</f>
        <v/>
      </c>
      <c r="BZ45" s="28" t="str">
        <f>IF($G45="","",$G45*(IF(ADRYr2!$AI45=BZ$4,ADRYr2!$AJ45,IF(ADRYr2!$AK45=BZ$4,ADRYr2!$AL45,IF(ADRYr2!$AM45=BZ$4,ADRYr2!$AN45,0))))*(INDEX(avoidedcosttbl2,$H45,BZ$2)+(($H45-ROUNDDOWN($H45,0))*(INDEX(avoidedcosttbl2,ROUNDUP($H45,0),BZ$2)-(INDEX(avoidedcosttbl2,ROUNDDOWN($H45,0),BZ$2)))))*ADRYr2!P45*ADRYr2!Q45*ADRYr2!U45)</f>
        <v/>
      </c>
      <c r="CA45" s="28" t="str">
        <f>IF($G45="","",$G45*(IF(ADRYr2!$AI45=CA$4,ADRYr2!$AJ45,IF(ADRYr2!$AK45=CA$4,ADRYr2!$AL45,IF(ADRYr2!$AM45=CA$4,ADRYr2!$AN45,0))))*(INDEX(avoidedcosttbl2,$H45,CA$2)+(($H45-ROUNDDOWN($H45,0))*(INDEX(avoidedcosttbl2,ROUNDUP($H45,0),CA$2)-(INDEX(avoidedcosttbl2,ROUNDDOWN($H45,0),CA$2)))))*ADRYr2!P45*ADRYr2!Q45*ADRYr2!U45)</f>
        <v/>
      </c>
      <c r="CB45" s="28" t="str">
        <f>IF($G45="","",$G45*(IF(ADRYr2!$AI45=CB$4,ADRYr2!$AJ45,IF(ADRYr2!$AK45=CB$4,ADRYr2!$AL45,IF(ADRYr2!$AM45=CB$4,ADRYr2!$AN45,0))))*(INDEX(avoidedcosttbl2,$H45,CB$2)+(($H45-ROUNDDOWN($H45,0))*(INDEX(avoidedcosttbl2,ROUNDUP($H45,0),CB$2)-(INDEX(avoidedcosttbl2,ROUNDDOWN($H45,0),CB$2)))))*ADRYr2!P45*ADRYr2!Q45*ADRYr2!U45)</f>
        <v/>
      </c>
      <c r="CC45" s="28" t="str">
        <f>IF($G45="","",$G45*(IF(ADRYr2!$AI45=CC$4,ADRYr2!$AJ45,IF(ADRYr2!$AK45=CC$4,ADRYr2!$AL45,IF(ADRYr2!$AM45=CC$4,ADRYr2!$AN45,0))))*(INDEX(avoidedcosttbl2,$H45,CC$2)+(($H45-ROUNDDOWN($H45,0))*(INDEX(avoidedcosttbl2,ROUNDUP($H45,0),CC$2)-(INDEX(avoidedcosttbl2,ROUNDDOWN($H45,0),CC$2)))))*ADRYr2!P45*ADRYr2!Q45*ADRYr2!U45)</f>
        <v/>
      </c>
      <c r="CD45" s="28" t="str">
        <f>IF($G45="","",$G45*(IF(ADRYr2!$AI45=CD$4,ADRYr2!$AJ45,IF(ADRYr2!$AK45=CD$4,ADRYr2!$AL45,IF(ADRYr2!$AM45=CD$4,ADRYr2!$AN45,0))))*(INDEX(avoidedcosttbl2,$H45,CD$2)+(($H45-ROUNDDOWN($H45,0))*(INDEX(avoidedcosttbl2,ROUNDUP($H45,0),CD$2)-(INDEX(avoidedcosttbl2,ROUNDDOWN($H45,0),CD$2)))))*ADRYr2!P45*ADRYr2!Q45*ADRYr2!U45)</f>
        <v/>
      </c>
      <c r="CE45" s="28" t="str">
        <f>IF($G45="","",$G45*(IF(ADRYr2!$AI45=CE$4,ADRYr2!$AJ45,IF(ADRYr2!$AK45=CE$4,ADRYr2!$AL45,IF(ADRYr2!$AM45=CE$4,ADRYr2!$AN45,0))))*(INDEX(avoidedcosttbl2,$H45,CE$2)+(($H45-ROUNDDOWN($H45,0))*(INDEX(avoidedcosttbl2,ROUNDUP($H45,0),CE$2)-(INDEX(avoidedcosttbl2,ROUNDDOWN($H45,0),CE$2)))))*ADRYr2!P45*ADRYr2!Q45*ADRYr2!U45)</f>
        <v/>
      </c>
      <c r="CF45" s="41" t="str">
        <f t="shared" si="38"/>
        <v/>
      </c>
      <c r="CG45" s="30" t="str">
        <f t="shared" si="11"/>
        <v/>
      </c>
      <c r="CH45" s="30" t="str">
        <f>IF($G45="","",$G45*(IF(ADRYr2!$AI45=BY$4,ADRYr2!$AJ45,IF(ADRYr2!$AK45=BY$4,ADRYr2!$AL45,IF(ADRYr2!$AM45=BY$4,ADRYr2!$AN45,0))))*(INDEX(avoidedcosttbl2,$H45,CH$2)+(($H45-ROUNDDOWN($H45,0))*(INDEX(avoidedcosttbl2,ROUNDUP($H45,0),CH$2)-(INDEX(avoidedcosttbl2,ROUNDDOWN($H45,0),CH$2)))))*ADRYr2!P45*ADRYr2!Q45*ADRYr2!U45)</f>
        <v/>
      </c>
      <c r="CI45" s="30" t="str">
        <f>IF($G45="","",$G45*(IF(ADRYr2!$AI45=BZ$4,ADRYr2!$AJ45,IF(ADRYr2!$AK45=BZ$4,ADRYr2!$AL45,IF(ADRYr2!$AM45=BZ$4,ADRYr2!$AN45,0))))*(INDEX(avoidedcosttbl2,$H45,CI$2)+(($H45-ROUNDDOWN($H45,0))*(INDEX(avoidedcosttbl2,ROUNDUP($H45,0),CI$2)-(INDEX(avoidedcosttbl2,ROUNDDOWN($H45,0),CI$2)))))*ADRYr2!P45*ADRYr2!Q45*ADRYr2!U45)</f>
        <v/>
      </c>
      <c r="CJ45" s="30" t="str">
        <f>IF($G45="","",$G45*(IF(ADRYr2!$AI45=CA$4,ADRYr2!$AJ45,IF(ADRYr2!$AK45=CA$4,ADRYr2!$AL45,IF(ADRYr2!$AM45=CA$4,ADRYr2!$AN45,0))))*(INDEX(avoidedcosttbl2,$H45,CJ$2)+(($H45-ROUNDDOWN($H45,0))*(INDEX(avoidedcosttbl2,ROUNDUP($H45,0),CJ$2)-(INDEX(avoidedcosttbl2,ROUNDDOWN($H45,0),CJ$2)))))*ADRYr2!P45*ADRYr2!Q45*ADRYr2!U45)</f>
        <v/>
      </c>
      <c r="CK45" s="30" t="str">
        <f>IF($G45="","",$G45*(IF(ADRYr2!$AI45=CB$4,ADRYr2!$AJ45,IF(ADRYr2!$AK45=CB$4,ADRYr2!$AL45,IF(ADRYr2!$AM45=CB$4,ADRYr2!$AN45,0))))*(INDEX(avoidedcosttbl2,$H45,CK$2)+(($H45-ROUNDDOWN($H45,0))*(INDEX(avoidedcosttbl2,ROUNDUP($H45,0),CK$2)-(INDEX(avoidedcosttbl2,ROUNDDOWN($H45,0),CK$2)))))*ADRYr2!P45*ADRYr2!Q45*ADRYr2!U45)</f>
        <v/>
      </c>
      <c r="CL45" s="30" t="str">
        <f>IF($G45="","",$G45*(IF(ADRYr2!$AI45=CC$4,ADRYr2!$AJ45,IF(ADRYr2!$AK45=CC$4,ADRYr2!$AL45,IF(ADRYr2!$AM45=CC$4,ADRYr2!$AN45,0))))*(INDEX(avoidedcosttbl2,$H45,CL$2)+(($H45-ROUNDDOWN($H45,0))*(INDEX(avoidedcosttbl2,ROUNDUP($H45,0),CL$2)-(INDEX(avoidedcosttbl2,ROUNDDOWN($H45,0),CL$2)))))*ADRYr2!P45*ADRYr2!Q45*ADRYr2!U45)</f>
        <v/>
      </c>
      <c r="CM45" s="30" t="str">
        <f>IF($G45="","",$G45*(IF(ADRYr2!$AI45=CD$4,ADRYr2!$AJ45,IF(ADRYr2!$AK45=CD$4,ADRYr2!$AL45,IF(ADRYr2!$AM45=CD$4,ADRYr2!$AN45,0))))*(INDEX(avoidedcosttbl2,$H45,CM$2)+(($H45-ROUNDDOWN($H45,0))*(INDEX(avoidedcosttbl2,ROUNDUP($H45,0),CM$2)-(INDEX(avoidedcosttbl2,ROUNDDOWN($H45,0),CM$2)))))*ADRYr2!P45*ADRYr2!Q45*ADRYr2!U45)</f>
        <v/>
      </c>
      <c r="CN45" s="30" t="str">
        <f>IF($G45="","",$G45*(IF(ADRYr2!$AI45=CE$4,ADRYr2!$AJ45,IF(ADRYr2!$AK45=CE$4,ADRYr2!$AL45,IF(ADRYr2!$AM45=CE$4,ADRYr2!$AN45,0))))*(INDEX(avoidedcosttbl2,$H45,CN$2)+(($H45-ROUNDDOWN($H45,0))*(INDEX(avoidedcosttbl2,ROUNDUP($H45,0),CN$2)-(INDEX(avoidedcosttbl2,ROUNDDOWN($H45,0),CN$2)))))*ADRYr2!P45*ADRYr2!Q45*ADRYr2!U45)</f>
        <v/>
      </c>
      <c r="CO45" s="220" t="str">
        <f t="shared" si="39"/>
        <v/>
      </c>
      <c r="CP45" s="220" t="str">
        <f t="shared" si="40"/>
        <v/>
      </c>
      <c r="CQ45" s="157" t="str">
        <f>IF($G45="","",$G45*(IF(ADRYr2!$AI45=CQ$4,ADRYr2!$AJ45,IF(ADRYr2!$AK45=CQ$4,ADRYr2!$AL45,IF(ADRYr2!$AM45=CQ$4,ADRYr2!$AN45,0))))*(INDEX(avoidedcosttbl2,$H45,CQ$2)+(($H45-ROUNDDOWN($H45,0))*(INDEX(avoidedcosttbl2,ROUNDUP($H45,0),CQ$2)-(INDEX(avoidedcosttbl2,ROUNDDOWN($H45,0),CQ$2)))))*ADRYr2!$P45*ADRYr2!$Q45*ADRYr2!$U45)</f>
        <v/>
      </c>
      <c r="CR45" s="28" t="str">
        <f>IF($G45="","",G45*(IF(ADRYr2!$AI45=CR$4,ADRYr2!$AJ45,IF(ADRYr2!$AK45=CR$4,ADRYr2!$AL45,IF(ADRYr2!$AM45=CR$4,ADRYr2!$AN45,0))))*(INDEX(avoidedcosttbl2,$H45,CR$2)+(($H45-ROUNDDOWN($H45,0))*(INDEX(avoidedcosttbl2,ROUNDUP($H45,0),CR$2)-(INDEX(avoidedcosttbl2,ROUNDDOWN($H45,0),CR$2)))))*ADRYr2!$P45*ADRYr2!$Q45*ADRYr2!$U45)</f>
        <v/>
      </c>
      <c r="CS45" s="28" t="str">
        <f>IF($G45="","",G45*(IF(ADRYr2!$AI45=CS$4,ADRYr2!$AJ45,IF(ADRYr2!$AK45=CS$4,ADRYr2!$AL45,IF(ADRYr2!$AM45=CS$4,ADRYr2!$AN45,0))))*(INDEX(avoidedcosttbl2,$H45,CS$2)+(($H45-ROUNDDOWN($H45,0))*(INDEX(avoidedcosttbl2,ROUNDUP($H45,0),CS$2)-(INDEX(avoidedcosttbl2,ROUNDDOWN($H45,0),CS$2)))))*ADRYr2!$P45*ADRYr2!$Q45*ADRYr2!$U45)</f>
        <v/>
      </c>
      <c r="CT45" s="28" t="str">
        <f t="shared" si="12"/>
        <v/>
      </c>
      <c r="CU45" s="28" t="str">
        <f>IF($G45="","",G45*(IF(ADRYr2!$AI45=CU$4,ADRYr2!$AJ45,IF(ADRYr2!$AK45=CU$4,ADRYr2!$AL45,IF(ADRYr2!$AM45=CU$4,ADRYr2!$AN45,0))))*(INDEX(avoidedcosttbl2,$H45,CU$2)+(($H45-ROUNDDOWN($H45,0))*(INDEX(avoidedcosttbl2,ROUNDUP($H45,0),CU$2)-(INDEX(avoidedcosttbl2,ROUNDDOWN($H45,0),CU$2)))))*ADRYr2!$P45*ADRYr2!$Q45*ADRYr2!$U45)</f>
        <v/>
      </c>
      <c r="CV45" s="28" t="str">
        <f>IF($G45="","",G45*(IF(ADRYr2!$AI45=CV$4,ADRYr2!$AJ45,IF(ADRYr2!$AK45=CV$4,ADRYr2!$AL45,IF(ADRYr2!$AM45=CV$4,ADRYr2!$AN45,0))))*(INDEX(avoidedcosttbl2,$H45,CV$2)+(($H45-ROUNDDOWN($H45,0))*(INDEX(avoidedcosttbl2,ROUNDUP($H45,0),CV$2)-(INDEX(avoidedcosttbl2,ROUNDDOWN($H45,0),CV$2)))))*ADRYr2!$P45*ADRYr2!$Q45*ADRYr2!$U45)</f>
        <v/>
      </c>
      <c r="CW45" s="28" t="str">
        <f>IF($G45="","",G45*(IF(ADRYr2!$AI45=CW$4,ADRYr2!$AJ45,IF(ADRYr2!$AK45=CW$4,ADRYr2!$AL45,IF(ADRYr2!$AM45=CW$4,ADRYr2!$AN45,0))))*(INDEX(avoidedcosttbl2,$H45,CW$2)+(($H45-ROUNDDOWN($H45,0))*(INDEX(avoidedcosttbl2,ROUNDUP($H45,0),CW$2)-(INDEX(avoidedcosttbl2,ROUNDDOWN($H45,0),CW$2)))))*ADRYr2!$P45*ADRYr2!$Q45*ADRYr2!$U45)</f>
        <v/>
      </c>
      <c r="CX45" s="28" t="str">
        <f>IF($G45="","",G45*(IF(ADRYr2!$AI45=CX$4,ADRYr2!$AJ45,IF(ADRYr2!$AK45=CX$4,ADRYr2!$AL45,IF(ADRYr2!$AM45=CX$4,ADRYr2!$AN45,0))))*(INDEX(avoidedcosttbl2,$H45,CX$2)+(($H45-ROUNDDOWN($H45,0))*(INDEX(avoidedcosttbl2,ROUNDUP($H45,0),CX$2)-(INDEX(avoidedcosttbl2,ROUNDDOWN($H45,0),CX$2)))))*ADRYr2!$P45*ADRYr2!$Q45*ADRYr2!$U45)</f>
        <v/>
      </c>
      <c r="CY45" s="28" t="str">
        <f t="shared" si="13"/>
        <v/>
      </c>
      <c r="CZ45" s="32" t="str">
        <f t="shared" si="14"/>
        <v/>
      </c>
      <c r="DA45" s="84" t="str">
        <f t="shared" si="41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15"/>
        <v/>
      </c>
      <c r="DD45" s="166" t="str">
        <f t="shared" si="16"/>
        <v/>
      </c>
      <c r="DE45" s="82">
        <f t="shared" si="42"/>
        <v>0</v>
      </c>
      <c r="DF45" s="760" t="str">
        <f>IF($G45="","",(1+WntPeakEnergyLL)*(INDEX(avoidedcosttbl2,$H45,DF$2)+(($H45-ROUNDDOWN($H45,0))*(INDEX(avoidedcosttbl2,ROUNDUP($H45,0),DF$2)-(INDEX(avoidedcosttbl2,ROUNDDOWN($H45,0),DF$2)))))*$P45*1000*ADRYr2!Z45)</f>
        <v/>
      </c>
      <c r="DG45" s="760" t="str">
        <f>IF($G45="","",(1+WntOffPeakEnergyLL)*(INDEX(avoidedcosttbl2,$H45,DG$2)+(($H45-ROUNDDOWN($H45,0))*(INDEX(avoidedcosttbl2,ROUNDUP($H45,0),DG$2)-(INDEX(avoidedcosttbl2,ROUNDDOWN($H45,0),DG$2)))))*$P45*1000*ADRYr2!AA45)</f>
        <v/>
      </c>
      <c r="DH45" s="760" t="str">
        <f>IF($G45="","",(1+SumPeakEnergyLL)*(INDEX(avoidedcosttbl2,$H45,DH$2)+(($H45-ROUNDDOWN($H45,0))*(INDEX(avoidedcosttbl2,ROUNDUP($H45,0),DH$2)-(INDEX(avoidedcosttbl2,ROUNDDOWN($H45,0),DH$2)))))*$P45*1000*ADRYr2!AB45)</f>
        <v/>
      </c>
      <c r="DI45" s="760" t="str">
        <f>IF($G45="","",(1+SumOffPeakEnergyLL)*(INDEX(avoidedcosttbl2,$H45,DI$2)+(($H45-ROUNDDOWN($H45,0))*(INDEX(avoidedcosttbl2,ROUNDUP($H45,0),DI$2)-(INDEX(avoidedcosttbl2,ROUNDDOWN($H45,0),DI$2)))))*$P45*1000*ADRYr2!AC45)</f>
        <v/>
      </c>
      <c r="DJ45" s="29" t="str">
        <f t="shared" si="43"/>
        <v/>
      </c>
      <c r="DK45" s="161" t="str">
        <f t="shared" si="51"/>
        <v/>
      </c>
      <c r="DO45" s="1131" t="str">
        <f>IF($G45="","",ADRYr2!AQ45)</f>
        <v/>
      </c>
      <c r="DP45" s="1133" t="str">
        <f>IF($G45="","",ADRYr2!AR45)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48"/>
        <v/>
      </c>
      <c r="DU45" s="1135" t="str">
        <f>IF($G45="","",ADRYr2!AS45)</f>
        <v/>
      </c>
      <c r="DV45" s="1136" t="str">
        <f>IF($G45="","",ADRYr2!AT45)</f>
        <v/>
      </c>
      <c r="DW45" s="1344" t="str">
        <f>IF($G45="","",INDEX(AvoidedEnergy!$H$4:$H$10,MATCH($DO45,AvoidedEnergy!$A$4:$A$10,0)))</f>
        <v/>
      </c>
    </row>
    <row r="46" spans="1:127">
      <c r="A46" s="160" t="str">
        <f>IF(ADRYr2!$B46=0,"",ADRYr2!A46)</f>
        <v/>
      </c>
      <c r="B46" s="9" t="str">
        <f>IF(ADRYr2!$B46=0,"",ADRYr2!B46)</f>
        <v/>
      </c>
      <c r="C46" s="9" t="str">
        <f>IF(ADRYr2!$B46=0,"",ADRYr2!C46)</f>
        <v/>
      </c>
      <c r="D46" s="9" t="str">
        <f>IF(ADRYr2!$B46=0,"",ADRYr2!D46)</f>
        <v/>
      </c>
      <c r="E46" s="9"/>
      <c r="F46" s="11" t="str">
        <f>IF(ADRYr2!$B46=0,"",ADRYr2!F46)</f>
        <v/>
      </c>
      <c r="G46" s="12" t="str">
        <f>IF(ADRYr2!$G46&lt;&gt;0,ADRYr2!G46,"")</f>
        <v/>
      </c>
      <c r="H46" s="1125" t="str">
        <f>IF($G46="","",ROUND(ADRYr2!H46,0))</f>
        <v/>
      </c>
      <c r="I46" s="47" t="str">
        <f>IF($G46="","",ADRYr2!I46*ADRYr2!P46*G46)</f>
        <v/>
      </c>
      <c r="J46" s="47" t="str">
        <f>IF($G46="","",ADRYr2!J46*G46)</f>
        <v/>
      </c>
      <c r="K46" s="47" t="str">
        <f t="shared" si="17"/>
        <v/>
      </c>
      <c r="L46" s="27" t="str">
        <f>IF($G46="","",ADRYr2!V46*G46/1000)</f>
        <v/>
      </c>
      <c r="M46" s="27" t="str">
        <f>IF($G46="","",L46*ADRYr2!$Q46*ADRYr2!$R46)</f>
        <v/>
      </c>
      <c r="N46" s="27" t="str">
        <f t="shared" si="18"/>
        <v/>
      </c>
      <c r="O46" s="27" t="str">
        <f t="shared" si="19"/>
        <v/>
      </c>
      <c r="P46" s="27" t="str">
        <f>IF($G46="","",M46*ADRYr2!P46)</f>
        <v/>
      </c>
      <c r="Q46" s="27" t="str">
        <f t="shared" si="20"/>
        <v/>
      </c>
      <c r="R46" s="27" t="str">
        <f>IF($G46="","",$Q46*ADRYr2!Z46)</f>
        <v/>
      </c>
      <c r="S46" s="27" t="str">
        <f>IF($G46="","",$Q46*ADRYr2!AA46)</f>
        <v/>
      </c>
      <c r="T46" s="27" t="str">
        <f>IF($G46="","",$Q46*ADRYr2!AB46)</f>
        <v/>
      </c>
      <c r="U46" s="27" t="str">
        <f>IF($G46="","",$Q46*ADRYr2!AC46)</f>
        <v/>
      </c>
      <c r="V46" s="27" t="str">
        <f>IF($G46="","",G46*ADRYr2!$AD46*ADRYr2!$P46*ADRYr2!$Q46)</f>
        <v/>
      </c>
      <c r="W46" s="27" t="str">
        <f>IF($G46="","",$G46*ADRYr2!$AD46*ADRYr2!$AF46*ADRYr2!Q46*ADRYr2!$S46)</f>
        <v/>
      </c>
      <c r="X46" s="27" t="str">
        <f>IF($G46="","",$G46*ADRYr2!$AD46*ADRYr2!$AF46*ADRYr2!P46*ADRYr2!Q46*ADRYr2!$S46)</f>
        <v/>
      </c>
      <c r="Y46" s="27" t="str">
        <f>IF($G46="","",$G46*ADRYr2!$AD46*ADRYr2!$AE46*ADRYr2!Q46*ADRYr2!$T46)</f>
        <v/>
      </c>
      <c r="Z46" s="27" t="str">
        <f>IF($G46="","",$G46*ADRYr2!$AD46*ADRYr2!$AE46*ADRYr2!P46*ADRYr2!Q46*ADRYr2!$T46)</f>
        <v/>
      </c>
      <c r="AA46" s="45" t="str">
        <f>IF($G46="","",$G46*ADRYr2!$Q46*ADRYr2!$U46*(IF(IFERROR(SEARCH("NG", ADRYr2!$AI46),0),ADRYr2!$AJ46,0)+IF(IFERROR(SEARCH("NG", ADRYr2!$AK46),0),ADRYr2!$AL46,0)+IF(IFERROR(SEARCH("NG", ADRYr2!$AM46),0),ADRYr2!$AN46,0)))</f>
        <v/>
      </c>
      <c r="AB46" s="45" t="str">
        <f t="shared" si="21"/>
        <v/>
      </c>
      <c r="AC46" s="45">
        <f>IF($G46="",0,AA46*ADRYr2!$P46)</f>
        <v>0</v>
      </c>
      <c r="AD46" s="45" t="str">
        <f t="shared" si="22"/>
        <v/>
      </c>
      <c r="AE46" s="45" t="str">
        <f>IF($G46="","",$G46*ADRYr2!$Q46*ADRYr2!$U46*(IF(IFERROR(SEARCH("Oil", ADRYr2!$AI46), 0),ADRYr2!$AJ46,0)+IF(IFERROR(SEARCH("Oil", ADRYr2!$AK46), 0),ADRYr2!$AL46,0)+IF(IFERROR(SEARCH("Oil", ADRYr2!$AM46), 0),ADRYr2!$AN46,0)))</f>
        <v/>
      </c>
      <c r="AF46" s="45" t="str">
        <f t="shared" si="23"/>
        <v/>
      </c>
      <c r="AG46" s="45">
        <f>IF($G46="",0,AE46*ADRYr2!$P46)</f>
        <v>0</v>
      </c>
      <c r="AH46" s="45" t="str">
        <f t="shared" si="24"/>
        <v/>
      </c>
      <c r="AI46" s="45" t="str">
        <f>IF($G46="","",$G46*ADRYr2!$Q46*ADRYr2!$U46*(IF(ADRYr2!$AI46=Lookups!$E$114,ADRYr2!$AJ46,IF(ADRYr2!$AK46=Lookups!$E$114,ADRYr2!$AL46,IF(ADRYr2!$AM46=Lookups!$E$114,ADRYr2!$AN46,0)))))</f>
        <v/>
      </c>
      <c r="AJ46" s="45" t="str">
        <f t="shared" si="25"/>
        <v/>
      </c>
      <c r="AK46" s="45">
        <f>IF($G46="",0,AI46*ADRYr2!$P46)</f>
        <v>0</v>
      </c>
      <c r="AL46" s="45" t="str">
        <f t="shared" si="26"/>
        <v/>
      </c>
      <c r="AM46" s="45" t="str">
        <f>IF($G46="","",$G46*ADRYr2!$Q46*ADRYr2!$U46*(IF(ADRYr2!$AI46=Lookups!$E$113,ADRYr2!$AJ46,IF(ADRYr2!$AK46=Lookups!$E$113,ADRYr2!$AL46,IF(ADRYr2!$AM46=Lookups!$E$113,ADRYr2!$AN46,0)))))</f>
        <v/>
      </c>
      <c r="AN46" s="45" t="str">
        <f t="shared" si="27"/>
        <v/>
      </c>
      <c r="AO46" s="45">
        <f>IF($G46="",0,AM46*ADRYr2!$P46)</f>
        <v>0</v>
      </c>
      <c r="AP46" s="45" t="str">
        <f t="shared" si="28"/>
        <v/>
      </c>
      <c r="AQ46" s="45" t="str">
        <f>IF($G46="","",$G46*ADRYr2!$Q46*ADRYr2!$U46*(IF(ADRYr2!$AI46=Lookups!$E$115,ADRYr2!$AJ46,IF(ADRYr2!$AK46=Lookups!$E$115,ADRYr2!$AL46,IF(ADRYr2!$AM46=Lookups!$E$115,ADRYr2!$AN46,0)))))</f>
        <v/>
      </c>
      <c r="AR46" s="45" t="str">
        <f t="shared" si="29"/>
        <v/>
      </c>
      <c r="AS46" s="45" t="str">
        <f>IF($G46="","",AQ46*ADRYr2!$P46)</f>
        <v/>
      </c>
      <c r="AT46" s="45" t="str">
        <f t="shared" si="30"/>
        <v/>
      </c>
      <c r="AU46" s="45" t="str">
        <f>IF($G46="","",$G46*ADRYr2!$Q46*ADRYr2!$U46*(IF(ADRYr2!$AI46=Lookups!$E$116,ADRYr2!$AJ46,IF(ADRYr2!$AK46=Lookups!$E$116,ADRYr2!$AL46,IF(ADRYr2!$AM46=Lookups!$E$116,ADRYr2!$AN46,0)))))</f>
        <v/>
      </c>
      <c r="AV46" s="45" t="str">
        <f t="shared" si="31"/>
        <v/>
      </c>
      <c r="AW46" s="45" t="str">
        <f>IF($G46="","",AU46*ADRYr2!$P46)</f>
        <v/>
      </c>
      <c r="AX46" s="45" t="str">
        <f t="shared" si="32"/>
        <v/>
      </c>
      <c r="AY46" s="45">
        <f t="shared" si="49"/>
        <v>0</v>
      </c>
      <c r="AZ46" s="45">
        <f t="shared" si="49"/>
        <v>0</v>
      </c>
      <c r="BA46" s="101" t="str">
        <f>IF($G46="","",$G46*ADRYr2!$P46*ADRYr2!$Q46*ADRYr2!$U46*ADRYr2!AO46)</f>
        <v/>
      </c>
      <c r="BB46" s="102" t="str">
        <f>IF($G46="","",$G46*ADRYr2!$P46*ADRYr2!$Q46*ADRYr2!$U46*ADRYr2!AP46)</f>
        <v/>
      </c>
      <c r="BC46" s="100" t="str">
        <f t="shared" si="34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5"/>
        <v/>
      </c>
      <c r="BO46" s="31" t="str">
        <f t="shared" si="35"/>
        <v/>
      </c>
      <c r="BP46" s="1129" t="str">
        <f t="shared" si="6"/>
        <v/>
      </c>
      <c r="BQ46" s="28" t="str">
        <f t="shared" si="7"/>
        <v/>
      </c>
      <c r="BR46" s="1129" t="str">
        <f t="shared" si="8"/>
        <v/>
      </c>
      <c r="BS46" s="1129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6"/>
        <v/>
      </c>
      <c r="BX46" s="29" t="str">
        <f t="shared" si="37"/>
        <v/>
      </c>
      <c r="BY46" s="28" t="str">
        <f>IF($G46="","",$G46*(IF(ADRYr2!$AI46=BY$4,ADRYr2!$AJ46,IF(ADRYr2!$AK46=BY$4,ADRYr2!$AL46,IF(ADRYr2!$AM46=BY$4,ADRYr2!$AN46,0))))*(INDEX(avoidedcosttbl2,$H46,BY$2)+(($H46-ROUNDDOWN($H46,0))*(INDEX(avoidedcosttbl2,ROUNDUP($H46,0),BY$2)-(INDEX(avoidedcosttbl2,ROUNDDOWN($H46,0),BY$2)))))*ADRYr2!P46*ADRYr2!Q46*ADRYr2!U46)</f>
        <v/>
      </c>
      <c r="BZ46" s="28" t="str">
        <f>IF($G46="","",$G46*(IF(ADRYr2!$AI46=BZ$4,ADRYr2!$AJ46,IF(ADRYr2!$AK46=BZ$4,ADRYr2!$AL46,IF(ADRYr2!$AM46=BZ$4,ADRYr2!$AN46,0))))*(INDEX(avoidedcosttbl2,$H46,BZ$2)+(($H46-ROUNDDOWN($H46,0))*(INDEX(avoidedcosttbl2,ROUNDUP($H46,0),BZ$2)-(INDEX(avoidedcosttbl2,ROUNDDOWN($H46,0),BZ$2)))))*ADRYr2!P46*ADRYr2!Q46*ADRYr2!U46)</f>
        <v/>
      </c>
      <c r="CA46" s="28" t="str">
        <f>IF($G46="","",$G46*(IF(ADRYr2!$AI46=CA$4,ADRYr2!$AJ46,IF(ADRYr2!$AK46=CA$4,ADRYr2!$AL46,IF(ADRYr2!$AM46=CA$4,ADRYr2!$AN46,0))))*(INDEX(avoidedcosttbl2,$H46,CA$2)+(($H46-ROUNDDOWN($H46,0))*(INDEX(avoidedcosttbl2,ROUNDUP($H46,0),CA$2)-(INDEX(avoidedcosttbl2,ROUNDDOWN($H46,0),CA$2)))))*ADRYr2!P46*ADRYr2!Q46*ADRYr2!U46)</f>
        <v/>
      </c>
      <c r="CB46" s="28" t="str">
        <f>IF($G46="","",$G46*(IF(ADRYr2!$AI46=CB$4,ADRYr2!$AJ46,IF(ADRYr2!$AK46=CB$4,ADRYr2!$AL46,IF(ADRYr2!$AM46=CB$4,ADRYr2!$AN46,0))))*(INDEX(avoidedcosttbl2,$H46,CB$2)+(($H46-ROUNDDOWN($H46,0))*(INDEX(avoidedcosttbl2,ROUNDUP($H46,0),CB$2)-(INDEX(avoidedcosttbl2,ROUNDDOWN($H46,0),CB$2)))))*ADRYr2!P46*ADRYr2!Q46*ADRYr2!U46)</f>
        <v/>
      </c>
      <c r="CC46" s="28" t="str">
        <f>IF($G46="","",$G46*(IF(ADRYr2!$AI46=CC$4,ADRYr2!$AJ46,IF(ADRYr2!$AK46=CC$4,ADRYr2!$AL46,IF(ADRYr2!$AM46=CC$4,ADRYr2!$AN46,0))))*(INDEX(avoidedcosttbl2,$H46,CC$2)+(($H46-ROUNDDOWN($H46,0))*(INDEX(avoidedcosttbl2,ROUNDUP($H46,0),CC$2)-(INDEX(avoidedcosttbl2,ROUNDDOWN($H46,0),CC$2)))))*ADRYr2!P46*ADRYr2!Q46*ADRYr2!U46)</f>
        <v/>
      </c>
      <c r="CD46" s="28" t="str">
        <f>IF($G46="","",$G46*(IF(ADRYr2!$AI46=CD$4,ADRYr2!$AJ46,IF(ADRYr2!$AK46=CD$4,ADRYr2!$AL46,IF(ADRYr2!$AM46=CD$4,ADRYr2!$AN46,0))))*(INDEX(avoidedcosttbl2,$H46,CD$2)+(($H46-ROUNDDOWN($H46,0))*(INDEX(avoidedcosttbl2,ROUNDUP($H46,0),CD$2)-(INDEX(avoidedcosttbl2,ROUNDDOWN($H46,0),CD$2)))))*ADRYr2!P46*ADRYr2!Q46*ADRYr2!U46)</f>
        <v/>
      </c>
      <c r="CE46" s="28" t="str">
        <f>IF($G46="","",$G46*(IF(ADRYr2!$AI46=CE$4,ADRYr2!$AJ46,IF(ADRYr2!$AK46=CE$4,ADRYr2!$AL46,IF(ADRYr2!$AM46=CE$4,ADRYr2!$AN46,0))))*(INDEX(avoidedcosttbl2,$H46,CE$2)+(($H46-ROUNDDOWN($H46,0))*(INDEX(avoidedcosttbl2,ROUNDUP($H46,0),CE$2)-(INDEX(avoidedcosttbl2,ROUNDDOWN($H46,0),CE$2)))))*ADRYr2!P46*ADRYr2!Q46*ADRYr2!U46)</f>
        <v/>
      </c>
      <c r="CF46" s="41" t="str">
        <f t="shared" si="38"/>
        <v/>
      </c>
      <c r="CG46" s="30" t="str">
        <f t="shared" si="11"/>
        <v/>
      </c>
      <c r="CH46" s="30" t="str">
        <f>IF($G46="","",$G46*(IF(ADRYr2!$AI46=BY$4,ADRYr2!$AJ46,IF(ADRYr2!$AK46=BY$4,ADRYr2!$AL46,IF(ADRYr2!$AM46=BY$4,ADRYr2!$AN46,0))))*(INDEX(avoidedcosttbl2,$H46,CH$2)+(($H46-ROUNDDOWN($H46,0))*(INDEX(avoidedcosttbl2,ROUNDUP($H46,0),CH$2)-(INDEX(avoidedcosttbl2,ROUNDDOWN($H46,0),CH$2)))))*ADRYr2!P46*ADRYr2!Q46*ADRYr2!U46)</f>
        <v/>
      </c>
      <c r="CI46" s="30" t="str">
        <f>IF($G46="","",$G46*(IF(ADRYr2!$AI46=BZ$4,ADRYr2!$AJ46,IF(ADRYr2!$AK46=BZ$4,ADRYr2!$AL46,IF(ADRYr2!$AM46=BZ$4,ADRYr2!$AN46,0))))*(INDEX(avoidedcosttbl2,$H46,CI$2)+(($H46-ROUNDDOWN($H46,0))*(INDEX(avoidedcosttbl2,ROUNDUP($H46,0),CI$2)-(INDEX(avoidedcosttbl2,ROUNDDOWN($H46,0),CI$2)))))*ADRYr2!P46*ADRYr2!Q46*ADRYr2!U46)</f>
        <v/>
      </c>
      <c r="CJ46" s="30" t="str">
        <f>IF($G46="","",$G46*(IF(ADRYr2!$AI46=CA$4,ADRYr2!$AJ46,IF(ADRYr2!$AK46=CA$4,ADRYr2!$AL46,IF(ADRYr2!$AM46=CA$4,ADRYr2!$AN46,0))))*(INDEX(avoidedcosttbl2,$H46,CJ$2)+(($H46-ROUNDDOWN($H46,0))*(INDEX(avoidedcosttbl2,ROUNDUP($H46,0),CJ$2)-(INDEX(avoidedcosttbl2,ROUNDDOWN($H46,0),CJ$2)))))*ADRYr2!P46*ADRYr2!Q46*ADRYr2!U46)</f>
        <v/>
      </c>
      <c r="CK46" s="30" t="str">
        <f>IF($G46="","",$G46*(IF(ADRYr2!$AI46=CB$4,ADRYr2!$AJ46,IF(ADRYr2!$AK46=CB$4,ADRYr2!$AL46,IF(ADRYr2!$AM46=CB$4,ADRYr2!$AN46,0))))*(INDEX(avoidedcosttbl2,$H46,CK$2)+(($H46-ROUNDDOWN($H46,0))*(INDEX(avoidedcosttbl2,ROUNDUP($H46,0),CK$2)-(INDEX(avoidedcosttbl2,ROUNDDOWN($H46,0),CK$2)))))*ADRYr2!P46*ADRYr2!Q46*ADRYr2!U46)</f>
        <v/>
      </c>
      <c r="CL46" s="30" t="str">
        <f>IF($G46="","",$G46*(IF(ADRYr2!$AI46=CC$4,ADRYr2!$AJ46,IF(ADRYr2!$AK46=CC$4,ADRYr2!$AL46,IF(ADRYr2!$AM46=CC$4,ADRYr2!$AN46,0))))*(INDEX(avoidedcosttbl2,$H46,CL$2)+(($H46-ROUNDDOWN($H46,0))*(INDEX(avoidedcosttbl2,ROUNDUP($H46,0),CL$2)-(INDEX(avoidedcosttbl2,ROUNDDOWN($H46,0),CL$2)))))*ADRYr2!P46*ADRYr2!Q46*ADRYr2!U46)</f>
        <v/>
      </c>
      <c r="CM46" s="30" t="str">
        <f>IF($G46="","",$G46*(IF(ADRYr2!$AI46=CD$4,ADRYr2!$AJ46,IF(ADRYr2!$AK46=CD$4,ADRYr2!$AL46,IF(ADRYr2!$AM46=CD$4,ADRYr2!$AN46,0))))*(INDEX(avoidedcosttbl2,$H46,CM$2)+(($H46-ROUNDDOWN($H46,0))*(INDEX(avoidedcosttbl2,ROUNDUP($H46,0),CM$2)-(INDEX(avoidedcosttbl2,ROUNDDOWN($H46,0),CM$2)))))*ADRYr2!P46*ADRYr2!Q46*ADRYr2!U46)</f>
        <v/>
      </c>
      <c r="CN46" s="30" t="str">
        <f>IF($G46="","",$G46*(IF(ADRYr2!$AI46=CE$4,ADRYr2!$AJ46,IF(ADRYr2!$AK46=CE$4,ADRYr2!$AL46,IF(ADRYr2!$AM46=CE$4,ADRYr2!$AN46,0))))*(INDEX(avoidedcosttbl2,$H46,CN$2)+(($H46-ROUNDDOWN($H46,0))*(INDEX(avoidedcosttbl2,ROUNDUP($H46,0),CN$2)-(INDEX(avoidedcosttbl2,ROUNDDOWN($H46,0),CN$2)))))*ADRYr2!P46*ADRYr2!Q46*ADRYr2!U46)</f>
        <v/>
      </c>
      <c r="CO46" s="220" t="str">
        <f t="shared" si="39"/>
        <v/>
      </c>
      <c r="CP46" s="220" t="str">
        <f t="shared" si="40"/>
        <v/>
      </c>
      <c r="CQ46" s="157" t="str">
        <f>IF($G46="","",$G46*(IF(ADRYr2!$AI46=CQ$4,ADRYr2!$AJ46,IF(ADRYr2!$AK46=CQ$4,ADRYr2!$AL46,IF(ADRYr2!$AM46=CQ$4,ADRYr2!$AN46,0))))*(INDEX(avoidedcosttbl2,$H46,CQ$2)+(($H46-ROUNDDOWN($H46,0))*(INDEX(avoidedcosttbl2,ROUNDUP($H46,0),CQ$2)-(INDEX(avoidedcosttbl2,ROUNDDOWN($H46,0),CQ$2)))))*ADRYr2!$P46*ADRYr2!$Q46*ADRYr2!$U46)</f>
        <v/>
      </c>
      <c r="CR46" s="28" t="str">
        <f>IF($G46="","",G46*(IF(ADRYr2!$AI46=CR$4,ADRYr2!$AJ46,IF(ADRYr2!$AK46=CR$4,ADRYr2!$AL46,IF(ADRYr2!$AM46=CR$4,ADRYr2!$AN46,0))))*(INDEX(avoidedcosttbl2,$H46,CR$2)+(($H46-ROUNDDOWN($H46,0))*(INDEX(avoidedcosttbl2,ROUNDUP($H46,0),CR$2)-(INDEX(avoidedcosttbl2,ROUNDDOWN($H46,0),CR$2)))))*ADRYr2!$P46*ADRYr2!$Q46*ADRYr2!$U46)</f>
        <v/>
      </c>
      <c r="CS46" s="28" t="str">
        <f>IF($G46="","",G46*(IF(ADRYr2!$AI46=CS$4,ADRYr2!$AJ46,IF(ADRYr2!$AK46=CS$4,ADRYr2!$AL46,IF(ADRYr2!$AM46=CS$4,ADRYr2!$AN46,0))))*(INDEX(avoidedcosttbl2,$H46,CS$2)+(($H46-ROUNDDOWN($H46,0))*(INDEX(avoidedcosttbl2,ROUNDUP($H46,0),CS$2)-(INDEX(avoidedcosttbl2,ROUNDDOWN($H46,0),CS$2)))))*ADRYr2!$P46*ADRYr2!$Q46*ADRYr2!$U46)</f>
        <v/>
      </c>
      <c r="CT46" s="28" t="str">
        <f t="shared" si="12"/>
        <v/>
      </c>
      <c r="CU46" s="28" t="str">
        <f>IF($G46="","",G46*(IF(ADRYr2!$AI46=CU$4,ADRYr2!$AJ46,IF(ADRYr2!$AK46=CU$4,ADRYr2!$AL46,IF(ADRYr2!$AM46=CU$4,ADRYr2!$AN46,0))))*(INDEX(avoidedcosttbl2,$H46,CU$2)+(($H46-ROUNDDOWN($H46,0))*(INDEX(avoidedcosttbl2,ROUNDUP($H46,0),CU$2)-(INDEX(avoidedcosttbl2,ROUNDDOWN($H46,0),CU$2)))))*ADRYr2!$P46*ADRYr2!$Q46*ADRYr2!$U46)</f>
        <v/>
      </c>
      <c r="CV46" s="28" t="str">
        <f>IF($G46="","",G46*(IF(ADRYr2!$AI46=CV$4,ADRYr2!$AJ46,IF(ADRYr2!$AK46=CV$4,ADRYr2!$AL46,IF(ADRYr2!$AM46=CV$4,ADRYr2!$AN46,0))))*(INDEX(avoidedcosttbl2,$H46,CV$2)+(($H46-ROUNDDOWN($H46,0))*(INDEX(avoidedcosttbl2,ROUNDUP($H46,0),CV$2)-(INDEX(avoidedcosttbl2,ROUNDDOWN($H46,0),CV$2)))))*ADRYr2!$P46*ADRYr2!$Q46*ADRYr2!$U46)</f>
        <v/>
      </c>
      <c r="CW46" s="28" t="str">
        <f>IF($G46="","",G46*(IF(ADRYr2!$AI46=CW$4,ADRYr2!$AJ46,IF(ADRYr2!$AK46=CW$4,ADRYr2!$AL46,IF(ADRYr2!$AM46=CW$4,ADRYr2!$AN46,0))))*(INDEX(avoidedcosttbl2,$H46,CW$2)+(($H46-ROUNDDOWN($H46,0))*(INDEX(avoidedcosttbl2,ROUNDUP($H46,0),CW$2)-(INDEX(avoidedcosttbl2,ROUNDDOWN($H46,0),CW$2)))))*ADRYr2!$P46*ADRYr2!$Q46*ADRYr2!$U46)</f>
        <v/>
      </c>
      <c r="CX46" s="28" t="str">
        <f>IF($G46="","",G46*(IF(ADRYr2!$AI46=CX$4,ADRYr2!$AJ46,IF(ADRYr2!$AK46=CX$4,ADRYr2!$AL46,IF(ADRYr2!$AM46=CX$4,ADRYr2!$AN46,0))))*(INDEX(avoidedcosttbl2,$H46,CX$2)+(($H46-ROUNDDOWN($H46,0))*(INDEX(avoidedcosttbl2,ROUNDUP($H46,0),CX$2)-(INDEX(avoidedcosttbl2,ROUNDDOWN($H46,0),CX$2)))))*ADRYr2!$P46*ADRYr2!$Q46*ADRYr2!$U46)</f>
        <v/>
      </c>
      <c r="CY46" s="28" t="str">
        <f t="shared" si="13"/>
        <v/>
      </c>
      <c r="CZ46" s="32" t="str">
        <f t="shared" si="14"/>
        <v/>
      </c>
      <c r="DA46" s="84" t="str">
        <f t="shared" si="41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15"/>
        <v/>
      </c>
      <c r="DD46" s="166" t="str">
        <f t="shared" si="16"/>
        <v/>
      </c>
      <c r="DE46" s="82">
        <f t="shared" si="42"/>
        <v>0</v>
      </c>
      <c r="DF46" s="760" t="str">
        <f>IF($G46="","",(1+WntPeakEnergyLL)*(INDEX(avoidedcosttbl2,$H46,DF$2)+(($H46-ROUNDDOWN($H46,0))*(INDEX(avoidedcosttbl2,ROUNDUP($H46,0),DF$2)-(INDEX(avoidedcosttbl2,ROUNDDOWN($H46,0),DF$2)))))*$P46*1000*ADRYr2!Z46)</f>
        <v/>
      </c>
      <c r="DG46" s="760" t="str">
        <f>IF($G46="","",(1+WntOffPeakEnergyLL)*(INDEX(avoidedcosttbl2,$H46,DG$2)+(($H46-ROUNDDOWN($H46,0))*(INDEX(avoidedcosttbl2,ROUNDUP($H46,0),DG$2)-(INDEX(avoidedcosttbl2,ROUNDDOWN($H46,0),DG$2)))))*$P46*1000*ADRYr2!AA46)</f>
        <v/>
      </c>
      <c r="DH46" s="760" t="str">
        <f>IF($G46="","",(1+SumPeakEnergyLL)*(INDEX(avoidedcosttbl2,$H46,DH$2)+(($H46-ROUNDDOWN($H46,0))*(INDEX(avoidedcosttbl2,ROUNDUP($H46,0),DH$2)-(INDEX(avoidedcosttbl2,ROUNDDOWN($H46,0),DH$2)))))*$P46*1000*ADRYr2!AB46)</f>
        <v/>
      </c>
      <c r="DI46" s="760" t="str">
        <f>IF($G46="","",(1+SumOffPeakEnergyLL)*(INDEX(avoidedcosttbl2,$H46,DI$2)+(($H46-ROUNDDOWN($H46,0))*(INDEX(avoidedcosttbl2,ROUNDUP($H46,0),DI$2)-(INDEX(avoidedcosttbl2,ROUNDDOWN($H46,0),DI$2)))))*$P46*1000*ADRYr2!AC46)</f>
        <v/>
      </c>
      <c r="DJ46" s="29" t="str">
        <f t="shared" si="43"/>
        <v/>
      </c>
      <c r="DK46" s="161" t="str">
        <f t="shared" si="51"/>
        <v/>
      </c>
      <c r="DO46" s="1131" t="str">
        <f>IF($G46="","",ADRYr2!AQ46)</f>
        <v/>
      </c>
      <c r="DP46" s="1133" t="str">
        <f>IF($G46="","",ADRYr2!AR46)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48"/>
        <v/>
      </c>
      <c r="DU46" s="1135" t="str">
        <f>IF($G46="","",ADRYr2!AS46)</f>
        <v/>
      </c>
      <c r="DV46" s="1136" t="str">
        <f>IF($G46="","",ADRYr2!AT46)</f>
        <v/>
      </c>
      <c r="DW46" s="1344" t="str">
        <f>IF($G46="","",INDEX(AvoidedEnergy!$H$4:$H$10,MATCH($DO46,AvoidedEnergy!$A$4:$A$10,0)))</f>
        <v/>
      </c>
    </row>
    <row r="47" spans="1:127">
      <c r="A47" s="160" t="str">
        <f>IF(ADRYr2!$B47=0,"",ADRYr2!A47)</f>
        <v/>
      </c>
      <c r="B47" s="9" t="str">
        <f>IF(ADRYr2!$B47=0,"",ADRYr2!B47)</f>
        <v/>
      </c>
      <c r="C47" s="9" t="str">
        <f>IF(ADRYr2!$B47=0,"",ADRYr2!C47)</f>
        <v/>
      </c>
      <c r="D47" s="9" t="str">
        <f>IF(ADRYr2!$B47=0,"",ADRYr2!D47)</f>
        <v/>
      </c>
      <c r="E47" s="9"/>
      <c r="F47" s="11" t="str">
        <f>IF(ADRYr2!$B47=0,"",ADRYr2!F47)</f>
        <v/>
      </c>
      <c r="G47" s="12" t="str">
        <f>IF(ADRYr2!$G47&lt;&gt;0,ADRYr2!G47,"")</f>
        <v/>
      </c>
      <c r="H47" s="1125" t="str">
        <f>IF($G47="","",ROUND(ADRYr2!H47,0))</f>
        <v/>
      </c>
      <c r="I47" s="47" t="str">
        <f>IF($G47="","",ADRYr2!I47*ADRYr2!P47*G47)</f>
        <v/>
      </c>
      <c r="J47" s="47" t="str">
        <f>IF($G47="","",ADRYr2!J47*G47)</f>
        <v/>
      </c>
      <c r="K47" s="47" t="str">
        <f t="shared" si="17"/>
        <v/>
      </c>
      <c r="L47" s="27" t="str">
        <f>IF($G47="","",ADRYr2!V47*G47/1000)</f>
        <v/>
      </c>
      <c r="M47" s="27" t="str">
        <f>IF($G47="","",L47*ADRYr2!$Q47*ADRYr2!$R47)</f>
        <v/>
      </c>
      <c r="N47" s="27" t="str">
        <f t="shared" si="18"/>
        <v/>
      </c>
      <c r="O47" s="27" t="str">
        <f t="shared" si="19"/>
        <v/>
      </c>
      <c r="P47" s="27" t="str">
        <f>IF($G47="","",M47*ADRYr2!P47)</f>
        <v/>
      </c>
      <c r="Q47" s="27" t="str">
        <f t="shared" si="20"/>
        <v/>
      </c>
      <c r="R47" s="27" t="str">
        <f>IF($G47="","",$Q47*ADRYr2!Z47)</f>
        <v/>
      </c>
      <c r="S47" s="27" t="str">
        <f>IF($G47="","",$Q47*ADRYr2!AA47)</f>
        <v/>
      </c>
      <c r="T47" s="27" t="str">
        <f>IF($G47="","",$Q47*ADRYr2!AB47)</f>
        <v/>
      </c>
      <c r="U47" s="27" t="str">
        <f>IF($G47="","",$Q47*ADRYr2!AC47)</f>
        <v/>
      </c>
      <c r="V47" s="27" t="str">
        <f>IF($G47="","",G47*ADRYr2!$AD47*ADRYr2!$P47*ADRYr2!$Q47)</f>
        <v/>
      </c>
      <c r="W47" s="27" t="str">
        <f>IF($G47="","",$G47*ADRYr2!$AD47*ADRYr2!$AF47*ADRYr2!Q47*ADRYr2!$S47)</f>
        <v/>
      </c>
      <c r="X47" s="27" t="str">
        <f>IF($G47="","",$G47*ADRYr2!$AD47*ADRYr2!$AF47*ADRYr2!P47*ADRYr2!Q47*ADRYr2!$S47)</f>
        <v/>
      </c>
      <c r="Y47" s="27" t="str">
        <f>IF($G47="","",$G47*ADRYr2!$AD47*ADRYr2!$AE47*ADRYr2!Q47*ADRYr2!$T47)</f>
        <v/>
      </c>
      <c r="Z47" s="27" t="str">
        <f>IF($G47="","",$G47*ADRYr2!$AD47*ADRYr2!$AE47*ADRYr2!P47*ADRYr2!Q47*ADRYr2!$T47)</f>
        <v/>
      </c>
      <c r="AA47" s="45" t="str">
        <f>IF($G47="","",$G47*ADRYr2!$Q47*ADRYr2!$U47*(IF(IFERROR(SEARCH("NG", ADRYr2!$AI47),0),ADRYr2!$AJ47,0)+IF(IFERROR(SEARCH("NG", ADRYr2!$AK47),0),ADRYr2!$AL47,0)+IF(IFERROR(SEARCH("NG", ADRYr2!$AM47),0),ADRYr2!$AN47,0)))</f>
        <v/>
      </c>
      <c r="AB47" s="45" t="str">
        <f t="shared" si="21"/>
        <v/>
      </c>
      <c r="AC47" s="45">
        <f>IF($G47="",0,AA47*ADRYr2!$P47)</f>
        <v>0</v>
      </c>
      <c r="AD47" s="45" t="str">
        <f t="shared" si="22"/>
        <v/>
      </c>
      <c r="AE47" s="45" t="str">
        <f>IF($G47="","",$G47*ADRYr2!$Q47*ADRYr2!$U47*(IF(IFERROR(SEARCH("Oil", ADRYr2!$AI47), 0),ADRYr2!$AJ47,0)+IF(IFERROR(SEARCH("Oil", ADRYr2!$AK47), 0),ADRYr2!$AL47,0)+IF(IFERROR(SEARCH("Oil", ADRYr2!$AM47), 0),ADRYr2!$AN47,0)))</f>
        <v/>
      </c>
      <c r="AF47" s="45" t="str">
        <f t="shared" si="23"/>
        <v/>
      </c>
      <c r="AG47" s="45">
        <f>IF($G47="",0,AE47*ADRYr2!$P47)</f>
        <v>0</v>
      </c>
      <c r="AH47" s="45" t="str">
        <f t="shared" si="24"/>
        <v/>
      </c>
      <c r="AI47" s="45" t="str">
        <f>IF($G47="","",$G47*ADRYr2!$Q47*ADRYr2!$U47*(IF(ADRYr2!$AI47=Lookups!$E$114,ADRYr2!$AJ47,IF(ADRYr2!$AK47=Lookups!$E$114,ADRYr2!$AL47,IF(ADRYr2!$AM47=Lookups!$E$114,ADRYr2!$AN47,0)))))</f>
        <v/>
      </c>
      <c r="AJ47" s="45" t="str">
        <f t="shared" si="25"/>
        <v/>
      </c>
      <c r="AK47" s="45">
        <f>IF($G47="",0,AI47*ADRYr2!$P47)</f>
        <v>0</v>
      </c>
      <c r="AL47" s="45" t="str">
        <f t="shared" si="26"/>
        <v/>
      </c>
      <c r="AM47" s="45" t="str">
        <f>IF($G47="","",$G47*ADRYr2!$Q47*ADRYr2!$U47*(IF(ADRYr2!$AI47=Lookups!$E$113,ADRYr2!$AJ47,IF(ADRYr2!$AK47=Lookups!$E$113,ADRYr2!$AL47,IF(ADRYr2!$AM47=Lookups!$E$113,ADRYr2!$AN47,0)))))</f>
        <v/>
      </c>
      <c r="AN47" s="45" t="str">
        <f t="shared" si="27"/>
        <v/>
      </c>
      <c r="AO47" s="45">
        <f>IF($G47="",0,AM47*ADRYr2!$P47)</f>
        <v>0</v>
      </c>
      <c r="AP47" s="45" t="str">
        <f t="shared" si="28"/>
        <v/>
      </c>
      <c r="AQ47" s="45" t="str">
        <f>IF($G47="","",$G47*ADRYr2!$Q47*ADRYr2!$U47*(IF(ADRYr2!$AI47=Lookups!$E$115,ADRYr2!$AJ47,IF(ADRYr2!$AK47=Lookups!$E$115,ADRYr2!$AL47,IF(ADRYr2!$AM47=Lookups!$E$115,ADRYr2!$AN47,0)))))</f>
        <v/>
      </c>
      <c r="AR47" s="45" t="str">
        <f t="shared" si="29"/>
        <v/>
      </c>
      <c r="AS47" s="45" t="str">
        <f>IF($G47="","",AQ47*ADRYr2!$P47)</f>
        <v/>
      </c>
      <c r="AT47" s="45" t="str">
        <f t="shared" si="30"/>
        <v/>
      </c>
      <c r="AU47" s="45" t="str">
        <f>IF($G47="","",$G47*ADRYr2!$Q47*ADRYr2!$U47*(IF(ADRYr2!$AI47=Lookups!$E$116,ADRYr2!$AJ47,IF(ADRYr2!$AK47=Lookups!$E$116,ADRYr2!$AL47,IF(ADRYr2!$AM47=Lookups!$E$116,ADRYr2!$AN47,0)))))</f>
        <v/>
      </c>
      <c r="AV47" s="45" t="str">
        <f t="shared" si="31"/>
        <v/>
      </c>
      <c r="AW47" s="45" t="str">
        <f>IF($G47="","",AU47*ADRYr2!$P47)</f>
        <v/>
      </c>
      <c r="AX47" s="45" t="str">
        <f t="shared" si="32"/>
        <v/>
      </c>
      <c r="AY47" s="45">
        <f t="shared" si="49"/>
        <v>0</v>
      </c>
      <c r="AZ47" s="45">
        <f t="shared" si="49"/>
        <v>0</v>
      </c>
      <c r="BA47" s="101" t="str">
        <f>IF($G47="","",$G47*ADRYr2!$P47*ADRYr2!$Q47*ADRYr2!$U47*ADRYr2!AO47)</f>
        <v/>
      </c>
      <c r="BB47" s="102" t="str">
        <f>IF($G47="","",$G47*ADRYr2!$P47*ADRYr2!$Q47*ADRYr2!$U47*ADRYr2!AP47)</f>
        <v/>
      </c>
      <c r="BC47" s="100" t="str">
        <f t="shared" si="34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5"/>
        <v/>
      </c>
      <c r="BO47" s="31" t="str">
        <f t="shared" si="35"/>
        <v/>
      </c>
      <c r="BP47" s="1129" t="str">
        <f t="shared" si="6"/>
        <v/>
      </c>
      <c r="BQ47" s="28" t="str">
        <f t="shared" si="7"/>
        <v/>
      </c>
      <c r="BR47" s="1129" t="str">
        <f t="shared" si="8"/>
        <v/>
      </c>
      <c r="BS47" s="1129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6"/>
        <v/>
      </c>
      <c r="BX47" s="29" t="str">
        <f t="shared" si="37"/>
        <v/>
      </c>
      <c r="BY47" s="28" t="str">
        <f>IF($G47="","",$G47*(IF(ADRYr2!$AI47=BY$4,ADRYr2!$AJ47,IF(ADRYr2!$AK47=BY$4,ADRYr2!$AL47,IF(ADRYr2!$AM47=BY$4,ADRYr2!$AN47,0))))*(INDEX(avoidedcosttbl2,$H47,BY$2)+(($H47-ROUNDDOWN($H47,0))*(INDEX(avoidedcosttbl2,ROUNDUP($H47,0),BY$2)-(INDEX(avoidedcosttbl2,ROUNDDOWN($H47,0),BY$2)))))*ADRYr2!P47*ADRYr2!Q47*ADRYr2!U47)</f>
        <v/>
      </c>
      <c r="BZ47" s="28" t="str">
        <f>IF($G47="","",$G47*(IF(ADRYr2!$AI47=BZ$4,ADRYr2!$AJ47,IF(ADRYr2!$AK47=BZ$4,ADRYr2!$AL47,IF(ADRYr2!$AM47=BZ$4,ADRYr2!$AN47,0))))*(INDEX(avoidedcosttbl2,$H47,BZ$2)+(($H47-ROUNDDOWN($H47,0))*(INDEX(avoidedcosttbl2,ROUNDUP($H47,0),BZ$2)-(INDEX(avoidedcosttbl2,ROUNDDOWN($H47,0),BZ$2)))))*ADRYr2!P47*ADRYr2!Q47*ADRYr2!U47)</f>
        <v/>
      </c>
      <c r="CA47" s="28" t="str">
        <f>IF($G47="","",$G47*(IF(ADRYr2!$AI47=CA$4,ADRYr2!$AJ47,IF(ADRYr2!$AK47=CA$4,ADRYr2!$AL47,IF(ADRYr2!$AM47=CA$4,ADRYr2!$AN47,0))))*(INDEX(avoidedcosttbl2,$H47,CA$2)+(($H47-ROUNDDOWN($H47,0))*(INDEX(avoidedcosttbl2,ROUNDUP($H47,0),CA$2)-(INDEX(avoidedcosttbl2,ROUNDDOWN($H47,0),CA$2)))))*ADRYr2!P47*ADRYr2!Q47*ADRYr2!U47)</f>
        <v/>
      </c>
      <c r="CB47" s="28" t="str">
        <f>IF($G47="","",$G47*(IF(ADRYr2!$AI47=CB$4,ADRYr2!$AJ47,IF(ADRYr2!$AK47=CB$4,ADRYr2!$AL47,IF(ADRYr2!$AM47=CB$4,ADRYr2!$AN47,0))))*(INDEX(avoidedcosttbl2,$H47,CB$2)+(($H47-ROUNDDOWN($H47,0))*(INDEX(avoidedcosttbl2,ROUNDUP($H47,0),CB$2)-(INDEX(avoidedcosttbl2,ROUNDDOWN($H47,0),CB$2)))))*ADRYr2!P47*ADRYr2!Q47*ADRYr2!U47)</f>
        <v/>
      </c>
      <c r="CC47" s="28" t="str">
        <f>IF($G47="","",$G47*(IF(ADRYr2!$AI47=CC$4,ADRYr2!$AJ47,IF(ADRYr2!$AK47=CC$4,ADRYr2!$AL47,IF(ADRYr2!$AM47=CC$4,ADRYr2!$AN47,0))))*(INDEX(avoidedcosttbl2,$H47,CC$2)+(($H47-ROUNDDOWN($H47,0))*(INDEX(avoidedcosttbl2,ROUNDUP($H47,0),CC$2)-(INDEX(avoidedcosttbl2,ROUNDDOWN($H47,0),CC$2)))))*ADRYr2!P47*ADRYr2!Q47*ADRYr2!U47)</f>
        <v/>
      </c>
      <c r="CD47" s="28" t="str">
        <f>IF($G47="","",$G47*(IF(ADRYr2!$AI47=CD$4,ADRYr2!$AJ47,IF(ADRYr2!$AK47=CD$4,ADRYr2!$AL47,IF(ADRYr2!$AM47=CD$4,ADRYr2!$AN47,0))))*(INDEX(avoidedcosttbl2,$H47,CD$2)+(($H47-ROUNDDOWN($H47,0))*(INDEX(avoidedcosttbl2,ROUNDUP($H47,0),CD$2)-(INDEX(avoidedcosttbl2,ROUNDDOWN($H47,0),CD$2)))))*ADRYr2!P47*ADRYr2!Q47*ADRYr2!U47)</f>
        <v/>
      </c>
      <c r="CE47" s="28" t="str">
        <f>IF($G47="","",$G47*(IF(ADRYr2!$AI47=CE$4,ADRYr2!$AJ47,IF(ADRYr2!$AK47=CE$4,ADRYr2!$AL47,IF(ADRYr2!$AM47=CE$4,ADRYr2!$AN47,0))))*(INDEX(avoidedcosttbl2,$H47,CE$2)+(($H47-ROUNDDOWN($H47,0))*(INDEX(avoidedcosttbl2,ROUNDUP($H47,0),CE$2)-(INDEX(avoidedcosttbl2,ROUNDDOWN($H47,0),CE$2)))))*ADRYr2!P47*ADRYr2!Q47*ADRYr2!U47)</f>
        <v/>
      </c>
      <c r="CF47" s="41" t="str">
        <f t="shared" si="38"/>
        <v/>
      </c>
      <c r="CG47" s="30" t="str">
        <f t="shared" si="11"/>
        <v/>
      </c>
      <c r="CH47" s="30" t="str">
        <f>IF($G47="","",$G47*(IF(ADRYr2!$AI47=BY$4,ADRYr2!$AJ47,IF(ADRYr2!$AK47=BY$4,ADRYr2!$AL47,IF(ADRYr2!$AM47=BY$4,ADRYr2!$AN47,0))))*(INDEX(avoidedcosttbl2,$H47,CH$2)+(($H47-ROUNDDOWN($H47,0))*(INDEX(avoidedcosttbl2,ROUNDUP($H47,0),CH$2)-(INDEX(avoidedcosttbl2,ROUNDDOWN($H47,0),CH$2)))))*ADRYr2!P47*ADRYr2!Q47*ADRYr2!U47)</f>
        <v/>
      </c>
      <c r="CI47" s="30" t="str">
        <f>IF($G47="","",$G47*(IF(ADRYr2!$AI47=BZ$4,ADRYr2!$AJ47,IF(ADRYr2!$AK47=BZ$4,ADRYr2!$AL47,IF(ADRYr2!$AM47=BZ$4,ADRYr2!$AN47,0))))*(INDEX(avoidedcosttbl2,$H47,CI$2)+(($H47-ROUNDDOWN($H47,0))*(INDEX(avoidedcosttbl2,ROUNDUP($H47,0),CI$2)-(INDEX(avoidedcosttbl2,ROUNDDOWN($H47,0),CI$2)))))*ADRYr2!P47*ADRYr2!Q47*ADRYr2!U47)</f>
        <v/>
      </c>
      <c r="CJ47" s="30" t="str">
        <f>IF($G47="","",$G47*(IF(ADRYr2!$AI47=CA$4,ADRYr2!$AJ47,IF(ADRYr2!$AK47=CA$4,ADRYr2!$AL47,IF(ADRYr2!$AM47=CA$4,ADRYr2!$AN47,0))))*(INDEX(avoidedcosttbl2,$H47,CJ$2)+(($H47-ROUNDDOWN($H47,0))*(INDEX(avoidedcosttbl2,ROUNDUP($H47,0),CJ$2)-(INDEX(avoidedcosttbl2,ROUNDDOWN($H47,0),CJ$2)))))*ADRYr2!P47*ADRYr2!Q47*ADRYr2!U47)</f>
        <v/>
      </c>
      <c r="CK47" s="30" t="str">
        <f>IF($G47="","",$G47*(IF(ADRYr2!$AI47=CB$4,ADRYr2!$AJ47,IF(ADRYr2!$AK47=CB$4,ADRYr2!$AL47,IF(ADRYr2!$AM47=CB$4,ADRYr2!$AN47,0))))*(INDEX(avoidedcosttbl2,$H47,CK$2)+(($H47-ROUNDDOWN($H47,0))*(INDEX(avoidedcosttbl2,ROUNDUP($H47,0),CK$2)-(INDEX(avoidedcosttbl2,ROUNDDOWN($H47,0),CK$2)))))*ADRYr2!P47*ADRYr2!Q47*ADRYr2!U47)</f>
        <v/>
      </c>
      <c r="CL47" s="30" t="str">
        <f>IF($G47="","",$G47*(IF(ADRYr2!$AI47=CC$4,ADRYr2!$AJ47,IF(ADRYr2!$AK47=CC$4,ADRYr2!$AL47,IF(ADRYr2!$AM47=CC$4,ADRYr2!$AN47,0))))*(INDEX(avoidedcosttbl2,$H47,CL$2)+(($H47-ROUNDDOWN($H47,0))*(INDEX(avoidedcosttbl2,ROUNDUP($H47,0),CL$2)-(INDEX(avoidedcosttbl2,ROUNDDOWN($H47,0),CL$2)))))*ADRYr2!P47*ADRYr2!Q47*ADRYr2!U47)</f>
        <v/>
      </c>
      <c r="CM47" s="30" t="str">
        <f>IF($G47="","",$G47*(IF(ADRYr2!$AI47=CD$4,ADRYr2!$AJ47,IF(ADRYr2!$AK47=CD$4,ADRYr2!$AL47,IF(ADRYr2!$AM47=CD$4,ADRYr2!$AN47,0))))*(INDEX(avoidedcosttbl2,$H47,CM$2)+(($H47-ROUNDDOWN($H47,0))*(INDEX(avoidedcosttbl2,ROUNDUP($H47,0),CM$2)-(INDEX(avoidedcosttbl2,ROUNDDOWN($H47,0),CM$2)))))*ADRYr2!P47*ADRYr2!Q47*ADRYr2!U47)</f>
        <v/>
      </c>
      <c r="CN47" s="30" t="str">
        <f>IF($G47="","",$G47*(IF(ADRYr2!$AI47=CE$4,ADRYr2!$AJ47,IF(ADRYr2!$AK47=CE$4,ADRYr2!$AL47,IF(ADRYr2!$AM47=CE$4,ADRYr2!$AN47,0))))*(INDEX(avoidedcosttbl2,$H47,CN$2)+(($H47-ROUNDDOWN($H47,0))*(INDEX(avoidedcosttbl2,ROUNDUP($H47,0),CN$2)-(INDEX(avoidedcosttbl2,ROUNDDOWN($H47,0),CN$2)))))*ADRYr2!P47*ADRYr2!Q47*ADRYr2!U47)</f>
        <v/>
      </c>
      <c r="CO47" s="220" t="str">
        <f t="shared" si="39"/>
        <v/>
      </c>
      <c r="CP47" s="220" t="str">
        <f t="shared" si="40"/>
        <v/>
      </c>
      <c r="CQ47" s="157" t="str">
        <f>IF($G47="","",$G47*(IF(ADRYr2!$AI47=CQ$4,ADRYr2!$AJ47,IF(ADRYr2!$AK47=CQ$4,ADRYr2!$AL47,IF(ADRYr2!$AM47=CQ$4,ADRYr2!$AN47,0))))*(INDEX(avoidedcosttbl2,$H47,CQ$2)+(($H47-ROUNDDOWN($H47,0))*(INDEX(avoidedcosttbl2,ROUNDUP($H47,0),CQ$2)-(INDEX(avoidedcosttbl2,ROUNDDOWN($H47,0),CQ$2)))))*ADRYr2!$P47*ADRYr2!$Q47*ADRYr2!$U47)</f>
        <v/>
      </c>
      <c r="CR47" s="28" t="str">
        <f>IF($G47="","",G47*(IF(ADRYr2!$AI47=CR$4,ADRYr2!$AJ47,IF(ADRYr2!$AK47=CR$4,ADRYr2!$AL47,IF(ADRYr2!$AM47=CR$4,ADRYr2!$AN47,0))))*(INDEX(avoidedcosttbl2,$H47,CR$2)+(($H47-ROUNDDOWN($H47,0))*(INDEX(avoidedcosttbl2,ROUNDUP($H47,0),CR$2)-(INDEX(avoidedcosttbl2,ROUNDDOWN($H47,0),CR$2)))))*ADRYr2!$P47*ADRYr2!$Q47*ADRYr2!$U47)</f>
        <v/>
      </c>
      <c r="CS47" s="28" t="str">
        <f>IF($G47="","",G47*(IF(ADRYr2!$AI47=CS$4,ADRYr2!$AJ47,IF(ADRYr2!$AK47=CS$4,ADRYr2!$AL47,IF(ADRYr2!$AM47=CS$4,ADRYr2!$AN47,0))))*(INDEX(avoidedcosttbl2,$H47,CS$2)+(($H47-ROUNDDOWN($H47,0))*(INDEX(avoidedcosttbl2,ROUNDUP($H47,0),CS$2)-(INDEX(avoidedcosttbl2,ROUNDDOWN($H47,0),CS$2)))))*ADRYr2!$P47*ADRYr2!$Q47*ADRYr2!$U47)</f>
        <v/>
      </c>
      <c r="CT47" s="28" t="str">
        <f t="shared" si="12"/>
        <v/>
      </c>
      <c r="CU47" s="28" t="str">
        <f>IF($G47="","",G47*(IF(ADRYr2!$AI47=CU$4,ADRYr2!$AJ47,IF(ADRYr2!$AK47=CU$4,ADRYr2!$AL47,IF(ADRYr2!$AM47=CU$4,ADRYr2!$AN47,0))))*(INDEX(avoidedcosttbl2,$H47,CU$2)+(($H47-ROUNDDOWN($H47,0))*(INDEX(avoidedcosttbl2,ROUNDUP($H47,0),CU$2)-(INDEX(avoidedcosttbl2,ROUNDDOWN($H47,0),CU$2)))))*ADRYr2!$P47*ADRYr2!$Q47*ADRYr2!$U47)</f>
        <v/>
      </c>
      <c r="CV47" s="28" t="str">
        <f>IF($G47="","",G47*(IF(ADRYr2!$AI47=CV$4,ADRYr2!$AJ47,IF(ADRYr2!$AK47=CV$4,ADRYr2!$AL47,IF(ADRYr2!$AM47=CV$4,ADRYr2!$AN47,0))))*(INDEX(avoidedcosttbl2,$H47,CV$2)+(($H47-ROUNDDOWN($H47,0))*(INDEX(avoidedcosttbl2,ROUNDUP($H47,0),CV$2)-(INDEX(avoidedcosttbl2,ROUNDDOWN($H47,0),CV$2)))))*ADRYr2!$P47*ADRYr2!$Q47*ADRYr2!$U47)</f>
        <v/>
      </c>
      <c r="CW47" s="28" t="str">
        <f>IF($G47="","",G47*(IF(ADRYr2!$AI47=CW$4,ADRYr2!$AJ47,IF(ADRYr2!$AK47=CW$4,ADRYr2!$AL47,IF(ADRYr2!$AM47=CW$4,ADRYr2!$AN47,0))))*(INDEX(avoidedcosttbl2,$H47,CW$2)+(($H47-ROUNDDOWN($H47,0))*(INDEX(avoidedcosttbl2,ROUNDUP($H47,0),CW$2)-(INDEX(avoidedcosttbl2,ROUNDDOWN($H47,0),CW$2)))))*ADRYr2!$P47*ADRYr2!$Q47*ADRYr2!$U47)</f>
        <v/>
      </c>
      <c r="CX47" s="28" t="str">
        <f>IF($G47="","",G47*(IF(ADRYr2!$AI47=CX$4,ADRYr2!$AJ47,IF(ADRYr2!$AK47=CX$4,ADRYr2!$AL47,IF(ADRYr2!$AM47=CX$4,ADRYr2!$AN47,0))))*(INDEX(avoidedcosttbl2,$H47,CX$2)+(($H47-ROUNDDOWN($H47,0))*(INDEX(avoidedcosttbl2,ROUNDUP($H47,0),CX$2)-(INDEX(avoidedcosttbl2,ROUNDDOWN($H47,0),CX$2)))))*ADRYr2!$P47*ADRYr2!$Q47*ADRYr2!$U47)</f>
        <v/>
      </c>
      <c r="CY47" s="28" t="str">
        <f t="shared" si="13"/>
        <v/>
      </c>
      <c r="CZ47" s="32" t="str">
        <f t="shared" si="14"/>
        <v/>
      </c>
      <c r="DA47" s="84" t="str">
        <f t="shared" si="41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15"/>
        <v/>
      </c>
      <c r="DD47" s="166" t="str">
        <f t="shared" si="16"/>
        <v/>
      </c>
      <c r="DE47" s="82">
        <f t="shared" si="42"/>
        <v>0</v>
      </c>
      <c r="DF47" s="760" t="str">
        <f>IF($G47="","",(1+WntPeakEnergyLL)*(INDEX(avoidedcosttbl2,$H47,DF$2)+(($H47-ROUNDDOWN($H47,0))*(INDEX(avoidedcosttbl2,ROUNDUP($H47,0),DF$2)-(INDEX(avoidedcosttbl2,ROUNDDOWN($H47,0),DF$2)))))*$P47*1000*ADRYr2!Z47)</f>
        <v/>
      </c>
      <c r="DG47" s="760" t="str">
        <f>IF($G47="","",(1+WntOffPeakEnergyLL)*(INDEX(avoidedcosttbl2,$H47,DG$2)+(($H47-ROUNDDOWN($H47,0))*(INDEX(avoidedcosttbl2,ROUNDUP($H47,0),DG$2)-(INDEX(avoidedcosttbl2,ROUNDDOWN($H47,0),DG$2)))))*$P47*1000*ADRYr2!AA47)</f>
        <v/>
      </c>
      <c r="DH47" s="760" t="str">
        <f>IF($G47="","",(1+SumPeakEnergyLL)*(INDEX(avoidedcosttbl2,$H47,DH$2)+(($H47-ROUNDDOWN($H47,0))*(INDEX(avoidedcosttbl2,ROUNDUP($H47,0),DH$2)-(INDEX(avoidedcosttbl2,ROUNDDOWN($H47,0),DH$2)))))*$P47*1000*ADRYr2!AB47)</f>
        <v/>
      </c>
      <c r="DI47" s="760" t="str">
        <f>IF($G47="","",(1+SumOffPeakEnergyLL)*(INDEX(avoidedcosttbl2,$H47,DI$2)+(($H47-ROUNDDOWN($H47,0))*(INDEX(avoidedcosttbl2,ROUNDUP($H47,0),DI$2)-(INDEX(avoidedcosttbl2,ROUNDDOWN($H47,0),DI$2)))))*$P47*1000*ADRYr2!AC47)</f>
        <v/>
      </c>
      <c r="DJ47" s="29" t="str">
        <f t="shared" si="43"/>
        <v/>
      </c>
      <c r="DK47" s="161" t="str">
        <f t="shared" si="51"/>
        <v/>
      </c>
      <c r="DO47" s="1131" t="str">
        <f>IF($G47="","",ADRYr2!AQ47)</f>
        <v/>
      </c>
      <c r="DP47" s="1133" t="str">
        <f>IF($G47="","",ADRYr2!AR47)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48"/>
        <v/>
      </c>
      <c r="DU47" s="1135" t="str">
        <f>IF($G47="","",ADRYr2!AS47)</f>
        <v/>
      </c>
      <c r="DV47" s="1136" t="str">
        <f>IF($G47="","",ADRYr2!AT47)</f>
        <v/>
      </c>
      <c r="DW47" s="1344" t="str">
        <f>IF($G47="","",INDEX(AvoidedEnergy!$H$4:$H$10,MATCH($DO47,AvoidedEnergy!$A$4:$A$10,0)))</f>
        <v/>
      </c>
    </row>
    <row r="48" spans="1:127">
      <c r="A48" s="160" t="str">
        <f>IF(ADRYr2!$B48=0,"",ADRYr2!A48)</f>
        <v/>
      </c>
      <c r="B48" s="9" t="str">
        <f>IF(ADRYr2!$B48=0,"",ADRYr2!B48)</f>
        <v/>
      </c>
      <c r="C48" s="9" t="str">
        <f>IF(ADRYr2!$B48=0,"",ADRYr2!C48)</f>
        <v/>
      </c>
      <c r="D48" s="9" t="str">
        <f>IF(ADRYr2!$B48=0,"",ADRYr2!D48)</f>
        <v/>
      </c>
      <c r="E48" s="9"/>
      <c r="F48" s="11" t="str">
        <f>IF(ADRYr2!$B48=0,"",ADRYr2!F48)</f>
        <v/>
      </c>
      <c r="G48" s="12" t="str">
        <f>IF(ADRYr2!$G48&lt;&gt;0,ADRYr2!G48,"")</f>
        <v/>
      </c>
      <c r="H48" s="1125" t="str">
        <f>IF($G48="","",ROUND(ADRYr2!H48,0))</f>
        <v/>
      </c>
      <c r="I48" s="47" t="str">
        <f>IF($G48="","",ADRYr2!I48*ADRYr2!P48*G48)</f>
        <v/>
      </c>
      <c r="J48" s="47" t="str">
        <f>IF($G48="","",ADRYr2!J48*G48)</f>
        <v/>
      </c>
      <c r="K48" s="47" t="str">
        <f t="shared" si="17"/>
        <v/>
      </c>
      <c r="L48" s="27" t="str">
        <f>IF($G48="","",ADRYr2!V48*G48/1000)</f>
        <v/>
      </c>
      <c r="M48" s="27" t="str">
        <f>IF($G48="","",L48*ADRYr2!$Q48*ADRYr2!$R48)</f>
        <v/>
      </c>
      <c r="N48" s="27" t="str">
        <f t="shared" si="18"/>
        <v/>
      </c>
      <c r="O48" s="27" t="str">
        <f t="shared" si="19"/>
        <v/>
      </c>
      <c r="P48" s="27" t="str">
        <f>IF($G48="","",M48*ADRYr2!P48)</f>
        <v/>
      </c>
      <c r="Q48" s="27" t="str">
        <f t="shared" si="20"/>
        <v/>
      </c>
      <c r="R48" s="27" t="str">
        <f>IF($G48="","",$Q48*ADRYr2!Z48)</f>
        <v/>
      </c>
      <c r="S48" s="27" t="str">
        <f>IF($G48="","",$Q48*ADRYr2!AA48)</f>
        <v/>
      </c>
      <c r="T48" s="27" t="str">
        <f>IF($G48="","",$Q48*ADRYr2!AB48)</f>
        <v/>
      </c>
      <c r="U48" s="27" t="str">
        <f>IF($G48="","",$Q48*ADRYr2!AC48)</f>
        <v/>
      </c>
      <c r="V48" s="27" t="str">
        <f>IF($G48="","",G48*ADRYr2!$AD48*ADRYr2!$P48*ADRYr2!$Q48)</f>
        <v/>
      </c>
      <c r="W48" s="27" t="str">
        <f>IF($G48="","",$G48*ADRYr2!$AD48*ADRYr2!$AF48*ADRYr2!Q48*ADRYr2!$S48)</f>
        <v/>
      </c>
      <c r="X48" s="27" t="str">
        <f>IF($G48="","",$G48*ADRYr2!$AD48*ADRYr2!$AF48*ADRYr2!P48*ADRYr2!Q48*ADRYr2!$S48)</f>
        <v/>
      </c>
      <c r="Y48" s="27" t="str">
        <f>IF($G48="","",$G48*ADRYr2!$AD48*ADRYr2!$AE48*ADRYr2!Q48*ADRYr2!$T48)</f>
        <v/>
      </c>
      <c r="Z48" s="27" t="str">
        <f>IF($G48="","",$G48*ADRYr2!$AD48*ADRYr2!$AE48*ADRYr2!P48*ADRYr2!Q48*ADRYr2!$T48)</f>
        <v/>
      </c>
      <c r="AA48" s="45" t="str">
        <f>IF($G48="","",$G48*ADRYr2!$Q48*ADRYr2!$U48*(IF(IFERROR(SEARCH("NG", ADRYr2!$AI48),0),ADRYr2!$AJ48,0)+IF(IFERROR(SEARCH("NG", ADRYr2!$AK48),0),ADRYr2!$AL48,0)+IF(IFERROR(SEARCH("NG", ADRYr2!$AM48),0),ADRYr2!$AN48,0)))</f>
        <v/>
      </c>
      <c r="AB48" s="45" t="str">
        <f t="shared" si="21"/>
        <v/>
      </c>
      <c r="AC48" s="45">
        <f>IF($G48="",0,AA48*ADRYr2!$P48)</f>
        <v>0</v>
      </c>
      <c r="AD48" s="45" t="str">
        <f t="shared" si="22"/>
        <v/>
      </c>
      <c r="AE48" s="45" t="str">
        <f>IF($G48="","",$G48*ADRYr2!$Q48*ADRYr2!$U48*(IF(IFERROR(SEARCH("Oil", ADRYr2!$AI48), 0),ADRYr2!$AJ48,0)+IF(IFERROR(SEARCH("Oil", ADRYr2!$AK48), 0),ADRYr2!$AL48,0)+IF(IFERROR(SEARCH("Oil", ADRYr2!$AM48), 0),ADRYr2!$AN48,0)))</f>
        <v/>
      </c>
      <c r="AF48" s="45" t="str">
        <f t="shared" si="23"/>
        <v/>
      </c>
      <c r="AG48" s="45">
        <f>IF($G48="",0,AE48*ADRYr2!$P48)</f>
        <v>0</v>
      </c>
      <c r="AH48" s="45" t="str">
        <f t="shared" si="24"/>
        <v/>
      </c>
      <c r="AI48" s="45" t="str">
        <f>IF($G48="","",$G48*ADRYr2!$Q48*ADRYr2!$U48*(IF(ADRYr2!$AI48=Lookups!$E$114,ADRYr2!$AJ48,IF(ADRYr2!$AK48=Lookups!$E$114,ADRYr2!$AL48,IF(ADRYr2!$AM48=Lookups!$E$114,ADRYr2!$AN48,0)))))</f>
        <v/>
      </c>
      <c r="AJ48" s="45" t="str">
        <f t="shared" si="25"/>
        <v/>
      </c>
      <c r="AK48" s="45">
        <f>IF($G48="",0,AI48*ADRYr2!$P48)</f>
        <v>0</v>
      </c>
      <c r="AL48" s="45" t="str">
        <f t="shared" si="26"/>
        <v/>
      </c>
      <c r="AM48" s="45" t="str">
        <f>IF($G48="","",$G48*ADRYr2!$Q48*ADRYr2!$U48*(IF(ADRYr2!$AI48=Lookups!$E$113,ADRYr2!$AJ48,IF(ADRYr2!$AK48=Lookups!$E$113,ADRYr2!$AL48,IF(ADRYr2!$AM48=Lookups!$E$113,ADRYr2!$AN48,0)))))</f>
        <v/>
      </c>
      <c r="AN48" s="45" t="str">
        <f t="shared" si="27"/>
        <v/>
      </c>
      <c r="AO48" s="45">
        <f>IF($G48="",0,AM48*ADRYr2!$P48)</f>
        <v>0</v>
      </c>
      <c r="AP48" s="45" t="str">
        <f t="shared" si="28"/>
        <v/>
      </c>
      <c r="AQ48" s="45" t="str">
        <f>IF($G48="","",$G48*ADRYr2!$Q48*ADRYr2!$U48*(IF(ADRYr2!$AI48=Lookups!$E$115,ADRYr2!$AJ48,IF(ADRYr2!$AK48=Lookups!$E$115,ADRYr2!$AL48,IF(ADRYr2!$AM48=Lookups!$E$115,ADRYr2!$AN48,0)))))</f>
        <v/>
      </c>
      <c r="AR48" s="45" t="str">
        <f t="shared" si="29"/>
        <v/>
      </c>
      <c r="AS48" s="45" t="str">
        <f>IF($G48="","",AQ48*ADRYr2!$P48)</f>
        <v/>
      </c>
      <c r="AT48" s="45" t="str">
        <f t="shared" si="30"/>
        <v/>
      </c>
      <c r="AU48" s="45" t="str">
        <f>IF($G48="","",$G48*ADRYr2!$Q48*ADRYr2!$U48*(IF(ADRYr2!$AI48=Lookups!$E$116,ADRYr2!$AJ48,IF(ADRYr2!$AK48=Lookups!$E$116,ADRYr2!$AL48,IF(ADRYr2!$AM48=Lookups!$E$116,ADRYr2!$AN48,0)))))</f>
        <v/>
      </c>
      <c r="AV48" s="45" t="str">
        <f t="shared" si="31"/>
        <v/>
      </c>
      <c r="AW48" s="45" t="str">
        <f>IF($G48="","",AU48*ADRYr2!$P48)</f>
        <v/>
      </c>
      <c r="AX48" s="45" t="str">
        <f t="shared" si="32"/>
        <v/>
      </c>
      <c r="AY48" s="45">
        <f t="shared" si="49"/>
        <v>0</v>
      </c>
      <c r="AZ48" s="45">
        <f t="shared" si="49"/>
        <v>0</v>
      </c>
      <c r="BA48" s="101" t="str">
        <f>IF($G48="","",$G48*ADRYr2!$P48*ADRYr2!$Q48*ADRYr2!$U48*ADRYr2!AO48)</f>
        <v/>
      </c>
      <c r="BB48" s="102" t="str">
        <f>IF($G48="","",$G48*ADRYr2!$P48*ADRYr2!$Q48*ADRYr2!$U48*ADRYr2!AP48)</f>
        <v/>
      </c>
      <c r="BC48" s="100" t="str">
        <f t="shared" si="34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5"/>
        <v/>
      </c>
      <c r="BO48" s="31" t="str">
        <f t="shared" si="35"/>
        <v/>
      </c>
      <c r="BP48" s="1129" t="str">
        <f t="shared" si="6"/>
        <v/>
      </c>
      <c r="BQ48" s="28" t="str">
        <f t="shared" si="7"/>
        <v/>
      </c>
      <c r="BR48" s="1129" t="str">
        <f t="shared" si="8"/>
        <v/>
      </c>
      <c r="BS48" s="1129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6"/>
        <v/>
      </c>
      <c r="BX48" s="29" t="str">
        <f t="shared" si="37"/>
        <v/>
      </c>
      <c r="BY48" s="28" t="str">
        <f>IF($G48="","",$G48*(IF(ADRYr2!$AI48=BY$4,ADRYr2!$AJ48,IF(ADRYr2!$AK48=BY$4,ADRYr2!$AL48,IF(ADRYr2!$AM48=BY$4,ADRYr2!$AN48,0))))*(INDEX(avoidedcosttbl2,$H48,BY$2)+(($H48-ROUNDDOWN($H48,0))*(INDEX(avoidedcosttbl2,ROUNDUP($H48,0),BY$2)-(INDEX(avoidedcosttbl2,ROUNDDOWN($H48,0),BY$2)))))*ADRYr2!P48*ADRYr2!Q48*ADRYr2!U48)</f>
        <v/>
      </c>
      <c r="BZ48" s="28" t="str">
        <f>IF($G48="","",$G48*(IF(ADRYr2!$AI48=BZ$4,ADRYr2!$AJ48,IF(ADRYr2!$AK48=BZ$4,ADRYr2!$AL48,IF(ADRYr2!$AM48=BZ$4,ADRYr2!$AN48,0))))*(INDEX(avoidedcosttbl2,$H48,BZ$2)+(($H48-ROUNDDOWN($H48,0))*(INDEX(avoidedcosttbl2,ROUNDUP($H48,0),BZ$2)-(INDEX(avoidedcosttbl2,ROUNDDOWN($H48,0),BZ$2)))))*ADRYr2!P48*ADRYr2!Q48*ADRYr2!U48)</f>
        <v/>
      </c>
      <c r="CA48" s="28" t="str">
        <f>IF($G48="","",$G48*(IF(ADRYr2!$AI48=CA$4,ADRYr2!$AJ48,IF(ADRYr2!$AK48=CA$4,ADRYr2!$AL48,IF(ADRYr2!$AM48=CA$4,ADRYr2!$AN48,0))))*(INDEX(avoidedcosttbl2,$H48,CA$2)+(($H48-ROUNDDOWN($H48,0))*(INDEX(avoidedcosttbl2,ROUNDUP($H48,0),CA$2)-(INDEX(avoidedcosttbl2,ROUNDDOWN($H48,0),CA$2)))))*ADRYr2!P48*ADRYr2!Q48*ADRYr2!U48)</f>
        <v/>
      </c>
      <c r="CB48" s="28" t="str">
        <f>IF($G48="","",$G48*(IF(ADRYr2!$AI48=CB$4,ADRYr2!$AJ48,IF(ADRYr2!$AK48=CB$4,ADRYr2!$AL48,IF(ADRYr2!$AM48=CB$4,ADRYr2!$AN48,0))))*(INDEX(avoidedcosttbl2,$H48,CB$2)+(($H48-ROUNDDOWN($H48,0))*(INDEX(avoidedcosttbl2,ROUNDUP($H48,0),CB$2)-(INDEX(avoidedcosttbl2,ROUNDDOWN($H48,0),CB$2)))))*ADRYr2!P48*ADRYr2!Q48*ADRYr2!U48)</f>
        <v/>
      </c>
      <c r="CC48" s="28" t="str">
        <f>IF($G48="","",$G48*(IF(ADRYr2!$AI48=CC$4,ADRYr2!$AJ48,IF(ADRYr2!$AK48=CC$4,ADRYr2!$AL48,IF(ADRYr2!$AM48=CC$4,ADRYr2!$AN48,0))))*(INDEX(avoidedcosttbl2,$H48,CC$2)+(($H48-ROUNDDOWN($H48,0))*(INDEX(avoidedcosttbl2,ROUNDUP($H48,0),CC$2)-(INDEX(avoidedcosttbl2,ROUNDDOWN($H48,0),CC$2)))))*ADRYr2!P48*ADRYr2!Q48*ADRYr2!U48)</f>
        <v/>
      </c>
      <c r="CD48" s="28" t="str">
        <f>IF($G48="","",$G48*(IF(ADRYr2!$AI48=CD$4,ADRYr2!$AJ48,IF(ADRYr2!$AK48=CD$4,ADRYr2!$AL48,IF(ADRYr2!$AM48=CD$4,ADRYr2!$AN48,0))))*(INDEX(avoidedcosttbl2,$H48,CD$2)+(($H48-ROUNDDOWN($H48,0))*(INDEX(avoidedcosttbl2,ROUNDUP($H48,0),CD$2)-(INDEX(avoidedcosttbl2,ROUNDDOWN($H48,0),CD$2)))))*ADRYr2!P48*ADRYr2!Q48*ADRYr2!U48)</f>
        <v/>
      </c>
      <c r="CE48" s="28" t="str">
        <f>IF($G48="","",$G48*(IF(ADRYr2!$AI48=CE$4,ADRYr2!$AJ48,IF(ADRYr2!$AK48=CE$4,ADRYr2!$AL48,IF(ADRYr2!$AM48=CE$4,ADRYr2!$AN48,0))))*(INDEX(avoidedcosttbl2,$H48,CE$2)+(($H48-ROUNDDOWN($H48,0))*(INDEX(avoidedcosttbl2,ROUNDUP($H48,0),CE$2)-(INDEX(avoidedcosttbl2,ROUNDDOWN($H48,0),CE$2)))))*ADRYr2!P48*ADRYr2!Q48*ADRYr2!U48)</f>
        <v/>
      </c>
      <c r="CF48" s="41" t="str">
        <f t="shared" si="38"/>
        <v/>
      </c>
      <c r="CG48" s="30" t="str">
        <f t="shared" si="11"/>
        <v/>
      </c>
      <c r="CH48" s="30" t="str">
        <f>IF($G48="","",$G48*(IF(ADRYr2!$AI48=BY$4,ADRYr2!$AJ48,IF(ADRYr2!$AK48=BY$4,ADRYr2!$AL48,IF(ADRYr2!$AM48=BY$4,ADRYr2!$AN48,0))))*(INDEX(avoidedcosttbl2,$H48,CH$2)+(($H48-ROUNDDOWN($H48,0))*(INDEX(avoidedcosttbl2,ROUNDUP($H48,0),CH$2)-(INDEX(avoidedcosttbl2,ROUNDDOWN($H48,0),CH$2)))))*ADRYr2!P48*ADRYr2!Q48*ADRYr2!U48)</f>
        <v/>
      </c>
      <c r="CI48" s="30" t="str">
        <f>IF($G48="","",$G48*(IF(ADRYr2!$AI48=BZ$4,ADRYr2!$AJ48,IF(ADRYr2!$AK48=BZ$4,ADRYr2!$AL48,IF(ADRYr2!$AM48=BZ$4,ADRYr2!$AN48,0))))*(INDEX(avoidedcosttbl2,$H48,CI$2)+(($H48-ROUNDDOWN($H48,0))*(INDEX(avoidedcosttbl2,ROUNDUP($H48,0),CI$2)-(INDEX(avoidedcosttbl2,ROUNDDOWN($H48,0),CI$2)))))*ADRYr2!P48*ADRYr2!Q48*ADRYr2!U48)</f>
        <v/>
      </c>
      <c r="CJ48" s="30" t="str">
        <f>IF($G48="","",$G48*(IF(ADRYr2!$AI48=CA$4,ADRYr2!$AJ48,IF(ADRYr2!$AK48=CA$4,ADRYr2!$AL48,IF(ADRYr2!$AM48=CA$4,ADRYr2!$AN48,0))))*(INDEX(avoidedcosttbl2,$H48,CJ$2)+(($H48-ROUNDDOWN($H48,0))*(INDEX(avoidedcosttbl2,ROUNDUP($H48,0),CJ$2)-(INDEX(avoidedcosttbl2,ROUNDDOWN($H48,0),CJ$2)))))*ADRYr2!P48*ADRYr2!Q48*ADRYr2!U48)</f>
        <v/>
      </c>
      <c r="CK48" s="30" t="str">
        <f>IF($G48="","",$G48*(IF(ADRYr2!$AI48=CB$4,ADRYr2!$AJ48,IF(ADRYr2!$AK48=CB$4,ADRYr2!$AL48,IF(ADRYr2!$AM48=CB$4,ADRYr2!$AN48,0))))*(INDEX(avoidedcosttbl2,$H48,CK$2)+(($H48-ROUNDDOWN($H48,0))*(INDEX(avoidedcosttbl2,ROUNDUP($H48,0),CK$2)-(INDEX(avoidedcosttbl2,ROUNDDOWN($H48,0),CK$2)))))*ADRYr2!P48*ADRYr2!Q48*ADRYr2!U48)</f>
        <v/>
      </c>
      <c r="CL48" s="30" t="str">
        <f>IF($G48="","",$G48*(IF(ADRYr2!$AI48=CC$4,ADRYr2!$AJ48,IF(ADRYr2!$AK48=CC$4,ADRYr2!$AL48,IF(ADRYr2!$AM48=CC$4,ADRYr2!$AN48,0))))*(INDEX(avoidedcosttbl2,$H48,CL$2)+(($H48-ROUNDDOWN($H48,0))*(INDEX(avoidedcosttbl2,ROUNDUP($H48,0),CL$2)-(INDEX(avoidedcosttbl2,ROUNDDOWN($H48,0),CL$2)))))*ADRYr2!P48*ADRYr2!Q48*ADRYr2!U48)</f>
        <v/>
      </c>
      <c r="CM48" s="30" t="str">
        <f>IF($G48="","",$G48*(IF(ADRYr2!$AI48=CD$4,ADRYr2!$AJ48,IF(ADRYr2!$AK48=CD$4,ADRYr2!$AL48,IF(ADRYr2!$AM48=CD$4,ADRYr2!$AN48,0))))*(INDEX(avoidedcosttbl2,$H48,CM$2)+(($H48-ROUNDDOWN($H48,0))*(INDEX(avoidedcosttbl2,ROUNDUP($H48,0),CM$2)-(INDEX(avoidedcosttbl2,ROUNDDOWN($H48,0),CM$2)))))*ADRYr2!P48*ADRYr2!Q48*ADRYr2!U48)</f>
        <v/>
      </c>
      <c r="CN48" s="30" t="str">
        <f>IF($G48="","",$G48*(IF(ADRYr2!$AI48=CE$4,ADRYr2!$AJ48,IF(ADRYr2!$AK48=CE$4,ADRYr2!$AL48,IF(ADRYr2!$AM48=CE$4,ADRYr2!$AN48,0))))*(INDEX(avoidedcosttbl2,$H48,CN$2)+(($H48-ROUNDDOWN($H48,0))*(INDEX(avoidedcosttbl2,ROUNDUP($H48,0),CN$2)-(INDEX(avoidedcosttbl2,ROUNDDOWN($H48,0),CN$2)))))*ADRYr2!P48*ADRYr2!Q48*ADRYr2!U48)</f>
        <v/>
      </c>
      <c r="CO48" s="220" t="str">
        <f t="shared" si="39"/>
        <v/>
      </c>
      <c r="CP48" s="220" t="str">
        <f t="shared" si="40"/>
        <v/>
      </c>
      <c r="CQ48" s="157" t="str">
        <f>IF($G48="","",$G48*(IF(ADRYr2!$AI48=CQ$4,ADRYr2!$AJ48,IF(ADRYr2!$AK48=CQ$4,ADRYr2!$AL48,IF(ADRYr2!$AM48=CQ$4,ADRYr2!$AN48,0))))*(INDEX(avoidedcosttbl2,$H48,CQ$2)+(($H48-ROUNDDOWN($H48,0))*(INDEX(avoidedcosttbl2,ROUNDUP($H48,0),CQ$2)-(INDEX(avoidedcosttbl2,ROUNDDOWN($H48,0),CQ$2)))))*ADRYr2!$P48*ADRYr2!$Q48*ADRYr2!$U48)</f>
        <v/>
      </c>
      <c r="CR48" s="28" t="str">
        <f>IF($G48="","",G48*(IF(ADRYr2!$AI48=CR$4,ADRYr2!$AJ48,IF(ADRYr2!$AK48=CR$4,ADRYr2!$AL48,IF(ADRYr2!$AM48=CR$4,ADRYr2!$AN48,0))))*(INDEX(avoidedcosttbl2,$H48,CR$2)+(($H48-ROUNDDOWN($H48,0))*(INDEX(avoidedcosttbl2,ROUNDUP($H48,0),CR$2)-(INDEX(avoidedcosttbl2,ROUNDDOWN($H48,0),CR$2)))))*ADRYr2!$P48*ADRYr2!$Q48*ADRYr2!$U48)</f>
        <v/>
      </c>
      <c r="CS48" s="28" t="str">
        <f>IF($G48="","",G48*(IF(ADRYr2!$AI48=CS$4,ADRYr2!$AJ48,IF(ADRYr2!$AK48=CS$4,ADRYr2!$AL48,IF(ADRYr2!$AM48=CS$4,ADRYr2!$AN48,0))))*(INDEX(avoidedcosttbl2,$H48,CS$2)+(($H48-ROUNDDOWN($H48,0))*(INDEX(avoidedcosttbl2,ROUNDUP($H48,0),CS$2)-(INDEX(avoidedcosttbl2,ROUNDDOWN($H48,0),CS$2)))))*ADRYr2!$P48*ADRYr2!$Q48*ADRYr2!$U48)</f>
        <v/>
      </c>
      <c r="CT48" s="28" t="str">
        <f t="shared" si="12"/>
        <v/>
      </c>
      <c r="CU48" s="28" t="str">
        <f>IF($G48="","",G48*(IF(ADRYr2!$AI48=CU$4,ADRYr2!$AJ48,IF(ADRYr2!$AK48=CU$4,ADRYr2!$AL48,IF(ADRYr2!$AM48=CU$4,ADRYr2!$AN48,0))))*(INDEX(avoidedcosttbl2,$H48,CU$2)+(($H48-ROUNDDOWN($H48,0))*(INDEX(avoidedcosttbl2,ROUNDUP($H48,0),CU$2)-(INDEX(avoidedcosttbl2,ROUNDDOWN($H48,0),CU$2)))))*ADRYr2!$P48*ADRYr2!$Q48*ADRYr2!$U48)</f>
        <v/>
      </c>
      <c r="CV48" s="28" t="str">
        <f>IF($G48="","",G48*(IF(ADRYr2!$AI48=CV$4,ADRYr2!$AJ48,IF(ADRYr2!$AK48=CV$4,ADRYr2!$AL48,IF(ADRYr2!$AM48=CV$4,ADRYr2!$AN48,0))))*(INDEX(avoidedcosttbl2,$H48,CV$2)+(($H48-ROUNDDOWN($H48,0))*(INDEX(avoidedcosttbl2,ROUNDUP($H48,0),CV$2)-(INDEX(avoidedcosttbl2,ROUNDDOWN($H48,0),CV$2)))))*ADRYr2!$P48*ADRYr2!$Q48*ADRYr2!$U48)</f>
        <v/>
      </c>
      <c r="CW48" s="28" t="str">
        <f>IF($G48="","",G48*(IF(ADRYr2!$AI48=CW$4,ADRYr2!$AJ48,IF(ADRYr2!$AK48=CW$4,ADRYr2!$AL48,IF(ADRYr2!$AM48=CW$4,ADRYr2!$AN48,0))))*(INDEX(avoidedcosttbl2,$H48,CW$2)+(($H48-ROUNDDOWN($H48,0))*(INDEX(avoidedcosttbl2,ROUNDUP($H48,0),CW$2)-(INDEX(avoidedcosttbl2,ROUNDDOWN($H48,0),CW$2)))))*ADRYr2!$P48*ADRYr2!$Q48*ADRYr2!$U48)</f>
        <v/>
      </c>
      <c r="CX48" s="28" t="str">
        <f>IF($G48="","",G48*(IF(ADRYr2!$AI48=CX$4,ADRYr2!$AJ48,IF(ADRYr2!$AK48=CX$4,ADRYr2!$AL48,IF(ADRYr2!$AM48=CX$4,ADRYr2!$AN48,0))))*(INDEX(avoidedcosttbl2,$H48,CX$2)+(($H48-ROUNDDOWN($H48,0))*(INDEX(avoidedcosttbl2,ROUNDUP($H48,0),CX$2)-(INDEX(avoidedcosttbl2,ROUNDDOWN($H48,0),CX$2)))))*ADRYr2!$P48*ADRYr2!$Q48*ADRYr2!$U48)</f>
        <v/>
      </c>
      <c r="CY48" s="28" t="str">
        <f t="shared" si="13"/>
        <v/>
      </c>
      <c r="CZ48" s="32" t="str">
        <f t="shared" si="14"/>
        <v/>
      </c>
      <c r="DA48" s="84" t="str">
        <f t="shared" si="41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15"/>
        <v/>
      </c>
      <c r="DD48" s="166" t="str">
        <f t="shared" si="16"/>
        <v/>
      </c>
      <c r="DE48" s="82">
        <f t="shared" si="42"/>
        <v>0</v>
      </c>
      <c r="DF48" s="760" t="str">
        <f>IF($G48="","",(1+WntPeakEnergyLL)*(INDEX(avoidedcosttbl2,$H48,DF$2)+(($H48-ROUNDDOWN($H48,0))*(INDEX(avoidedcosttbl2,ROUNDUP($H48,0),DF$2)-(INDEX(avoidedcosttbl2,ROUNDDOWN($H48,0),DF$2)))))*$P48*1000*ADRYr2!Z48)</f>
        <v/>
      </c>
      <c r="DG48" s="760" t="str">
        <f>IF($G48="","",(1+WntOffPeakEnergyLL)*(INDEX(avoidedcosttbl2,$H48,DG$2)+(($H48-ROUNDDOWN($H48,0))*(INDEX(avoidedcosttbl2,ROUNDUP($H48,0),DG$2)-(INDEX(avoidedcosttbl2,ROUNDDOWN($H48,0),DG$2)))))*$P48*1000*ADRYr2!AA48)</f>
        <v/>
      </c>
      <c r="DH48" s="760" t="str">
        <f>IF($G48="","",(1+SumPeakEnergyLL)*(INDEX(avoidedcosttbl2,$H48,DH$2)+(($H48-ROUNDDOWN($H48,0))*(INDEX(avoidedcosttbl2,ROUNDUP($H48,0),DH$2)-(INDEX(avoidedcosttbl2,ROUNDDOWN($H48,0),DH$2)))))*$P48*1000*ADRYr2!AB48)</f>
        <v/>
      </c>
      <c r="DI48" s="760" t="str">
        <f>IF($G48="","",(1+SumOffPeakEnergyLL)*(INDEX(avoidedcosttbl2,$H48,DI$2)+(($H48-ROUNDDOWN($H48,0))*(INDEX(avoidedcosttbl2,ROUNDUP($H48,0),DI$2)-(INDEX(avoidedcosttbl2,ROUNDDOWN($H48,0),DI$2)))))*$P48*1000*ADRYr2!AC48)</f>
        <v/>
      </c>
      <c r="DJ48" s="29" t="str">
        <f t="shared" si="43"/>
        <v/>
      </c>
      <c r="DK48" s="161" t="str">
        <f t="shared" si="51"/>
        <v/>
      </c>
      <c r="DO48" s="1131" t="str">
        <f>IF($G48="","",ADRYr2!AQ48)</f>
        <v/>
      </c>
      <c r="DP48" s="1133" t="str">
        <f>IF($G48="","",ADRYr2!AR48)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48"/>
        <v/>
      </c>
      <c r="DU48" s="1135" t="str">
        <f>IF($G48="","",ADRYr2!AS48)</f>
        <v/>
      </c>
      <c r="DV48" s="1136" t="str">
        <f>IF($G48="","",ADRYr2!AT48)</f>
        <v/>
      </c>
      <c r="DW48" s="1344" t="str">
        <f>IF($G48="","",INDEX(AvoidedEnergy!$H$4:$H$10,MATCH($DO48,AvoidedEnergy!$A$4:$A$10,0)))</f>
        <v/>
      </c>
    </row>
    <row r="49" spans="1:127">
      <c r="A49" s="160" t="str">
        <f>IF(ADRYr2!$B49=0,"",ADRYr2!A49)</f>
        <v/>
      </c>
      <c r="B49" s="9" t="str">
        <f>IF(ADRYr2!$B49=0,"",ADRYr2!B49)</f>
        <v/>
      </c>
      <c r="C49" s="9" t="str">
        <f>IF(ADRYr2!$B49=0,"",ADRYr2!C49)</f>
        <v/>
      </c>
      <c r="D49" s="9" t="str">
        <f>IF(ADRYr2!$B49=0,"",ADRYr2!D49)</f>
        <v/>
      </c>
      <c r="E49" s="9"/>
      <c r="F49" s="11" t="str">
        <f>IF(ADRYr2!$B49=0,"",ADRYr2!F49)</f>
        <v/>
      </c>
      <c r="G49" s="12" t="str">
        <f>IF(ADRYr2!$G49&lt;&gt;0,ADRYr2!G49,"")</f>
        <v/>
      </c>
      <c r="H49" s="1125" t="str">
        <f>IF($G49="","",ROUND(ADRYr2!H49,0))</f>
        <v/>
      </c>
      <c r="I49" s="47" t="str">
        <f>IF($G49="","",ADRYr2!I49*ADRYr2!P49*G49)</f>
        <v/>
      </c>
      <c r="J49" s="47" t="str">
        <f>IF($G49="","",ADRYr2!J49*G49)</f>
        <v/>
      </c>
      <c r="K49" s="47" t="str">
        <f t="shared" si="17"/>
        <v/>
      </c>
      <c r="L49" s="27" t="str">
        <f>IF($G49="","",ADRYr2!V49*G49/1000)</f>
        <v/>
      </c>
      <c r="M49" s="27" t="str">
        <f>IF($G49="","",L49*ADRYr2!$Q49*ADRYr2!$R49)</f>
        <v/>
      </c>
      <c r="N49" s="27" t="str">
        <f t="shared" si="18"/>
        <v/>
      </c>
      <c r="O49" s="27" t="str">
        <f t="shared" si="19"/>
        <v/>
      </c>
      <c r="P49" s="27" t="str">
        <f>IF($G49="","",M49*ADRYr2!P49)</f>
        <v/>
      </c>
      <c r="Q49" s="27" t="str">
        <f t="shared" si="20"/>
        <v/>
      </c>
      <c r="R49" s="27" t="str">
        <f>IF($G49="","",$Q49*ADRYr2!Z49)</f>
        <v/>
      </c>
      <c r="S49" s="27" t="str">
        <f>IF($G49="","",$Q49*ADRYr2!AA49)</f>
        <v/>
      </c>
      <c r="T49" s="27" t="str">
        <f>IF($G49="","",$Q49*ADRYr2!AB49)</f>
        <v/>
      </c>
      <c r="U49" s="27" t="str">
        <f>IF($G49="","",$Q49*ADRYr2!AC49)</f>
        <v/>
      </c>
      <c r="V49" s="27" t="str">
        <f>IF($G49="","",G49*ADRYr2!$AD49*ADRYr2!$P49*ADRYr2!$Q49)</f>
        <v/>
      </c>
      <c r="W49" s="27" t="str">
        <f>IF($G49="","",$G49*ADRYr2!$AD49*ADRYr2!$AF49*ADRYr2!Q49*ADRYr2!$S49)</f>
        <v/>
      </c>
      <c r="X49" s="27" t="str">
        <f>IF($G49="","",$G49*ADRYr2!$AD49*ADRYr2!$AF49*ADRYr2!P49*ADRYr2!Q49*ADRYr2!$S49)</f>
        <v/>
      </c>
      <c r="Y49" s="27" t="str">
        <f>IF($G49="","",$G49*ADRYr2!$AD49*ADRYr2!$AE49*ADRYr2!Q49*ADRYr2!$T49)</f>
        <v/>
      </c>
      <c r="Z49" s="27" t="str">
        <f>IF($G49="","",$G49*ADRYr2!$AD49*ADRYr2!$AE49*ADRYr2!P49*ADRYr2!Q49*ADRYr2!$T49)</f>
        <v/>
      </c>
      <c r="AA49" s="45" t="str">
        <f>IF($G49="","",$G49*ADRYr2!$Q49*ADRYr2!$U49*(IF(IFERROR(SEARCH("NG", ADRYr2!$AI49),0),ADRYr2!$AJ49,0)+IF(IFERROR(SEARCH("NG", ADRYr2!$AK49),0),ADRYr2!$AL49,0)+IF(IFERROR(SEARCH("NG", ADRYr2!$AM49),0),ADRYr2!$AN49,0)))</f>
        <v/>
      </c>
      <c r="AB49" s="45" t="str">
        <f t="shared" si="21"/>
        <v/>
      </c>
      <c r="AC49" s="45">
        <f>IF($G49="",0,AA49*ADRYr2!$P49)</f>
        <v>0</v>
      </c>
      <c r="AD49" s="45" t="str">
        <f t="shared" si="22"/>
        <v/>
      </c>
      <c r="AE49" s="45" t="str">
        <f>IF($G49="","",$G49*ADRYr2!$Q49*ADRYr2!$U49*(IF(IFERROR(SEARCH("Oil", ADRYr2!$AI49), 0),ADRYr2!$AJ49,0)+IF(IFERROR(SEARCH("Oil", ADRYr2!$AK49), 0),ADRYr2!$AL49,0)+IF(IFERROR(SEARCH("Oil", ADRYr2!$AM49), 0),ADRYr2!$AN49,0)))</f>
        <v/>
      </c>
      <c r="AF49" s="45" t="str">
        <f t="shared" si="23"/>
        <v/>
      </c>
      <c r="AG49" s="45">
        <f>IF($G49="",0,AE49*ADRYr2!$P49)</f>
        <v>0</v>
      </c>
      <c r="AH49" s="45" t="str">
        <f t="shared" si="24"/>
        <v/>
      </c>
      <c r="AI49" s="45" t="str">
        <f>IF($G49="","",$G49*ADRYr2!$Q49*ADRYr2!$U49*(IF(ADRYr2!$AI49=Lookups!$E$114,ADRYr2!$AJ49,IF(ADRYr2!$AK49=Lookups!$E$114,ADRYr2!$AL49,IF(ADRYr2!$AM49=Lookups!$E$114,ADRYr2!$AN49,0)))))</f>
        <v/>
      </c>
      <c r="AJ49" s="45" t="str">
        <f t="shared" si="25"/>
        <v/>
      </c>
      <c r="AK49" s="45">
        <f>IF($G49="",0,AI49*ADRYr2!$P49)</f>
        <v>0</v>
      </c>
      <c r="AL49" s="45" t="str">
        <f t="shared" si="26"/>
        <v/>
      </c>
      <c r="AM49" s="45" t="str">
        <f>IF($G49="","",$G49*ADRYr2!$Q49*ADRYr2!$U49*(IF(ADRYr2!$AI49=Lookups!$E$113,ADRYr2!$AJ49,IF(ADRYr2!$AK49=Lookups!$E$113,ADRYr2!$AL49,IF(ADRYr2!$AM49=Lookups!$E$113,ADRYr2!$AN49,0)))))</f>
        <v/>
      </c>
      <c r="AN49" s="45" t="str">
        <f t="shared" si="27"/>
        <v/>
      </c>
      <c r="AO49" s="45">
        <f>IF($G49="",0,AM49*ADRYr2!$P49)</f>
        <v>0</v>
      </c>
      <c r="AP49" s="45" t="str">
        <f t="shared" si="28"/>
        <v/>
      </c>
      <c r="AQ49" s="45" t="str">
        <f>IF($G49="","",$G49*ADRYr2!$Q49*ADRYr2!$U49*(IF(ADRYr2!$AI49=Lookups!$E$115,ADRYr2!$AJ49,IF(ADRYr2!$AK49=Lookups!$E$115,ADRYr2!$AL49,IF(ADRYr2!$AM49=Lookups!$E$115,ADRYr2!$AN49,0)))))</f>
        <v/>
      </c>
      <c r="AR49" s="45" t="str">
        <f t="shared" si="29"/>
        <v/>
      </c>
      <c r="AS49" s="45" t="str">
        <f>IF($G49="","",AQ49*ADRYr2!$P49)</f>
        <v/>
      </c>
      <c r="AT49" s="45" t="str">
        <f t="shared" si="30"/>
        <v/>
      </c>
      <c r="AU49" s="45" t="str">
        <f>IF($G49="","",$G49*ADRYr2!$Q49*ADRYr2!$U49*(IF(ADRYr2!$AI49=Lookups!$E$116,ADRYr2!$AJ49,IF(ADRYr2!$AK49=Lookups!$E$116,ADRYr2!$AL49,IF(ADRYr2!$AM49=Lookups!$E$116,ADRYr2!$AN49,0)))))</f>
        <v/>
      </c>
      <c r="AV49" s="45" t="str">
        <f t="shared" si="31"/>
        <v/>
      </c>
      <c r="AW49" s="45" t="str">
        <f>IF($G49="","",AU49*ADRYr2!$P49)</f>
        <v/>
      </c>
      <c r="AX49" s="45" t="str">
        <f t="shared" si="32"/>
        <v/>
      </c>
      <c r="AY49" s="45">
        <f t="shared" si="49"/>
        <v>0</v>
      </c>
      <c r="AZ49" s="45">
        <f t="shared" si="49"/>
        <v>0</v>
      </c>
      <c r="BA49" s="101" t="str">
        <f>IF($G49="","",$G49*ADRYr2!$P49*ADRYr2!$Q49*ADRYr2!$U49*ADRYr2!AO49)</f>
        <v/>
      </c>
      <c r="BB49" s="102" t="str">
        <f>IF($G49="","",$G49*ADRYr2!$P49*ADRYr2!$Q49*ADRYr2!$U49*ADRYr2!AP49)</f>
        <v/>
      </c>
      <c r="BC49" s="100" t="str">
        <f t="shared" si="34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5"/>
        <v/>
      </c>
      <c r="BO49" s="31" t="str">
        <f t="shared" si="35"/>
        <v/>
      </c>
      <c r="BP49" s="1129" t="str">
        <f t="shared" si="6"/>
        <v/>
      </c>
      <c r="BQ49" s="28" t="str">
        <f t="shared" si="7"/>
        <v/>
      </c>
      <c r="BR49" s="1129" t="str">
        <f t="shared" si="8"/>
        <v/>
      </c>
      <c r="BS49" s="1129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6"/>
        <v/>
      </c>
      <c r="BX49" s="29" t="str">
        <f t="shared" si="37"/>
        <v/>
      </c>
      <c r="BY49" s="28" t="str">
        <f>IF($G49="","",$G49*(IF(ADRYr2!$AI49=BY$4,ADRYr2!$AJ49,IF(ADRYr2!$AK49=BY$4,ADRYr2!$AL49,IF(ADRYr2!$AM49=BY$4,ADRYr2!$AN49,0))))*(INDEX(avoidedcosttbl2,$H49,BY$2)+(($H49-ROUNDDOWN($H49,0))*(INDEX(avoidedcosttbl2,ROUNDUP($H49,0),BY$2)-(INDEX(avoidedcosttbl2,ROUNDDOWN($H49,0),BY$2)))))*ADRYr2!P49*ADRYr2!Q49*ADRYr2!U49)</f>
        <v/>
      </c>
      <c r="BZ49" s="28" t="str">
        <f>IF($G49="","",$G49*(IF(ADRYr2!$AI49=BZ$4,ADRYr2!$AJ49,IF(ADRYr2!$AK49=BZ$4,ADRYr2!$AL49,IF(ADRYr2!$AM49=BZ$4,ADRYr2!$AN49,0))))*(INDEX(avoidedcosttbl2,$H49,BZ$2)+(($H49-ROUNDDOWN($H49,0))*(INDEX(avoidedcosttbl2,ROUNDUP($H49,0),BZ$2)-(INDEX(avoidedcosttbl2,ROUNDDOWN($H49,0),BZ$2)))))*ADRYr2!P49*ADRYr2!Q49*ADRYr2!U49)</f>
        <v/>
      </c>
      <c r="CA49" s="28" t="str">
        <f>IF($G49="","",$G49*(IF(ADRYr2!$AI49=CA$4,ADRYr2!$AJ49,IF(ADRYr2!$AK49=CA$4,ADRYr2!$AL49,IF(ADRYr2!$AM49=CA$4,ADRYr2!$AN49,0))))*(INDEX(avoidedcosttbl2,$H49,CA$2)+(($H49-ROUNDDOWN($H49,0))*(INDEX(avoidedcosttbl2,ROUNDUP($H49,0),CA$2)-(INDEX(avoidedcosttbl2,ROUNDDOWN($H49,0),CA$2)))))*ADRYr2!P49*ADRYr2!Q49*ADRYr2!U49)</f>
        <v/>
      </c>
      <c r="CB49" s="28" t="str">
        <f>IF($G49="","",$G49*(IF(ADRYr2!$AI49=CB$4,ADRYr2!$AJ49,IF(ADRYr2!$AK49=CB$4,ADRYr2!$AL49,IF(ADRYr2!$AM49=CB$4,ADRYr2!$AN49,0))))*(INDEX(avoidedcosttbl2,$H49,CB$2)+(($H49-ROUNDDOWN($H49,0))*(INDEX(avoidedcosttbl2,ROUNDUP($H49,0),CB$2)-(INDEX(avoidedcosttbl2,ROUNDDOWN($H49,0),CB$2)))))*ADRYr2!P49*ADRYr2!Q49*ADRYr2!U49)</f>
        <v/>
      </c>
      <c r="CC49" s="28" t="str">
        <f>IF($G49="","",$G49*(IF(ADRYr2!$AI49=CC$4,ADRYr2!$AJ49,IF(ADRYr2!$AK49=CC$4,ADRYr2!$AL49,IF(ADRYr2!$AM49=CC$4,ADRYr2!$AN49,0))))*(INDEX(avoidedcosttbl2,$H49,CC$2)+(($H49-ROUNDDOWN($H49,0))*(INDEX(avoidedcosttbl2,ROUNDUP($H49,0),CC$2)-(INDEX(avoidedcosttbl2,ROUNDDOWN($H49,0),CC$2)))))*ADRYr2!P49*ADRYr2!Q49*ADRYr2!U49)</f>
        <v/>
      </c>
      <c r="CD49" s="28" t="str">
        <f>IF($G49="","",$G49*(IF(ADRYr2!$AI49=CD$4,ADRYr2!$AJ49,IF(ADRYr2!$AK49=CD$4,ADRYr2!$AL49,IF(ADRYr2!$AM49=CD$4,ADRYr2!$AN49,0))))*(INDEX(avoidedcosttbl2,$H49,CD$2)+(($H49-ROUNDDOWN($H49,0))*(INDEX(avoidedcosttbl2,ROUNDUP($H49,0),CD$2)-(INDEX(avoidedcosttbl2,ROUNDDOWN($H49,0),CD$2)))))*ADRYr2!P49*ADRYr2!Q49*ADRYr2!U49)</f>
        <v/>
      </c>
      <c r="CE49" s="28" t="str">
        <f>IF($G49="","",$G49*(IF(ADRYr2!$AI49=CE$4,ADRYr2!$AJ49,IF(ADRYr2!$AK49=CE$4,ADRYr2!$AL49,IF(ADRYr2!$AM49=CE$4,ADRYr2!$AN49,0))))*(INDEX(avoidedcosttbl2,$H49,CE$2)+(($H49-ROUNDDOWN($H49,0))*(INDEX(avoidedcosttbl2,ROUNDUP($H49,0),CE$2)-(INDEX(avoidedcosttbl2,ROUNDDOWN($H49,0),CE$2)))))*ADRYr2!P49*ADRYr2!Q49*ADRYr2!U49)</f>
        <v/>
      </c>
      <c r="CF49" s="41" t="str">
        <f t="shared" si="38"/>
        <v/>
      </c>
      <c r="CG49" s="30" t="str">
        <f t="shared" si="11"/>
        <v/>
      </c>
      <c r="CH49" s="30" t="str">
        <f>IF($G49="","",$G49*(IF(ADRYr2!$AI49=BY$4,ADRYr2!$AJ49,IF(ADRYr2!$AK49=BY$4,ADRYr2!$AL49,IF(ADRYr2!$AM49=BY$4,ADRYr2!$AN49,0))))*(INDEX(avoidedcosttbl2,$H49,CH$2)+(($H49-ROUNDDOWN($H49,0))*(INDEX(avoidedcosttbl2,ROUNDUP($H49,0),CH$2)-(INDEX(avoidedcosttbl2,ROUNDDOWN($H49,0),CH$2)))))*ADRYr2!P49*ADRYr2!Q49*ADRYr2!U49)</f>
        <v/>
      </c>
      <c r="CI49" s="30" t="str">
        <f>IF($G49="","",$G49*(IF(ADRYr2!$AI49=BZ$4,ADRYr2!$AJ49,IF(ADRYr2!$AK49=BZ$4,ADRYr2!$AL49,IF(ADRYr2!$AM49=BZ$4,ADRYr2!$AN49,0))))*(INDEX(avoidedcosttbl2,$H49,CI$2)+(($H49-ROUNDDOWN($H49,0))*(INDEX(avoidedcosttbl2,ROUNDUP($H49,0),CI$2)-(INDEX(avoidedcosttbl2,ROUNDDOWN($H49,0),CI$2)))))*ADRYr2!P49*ADRYr2!Q49*ADRYr2!U49)</f>
        <v/>
      </c>
      <c r="CJ49" s="30" t="str">
        <f>IF($G49="","",$G49*(IF(ADRYr2!$AI49=CA$4,ADRYr2!$AJ49,IF(ADRYr2!$AK49=CA$4,ADRYr2!$AL49,IF(ADRYr2!$AM49=CA$4,ADRYr2!$AN49,0))))*(INDEX(avoidedcosttbl2,$H49,CJ$2)+(($H49-ROUNDDOWN($H49,0))*(INDEX(avoidedcosttbl2,ROUNDUP($H49,0),CJ$2)-(INDEX(avoidedcosttbl2,ROUNDDOWN($H49,0),CJ$2)))))*ADRYr2!P49*ADRYr2!Q49*ADRYr2!U49)</f>
        <v/>
      </c>
      <c r="CK49" s="30" t="str">
        <f>IF($G49="","",$G49*(IF(ADRYr2!$AI49=CB$4,ADRYr2!$AJ49,IF(ADRYr2!$AK49=CB$4,ADRYr2!$AL49,IF(ADRYr2!$AM49=CB$4,ADRYr2!$AN49,0))))*(INDEX(avoidedcosttbl2,$H49,CK$2)+(($H49-ROUNDDOWN($H49,0))*(INDEX(avoidedcosttbl2,ROUNDUP($H49,0),CK$2)-(INDEX(avoidedcosttbl2,ROUNDDOWN($H49,0),CK$2)))))*ADRYr2!P49*ADRYr2!Q49*ADRYr2!U49)</f>
        <v/>
      </c>
      <c r="CL49" s="30" t="str">
        <f>IF($G49="","",$G49*(IF(ADRYr2!$AI49=CC$4,ADRYr2!$AJ49,IF(ADRYr2!$AK49=CC$4,ADRYr2!$AL49,IF(ADRYr2!$AM49=CC$4,ADRYr2!$AN49,0))))*(INDEX(avoidedcosttbl2,$H49,CL$2)+(($H49-ROUNDDOWN($H49,0))*(INDEX(avoidedcosttbl2,ROUNDUP($H49,0),CL$2)-(INDEX(avoidedcosttbl2,ROUNDDOWN($H49,0),CL$2)))))*ADRYr2!P49*ADRYr2!Q49*ADRYr2!U49)</f>
        <v/>
      </c>
      <c r="CM49" s="30" t="str">
        <f>IF($G49="","",$G49*(IF(ADRYr2!$AI49=CD$4,ADRYr2!$AJ49,IF(ADRYr2!$AK49=CD$4,ADRYr2!$AL49,IF(ADRYr2!$AM49=CD$4,ADRYr2!$AN49,0))))*(INDEX(avoidedcosttbl2,$H49,CM$2)+(($H49-ROUNDDOWN($H49,0))*(INDEX(avoidedcosttbl2,ROUNDUP($H49,0),CM$2)-(INDEX(avoidedcosttbl2,ROUNDDOWN($H49,0),CM$2)))))*ADRYr2!P49*ADRYr2!Q49*ADRYr2!U49)</f>
        <v/>
      </c>
      <c r="CN49" s="30" t="str">
        <f>IF($G49="","",$G49*(IF(ADRYr2!$AI49=CE$4,ADRYr2!$AJ49,IF(ADRYr2!$AK49=CE$4,ADRYr2!$AL49,IF(ADRYr2!$AM49=CE$4,ADRYr2!$AN49,0))))*(INDEX(avoidedcosttbl2,$H49,CN$2)+(($H49-ROUNDDOWN($H49,0))*(INDEX(avoidedcosttbl2,ROUNDUP($H49,0),CN$2)-(INDEX(avoidedcosttbl2,ROUNDDOWN($H49,0),CN$2)))))*ADRYr2!P49*ADRYr2!Q49*ADRYr2!U49)</f>
        <v/>
      </c>
      <c r="CO49" s="220" t="str">
        <f t="shared" si="39"/>
        <v/>
      </c>
      <c r="CP49" s="220" t="str">
        <f t="shared" si="40"/>
        <v/>
      </c>
      <c r="CQ49" s="157" t="str">
        <f>IF($G49="","",$G49*(IF(ADRYr2!$AI49=CQ$4,ADRYr2!$AJ49,IF(ADRYr2!$AK49=CQ$4,ADRYr2!$AL49,IF(ADRYr2!$AM49=CQ$4,ADRYr2!$AN49,0))))*(INDEX(avoidedcosttbl2,$H49,CQ$2)+(($H49-ROUNDDOWN($H49,0))*(INDEX(avoidedcosttbl2,ROUNDUP($H49,0),CQ$2)-(INDEX(avoidedcosttbl2,ROUNDDOWN($H49,0),CQ$2)))))*ADRYr2!$P49*ADRYr2!$Q49*ADRYr2!$U49)</f>
        <v/>
      </c>
      <c r="CR49" s="28" t="str">
        <f>IF($G49="","",G49*(IF(ADRYr2!$AI49=CR$4,ADRYr2!$AJ49,IF(ADRYr2!$AK49=CR$4,ADRYr2!$AL49,IF(ADRYr2!$AM49=CR$4,ADRYr2!$AN49,0))))*(INDEX(avoidedcosttbl2,$H49,CR$2)+(($H49-ROUNDDOWN($H49,0))*(INDEX(avoidedcosttbl2,ROUNDUP($H49,0),CR$2)-(INDEX(avoidedcosttbl2,ROUNDDOWN($H49,0),CR$2)))))*ADRYr2!$P49*ADRYr2!$Q49*ADRYr2!$U49)</f>
        <v/>
      </c>
      <c r="CS49" s="28" t="str">
        <f>IF($G49="","",G49*(IF(ADRYr2!$AI49=CS$4,ADRYr2!$AJ49,IF(ADRYr2!$AK49=CS$4,ADRYr2!$AL49,IF(ADRYr2!$AM49=CS$4,ADRYr2!$AN49,0))))*(INDEX(avoidedcosttbl2,$H49,CS$2)+(($H49-ROUNDDOWN($H49,0))*(INDEX(avoidedcosttbl2,ROUNDUP($H49,0),CS$2)-(INDEX(avoidedcosttbl2,ROUNDDOWN($H49,0),CS$2)))))*ADRYr2!$P49*ADRYr2!$Q49*ADRYr2!$U49)</f>
        <v/>
      </c>
      <c r="CT49" s="28" t="str">
        <f t="shared" si="12"/>
        <v/>
      </c>
      <c r="CU49" s="28" t="str">
        <f>IF($G49="","",G49*(IF(ADRYr2!$AI49=CU$4,ADRYr2!$AJ49,IF(ADRYr2!$AK49=CU$4,ADRYr2!$AL49,IF(ADRYr2!$AM49=CU$4,ADRYr2!$AN49,0))))*(INDEX(avoidedcosttbl2,$H49,CU$2)+(($H49-ROUNDDOWN($H49,0))*(INDEX(avoidedcosttbl2,ROUNDUP($H49,0),CU$2)-(INDEX(avoidedcosttbl2,ROUNDDOWN($H49,0),CU$2)))))*ADRYr2!$P49*ADRYr2!$Q49*ADRYr2!$U49)</f>
        <v/>
      </c>
      <c r="CV49" s="28" t="str">
        <f>IF($G49="","",G49*(IF(ADRYr2!$AI49=CV$4,ADRYr2!$AJ49,IF(ADRYr2!$AK49=CV$4,ADRYr2!$AL49,IF(ADRYr2!$AM49=CV$4,ADRYr2!$AN49,0))))*(INDEX(avoidedcosttbl2,$H49,CV$2)+(($H49-ROUNDDOWN($H49,0))*(INDEX(avoidedcosttbl2,ROUNDUP($H49,0),CV$2)-(INDEX(avoidedcosttbl2,ROUNDDOWN($H49,0),CV$2)))))*ADRYr2!$P49*ADRYr2!$Q49*ADRYr2!$U49)</f>
        <v/>
      </c>
      <c r="CW49" s="28" t="str">
        <f>IF($G49="","",G49*(IF(ADRYr2!$AI49=CW$4,ADRYr2!$AJ49,IF(ADRYr2!$AK49=CW$4,ADRYr2!$AL49,IF(ADRYr2!$AM49=CW$4,ADRYr2!$AN49,0))))*(INDEX(avoidedcosttbl2,$H49,CW$2)+(($H49-ROUNDDOWN($H49,0))*(INDEX(avoidedcosttbl2,ROUNDUP($H49,0),CW$2)-(INDEX(avoidedcosttbl2,ROUNDDOWN($H49,0),CW$2)))))*ADRYr2!$P49*ADRYr2!$Q49*ADRYr2!$U49)</f>
        <v/>
      </c>
      <c r="CX49" s="28" t="str">
        <f>IF($G49="","",G49*(IF(ADRYr2!$AI49=CX$4,ADRYr2!$AJ49,IF(ADRYr2!$AK49=CX$4,ADRYr2!$AL49,IF(ADRYr2!$AM49=CX$4,ADRYr2!$AN49,0))))*(INDEX(avoidedcosttbl2,$H49,CX$2)+(($H49-ROUNDDOWN($H49,0))*(INDEX(avoidedcosttbl2,ROUNDUP($H49,0),CX$2)-(INDEX(avoidedcosttbl2,ROUNDDOWN($H49,0),CX$2)))))*ADRYr2!$P49*ADRYr2!$Q49*ADRYr2!$U49)</f>
        <v/>
      </c>
      <c r="CY49" s="28" t="str">
        <f t="shared" si="13"/>
        <v/>
      </c>
      <c r="CZ49" s="32" t="str">
        <f t="shared" si="14"/>
        <v/>
      </c>
      <c r="DA49" s="84" t="str">
        <f t="shared" si="41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15"/>
        <v/>
      </c>
      <c r="DD49" s="166" t="str">
        <f t="shared" si="16"/>
        <v/>
      </c>
      <c r="DE49" s="82">
        <f t="shared" si="42"/>
        <v>0</v>
      </c>
      <c r="DF49" s="760" t="str">
        <f>IF($G49="","",(1+WntPeakEnergyLL)*(INDEX(avoidedcosttbl2,$H49,DF$2)+(($H49-ROUNDDOWN($H49,0))*(INDEX(avoidedcosttbl2,ROUNDUP($H49,0),DF$2)-(INDEX(avoidedcosttbl2,ROUNDDOWN($H49,0),DF$2)))))*$P49*1000*ADRYr2!Z49)</f>
        <v/>
      </c>
      <c r="DG49" s="760" t="str">
        <f>IF($G49="","",(1+WntOffPeakEnergyLL)*(INDEX(avoidedcosttbl2,$H49,DG$2)+(($H49-ROUNDDOWN($H49,0))*(INDEX(avoidedcosttbl2,ROUNDUP($H49,0),DG$2)-(INDEX(avoidedcosttbl2,ROUNDDOWN($H49,0),DG$2)))))*$P49*1000*ADRYr2!AA49)</f>
        <v/>
      </c>
      <c r="DH49" s="760" t="str">
        <f>IF($G49="","",(1+SumPeakEnergyLL)*(INDEX(avoidedcosttbl2,$H49,DH$2)+(($H49-ROUNDDOWN($H49,0))*(INDEX(avoidedcosttbl2,ROUNDUP($H49,0),DH$2)-(INDEX(avoidedcosttbl2,ROUNDDOWN($H49,0),DH$2)))))*$P49*1000*ADRYr2!AB49)</f>
        <v/>
      </c>
      <c r="DI49" s="760" t="str">
        <f>IF($G49="","",(1+SumOffPeakEnergyLL)*(INDEX(avoidedcosttbl2,$H49,DI$2)+(($H49-ROUNDDOWN($H49,0))*(INDEX(avoidedcosttbl2,ROUNDUP($H49,0),DI$2)-(INDEX(avoidedcosttbl2,ROUNDDOWN($H49,0),DI$2)))))*$P49*1000*ADRYr2!AC49)</f>
        <v/>
      </c>
      <c r="DJ49" s="29" t="str">
        <f t="shared" si="43"/>
        <v/>
      </c>
      <c r="DK49" s="161" t="str">
        <f t="shared" si="51"/>
        <v/>
      </c>
      <c r="DO49" s="1131" t="str">
        <f>IF($G49="","",ADRYr2!AQ49)</f>
        <v/>
      </c>
      <c r="DP49" s="1133" t="str">
        <f>IF($G49="","",ADRYr2!AR49)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48"/>
        <v/>
      </c>
      <c r="DU49" s="1135" t="str">
        <f>IF($G49="","",ADRYr2!AS49)</f>
        <v/>
      </c>
      <c r="DV49" s="1136" t="str">
        <f>IF($G49="","",ADRYr2!AT49)</f>
        <v/>
      </c>
      <c r="DW49" s="1344" t="str">
        <f>IF($G49="","",INDEX(AvoidedEnergy!$H$4:$H$10,MATCH($DO49,AvoidedEnergy!$A$4:$A$10,0)))</f>
        <v/>
      </c>
    </row>
    <row r="50" spans="1:127">
      <c r="A50" s="160" t="str">
        <f>IF(ADRYr2!$B50=0,"",ADRYr2!A50)</f>
        <v/>
      </c>
      <c r="B50" s="9" t="str">
        <f>IF(ADRYr2!$B50=0,"",ADRYr2!B50)</f>
        <v/>
      </c>
      <c r="C50" s="9" t="str">
        <f>IF(ADRYr2!$B50=0,"",ADRYr2!C50)</f>
        <v/>
      </c>
      <c r="D50" s="9" t="str">
        <f>IF(ADRYr2!$B50=0,"",ADRYr2!D50)</f>
        <v/>
      </c>
      <c r="E50" s="9"/>
      <c r="F50" s="11" t="str">
        <f>IF(ADRYr2!$B50=0,"",ADRYr2!F50)</f>
        <v/>
      </c>
      <c r="G50" s="12" t="str">
        <f>IF(ADRYr2!$G50&lt;&gt;0,ADRYr2!G50,"")</f>
        <v/>
      </c>
      <c r="H50" s="1125" t="str">
        <f>IF($G50="","",ROUND(ADRYr2!H50,0))</f>
        <v/>
      </c>
      <c r="I50" s="47" t="str">
        <f>IF($G50="","",ADRYr2!I50*ADRYr2!P50*G50)</f>
        <v/>
      </c>
      <c r="J50" s="47" t="str">
        <f>IF($G50="","",ADRYr2!J50*G50)</f>
        <v/>
      </c>
      <c r="K50" s="47" t="str">
        <f t="shared" si="17"/>
        <v/>
      </c>
      <c r="L50" s="27" t="str">
        <f>IF($G50="","",ADRYr2!V50*G50/1000)</f>
        <v/>
      </c>
      <c r="M50" s="27" t="str">
        <f>IF($G50="","",L50*ADRYr2!$Q50*ADRYr2!$R50)</f>
        <v/>
      </c>
      <c r="N50" s="27" t="str">
        <f t="shared" si="18"/>
        <v/>
      </c>
      <c r="O50" s="27" t="str">
        <f t="shared" si="19"/>
        <v/>
      </c>
      <c r="P50" s="27" t="str">
        <f>IF($G50="","",M50*ADRYr2!P50)</f>
        <v/>
      </c>
      <c r="Q50" s="27" t="str">
        <f t="shared" si="20"/>
        <v/>
      </c>
      <c r="R50" s="27" t="str">
        <f>IF($G50="","",$Q50*ADRYr2!Z50)</f>
        <v/>
      </c>
      <c r="S50" s="27" t="str">
        <f>IF($G50="","",$Q50*ADRYr2!AA50)</f>
        <v/>
      </c>
      <c r="T50" s="27" t="str">
        <f>IF($G50="","",$Q50*ADRYr2!AB50)</f>
        <v/>
      </c>
      <c r="U50" s="27" t="str">
        <f>IF($G50="","",$Q50*ADRYr2!AC50)</f>
        <v/>
      </c>
      <c r="V50" s="27" t="str">
        <f>IF($G50="","",G50*ADRYr2!$AD50*ADRYr2!$P50*ADRYr2!$Q50)</f>
        <v/>
      </c>
      <c r="W50" s="27" t="str">
        <f>IF($G50="","",$G50*ADRYr2!$AD50*ADRYr2!$AF50*ADRYr2!Q50*ADRYr2!$S50)</f>
        <v/>
      </c>
      <c r="X50" s="27" t="str">
        <f>IF($G50="","",$G50*ADRYr2!$AD50*ADRYr2!$AF50*ADRYr2!P50*ADRYr2!Q50*ADRYr2!$S50)</f>
        <v/>
      </c>
      <c r="Y50" s="27" t="str">
        <f>IF($G50="","",$G50*ADRYr2!$AD50*ADRYr2!$AE50*ADRYr2!Q50*ADRYr2!$T50)</f>
        <v/>
      </c>
      <c r="Z50" s="27" t="str">
        <f>IF($G50="","",$G50*ADRYr2!$AD50*ADRYr2!$AE50*ADRYr2!P50*ADRYr2!Q50*ADRYr2!$T50)</f>
        <v/>
      </c>
      <c r="AA50" s="45" t="str">
        <f>IF($G50="","",$G50*ADRYr2!$Q50*ADRYr2!$U50*(IF(IFERROR(SEARCH("NG", ADRYr2!$AI50),0),ADRYr2!$AJ50,0)+IF(IFERROR(SEARCH("NG", ADRYr2!$AK50),0),ADRYr2!$AL50,0)+IF(IFERROR(SEARCH("NG", ADRYr2!$AM50),0),ADRYr2!$AN50,0)))</f>
        <v/>
      </c>
      <c r="AB50" s="45" t="str">
        <f t="shared" si="21"/>
        <v/>
      </c>
      <c r="AC50" s="45">
        <f>IF($G50="",0,AA50*ADRYr2!$P50)</f>
        <v>0</v>
      </c>
      <c r="AD50" s="45" t="str">
        <f t="shared" si="22"/>
        <v/>
      </c>
      <c r="AE50" s="45" t="str">
        <f>IF($G50="","",$G50*ADRYr2!$Q50*ADRYr2!$U50*(IF(IFERROR(SEARCH("Oil", ADRYr2!$AI50), 0),ADRYr2!$AJ50,0)+IF(IFERROR(SEARCH("Oil", ADRYr2!$AK50), 0),ADRYr2!$AL50,0)+IF(IFERROR(SEARCH("Oil", ADRYr2!$AM50), 0),ADRYr2!$AN50,0)))</f>
        <v/>
      </c>
      <c r="AF50" s="45" t="str">
        <f t="shared" si="23"/>
        <v/>
      </c>
      <c r="AG50" s="45">
        <f>IF($G50="",0,AE50*ADRYr2!$P50)</f>
        <v>0</v>
      </c>
      <c r="AH50" s="45" t="str">
        <f t="shared" si="24"/>
        <v/>
      </c>
      <c r="AI50" s="45" t="str">
        <f>IF($G50="","",$G50*ADRYr2!$Q50*ADRYr2!$U50*(IF(ADRYr2!$AI50=Lookups!$E$114,ADRYr2!$AJ50,IF(ADRYr2!$AK50=Lookups!$E$114,ADRYr2!$AL50,IF(ADRYr2!$AM50=Lookups!$E$114,ADRYr2!$AN50,0)))))</f>
        <v/>
      </c>
      <c r="AJ50" s="45" t="str">
        <f t="shared" si="25"/>
        <v/>
      </c>
      <c r="AK50" s="45">
        <f>IF($G50="",0,AI50*ADRYr2!$P50)</f>
        <v>0</v>
      </c>
      <c r="AL50" s="45" t="str">
        <f t="shared" si="26"/>
        <v/>
      </c>
      <c r="AM50" s="45" t="str">
        <f>IF($G50="","",$G50*ADRYr2!$Q50*ADRYr2!$U50*(IF(ADRYr2!$AI50=Lookups!$E$113,ADRYr2!$AJ50,IF(ADRYr2!$AK50=Lookups!$E$113,ADRYr2!$AL50,IF(ADRYr2!$AM50=Lookups!$E$113,ADRYr2!$AN50,0)))))</f>
        <v/>
      </c>
      <c r="AN50" s="45" t="str">
        <f t="shared" si="27"/>
        <v/>
      </c>
      <c r="AO50" s="45">
        <f>IF($G50="",0,AM50*ADRYr2!$P50)</f>
        <v>0</v>
      </c>
      <c r="AP50" s="45" t="str">
        <f t="shared" si="28"/>
        <v/>
      </c>
      <c r="AQ50" s="45" t="str">
        <f>IF($G50="","",$G50*ADRYr2!$Q50*ADRYr2!$U50*(IF(ADRYr2!$AI50=Lookups!$E$115,ADRYr2!$AJ50,IF(ADRYr2!$AK50=Lookups!$E$115,ADRYr2!$AL50,IF(ADRYr2!$AM50=Lookups!$E$115,ADRYr2!$AN50,0)))))</f>
        <v/>
      </c>
      <c r="AR50" s="45" t="str">
        <f t="shared" si="29"/>
        <v/>
      </c>
      <c r="AS50" s="45" t="str">
        <f>IF($G50="","",AQ50*ADRYr2!$P50)</f>
        <v/>
      </c>
      <c r="AT50" s="45" t="str">
        <f t="shared" si="30"/>
        <v/>
      </c>
      <c r="AU50" s="45" t="str">
        <f>IF($G50="","",$G50*ADRYr2!$Q50*ADRYr2!$U50*(IF(ADRYr2!$AI50=Lookups!$E$116,ADRYr2!$AJ50,IF(ADRYr2!$AK50=Lookups!$E$116,ADRYr2!$AL50,IF(ADRYr2!$AM50=Lookups!$E$116,ADRYr2!$AN50,0)))))</f>
        <v/>
      </c>
      <c r="AV50" s="45" t="str">
        <f t="shared" si="31"/>
        <v/>
      </c>
      <c r="AW50" s="45" t="str">
        <f>IF($G50="","",AU50*ADRYr2!$P50)</f>
        <v/>
      </c>
      <c r="AX50" s="45" t="str">
        <f t="shared" si="32"/>
        <v/>
      </c>
      <c r="AY50" s="45">
        <f t="shared" si="49"/>
        <v>0</v>
      </c>
      <c r="AZ50" s="45">
        <f t="shared" si="49"/>
        <v>0</v>
      </c>
      <c r="BA50" s="101" t="str">
        <f>IF($G50="","",$G50*ADRYr2!$P50*ADRYr2!$Q50*ADRYr2!$U50*ADRYr2!AO50)</f>
        <v/>
      </c>
      <c r="BB50" s="102" t="str">
        <f>IF($G50="","",$G50*ADRYr2!$P50*ADRYr2!$Q50*ADRYr2!$U50*ADRYr2!AP50)</f>
        <v/>
      </c>
      <c r="BC50" s="100" t="str">
        <f t="shared" si="34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5"/>
        <v/>
      </c>
      <c r="BO50" s="31" t="str">
        <f t="shared" si="35"/>
        <v/>
      </c>
      <c r="BP50" s="1129" t="str">
        <f t="shared" si="6"/>
        <v/>
      </c>
      <c r="BQ50" s="28" t="str">
        <f t="shared" si="7"/>
        <v/>
      </c>
      <c r="BR50" s="1129" t="str">
        <f t="shared" si="8"/>
        <v/>
      </c>
      <c r="BS50" s="1129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6"/>
        <v/>
      </c>
      <c r="BX50" s="29" t="str">
        <f t="shared" si="37"/>
        <v/>
      </c>
      <c r="BY50" s="28" t="str">
        <f>IF($G50="","",$G50*(IF(ADRYr2!$AI50=BY$4,ADRYr2!$AJ50,IF(ADRYr2!$AK50=BY$4,ADRYr2!$AL50,IF(ADRYr2!$AM50=BY$4,ADRYr2!$AN50,0))))*(INDEX(avoidedcosttbl2,$H50,BY$2)+(($H50-ROUNDDOWN($H50,0))*(INDEX(avoidedcosttbl2,ROUNDUP($H50,0),BY$2)-(INDEX(avoidedcosttbl2,ROUNDDOWN($H50,0),BY$2)))))*ADRYr2!P50*ADRYr2!Q50*ADRYr2!U50)</f>
        <v/>
      </c>
      <c r="BZ50" s="28" t="str">
        <f>IF($G50="","",$G50*(IF(ADRYr2!$AI50=BZ$4,ADRYr2!$AJ50,IF(ADRYr2!$AK50=BZ$4,ADRYr2!$AL50,IF(ADRYr2!$AM50=BZ$4,ADRYr2!$AN50,0))))*(INDEX(avoidedcosttbl2,$H50,BZ$2)+(($H50-ROUNDDOWN($H50,0))*(INDEX(avoidedcosttbl2,ROUNDUP($H50,0),BZ$2)-(INDEX(avoidedcosttbl2,ROUNDDOWN($H50,0),BZ$2)))))*ADRYr2!P50*ADRYr2!Q50*ADRYr2!U50)</f>
        <v/>
      </c>
      <c r="CA50" s="28" t="str">
        <f>IF($G50="","",$G50*(IF(ADRYr2!$AI50=CA$4,ADRYr2!$AJ50,IF(ADRYr2!$AK50=CA$4,ADRYr2!$AL50,IF(ADRYr2!$AM50=CA$4,ADRYr2!$AN50,0))))*(INDEX(avoidedcosttbl2,$H50,CA$2)+(($H50-ROUNDDOWN($H50,0))*(INDEX(avoidedcosttbl2,ROUNDUP($H50,0),CA$2)-(INDEX(avoidedcosttbl2,ROUNDDOWN($H50,0),CA$2)))))*ADRYr2!P50*ADRYr2!Q50*ADRYr2!U50)</f>
        <v/>
      </c>
      <c r="CB50" s="28" t="str">
        <f>IF($G50="","",$G50*(IF(ADRYr2!$AI50=CB$4,ADRYr2!$AJ50,IF(ADRYr2!$AK50=CB$4,ADRYr2!$AL50,IF(ADRYr2!$AM50=CB$4,ADRYr2!$AN50,0))))*(INDEX(avoidedcosttbl2,$H50,CB$2)+(($H50-ROUNDDOWN($H50,0))*(INDEX(avoidedcosttbl2,ROUNDUP($H50,0),CB$2)-(INDEX(avoidedcosttbl2,ROUNDDOWN($H50,0),CB$2)))))*ADRYr2!P50*ADRYr2!Q50*ADRYr2!U50)</f>
        <v/>
      </c>
      <c r="CC50" s="28" t="str">
        <f>IF($G50="","",$G50*(IF(ADRYr2!$AI50=CC$4,ADRYr2!$AJ50,IF(ADRYr2!$AK50=CC$4,ADRYr2!$AL50,IF(ADRYr2!$AM50=CC$4,ADRYr2!$AN50,0))))*(INDEX(avoidedcosttbl2,$H50,CC$2)+(($H50-ROUNDDOWN($H50,0))*(INDEX(avoidedcosttbl2,ROUNDUP($H50,0),CC$2)-(INDEX(avoidedcosttbl2,ROUNDDOWN($H50,0),CC$2)))))*ADRYr2!P50*ADRYr2!Q50*ADRYr2!U50)</f>
        <v/>
      </c>
      <c r="CD50" s="28" t="str">
        <f>IF($G50="","",$G50*(IF(ADRYr2!$AI50=CD$4,ADRYr2!$AJ50,IF(ADRYr2!$AK50=CD$4,ADRYr2!$AL50,IF(ADRYr2!$AM50=CD$4,ADRYr2!$AN50,0))))*(INDEX(avoidedcosttbl2,$H50,CD$2)+(($H50-ROUNDDOWN($H50,0))*(INDEX(avoidedcosttbl2,ROUNDUP($H50,0),CD$2)-(INDEX(avoidedcosttbl2,ROUNDDOWN($H50,0),CD$2)))))*ADRYr2!P50*ADRYr2!Q50*ADRYr2!U50)</f>
        <v/>
      </c>
      <c r="CE50" s="28" t="str">
        <f>IF($G50="","",$G50*(IF(ADRYr2!$AI50=CE$4,ADRYr2!$AJ50,IF(ADRYr2!$AK50=CE$4,ADRYr2!$AL50,IF(ADRYr2!$AM50=CE$4,ADRYr2!$AN50,0))))*(INDEX(avoidedcosttbl2,$H50,CE$2)+(($H50-ROUNDDOWN($H50,0))*(INDEX(avoidedcosttbl2,ROUNDUP($H50,0),CE$2)-(INDEX(avoidedcosttbl2,ROUNDDOWN($H50,0),CE$2)))))*ADRYr2!P50*ADRYr2!Q50*ADRYr2!U50)</f>
        <v/>
      </c>
      <c r="CF50" s="41" t="str">
        <f t="shared" si="38"/>
        <v/>
      </c>
      <c r="CG50" s="30" t="str">
        <f t="shared" si="11"/>
        <v/>
      </c>
      <c r="CH50" s="30" t="str">
        <f>IF($G50="","",$G50*(IF(ADRYr2!$AI50=BY$4,ADRYr2!$AJ50,IF(ADRYr2!$AK50=BY$4,ADRYr2!$AL50,IF(ADRYr2!$AM50=BY$4,ADRYr2!$AN50,0))))*(INDEX(avoidedcosttbl2,$H50,CH$2)+(($H50-ROUNDDOWN($H50,0))*(INDEX(avoidedcosttbl2,ROUNDUP($H50,0),CH$2)-(INDEX(avoidedcosttbl2,ROUNDDOWN($H50,0),CH$2)))))*ADRYr2!P50*ADRYr2!Q50*ADRYr2!U50)</f>
        <v/>
      </c>
      <c r="CI50" s="30" t="str">
        <f>IF($G50="","",$G50*(IF(ADRYr2!$AI50=BZ$4,ADRYr2!$AJ50,IF(ADRYr2!$AK50=BZ$4,ADRYr2!$AL50,IF(ADRYr2!$AM50=BZ$4,ADRYr2!$AN50,0))))*(INDEX(avoidedcosttbl2,$H50,CI$2)+(($H50-ROUNDDOWN($H50,0))*(INDEX(avoidedcosttbl2,ROUNDUP($H50,0),CI$2)-(INDEX(avoidedcosttbl2,ROUNDDOWN($H50,0),CI$2)))))*ADRYr2!P50*ADRYr2!Q50*ADRYr2!U50)</f>
        <v/>
      </c>
      <c r="CJ50" s="30" t="str">
        <f>IF($G50="","",$G50*(IF(ADRYr2!$AI50=CA$4,ADRYr2!$AJ50,IF(ADRYr2!$AK50=CA$4,ADRYr2!$AL50,IF(ADRYr2!$AM50=CA$4,ADRYr2!$AN50,0))))*(INDEX(avoidedcosttbl2,$H50,CJ$2)+(($H50-ROUNDDOWN($H50,0))*(INDEX(avoidedcosttbl2,ROUNDUP($H50,0),CJ$2)-(INDEX(avoidedcosttbl2,ROUNDDOWN($H50,0),CJ$2)))))*ADRYr2!P50*ADRYr2!Q50*ADRYr2!U50)</f>
        <v/>
      </c>
      <c r="CK50" s="30" t="str">
        <f>IF($G50="","",$G50*(IF(ADRYr2!$AI50=CB$4,ADRYr2!$AJ50,IF(ADRYr2!$AK50=CB$4,ADRYr2!$AL50,IF(ADRYr2!$AM50=CB$4,ADRYr2!$AN50,0))))*(INDEX(avoidedcosttbl2,$H50,CK$2)+(($H50-ROUNDDOWN($H50,0))*(INDEX(avoidedcosttbl2,ROUNDUP($H50,0),CK$2)-(INDEX(avoidedcosttbl2,ROUNDDOWN($H50,0),CK$2)))))*ADRYr2!P50*ADRYr2!Q50*ADRYr2!U50)</f>
        <v/>
      </c>
      <c r="CL50" s="30" t="str">
        <f>IF($G50="","",$G50*(IF(ADRYr2!$AI50=CC$4,ADRYr2!$AJ50,IF(ADRYr2!$AK50=CC$4,ADRYr2!$AL50,IF(ADRYr2!$AM50=CC$4,ADRYr2!$AN50,0))))*(INDEX(avoidedcosttbl2,$H50,CL$2)+(($H50-ROUNDDOWN($H50,0))*(INDEX(avoidedcosttbl2,ROUNDUP($H50,0),CL$2)-(INDEX(avoidedcosttbl2,ROUNDDOWN($H50,0),CL$2)))))*ADRYr2!P50*ADRYr2!Q50*ADRYr2!U50)</f>
        <v/>
      </c>
      <c r="CM50" s="30" t="str">
        <f>IF($G50="","",$G50*(IF(ADRYr2!$AI50=CD$4,ADRYr2!$AJ50,IF(ADRYr2!$AK50=CD$4,ADRYr2!$AL50,IF(ADRYr2!$AM50=CD$4,ADRYr2!$AN50,0))))*(INDEX(avoidedcosttbl2,$H50,CM$2)+(($H50-ROUNDDOWN($H50,0))*(INDEX(avoidedcosttbl2,ROUNDUP($H50,0),CM$2)-(INDEX(avoidedcosttbl2,ROUNDDOWN($H50,0),CM$2)))))*ADRYr2!P50*ADRYr2!Q50*ADRYr2!U50)</f>
        <v/>
      </c>
      <c r="CN50" s="30" t="str">
        <f>IF($G50="","",$G50*(IF(ADRYr2!$AI50=CE$4,ADRYr2!$AJ50,IF(ADRYr2!$AK50=CE$4,ADRYr2!$AL50,IF(ADRYr2!$AM50=CE$4,ADRYr2!$AN50,0))))*(INDEX(avoidedcosttbl2,$H50,CN$2)+(($H50-ROUNDDOWN($H50,0))*(INDEX(avoidedcosttbl2,ROUNDUP($H50,0),CN$2)-(INDEX(avoidedcosttbl2,ROUNDDOWN($H50,0),CN$2)))))*ADRYr2!P50*ADRYr2!Q50*ADRYr2!U50)</f>
        <v/>
      </c>
      <c r="CO50" s="220" t="str">
        <f t="shared" si="39"/>
        <v/>
      </c>
      <c r="CP50" s="220" t="str">
        <f t="shared" si="40"/>
        <v/>
      </c>
      <c r="CQ50" s="157" t="str">
        <f>IF($G50="","",$G50*(IF(ADRYr2!$AI50=CQ$4,ADRYr2!$AJ50,IF(ADRYr2!$AK50=CQ$4,ADRYr2!$AL50,IF(ADRYr2!$AM50=CQ$4,ADRYr2!$AN50,0))))*(INDEX(avoidedcosttbl2,$H50,CQ$2)+(($H50-ROUNDDOWN($H50,0))*(INDEX(avoidedcosttbl2,ROUNDUP($H50,0),CQ$2)-(INDEX(avoidedcosttbl2,ROUNDDOWN($H50,0),CQ$2)))))*ADRYr2!$P50*ADRYr2!$Q50*ADRYr2!$U50)</f>
        <v/>
      </c>
      <c r="CR50" s="28" t="str">
        <f>IF($G50="","",G50*(IF(ADRYr2!$AI50=CR$4,ADRYr2!$AJ50,IF(ADRYr2!$AK50=CR$4,ADRYr2!$AL50,IF(ADRYr2!$AM50=CR$4,ADRYr2!$AN50,0))))*(INDEX(avoidedcosttbl2,$H50,CR$2)+(($H50-ROUNDDOWN($H50,0))*(INDEX(avoidedcosttbl2,ROUNDUP($H50,0),CR$2)-(INDEX(avoidedcosttbl2,ROUNDDOWN($H50,0),CR$2)))))*ADRYr2!$P50*ADRYr2!$Q50*ADRYr2!$U50)</f>
        <v/>
      </c>
      <c r="CS50" s="28" t="str">
        <f>IF($G50="","",G50*(IF(ADRYr2!$AI50=CS$4,ADRYr2!$AJ50,IF(ADRYr2!$AK50=CS$4,ADRYr2!$AL50,IF(ADRYr2!$AM50=CS$4,ADRYr2!$AN50,0))))*(INDEX(avoidedcosttbl2,$H50,CS$2)+(($H50-ROUNDDOWN($H50,0))*(INDEX(avoidedcosttbl2,ROUNDUP($H50,0),CS$2)-(INDEX(avoidedcosttbl2,ROUNDDOWN($H50,0),CS$2)))))*ADRYr2!$P50*ADRYr2!$Q50*ADRYr2!$U50)</f>
        <v/>
      </c>
      <c r="CT50" s="28" t="str">
        <f t="shared" si="12"/>
        <v/>
      </c>
      <c r="CU50" s="28" t="str">
        <f>IF($G50="","",G50*(IF(ADRYr2!$AI50=CU$4,ADRYr2!$AJ50,IF(ADRYr2!$AK50=CU$4,ADRYr2!$AL50,IF(ADRYr2!$AM50=CU$4,ADRYr2!$AN50,0))))*(INDEX(avoidedcosttbl2,$H50,CU$2)+(($H50-ROUNDDOWN($H50,0))*(INDEX(avoidedcosttbl2,ROUNDUP($H50,0),CU$2)-(INDEX(avoidedcosttbl2,ROUNDDOWN($H50,0),CU$2)))))*ADRYr2!$P50*ADRYr2!$Q50*ADRYr2!$U50)</f>
        <v/>
      </c>
      <c r="CV50" s="28" t="str">
        <f>IF($G50="","",G50*(IF(ADRYr2!$AI50=CV$4,ADRYr2!$AJ50,IF(ADRYr2!$AK50=CV$4,ADRYr2!$AL50,IF(ADRYr2!$AM50=CV$4,ADRYr2!$AN50,0))))*(INDEX(avoidedcosttbl2,$H50,CV$2)+(($H50-ROUNDDOWN($H50,0))*(INDEX(avoidedcosttbl2,ROUNDUP($H50,0),CV$2)-(INDEX(avoidedcosttbl2,ROUNDDOWN($H50,0),CV$2)))))*ADRYr2!$P50*ADRYr2!$Q50*ADRYr2!$U50)</f>
        <v/>
      </c>
      <c r="CW50" s="28" t="str">
        <f>IF($G50="","",G50*(IF(ADRYr2!$AI50=CW$4,ADRYr2!$AJ50,IF(ADRYr2!$AK50=CW$4,ADRYr2!$AL50,IF(ADRYr2!$AM50=CW$4,ADRYr2!$AN50,0))))*(INDEX(avoidedcosttbl2,$H50,CW$2)+(($H50-ROUNDDOWN($H50,0))*(INDEX(avoidedcosttbl2,ROUNDUP($H50,0),CW$2)-(INDEX(avoidedcosttbl2,ROUNDDOWN($H50,0),CW$2)))))*ADRYr2!$P50*ADRYr2!$Q50*ADRYr2!$U50)</f>
        <v/>
      </c>
      <c r="CX50" s="28" t="str">
        <f>IF($G50="","",G50*(IF(ADRYr2!$AI50=CX$4,ADRYr2!$AJ50,IF(ADRYr2!$AK50=CX$4,ADRYr2!$AL50,IF(ADRYr2!$AM50=CX$4,ADRYr2!$AN50,0))))*(INDEX(avoidedcosttbl2,$H50,CX$2)+(($H50-ROUNDDOWN($H50,0))*(INDEX(avoidedcosttbl2,ROUNDUP($H50,0),CX$2)-(INDEX(avoidedcosttbl2,ROUNDDOWN($H50,0),CX$2)))))*ADRYr2!$P50*ADRYr2!$Q50*ADRYr2!$U50)</f>
        <v/>
      </c>
      <c r="CY50" s="28" t="str">
        <f t="shared" si="13"/>
        <v/>
      </c>
      <c r="CZ50" s="32" t="str">
        <f t="shared" si="14"/>
        <v/>
      </c>
      <c r="DA50" s="84" t="str">
        <f t="shared" si="41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15"/>
        <v/>
      </c>
      <c r="DD50" s="166" t="str">
        <f t="shared" si="16"/>
        <v/>
      </c>
      <c r="DE50" s="82">
        <f t="shared" si="42"/>
        <v>0</v>
      </c>
      <c r="DF50" s="760" t="str">
        <f>IF($G50="","",(1+WntPeakEnergyLL)*(INDEX(avoidedcosttbl2,$H50,DF$2)+(($H50-ROUNDDOWN($H50,0))*(INDEX(avoidedcosttbl2,ROUNDUP($H50,0),DF$2)-(INDEX(avoidedcosttbl2,ROUNDDOWN($H50,0),DF$2)))))*$P50*1000*ADRYr2!Z50)</f>
        <v/>
      </c>
      <c r="DG50" s="760" t="str">
        <f>IF($G50="","",(1+WntOffPeakEnergyLL)*(INDEX(avoidedcosttbl2,$H50,DG$2)+(($H50-ROUNDDOWN($H50,0))*(INDEX(avoidedcosttbl2,ROUNDUP($H50,0),DG$2)-(INDEX(avoidedcosttbl2,ROUNDDOWN($H50,0),DG$2)))))*$P50*1000*ADRYr2!AA50)</f>
        <v/>
      </c>
      <c r="DH50" s="760" t="str">
        <f>IF($G50="","",(1+SumPeakEnergyLL)*(INDEX(avoidedcosttbl2,$H50,DH$2)+(($H50-ROUNDDOWN($H50,0))*(INDEX(avoidedcosttbl2,ROUNDUP($H50,0),DH$2)-(INDEX(avoidedcosttbl2,ROUNDDOWN($H50,0),DH$2)))))*$P50*1000*ADRYr2!AB50)</f>
        <v/>
      </c>
      <c r="DI50" s="760" t="str">
        <f>IF($G50="","",(1+SumOffPeakEnergyLL)*(INDEX(avoidedcosttbl2,$H50,DI$2)+(($H50-ROUNDDOWN($H50,0))*(INDEX(avoidedcosttbl2,ROUNDUP($H50,0),DI$2)-(INDEX(avoidedcosttbl2,ROUNDDOWN($H50,0),DI$2)))))*$P50*1000*ADRYr2!AC50)</f>
        <v/>
      </c>
      <c r="DJ50" s="29" t="str">
        <f t="shared" si="43"/>
        <v/>
      </c>
      <c r="DK50" s="161" t="str">
        <f t="shared" si="51"/>
        <v/>
      </c>
      <c r="DO50" s="1131" t="str">
        <f>IF($G50="","",ADRYr2!AQ50)</f>
        <v/>
      </c>
      <c r="DP50" s="1133" t="str">
        <f>IF($G50="","",ADRYr2!AR50)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48"/>
        <v/>
      </c>
      <c r="DU50" s="1135" t="str">
        <f>IF($G50="","",ADRYr2!AS50)</f>
        <v/>
      </c>
      <c r="DV50" s="1136" t="str">
        <f>IF($G50="","",ADRYr2!AT50)</f>
        <v/>
      </c>
      <c r="DW50" s="1344" t="str">
        <f>IF($G50="","",INDEX(AvoidedEnergy!$H$4:$H$10,MATCH($DO50,AvoidedEnergy!$A$4:$A$10,0)))</f>
        <v/>
      </c>
    </row>
  </sheetData>
  <autoFilter ref="A4:DO39"/>
  <mergeCells count="21"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  <mergeCell ref="BI3:BN3"/>
    <mergeCell ref="BP3:BW3"/>
    <mergeCell ref="BY3:CF3"/>
    <mergeCell ref="CG3:CO3"/>
    <mergeCell ref="CQ3:CZ3"/>
  </mergeCells>
  <conditionalFormatting sqref="J2:L2 J3:K3">
    <cfRule type="expression" dxfId="7" priority="1" stopIfTrue="1">
      <formula>ISBLANK($K2)</formula>
    </cfRule>
    <cfRule type="expression" dxfId="6" priority="2" stopIfTrue="1">
      <formula>$J2=0</formula>
    </cfRule>
  </conditionalFormatting>
  <conditionalFormatting sqref="J1:K1">
    <cfRule type="expression" dxfId="5" priority="3" stopIfTrue="1">
      <formula>ISBLANK($J1)</formula>
    </cfRule>
    <cfRule type="expression" dxfId="4" priority="4" stopIfTrue="1">
      <formula>$B1=0</formula>
    </cfRule>
  </conditionalFormatting>
  <dataValidations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DW54"/>
  <sheetViews>
    <sheetView zoomScale="80" zoomScaleNormal="80" workbookViewId="0">
      <pane xSplit="6" ySplit="4" topLeftCell="G5" activePane="bottomRight" state="frozen"/>
      <selection activeCell="D19" sqref="D19"/>
      <selection pane="topRight" activeCell="D19" sqref="D19"/>
      <selection pane="bottomLeft" activeCell="D19" sqref="D19"/>
      <selection pane="bottomRight" activeCell="DS12" sqref="DS12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customWidth="1" outlineLevel="1"/>
    <col min="53" max="55" width="17.42578125" style="95" customWidth="1" outlineLevel="1"/>
    <col min="56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2" customFormat="1" ht="25.5">
      <c r="A1" s="64" t="s">
        <v>76</v>
      </c>
      <c r="B1" s="65">
        <f>Year3</f>
        <v>2023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5" t="s">
        <v>938</v>
      </c>
      <c r="BQ1" s="7"/>
      <c r="BR1" s="1345" t="s">
        <v>938</v>
      </c>
      <c r="BS1" s="1345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7" t="s">
        <v>78</v>
      </c>
      <c r="B3" s="1448"/>
      <c r="C3" s="1448"/>
      <c r="D3" s="1448"/>
      <c r="E3" s="1448"/>
      <c r="F3" s="1448"/>
      <c r="G3" s="1448"/>
      <c r="H3" s="1448"/>
      <c r="I3" s="1449" t="s">
        <v>84</v>
      </c>
      <c r="J3" s="1449"/>
      <c r="K3" s="1449"/>
      <c r="L3" s="1450" t="s">
        <v>148</v>
      </c>
      <c r="M3" s="1451"/>
      <c r="N3" s="1451"/>
      <c r="O3" s="1451"/>
      <c r="P3" s="1451"/>
      <c r="Q3" s="1451"/>
      <c r="R3" s="1451"/>
      <c r="S3" s="1451"/>
      <c r="T3" s="1451"/>
      <c r="U3" s="1452"/>
      <c r="V3" s="1453" t="s">
        <v>150</v>
      </c>
      <c r="W3" s="1453"/>
      <c r="X3" s="1453"/>
      <c r="Y3" s="1453"/>
      <c r="Z3" s="1453"/>
      <c r="AA3" s="1454" t="s">
        <v>236</v>
      </c>
      <c r="AB3" s="1455"/>
      <c r="AC3" s="1455"/>
      <c r="AD3" s="1456"/>
      <c r="AE3" s="1444" t="s">
        <v>668</v>
      </c>
      <c r="AF3" s="1445"/>
      <c r="AG3" s="1445"/>
      <c r="AH3" s="1446"/>
      <c r="AI3" s="1444" t="s">
        <v>669</v>
      </c>
      <c r="AJ3" s="1445"/>
      <c r="AK3" s="1445"/>
      <c r="AL3" s="1446"/>
      <c r="AM3" s="1444" t="s">
        <v>670</v>
      </c>
      <c r="AN3" s="1445"/>
      <c r="AO3" s="1445"/>
      <c r="AP3" s="1446"/>
      <c r="AQ3" s="1444" t="s">
        <v>671</v>
      </c>
      <c r="AR3" s="1445"/>
      <c r="AS3" s="1445"/>
      <c r="AT3" s="1446"/>
      <c r="AU3" s="1444" t="s">
        <v>672</v>
      </c>
      <c r="AV3" s="1445"/>
      <c r="AW3" s="1445"/>
      <c r="AX3" s="1446"/>
      <c r="AY3" s="1444" t="s">
        <v>674</v>
      </c>
      <c r="AZ3" s="1446"/>
      <c r="BA3" s="1444" t="s">
        <v>673</v>
      </c>
      <c r="BB3" s="1445"/>
      <c r="BC3" s="1446"/>
      <c r="BD3" s="1461" t="s">
        <v>156</v>
      </c>
      <c r="BE3" s="1462"/>
      <c r="BF3" s="1462"/>
      <c r="BG3" s="1462"/>
      <c r="BH3" s="1463"/>
      <c r="BI3" s="1428" t="s">
        <v>158</v>
      </c>
      <c r="BJ3" s="1429"/>
      <c r="BK3" s="1429"/>
      <c r="BL3" s="1429"/>
      <c r="BM3" s="1429"/>
      <c r="BN3" s="1430"/>
      <c r="BO3" s="158" t="s">
        <v>185</v>
      </c>
      <c r="BP3" s="1431" t="s">
        <v>157</v>
      </c>
      <c r="BQ3" s="1432"/>
      <c r="BR3" s="1432"/>
      <c r="BS3" s="1432"/>
      <c r="BT3" s="1432"/>
      <c r="BU3" s="1432"/>
      <c r="BV3" s="1432"/>
      <c r="BW3" s="1433"/>
      <c r="BX3" s="159" t="s">
        <v>82</v>
      </c>
      <c r="BY3" s="1434" t="s">
        <v>160</v>
      </c>
      <c r="BZ3" s="1435"/>
      <c r="CA3" s="1435"/>
      <c r="CB3" s="1435"/>
      <c r="CC3" s="1435"/>
      <c r="CD3" s="1435"/>
      <c r="CE3" s="1435"/>
      <c r="CF3" s="1436"/>
      <c r="CG3" s="1437" t="s">
        <v>161</v>
      </c>
      <c r="CH3" s="1437"/>
      <c r="CI3" s="1437"/>
      <c r="CJ3" s="1437"/>
      <c r="CK3" s="1437"/>
      <c r="CL3" s="1437"/>
      <c r="CM3" s="1437"/>
      <c r="CN3" s="1437"/>
      <c r="CO3" s="1437"/>
      <c r="CP3" s="159" t="s">
        <v>211</v>
      </c>
      <c r="CQ3" s="1438" t="s">
        <v>384</v>
      </c>
      <c r="CR3" s="1439"/>
      <c r="CS3" s="1439"/>
      <c r="CT3" s="1439"/>
      <c r="CU3" s="1439"/>
      <c r="CV3" s="1439"/>
      <c r="CW3" s="1439"/>
      <c r="CX3" s="1439"/>
      <c r="CY3" s="1439"/>
      <c r="CZ3" s="1440"/>
      <c r="DA3" s="159" t="s">
        <v>82</v>
      </c>
      <c r="DB3" s="1457" t="s">
        <v>683</v>
      </c>
      <c r="DC3" s="1457"/>
      <c r="DD3" s="1457"/>
      <c r="DE3" s="1457"/>
      <c r="DF3" s="1458" t="s">
        <v>689</v>
      </c>
      <c r="DG3" s="1459"/>
      <c r="DH3" s="1459"/>
      <c r="DI3" s="1459"/>
      <c r="DJ3" s="1460"/>
      <c r="DK3" s="1368" t="s">
        <v>120</v>
      </c>
      <c r="DL3" s="1371" t="s">
        <v>120</v>
      </c>
      <c r="DM3" s="1372" t="s">
        <v>120</v>
      </c>
      <c r="DN3" s="1369" t="s">
        <v>120</v>
      </c>
      <c r="DO3" s="1441" t="s">
        <v>920</v>
      </c>
      <c r="DP3" s="1442"/>
      <c r="DQ3" s="1442"/>
      <c r="DR3" s="1442"/>
      <c r="DS3" s="1442"/>
      <c r="DT3" s="1442"/>
      <c r="DU3" s="1442"/>
      <c r="DV3" s="1442"/>
      <c r="DW3" s="1443"/>
    </row>
    <row r="4" spans="1:127" s="213" customFormat="1" ht="63.7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946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955</v>
      </c>
      <c r="DL4" s="1373" t="s">
        <v>956</v>
      </c>
      <c r="DM4" s="1374" t="s">
        <v>957</v>
      </c>
      <c r="DN4" s="1370" t="s">
        <v>958</v>
      </c>
      <c r="DO4" s="1130" t="s">
        <v>841</v>
      </c>
      <c r="DP4" s="1132" t="s">
        <v>842</v>
      </c>
      <c r="DQ4" s="1134" t="s">
        <v>939</v>
      </c>
      <c r="DR4" s="1134" t="s">
        <v>940</v>
      </c>
      <c r="DS4" s="1134" t="s">
        <v>941</v>
      </c>
      <c r="DT4" s="1134" t="s">
        <v>704</v>
      </c>
      <c r="DU4" s="1132" t="s">
        <v>843</v>
      </c>
      <c r="DV4" s="1132" t="s">
        <v>844</v>
      </c>
      <c r="DW4" s="1132" t="s">
        <v>935</v>
      </c>
    </row>
    <row r="5" spans="1:127">
      <c r="A5" s="160" t="str">
        <f>IF(ADRYr3!$B5=0,"",ADRYr3!A5)</f>
        <v>A - Residential</v>
      </c>
      <c r="B5" s="9" t="str">
        <f>IF(ADRYr3!$B5=0,"",ADRYr3!B5)</f>
        <v>A5 - Residential Active Demand Response</v>
      </c>
      <c r="C5" s="9" t="str">
        <f>IF(ADRYr3!$B5=0,"",ADRYr3!C5)</f>
        <v>A5a - Residential Active Demand Response</v>
      </c>
      <c r="D5" s="9" t="str">
        <f>IF(ADRYr3!$B5=0,"",ADRYr3!D5)</f>
        <v>Direct Load Control Targeted Dispatch Upfront/Annual Incentive Summer</v>
      </c>
      <c r="E5" s="9" t="str">
        <f>IF(ADRYr3!$B5=0,"",ADRYr3!E5)</f>
        <v>E21A5a001</v>
      </c>
      <c r="F5" s="11" t="str">
        <f>IF(ADRYr3!$B5=0,"",ADRYr3!F5)</f>
        <v>Behavior</v>
      </c>
      <c r="G5" s="12">
        <f>IF(ADRYr3!$G5&lt;&gt;0,ADRYr3!G5,"")</f>
        <v>500</v>
      </c>
      <c r="H5" s="1125">
        <f>IF($G5="","",ROUND(ADRYr3!H5,0))</f>
        <v>1</v>
      </c>
      <c r="I5" s="47">
        <f>IF($G5="","",ADRYr3!I5*ADRYr3!P5*G5)</f>
        <v>13750</v>
      </c>
      <c r="J5" s="47">
        <f>IF($G5="","",ADRYr3!J5*G5)</f>
        <v>13750</v>
      </c>
      <c r="K5" s="47">
        <f>IF($G5="","",I5-J5)</f>
        <v>0</v>
      </c>
      <c r="L5" s="27">
        <f>IF($G5="","",ADRYr3!V5*G5/1000)</f>
        <v>0</v>
      </c>
      <c r="M5" s="27">
        <f>IF($G5="","",L5*ADRYr3!$Q5*ADRYr3!$R5)</f>
        <v>0</v>
      </c>
      <c r="N5" s="27">
        <f>IFERROR(L5*H5,"")</f>
        <v>0</v>
      </c>
      <c r="O5" s="27">
        <f>IF($G5="","",M5*$H5)</f>
        <v>0</v>
      </c>
      <c r="P5" s="27">
        <f>IF($G5="","",M5*ADRYr3!P5)</f>
        <v>0</v>
      </c>
      <c r="Q5" s="27">
        <f>IF($G5="","",P5*$H5)</f>
        <v>0</v>
      </c>
      <c r="R5" s="27">
        <f>IF($G5="","",$Q5*ADRYr3!Z5)</f>
        <v>0</v>
      </c>
      <c r="S5" s="27">
        <f>IF($G5="","",$Q5*ADRYr3!AA5)</f>
        <v>0</v>
      </c>
      <c r="T5" s="27">
        <f>IF($G5="","",$Q5*ADRYr3!AB5)</f>
        <v>0</v>
      </c>
      <c r="U5" s="27">
        <f>IF($G5="","",$Q5*ADRYr3!AC5)</f>
        <v>0</v>
      </c>
      <c r="V5" s="27">
        <f>IF($G5="","",G5*ADRYr3!$AD5*ADRYr3!$P5*ADRYr3!$Q5)</f>
        <v>250</v>
      </c>
      <c r="W5" s="27">
        <f>IF($G5="","",$G5*ADRYr3!$AD5*ADRYr3!$AF5*ADRYr3!Q5*ADRYr3!$S5)</f>
        <v>0</v>
      </c>
      <c r="X5" s="27">
        <f>IF($G5="","",$G5*ADRYr3!$AD5*ADRYr3!$AF5*ADRYr3!P5*ADRYr3!Q5*ADRYr3!$S5)</f>
        <v>0</v>
      </c>
      <c r="Y5" s="27">
        <f>IF($G5="","",$G5*ADRYr3!$AD5*ADRYr3!$AE5*ADRYr3!Q5*ADRYr3!$T5)</f>
        <v>250</v>
      </c>
      <c r="Z5" s="27">
        <f>IF($G5="","",$G5*ADRYr3!$AD5*ADRYr3!$AE5*ADRYr3!P5*ADRYr3!Q5*ADRYr3!$T5)</f>
        <v>250</v>
      </c>
      <c r="AA5" s="45">
        <f>IF($G5="","",$G5*ADRYr3!$Q5*ADRYr3!$U5*(IF(IFERROR(SEARCH("NG", ADRYr3!$AI5),0),ADRYr3!$AJ5,0)+IF(IFERROR(SEARCH("NG", ADRYr3!$AK5),0),ADRYr3!$AL5,0)+IF(IFERROR(SEARCH("NG", ADRYr3!$AM5),0),ADRYr3!$AN5,0)))</f>
        <v>0</v>
      </c>
      <c r="AB5" s="45">
        <f>IF($G5="","",AA5*$H5)</f>
        <v>0</v>
      </c>
      <c r="AC5" s="45">
        <f>IF($G5="",0,AA5*ADRYr3!$P5)</f>
        <v>0</v>
      </c>
      <c r="AD5" s="45">
        <f>IF($G5="","",AC5*$H5)</f>
        <v>0</v>
      </c>
      <c r="AE5" s="45">
        <f>IF($G5="","",$G5*ADRYr3!$Q5*ADRYr3!$U5*(IF(IFERROR(SEARCH("Oil", ADRYr3!$AI5), 0),ADRYr3!$AJ5,0)+IF(IFERROR(SEARCH("Oil", ADRYr3!$AK5), 0),ADRYr3!$AL5,0)+IF(IFERROR(SEARCH("Oil", ADRYr3!$AM5), 0),ADRYr3!$AN5,0)))</f>
        <v>0</v>
      </c>
      <c r="AF5" s="45">
        <f>IF($G5="","",AE5*$H5)</f>
        <v>0</v>
      </c>
      <c r="AG5" s="45">
        <f>IF($G5="",0,AE5*ADRYr3!$P5)</f>
        <v>0</v>
      </c>
      <c r="AH5" s="45">
        <f>IF($G5="","",AG5*$H5)</f>
        <v>0</v>
      </c>
      <c r="AI5" s="45">
        <f>IF($G5="","",$G5*ADRYr3!$Q5*ADRYr3!$U5*(IF(ADRYr3!$AI5=Lookups!$E$114,ADRYr3!$AJ5,IF(ADRYr3!$AK5=Lookups!$E$114,ADRYr3!$AL5,IF(ADRYr3!$AM5=Lookups!$E$114,ADRYr3!$AN5,0)))))</f>
        <v>0</v>
      </c>
      <c r="AJ5" s="45">
        <f>IF($G5="","",AI5*$H5)</f>
        <v>0</v>
      </c>
      <c r="AK5" s="45">
        <f>IF($G5="",0,AI5*ADRYr3!$P5)</f>
        <v>0</v>
      </c>
      <c r="AL5" s="45">
        <f>IF($G5="","",AK5*$H5)</f>
        <v>0</v>
      </c>
      <c r="AM5" s="45">
        <f>IF($G5="","",$G5*ADRYr3!$Q5*ADRYr3!$U5*(IF(ADRYr3!$AI5=Lookups!$E$113,ADRYr3!$AJ5,IF(ADRYr3!$AK5=Lookups!$E$113,ADRYr3!$AL5,IF(ADRYr3!$AM5=Lookups!$E$113,ADRYr3!$AN5,0)))))</f>
        <v>0</v>
      </c>
      <c r="AN5" s="45">
        <f>IF($G5="","",AM5*$H5)</f>
        <v>0</v>
      </c>
      <c r="AO5" s="45">
        <f>IF($G5="",0,AM5*ADRYr3!$P5)</f>
        <v>0</v>
      </c>
      <c r="AP5" s="45">
        <f>IF($G5="","",AO5*$H5)</f>
        <v>0</v>
      </c>
      <c r="AQ5" s="45">
        <f>IF($G5="","",$G5*ADRYr3!$Q5*ADRYr3!$U5*(IF(ADRYr3!$AI5=Lookups!$E$115,ADRYr3!$AJ5,IF(ADRYr3!$AK5=Lookups!$E$115,ADRYr3!$AL5,IF(ADRYr3!$AM5=Lookups!$E$115,ADRYr3!$AN5,0)))))</f>
        <v>0</v>
      </c>
      <c r="AR5" s="45">
        <f>IF($G5="","",AQ5*$H5)</f>
        <v>0</v>
      </c>
      <c r="AS5" s="45">
        <f>IF($G5="","",AQ5*ADRYr3!$P5)</f>
        <v>0</v>
      </c>
      <c r="AT5" s="45">
        <f>IF($G5="","",AS5*$H5)</f>
        <v>0</v>
      </c>
      <c r="AU5" s="45">
        <f>IF($G5="","",$G5*ADRYr3!$Q5*ADRYr3!$U5*(IF(ADRYr3!$AI5=Lookups!$E$116,ADRYr3!$AJ5,IF(ADRYr3!$AK5=Lookups!$E$116,ADRYr3!$AL5,IF(ADRYr3!$AM5=Lookups!$E$116,ADRYr3!$AN5,0)))))</f>
        <v>0</v>
      </c>
      <c r="AV5" s="45">
        <f>IF($G5="","",AU5*$H5)</f>
        <v>0</v>
      </c>
      <c r="AW5" s="45">
        <f>IF($G5="","",AU5*ADRYr3!$P5)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IF($G5="","",$G5*ADRYr3!$P5*ADRYr3!$Q5*ADRYr3!$U5*ADRYr3!AO5)</f>
        <v>0</v>
      </c>
      <c r="BB5" s="102">
        <f>IF($G5="","",$G5*ADRYr3!$P5*ADRYr3!$Q5*ADRYr3!$U5*ADRYr3!AP5)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IF($G5="","",(1+AveLoss)*((INDEX(avoidedcosttbl3,$H5,BM$2))+(($H5-ROUNDDOWN($H5,0))*((INDEX(avoidedcosttbl3,ROUNDUP($H5,0),BM$2))-(INDEX(avoidedcosttbl3,ROUNDDOWN($H5,0),BM$2)))))*$P5*1000)</f>
        <v>0</v>
      </c>
      <c r="BN5" s="1128">
        <f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5">IF($G5="","",(1+SumPeakEnergyLL)*$Z5*$DV5*IF($DP5="No",
INDEX(avoidedcosttblADMcapYr3,1,$H5)+(($H5-ROUNDDOWN($H5,0))*(INDEX(avoidedcosttblADMcapYr3,ROUNDUP($H5,0),1)-(INDEX(avoidedcosttblADMcapYr3,ROUNDDOWN($H5,0),1)))),
INDEX(avoidedcosttbl3,$H5,$DQ5)+(($H5-ROUNDDOWN($H5,0))*(INDEX(avoidedcosttbl3,ROUNDUP($H5,0),$DQ5)-(INDEX(avoidedcosttbl3,ROUNDDOWN($H5,0),$DQ5))))))</f>
        <v>2842.2342868749188</v>
      </c>
      <c r="BQ5" s="28">
        <f t="shared" ref="BQ5:BQ50" si="6">IF($G5="","",(1+WntPeakEnergyLL)*(INDEX(avoidedcosttbl3,$H5,BQ$2)+(($H5-ROUNDDOWN($H5,0))*(INDEX(avoidedcosttbl3,ROUNDUP($H5,0),BQ$2)-(INDEX(avoidedcosttbl3,ROUNDDOWN($H5,0),BQ$2)))))*$X5)</f>
        <v>0</v>
      </c>
      <c r="BR5" s="1129">
        <f t="shared" ref="BR5:BR50" si="7">IF($G5="","",(1+SumPeakEnergyLL)*$Z5*$DV5*IF($DP5="No",
INDEX(avoidedcosttblADMcapDRIPEYr3,1,$H5)+(($H5-ROUNDDOWN($H5,0))*(INDEX(avoidedcosttblADMcapDRIPEYr3,ROUNDUP($H5,0),1)-(INDEX(avoidedcosttblADMcapDRIPEYr3,ROUNDDOWN($H5,0),1)))),
INDEX(avoidedcosttbl3,$H5,$DR5)+(($H5-ROUNDDOWN($H5,0))*(INDEX(avoidedcosttbl3,ROUNDUP($H5,0),$DR5)-(INDEX(avoidedcosttbl3,ROUNDDOWN($H5,0),$DR5))))))</f>
        <v>6003.0018024746687</v>
      </c>
      <c r="BS5" s="1129">
        <f t="shared" ref="BS5:BS50" si="8">IF($G5="","",(1+SumPeakEnergyLL)*$Z5*(INDEX(avoidedcosttbl3,$H5,$DS5)+(($H5-ROUNDDOWN($H5,0))*(INDEX(avoidedcosttbl3,ROUNDUP($H5,0),$DS5)-(INDEX(avoidedcosttbl3,ROUNDDOWN($H5,0),$DS5))))))</f>
        <v>0</v>
      </c>
      <c r="BT5" s="28">
        <f t="shared" ref="BT5:BV24" si="9">IF($G5="","",(INDEX(avoidedcosttbl3,$H5,BT$2)+(($H5-ROUNDDOWN($H5,0))*(INDEX(avoidedcosttbl3,ROUNDUP($H5,0),BT$2)-(INDEX(avoidedcosttbl3,ROUNDDOWN($H5,0),BT$2)))))*$Z5)</f>
        <v>25525.263735704815</v>
      </c>
      <c r="BU5" s="28">
        <f t="shared" si="9"/>
        <v>0</v>
      </c>
      <c r="BV5" s="28">
        <f t="shared" si="9"/>
        <v>22112.248079165969</v>
      </c>
      <c r="BW5" s="29">
        <f>IF($G5="","",SUM(BP5:BV5))</f>
        <v>56482.74790422037</v>
      </c>
      <c r="BX5" s="29">
        <f>IF($G5="","",BO5+BW5)</f>
        <v>56482.74790422037</v>
      </c>
      <c r="BY5" s="28">
        <f>IF($G5="","",$G5*(IF(ADRYr3!$AI5=BY$4,ADRYr3!$AJ5,IF(ADRYr3!$AK5=BY$4,ADRYr3!$AL5,IF(ADRYr3!$AM5=BY$4,ADRYr3!$AN5,0))))*(INDEX(avoidedcosttbl3,$H5,BY$2)+(($H5-ROUNDDOWN($H5,0))*(INDEX(avoidedcosttbl3,ROUNDUP($H5,0),BY$2)-(INDEX(avoidedcosttbl3,ROUNDDOWN($H5,0),BY$2)))))*ADRYr3!P5*ADRYr3!Q5*ADRYr3!U5)</f>
        <v>0</v>
      </c>
      <c r="BZ5" s="28">
        <f>IF($G5="","",$G5*(IF(ADRYr3!$AI5=BZ$4,ADRYr3!$AJ5,IF(ADRYr3!$AK5=BZ$4,ADRYr3!$AL5,IF(ADRYr3!$AM5=BZ$4,ADRYr3!$AN5,0))))*(INDEX(avoidedcosttbl3,$H5,BZ$2)+(($H5-ROUNDDOWN($H5,0))*(INDEX(avoidedcosttbl3,ROUNDUP($H5,0),BZ$2)-(INDEX(avoidedcosttbl3,ROUNDDOWN($H5,0),BZ$2)))))*ADRYr3!P5*ADRYr3!Q5*ADRYr3!U5)</f>
        <v>0</v>
      </c>
      <c r="CA5" s="28">
        <f>IF($G5="","",$G5*(IF(ADRYr3!$AI5=CA$4,ADRYr3!$AJ5,IF(ADRYr3!$AK5=CA$4,ADRYr3!$AL5,IF(ADRYr3!$AM5=CA$4,ADRYr3!$AN5,0))))*(INDEX(avoidedcosttbl3,$H5,CA$2)+(($H5-ROUNDDOWN($H5,0))*(INDEX(avoidedcosttbl3,ROUNDUP($H5,0),CA$2)-(INDEX(avoidedcosttbl3,ROUNDDOWN($H5,0),CA$2)))))*ADRYr3!P5*ADRYr3!Q5*ADRYr3!U5)</f>
        <v>0</v>
      </c>
      <c r="CB5" s="28">
        <f>IF($G5="","",$G5*(IF(ADRYr3!$AI5=CB$4,ADRYr3!$AJ5,IF(ADRYr3!$AK5=CB$4,ADRYr3!$AL5,IF(ADRYr3!$AM5=CB$4,ADRYr3!$AN5,0))))*(INDEX(avoidedcosttbl3,$H5,CB$2)+(($H5-ROUNDDOWN($H5,0))*(INDEX(avoidedcosttbl3,ROUNDUP($H5,0),CB$2)-(INDEX(avoidedcosttbl3,ROUNDDOWN($H5,0),CB$2)))))*ADRYr3!P5*ADRYr3!Q5*ADRYr3!U5)</f>
        <v>0</v>
      </c>
      <c r="CC5" s="28">
        <f>IF($G5="","",$G5*(IF(ADRYr3!$AI5=CC$4,ADRYr3!$AJ5,IF(ADRYr3!$AK5=CC$4,ADRYr3!$AL5,IF(ADRYr3!$AM5=CC$4,ADRYr3!$AN5,0))))*(INDEX(avoidedcosttbl3,$H5,CC$2)+(($H5-ROUNDDOWN($H5,0))*(INDEX(avoidedcosttbl3,ROUNDUP($H5,0),CC$2)-(INDEX(avoidedcosttbl3,ROUNDDOWN($H5,0),CC$2)))))*ADRYr3!P5*ADRYr3!Q5*ADRYr3!U5)</f>
        <v>0</v>
      </c>
      <c r="CD5" s="28">
        <f>IF($G5="","",$G5*(IF(ADRYr3!$AI5=CD$4,ADRYr3!$AJ5,IF(ADRYr3!$AK5=CD$4,ADRYr3!$AL5,IF(ADRYr3!$AM5=CD$4,ADRYr3!$AN5,0))))*(INDEX(avoidedcosttbl3,$H5,CD$2)+(($H5-ROUNDDOWN($H5,0))*(INDEX(avoidedcosttbl3,ROUNDUP($H5,0),CD$2)-(INDEX(avoidedcosttbl3,ROUNDDOWN($H5,0),CD$2)))))*ADRYr3!P5*ADRYr3!Q5*ADRYr3!U5)</f>
        <v>0</v>
      </c>
      <c r="CE5" s="28">
        <f>IF($G5="","",$G5*(IF(ADRYr3!$AI5=CE$4,ADRYr3!$AJ5,IF(ADRYr3!$AK5=CE$4,ADRYr3!$AL5,IF(ADRYr3!$AM5=CE$4,ADRYr3!$AN5,0))))*(INDEX(avoidedcosttbl3,$H5,CE$2)+(($H5-ROUNDDOWN($H5,0))*(INDEX(avoidedcosttbl3,ROUNDUP($H5,0),CE$2)-(INDEX(avoidedcosttbl3,ROUNDDOWN($H5,0),CE$2)))))*ADRYr3!P5*ADRYr3!Q5*ADRYr3!U5)</f>
        <v>0</v>
      </c>
      <c r="CF5" s="41">
        <f>IF($G5="","",SUM(BY5:CE5))</f>
        <v>0</v>
      </c>
      <c r="CG5" s="30">
        <f t="shared" ref="CG5:CG50" si="10">IF($G5="","",$AC5*((INDEX(avoidedcosttbl3,$H5,CG$2))+(($H5-ROUNDDOWN($H5,0))*((INDEX(avoidedcosttbl3,ROUNDUP($H5,0),CG$2))-(INDEX(avoidedcosttbl3,ROUNDDOWN($H5,0),CG$2))))))</f>
        <v>0</v>
      </c>
      <c r="CH5" s="30">
        <f>IF($G5="","",$G5*(IF(ADRYr3!$AI5=BY$4,ADRYr3!$AJ5,IF(ADRYr3!$AK5=BY$4,ADRYr3!$AL5,IF(ADRYr3!$AM5=BY$4,ADRYr3!$AN5,0))))*(INDEX(avoidedcosttbl3,$H5,CH$2)+(($H5-ROUNDDOWN($H5,0))*(INDEX(avoidedcosttbl3,ROUNDUP($H5,0),CH$2)-(INDEX(avoidedcosttbl3,ROUNDDOWN($H5,0),CH$2)))))*ADRYr3!P5*ADRYr3!Q5*ADRYr3!U5)</f>
        <v>0</v>
      </c>
      <c r="CI5" s="30">
        <f>IF($G5="","",$G5*(IF(ADRYr3!$AI5=BZ$4,ADRYr3!$AJ5,IF(ADRYr3!$AK5=BZ$4,ADRYr3!$AL5,IF(ADRYr3!$AM5=BZ$4,ADRYr3!$AN5,0))))*(INDEX(avoidedcosttbl3,$H5,CI$2)+(($H5-ROUNDDOWN($H5,0))*(INDEX(avoidedcosttbl3,ROUNDUP($H5,0),CI$2)-(INDEX(avoidedcosttbl3,ROUNDDOWN($H5,0),CI$2)))))*ADRYr3!P5*ADRYr3!Q5*ADRYr3!U5)</f>
        <v>0</v>
      </c>
      <c r="CJ5" s="30">
        <f>IF($G5="","",$G5*(IF(ADRYr3!$AI5=CA$4,ADRYr3!$AJ5,IF(ADRYr3!$AK5=CA$4,ADRYr3!$AL5,IF(ADRYr3!$AM5=CA$4,ADRYr3!$AN5,0))))*(INDEX(avoidedcosttbl3,$H5,CJ$2)+(($H5-ROUNDDOWN($H5,0))*(INDEX(avoidedcosttbl3,ROUNDUP($H5,0),CJ$2)-(INDEX(avoidedcosttbl3,ROUNDDOWN($H5,0),CJ$2)))))*ADRYr3!P5*ADRYr3!Q5*ADRYr3!U5)</f>
        <v>0</v>
      </c>
      <c r="CK5" s="30">
        <f>IF($G5="","",$G5*(IF(ADRYr3!$AI5=CB$4,ADRYr3!$AJ5,IF(ADRYr3!$AK5=CB$4,ADRYr3!$AL5,IF(ADRYr3!$AM5=CB$4,ADRYr3!$AN5,0))))*(INDEX(avoidedcosttbl3,$H5,CK$2)+(($H5-ROUNDDOWN($H5,0))*(INDEX(avoidedcosttbl3,ROUNDUP($H5,0),CK$2)-(INDEX(avoidedcosttbl3,ROUNDDOWN($H5,0),CK$2)))))*ADRYr3!P5*ADRYr3!Q5*ADRYr3!U5)</f>
        <v>0</v>
      </c>
      <c r="CL5" s="30">
        <f>IF($G5="","",$G5*(IF(ADRYr3!$AI5=CC$4,ADRYr3!$AJ5,IF(ADRYr3!$AK5=CC$4,ADRYr3!$AL5,IF(ADRYr3!$AM5=CC$4,ADRYr3!$AN5,0))))*(INDEX(avoidedcosttbl3,$H5,CL$2)+(($H5-ROUNDDOWN($H5,0))*(INDEX(avoidedcosttbl3,ROUNDUP($H5,0),CL$2)-(INDEX(avoidedcosttbl3,ROUNDDOWN($H5,0),CL$2)))))*ADRYr3!P5*ADRYr3!Q5*ADRYr3!U5)</f>
        <v>0</v>
      </c>
      <c r="CM5" s="30">
        <f>IF($G5="","",$G5*(IF(ADRYr3!$AI5=CD$4,ADRYr3!$AJ5,IF(ADRYr3!$AK5=CD$4,ADRYr3!$AL5,IF(ADRYr3!$AM5=CD$4,ADRYr3!$AN5,0))))*(INDEX(avoidedcosttbl3,$H5,CM$2)+(($H5-ROUNDDOWN($H5,0))*(INDEX(avoidedcosttbl3,ROUNDUP($H5,0),CM$2)-(INDEX(avoidedcosttbl3,ROUNDDOWN($H5,0),CM$2)))))*ADRYr3!P5*ADRYr3!Q5*ADRYr3!U5)</f>
        <v>0</v>
      </c>
      <c r="CN5" s="30">
        <f>IF($G5="","",$G5*(IF(ADRYr3!$AI5=CE$4,ADRYr3!$AJ5,IF(ADRYr3!$AK5=CE$4,ADRYr3!$AL5,IF(ADRYr3!$AM5=CE$4,ADRYr3!$AN5,0))))*(INDEX(avoidedcosttbl3,$H5,CN$2)+(($H5-ROUNDDOWN($H5,0))*(INDEX(avoidedcosttbl3,ROUNDUP($H5,0),CN$2)-(INDEX(avoidedcosttbl3,ROUNDDOWN($H5,0),CN$2)))))*ADRYr3!P5*ADRYr3!Q5*ADRYr3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3!$AI5=CQ$4,ADRYr3!$AJ5,IF(ADRYr3!$AK5=CQ$4,ADRYr3!$AL5,IF(ADRYr3!$AM5=CQ$4,ADRYr3!$AN5,0))))*(INDEX(avoidedcosttbl3,$H5,CQ$2)+(($H5-ROUNDDOWN($H5,0))*(INDEX(avoidedcosttbl3,ROUNDUP($H5,0),CQ$2)-(INDEX(avoidedcosttbl3,ROUNDDOWN($H5,0),CQ$2)))))*ADRYr3!$P5*ADRYr3!$Q5*ADRYr3!$U5)</f>
        <v>0</v>
      </c>
      <c r="CR5" s="28">
        <f>IF($G5="","",G5*(IF(ADRYr3!$AI5=CR$4,ADRYr3!$AJ5,IF(ADRYr3!$AK5=CR$4,ADRYr3!$AL5,IF(ADRYr3!$AM5=CR$4,ADRYr3!$AN5,0))))*(INDEX(avoidedcosttbl3,$H5,CR$2)+(($H5-ROUNDDOWN($H5,0))*(INDEX(avoidedcosttbl3,ROUNDUP($H5,0),CR$2)-(INDEX(avoidedcosttbl3,ROUNDDOWN($H5,0),CR$2)))))*ADRYr3!$P5*ADRYr3!$Q5*ADRYr3!$U5)</f>
        <v>0</v>
      </c>
      <c r="CS5" s="28">
        <f>IF($G5="","",G5*(IF(ADRYr3!$AI5=CS$4,ADRYr3!$AJ5,IF(ADRYr3!$AK5=CS$4,ADRYr3!$AL5,IF(ADRYr3!$AM5=CS$4,ADRYr3!$AN5,0))))*(INDEX(avoidedcosttbl3,$H5,CS$2)+(($H5-ROUNDDOWN($H5,0))*(INDEX(avoidedcosttbl3,ROUNDUP($H5,0),CS$2)-(INDEX(avoidedcosttbl3,ROUNDDOWN($H5,0),CS$2)))))*ADRYr3!$P5*ADRYr3!$Q5*ADRYr3!$U5)</f>
        <v>0</v>
      </c>
      <c r="CT5" s="28">
        <f t="shared" ref="CT5:CT50" si="11">IF($G5="","",$AG5*(INDEX(avoidedcosttbl3,$H5,CT$2)+(($H5-ROUNDDOWN($H5,0))*(INDEX(avoidedcosttbl3,ROUNDUP($H5,0),CT$2)-(INDEX(avoidedcosttbl3,ROUNDDOWN($H5,0),CT$2))))))</f>
        <v>0</v>
      </c>
      <c r="CU5" s="28">
        <f>IF($G5="","",G5*(IF(ADRYr3!$AI5=CU$4,ADRYr3!$AJ5,IF(ADRYr3!$AK5=CU$4,ADRYr3!$AL5,IF(ADRYr3!$AM5=CU$4,ADRYr3!$AN5,0))))*(INDEX(avoidedcosttbl3,$H5,CU$2)+(($H5-ROUNDDOWN($H5,0))*(INDEX(avoidedcosttbl3,ROUNDUP($H5,0),CU$2)-(INDEX(avoidedcosttbl3,ROUNDDOWN($H5,0),CU$2)))))*ADRYr3!$P5*ADRYr3!$Q5*ADRYr3!$U5)</f>
        <v>0</v>
      </c>
      <c r="CV5" s="28">
        <f>IF($G5="","",G5*(IF(ADRYr3!$AI5=CV$4,ADRYr3!$AJ5,IF(ADRYr3!$AK5=CV$4,ADRYr3!$AL5,IF(ADRYr3!$AM5=CV$4,ADRYr3!$AN5,0))))*(INDEX(avoidedcosttbl3,$H5,CV$2)+(($H5-ROUNDDOWN($H5,0))*(INDEX(avoidedcosttbl3,ROUNDUP($H5,0),CV$2)-(INDEX(avoidedcosttbl3,ROUNDDOWN($H5,0),CV$2)))))*ADRYr3!$P5*ADRYr3!$Q5*ADRYr3!$U5)</f>
        <v>0</v>
      </c>
      <c r="CW5" s="28">
        <f>IF($G5="","",G5*(IF(ADRYr3!$AI5=CW$4,ADRYr3!$AJ5,IF(ADRYr3!$AK5=CW$4,ADRYr3!$AL5,IF(ADRYr3!$AM5=CW$4,ADRYr3!$AN5,0))))*(INDEX(avoidedcosttbl3,$H5,CW$2)+(($H5-ROUNDDOWN($H5,0))*(INDEX(avoidedcosttbl3,ROUNDUP($H5,0),CW$2)-(INDEX(avoidedcosttbl3,ROUNDDOWN($H5,0),CW$2)))))*ADRYr3!$P5*ADRYr3!$Q5*ADRYr3!$U5)</f>
        <v>0</v>
      </c>
      <c r="CX5" s="28">
        <f>IF($G5="","",G5*(IF(ADRYr3!$AI5=CX$4,ADRYr3!$AJ5,IF(ADRYr3!$AK5=CX$4,ADRYr3!$AL5,IF(ADRYr3!$AM5=CX$4,ADRYr3!$AN5,0))))*(INDEX(avoidedcosttbl3,$H5,CX$2)+(($H5-ROUNDDOWN($H5,0))*(INDEX(avoidedcosttbl3,ROUNDUP($H5,0),CX$2)-(INDEX(avoidedcosttbl3,ROUNDDOWN($H5,0),CX$2)))))*ADRYr3!$P5*ADRYr3!$Q5*ADRYr3!$U5)</f>
        <v>0</v>
      </c>
      <c r="CY5" s="28">
        <f>IF($G5="","",BA5*(INDEX(avoidedcosttbl3,$H5,CY$2)+(($H5-ROUNDDOWN($H5,0))*(INDEX(avoidedcosttbl3,ROUNDUP($H5,0),CY$2)-(INDEX(avoidedcosttbl3,ROUNDDOWN($H5,0),CY$2))))))</f>
        <v>0</v>
      </c>
      <c r="CZ5" s="32">
        <f>IF($G5="","",BB5*(INDEX(avoidedcosttbl3,$H5,CZ$2)+(($H5-ROUNDDOWN($H5,0))*(INDEX(avoidedcosttbl3,ROUNDUP($H5,0),CZ$2)-(INDEX(avoidedcosttbl3,ROUNDDOWN($H5,0),CZ$2))))))</f>
        <v>0</v>
      </c>
      <c r="DA5" s="84">
        <f>IF($G5="","",SUM(CP5:CZ5))</f>
        <v>0</v>
      </c>
      <c r="DB5" s="81">
        <f>IF(NEIadder="Yes",IF($G5="","",INDEX(Lookups!$G$68:$G$70,MATCH($A5,Lookups!$E$68:$E$70,0))*(SUM(CP5:CX5,BX5))),"")</f>
        <v>5648.2747904220378</v>
      </c>
      <c r="DC5" s="263" t="str">
        <f>IF(FE="Yes",IF($G5="","", FEpercent*(AC5*NGE+AG5*OilE+AK5*PropE+AO5*KerE)*(INDEX(avoidedcosttbl3,$H5,DC$2)+(($H5-ROUNDDOWN($H5,0))*(INDEX(avoidedcosttbl3,ROUNDUP($H5,0),DC$2)-(INDEX(avoidedcosttbl3,ROUNDDOWN($H5,0),DC$2)))))),"")</f>
        <v/>
      </c>
      <c r="DD5" s="166">
        <f>IF($G5="","",(AC5*NGCO2+AG5*OilCO2+AK5*PropaneCO2+AO5*KeroseneCO2)/2000*(INDEX(avoidedcosttbl3,$H5,DD$2)+(($H5-ROUNDDOWN($H5,0))*(INDEX(avoidedcosttbl3,ROUNDUP($H5,0),DD$2)-(INDEX(avoidedcosttbl3,ROUNDDOWN($H5,0),DD$2))))))</f>
        <v>0</v>
      </c>
      <c r="DE5" s="82">
        <f>SUM(DB5:DD5)</f>
        <v>5648.2747904220378</v>
      </c>
      <c r="DF5" s="760">
        <f>IF($G5="","",(1+WntPeakEnergyLL)*(INDEX(avoidedcosttbl3,$H5,DF$2)+(($H5-ROUNDDOWN($H5,0))*(INDEX(avoidedcosttbl3,ROUNDUP($H5,0),DF$2)-(INDEX(avoidedcosttbl3,ROUNDDOWN($H5,0),DF$2)))))*$P5*1000*ADRYr3!Z5)</f>
        <v>0</v>
      </c>
      <c r="DG5" s="760">
        <f>IF($G5="","",(1+WntOffPeakEnergyLL)*(INDEX(avoidedcosttbl3,$H5,DG$2)+(($H5-ROUNDDOWN($H5,0))*(INDEX(avoidedcosttbl3,ROUNDUP($H5,0),DG$2)-(INDEX(avoidedcosttbl3,ROUNDDOWN($H5,0),DG$2)))))*$P5*1000*ADRYr3!AA5)</f>
        <v>0</v>
      </c>
      <c r="DH5" s="760">
        <f>IF($G5="","",(1+SumPeakEnergyLL)*(INDEX(avoidedcosttbl3,$H5,DH$2)+(($H5-ROUNDDOWN($H5,0))*(INDEX(avoidedcosttbl3,ROUNDUP($H5,0),DH$2)-(INDEX(avoidedcosttbl3,ROUNDDOWN($H5,0),DH$2)))))*$P5*1000*ADRYr3!AB5)</f>
        <v>0</v>
      </c>
      <c r="DI5" s="760">
        <f>IF($G5="","",(1+SumOffPeakEnergyLL)*(INDEX(avoidedcosttbl3,$H5,DI$2)+(($H5-ROUNDDOWN($H5,0))*(INDEX(avoidedcosttbl3,ROUNDUP($H5,0),DI$2)-(INDEX(avoidedcosttbl3,ROUNDDOWN($H5,0),DI$2)))))*$P5*1000*ADRYr3!AC5)</f>
        <v>0</v>
      </c>
      <c r="DJ5" s="29">
        <f>IF($G5="","",SUM(DF5:DI5))</f>
        <v>0</v>
      </c>
      <c r="DK5" s="161">
        <f>IF($G5="","",DE5+DA5+BX5)</f>
        <v>62131.022694642408</v>
      </c>
      <c r="DL5" s="1375">
        <f>IF($G5="","",IF(LEFT(A5,1)="B",DE5+DA5+BX5,DD5+DA5+BX5))</f>
        <v>56482.74790422037</v>
      </c>
      <c r="DM5" s="1375">
        <f>IF($G5="","",BX5)</f>
        <v>56482.74790422037</v>
      </c>
      <c r="DN5" s="43">
        <f>IF($G5="","",DE5+DA5+BX5+DJ5)</f>
        <v>62131.022694642408</v>
      </c>
      <c r="DO5" s="1131" t="str">
        <f>IF($G5="","",ADRYr3!AQ5)</f>
        <v>Top 20 All Hours</v>
      </c>
      <c r="DP5" s="1133" t="str">
        <f>IF($G5="","",ADRYr3!AR5)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>IF($G5="","",$B$1&amp;"-"&amp;DO5&amp;"-"&amp;H5)</f>
        <v>2023-Top 20 All Hours-1</v>
      </c>
      <c r="DU5" s="1135" t="str">
        <f>IF($G5="","",ADRYr3!AS5)</f>
        <v>No</v>
      </c>
      <c r="DV5" s="1136">
        <f>IF($G5="","",ADRYr3!AT5)</f>
        <v>0.1</v>
      </c>
      <c r="DW5" s="1344">
        <f>IF($G5="","",INDEX(AvoidedEnergy!$H$4:$H$10,MATCH($DO5,AvoidedEnergy!$A$4:$A$10,0)))</f>
        <v>0.08</v>
      </c>
    </row>
    <row r="6" spans="1:127">
      <c r="A6" s="160" t="str">
        <f>IF(ADRYr3!$B6=0,"",ADRYr3!A6)</f>
        <v>A - Residential</v>
      </c>
      <c r="B6" s="9" t="str">
        <f>IF(ADRYr3!$B6=0,"",ADRYr3!B6)</f>
        <v>A5 - Residential Active Demand Response</v>
      </c>
      <c r="C6" s="9" t="str">
        <f>IF(ADRYr3!$B6=0,"",ADRYr3!C6)</f>
        <v>A5a - Residential Active Demand Response</v>
      </c>
      <c r="D6" s="9" t="str">
        <f>IF(ADRYr3!$B6=0,"",ADRYr3!D6)</f>
        <v>Behavior DR</v>
      </c>
      <c r="E6" s="9">
        <f>IF(ADRYr3!$B6=0,"",ADRYr3!E6)</f>
        <v>0</v>
      </c>
      <c r="F6" s="11" t="str">
        <f>IF(ADRYr3!$B6=0,"",ADRYr3!F6)</f>
        <v>Behavior</v>
      </c>
      <c r="G6" s="12" t="str">
        <f>IF(ADRYr3!$G6&lt;&gt;0,ADRYr3!G6,"")</f>
        <v/>
      </c>
      <c r="H6" s="1125" t="str">
        <f>IF($G6="","",ROUND(ADRYr3!H6,0))</f>
        <v/>
      </c>
      <c r="I6" s="47" t="str">
        <f>IF($G6="","",ADRYr3!I6*ADRYr3!P6*G6)</f>
        <v/>
      </c>
      <c r="J6" s="47" t="str">
        <f>IF($G6="","",ADRYr3!J6*G6)</f>
        <v/>
      </c>
      <c r="K6" s="47" t="str">
        <f t="shared" ref="K6:K17" si="12">IF($G6="","",I6-J6)</f>
        <v/>
      </c>
      <c r="L6" s="27" t="str">
        <f>IF($G6="","",ADRYr3!V6*G6/1000)</f>
        <v/>
      </c>
      <c r="M6" s="27" t="str">
        <f>IF($G6="","",L6*ADRYr3!$Q6*ADRYr3!$R6)</f>
        <v/>
      </c>
      <c r="N6" s="27" t="str">
        <f t="shared" ref="N6:N17" si="13">IFERROR(L6*H6,"")</f>
        <v/>
      </c>
      <c r="O6" s="27" t="str">
        <f t="shared" ref="O6:O17" si="14">IF($G6="","",M6*$H6)</f>
        <v/>
      </c>
      <c r="P6" s="27" t="str">
        <f>IF($G6="","",M6*ADRYr3!P6)</f>
        <v/>
      </c>
      <c r="Q6" s="27" t="str">
        <f t="shared" ref="Q6:Q17" si="15">IF($G6="","",P6*$H6)</f>
        <v/>
      </c>
      <c r="R6" s="27" t="str">
        <f>IF($G6="","",$Q6*ADRYr3!Z6)</f>
        <v/>
      </c>
      <c r="S6" s="27" t="str">
        <f>IF($G6="","",$Q6*ADRYr3!AA6)</f>
        <v/>
      </c>
      <c r="T6" s="27" t="str">
        <f>IF($G6="","",$Q6*ADRYr3!AB6)</f>
        <v/>
      </c>
      <c r="U6" s="27" t="str">
        <f>IF($G6="","",$Q6*ADRYr3!AC6)</f>
        <v/>
      </c>
      <c r="V6" s="27" t="str">
        <f>IF($G6="","",G6*ADRYr3!$AD6*ADRYr3!$P6*ADRYr3!$Q6)</f>
        <v/>
      </c>
      <c r="W6" s="27" t="str">
        <f>IF($G6="","",$G6*ADRYr3!$AD6*ADRYr3!$AF6*ADRYr3!Q6*ADRYr3!$S6)</f>
        <v/>
      </c>
      <c r="X6" s="27" t="str">
        <f>IF($G6="","",$G6*ADRYr3!$AD6*ADRYr3!$AF6*ADRYr3!P6*ADRYr3!Q6*ADRYr3!$S6)</f>
        <v/>
      </c>
      <c r="Y6" s="27" t="str">
        <f>IF($G6="","",$G6*ADRYr3!$AD6*ADRYr3!$AE6*ADRYr3!Q6*ADRYr3!$T6)</f>
        <v/>
      </c>
      <c r="Z6" s="27" t="str">
        <f>IF($G6="","",$G6*ADRYr3!$AD6*ADRYr3!$AE6*ADRYr3!P6*ADRYr3!Q6*ADRYr3!$T6)</f>
        <v/>
      </c>
      <c r="AA6" s="45" t="str">
        <f>IF($G6="","",$G6*ADRYr3!$Q6*ADRYr3!$U6*(IF(IFERROR(SEARCH("NG", ADRYr3!$AI6),0),ADRYr3!$AJ6,0)+IF(IFERROR(SEARCH("NG", ADRYr3!$AK6),0),ADRYr3!$AL6,0)+IF(IFERROR(SEARCH("NG", ADRYr3!$AM6),0),ADRYr3!$AN6,0)))</f>
        <v/>
      </c>
      <c r="AB6" s="45" t="str">
        <f t="shared" ref="AB6:AB17" si="16">IF($G6="","",AA6*$H6)</f>
        <v/>
      </c>
      <c r="AC6" s="45">
        <f>IF($G6="",0,AA6*ADRYr3!$P6)</f>
        <v>0</v>
      </c>
      <c r="AD6" s="45" t="str">
        <f t="shared" ref="AD6:AD17" si="17">IF($G6="","",AC6*$H6)</f>
        <v/>
      </c>
      <c r="AE6" s="45" t="str">
        <f>IF($G6="","",$G6*ADRYr3!$Q6*ADRYr3!$U6*(IF(IFERROR(SEARCH("Oil", ADRYr3!$AI6), 0),ADRYr3!$AJ6,0)+IF(IFERROR(SEARCH("Oil", ADRYr3!$AK6), 0),ADRYr3!$AL6,0)+IF(IFERROR(SEARCH("Oil", ADRYr3!$AM6), 0),ADRYr3!$AN6,0)))</f>
        <v/>
      </c>
      <c r="AF6" s="45" t="str">
        <f t="shared" ref="AF6:AF17" si="18">IF($G6="","",AE6*$H6)</f>
        <v/>
      </c>
      <c r="AG6" s="45">
        <f>IF($G6="",0,AE6*ADRYr3!$P6)</f>
        <v>0</v>
      </c>
      <c r="AH6" s="45" t="str">
        <f t="shared" ref="AH6:AH17" si="19">IF($G6="","",AG6*$H6)</f>
        <v/>
      </c>
      <c r="AI6" s="45" t="str">
        <f>IF($G6="","",$G6*ADRYr3!$Q6*ADRYr3!$U6*(IF(ADRYr3!$AI6=Lookups!$E$114,ADRYr3!$AJ6,IF(ADRYr3!$AK6=Lookups!$E$114,ADRYr3!$AL6,IF(ADRYr3!$AM6=Lookups!$E$114,ADRYr3!$AN6,0)))))</f>
        <v/>
      </c>
      <c r="AJ6" s="45" t="str">
        <f t="shared" ref="AJ6:AJ17" si="20">IF($G6="","",AI6*$H6)</f>
        <v/>
      </c>
      <c r="AK6" s="45">
        <f>IF($G6="",0,AI6*ADRYr3!$P6)</f>
        <v>0</v>
      </c>
      <c r="AL6" s="45" t="str">
        <f t="shared" ref="AL6:AL17" si="21">IF($G6="","",AK6*$H6)</f>
        <v/>
      </c>
      <c r="AM6" s="45" t="str">
        <f>IF($G6="","",$G6*ADRYr3!$Q6*ADRYr3!$U6*(IF(ADRYr3!$AI6=Lookups!$E$113,ADRYr3!$AJ6,IF(ADRYr3!$AK6=Lookups!$E$113,ADRYr3!$AL6,IF(ADRYr3!$AM6=Lookups!$E$113,ADRYr3!$AN6,0)))))</f>
        <v/>
      </c>
      <c r="AN6" s="45" t="str">
        <f t="shared" ref="AN6:AN17" si="22">IF($G6="","",AM6*$H6)</f>
        <v/>
      </c>
      <c r="AO6" s="45">
        <f>IF($G6="",0,AM6*ADRYr3!$P6)</f>
        <v>0</v>
      </c>
      <c r="AP6" s="45" t="str">
        <f t="shared" ref="AP6:AP17" si="23">IF($G6="","",AO6*$H6)</f>
        <v/>
      </c>
      <c r="AQ6" s="45" t="str">
        <f>IF($G6="","",$G6*ADRYr3!$Q6*ADRYr3!$U6*(IF(ADRYr3!$AI6=Lookups!$E$115,ADRYr3!$AJ6,IF(ADRYr3!$AK6=Lookups!$E$115,ADRYr3!$AL6,IF(ADRYr3!$AM6=Lookups!$E$115,ADRYr3!$AN6,0)))))</f>
        <v/>
      </c>
      <c r="AR6" s="45" t="str">
        <f t="shared" ref="AR6:AR17" si="24">IF($G6="","",AQ6*$H6)</f>
        <v/>
      </c>
      <c r="AS6" s="45" t="str">
        <f>IF($G6="","",AQ6*ADRYr3!$P6)</f>
        <v/>
      </c>
      <c r="AT6" s="45" t="str">
        <f t="shared" ref="AT6:AT17" si="25">IF($G6="","",AS6*$H6)</f>
        <v/>
      </c>
      <c r="AU6" s="45" t="str">
        <f>IF($G6="","",$G6*ADRYr3!$Q6*ADRYr3!$U6*(IF(ADRYr3!$AI6=Lookups!$E$116,ADRYr3!$AJ6,IF(ADRYr3!$AK6=Lookups!$E$116,ADRYr3!$AL6,IF(ADRYr3!$AM6=Lookups!$E$116,ADRYr3!$AN6,0)))))</f>
        <v/>
      </c>
      <c r="AV6" s="45" t="str">
        <f t="shared" ref="AV6:AV17" si="26">IF($G6="","",AU6*$H6)</f>
        <v/>
      </c>
      <c r="AW6" s="45" t="str">
        <f>IF($G6="","",AU6*ADRYr3!$P6)</f>
        <v/>
      </c>
      <c r="AX6" s="45" t="str">
        <f t="shared" ref="AX6:AX17" si="27">IF($G6="","",AW6*$H6)</f>
        <v/>
      </c>
      <c r="AY6" s="45">
        <f t="shared" ref="AY6:AY17" si="28">SUM(AC6,AG6,AK6,AO6,AS6,AW6)</f>
        <v>0</v>
      </c>
      <c r="AZ6" s="45">
        <f t="shared" ref="AZ6:AZ17" si="29">SUM(AD6,AH6,AL6,AP6,AT6,AX6)</f>
        <v>0</v>
      </c>
      <c r="BA6" s="101" t="str">
        <f>IF($G6="","",$G6*ADRYr3!$P6*ADRYr3!$Q6*ADRYr3!$U6*ADRYr3!AO6)</f>
        <v/>
      </c>
      <c r="BB6" s="102" t="str">
        <f>IF($G6="","",$G6*ADRYr3!$P6*ADRYr3!$Q6*ADRYr3!$U6*ADRYr3!AP6)</f>
        <v/>
      </c>
      <c r="BC6" s="100" t="str">
        <f t="shared" ref="BC6:BC17" si="30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ref="BN6:BN50" si="31">IF($G6="","",((1+$DW6)*INDEX(avoidedcosttblADM,MATCH($DT6,avoidedcosttblADMkey,0),BN$2)*$P6*1000)+BM6)</f>
        <v/>
      </c>
      <c r="BO6" s="31" t="str">
        <f t="shared" ref="BO6:BO17" si="32">IF($G6="","",SUM(BH6,BN6))</f>
        <v/>
      </c>
      <c r="BP6" s="1129" t="str">
        <f t="shared" si="5"/>
        <v/>
      </c>
      <c r="BQ6" s="28" t="str">
        <f t="shared" si="6"/>
        <v/>
      </c>
      <c r="BR6" s="1129" t="str">
        <f t="shared" si="7"/>
        <v/>
      </c>
      <c r="BS6" s="1129" t="str">
        <f t="shared" si="8"/>
        <v/>
      </c>
      <c r="BT6" s="28" t="str">
        <f t="shared" si="9"/>
        <v/>
      </c>
      <c r="BU6" s="28" t="str">
        <f t="shared" si="9"/>
        <v/>
      </c>
      <c r="BV6" s="28" t="str">
        <f t="shared" si="9"/>
        <v/>
      </c>
      <c r="BW6" s="29" t="str">
        <f t="shared" ref="BW6:BW17" si="33">IF($G6="","",SUM(BP6:BV6))</f>
        <v/>
      </c>
      <c r="BX6" s="29" t="str">
        <f t="shared" ref="BX6:BX17" si="34">IF($G6="","",BO6+BW6)</f>
        <v/>
      </c>
      <c r="BY6" s="28" t="str">
        <f>IF($G6="","",$G6*(IF(ADRYr3!$AI6=BY$4,ADRYr3!$AJ6,IF(ADRYr3!$AK6=BY$4,ADRYr3!$AL6,IF(ADRYr3!$AM6=BY$4,ADRYr3!$AN6,0))))*(INDEX(avoidedcosttbl3,$H6,BY$2)+(($H6-ROUNDDOWN($H6,0))*(INDEX(avoidedcosttbl3,ROUNDUP($H6,0),BY$2)-(INDEX(avoidedcosttbl3,ROUNDDOWN($H6,0),BY$2)))))*ADRYr3!P6*ADRYr3!Q6*ADRYr3!U6)</f>
        <v/>
      </c>
      <c r="BZ6" s="28" t="str">
        <f>IF($G6="","",$G6*(IF(ADRYr3!$AI6=BZ$4,ADRYr3!$AJ6,IF(ADRYr3!$AK6=BZ$4,ADRYr3!$AL6,IF(ADRYr3!$AM6=BZ$4,ADRYr3!$AN6,0))))*(INDEX(avoidedcosttbl3,$H6,BZ$2)+(($H6-ROUNDDOWN($H6,0))*(INDEX(avoidedcosttbl3,ROUNDUP($H6,0),BZ$2)-(INDEX(avoidedcosttbl3,ROUNDDOWN($H6,0),BZ$2)))))*ADRYr3!P6*ADRYr3!Q6*ADRYr3!U6)</f>
        <v/>
      </c>
      <c r="CA6" s="28" t="str">
        <f>IF($G6="","",$G6*(IF(ADRYr3!$AI6=CA$4,ADRYr3!$AJ6,IF(ADRYr3!$AK6=CA$4,ADRYr3!$AL6,IF(ADRYr3!$AM6=CA$4,ADRYr3!$AN6,0))))*(INDEX(avoidedcosttbl3,$H6,CA$2)+(($H6-ROUNDDOWN($H6,0))*(INDEX(avoidedcosttbl3,ROUNDUP($H6,0),CA$2)-(INDEX(avoidedcosttbl3,ROUNDDOWN($H6,0),CA$2)))))*ADRYr3!P6*ADRYr3!Q6*ADRYr3!U6)</f>
        <v/>
      </c>
      <c r="CB6" s="28" t="str">
        <f>IF($G6="","",$G6*(IF(ADRYr3!$AI6=CB$4,ADRYr3!$AJ6,IF(ADRYr3!$AK6=CB$4,ADRYr3!$AL6,IF(ADRYr3!$AM6=CB$4,ADRYr3!$AN6,0))))*(INDEX(avoidedcosttbl3,$H6,CB$2)+(($H6-ROUNDDOWN($H6,0))*(INDEX(avoidedcosttbl3,ROUNDUP($H6,0),CB$2)-(INDEX(avoidedcosttbl3,ROUNDDOWN($H6,0),CB$2)))))*ADRYr3!P6*ADRYr3!Q6*ADRYr3!U6)</f>
        <v/>
      </c>
      <c r="CC6" s="28" t="str">
        <f>IF($G6="","",$G6*(IF(ADRYr3!$AI6=CC$4,ADRYr3!$AJ6,IF(ADRYr3!$AK6=CC$4,ADRYr3!$AL6,IF(ADRYr3!$AM6=CC$4,ADRYr3!$AN6,0))))*(INDEX(avoidedcosttbl3,$H6,CC$2)+(($H6-ROUNDDOWN($H6,0))*(INDEX(avoidedcosttbl3,ROUNDUP($H6,0),CC$2)-(INDEX(avoidedcosttbl3,ROUNDDOWN($H6,0),CC$2)))))*ADRYr3!P6*ADRYr3!Q6*ADRYr3!U6)</f>
        <v/>
      </c>
      <c r="CD6" s="28" t="str">
        <f>IF($G6="","",$G6*(IF(ADRYr3!$AI6=CD$4,ADRYr3!$AJ6,IF(ADRYr3!$AK6=CD$4,ADRYr3!$AL6,IF(ADRYr3!$AM6=CD$4,ADRYr3!$AN6,0))))*(INDEX(avoidedcosttbl3,$H6,CD$2)+(($H6-ROUNDDOWN($H6,0))*(INDEX(avoidedcosttbl3,ROUNDUP($H6,0),CD$2)-(INDEX(avoidedcosttbl3,ROUNDDOWN($H6,0),CD$2)))))*ADRYr3!P6*ADRYr3!Q6*ADRYr3!U6)</f>
        <v/>
      </c>
      <c r="CE6" s="28" t="str">
        <f>IF($G6="","",$G6*(IF(ADRYr3!$AI6=CE$4,ADRYr3!$AJ6,IF(ADRYr3!$AK6=CE$4,ADRYr3!$AL6,IF(ADRYr3!$AM6=CE$4,ADRYr3!$AN6,0))))*(INDEX(avoidedcosttbl3,$H6,CE$2)+(($H6-ROUNDDOWN($H6,0))*(INDEX(avoidedcosttbl3,ROUNDUP($H6,0),CE$2)-(INDEX(avoidedcosttbl3,ROUNDDOWN($H6,0),CE$2)))))*ADRYr3!P6*ADRYr3!Q6*ADRYr3!U6)</f>
        <v/>
      </c>
      <c r="CF6" s="41" t="str">
        <f t="shared" ref="CF6:CF17" si="35">IF($G6="","",SUM(BY6:CE6))</f>
        <v/>
      </c>
      <c r="CG6" s="30" t="str">
        <f t="shared" si="10"/>
        <v/>
      </c>
      <c r="CH6" s="30" t="str">
        <f>IF($G6="","",$G6*(IF(ADRYr3!$AI6=BY$4,ADRYr3!$AJ6,IF(ADRYr3!$AK6=BY$4,ADRYr3!$AL6,IF(ADRYr3!$AM6=BY$4,ADRYr3!$AN6,0))))*(INDEX(avoidedcosttbl3,$H6,CH$2)+(($H6-ROUNDDOWN($H6,0))*(INDEX(avoidedcosttbl3,ROUNDUP($H6,0),CH$2)-(INDEX(avoidedcosttbl3,ROUNDDOWN($H6,0),CH$2)))))*ADRYr3!P6*ADRYr3!Q6*ADRYr3!U6)</f>
        <v/>
      </c>
      <c r="CI6" s="30" t="str">
        <f>IF($G6="","",$G6*(IF(ADRYr3!$AI6=BZ$4,ADRYr3!$AJ6,IF(ADRYr3!$AK6=BZ$4,ADRYr3!$AL6,IF(ADRYr3!$AM6=BZ$4,ADRYr3!$AN6,0))))*(INDEX(avoidedcosttbl3,$H6,CI$2)+(($H6-ROUNDDOWN($H6,0))*(INDEX(avoidedcosttbl3,ROUNDUP($H6,0),CI$2)-(INDEX(avoidedcosttbl3,ROUNDDOWN($H6,0),CI$2)))))*ADRYr3!P6*ADRYr3!Q6*ADRYr3!U6)</f>
        <v/>
      </c>
      <c r="CJ6" s="30" t="str">
        <f>IF($G6="","",$G6*(IF(ADRYr3!$AI6=CA$4,ADRYr3!$AJ6,IF(ADRYr3!$AK6=CA$4,ADRYr3!$AL6,IF(ADRYr3!$AM6=CA$4,ADRYr3!$AN6,0))))*(INDEX(avoidedcosttbl3,$H6,CJ$2)+(($H6-ROUNDDOWN($H6,0))*(INDEX(avoidedcosttbl3,ROUNDUP($H6,0),CJ$2)-(INDEX(avoidedcosttbl3,ROUNDDOWN($H6,0),CJ$2)))))*ADRYr3!P6*ADRYr3!Q6*ADRYr3!U6)</f>
        <v/>
      </c>
      <c r="CK6" s="30" t="str">
        <f>IF($G6="","",$G6*(IF(ADRYr3!$AI6=CB$4,ADRYr3!$AJ6,IF(ADRYr3!$AK6=CB$4,ADRYr3!$AL6,IF(ADRYr3!$AM6=CB$4,ADRYr3!$AN6,0))))*(INDEX(avoidedcosttbl3,$H6,CK$2)+(($H6-ROUNDDOWN($H6,0))*(INDEX(avoidedcosttbl3,ROUNDUP($H6,0),CK$2)-(INDEX(avoidedcosttbl3,ROUNDDOWN($H6,0),CK$2)))))*ADRYr3!P6*ADRYr3!Q6*ADRYr3!U6)</f>
        <v/>
      </c>
      <c r="CL6" s="30" t="str">
        <f>IF($G6="","",$G6*(IF(ADRYr3!$AI6=CC$4,ADRYr3!$AJ6,IF(ADRYr3!$AK6=CC$4,ADRYr3!$AL6,IF(ADRYr3!$AM6=CC$4,ADRYr3!$AN6,0))))*(INDEX(avoidedcosttbl3,$H6,CL$2)+(($H6-ROUNDDOWN($H6,0))*(INDEX(avoidedcosttbl3,ROUNDUP($H6,0),CL$2)-(INDEX(avoidedcosttbl3,ROUNDDOWN($H6,0),CL$2)))))*ADRYr3!P6*ADRYr3!Q6*ADRYr3!U6)</f>
        <v/>
      </c>
      <c r="CM6" s="30" t="str">
        <f>IF($G6="","",$G6*(IF(ADRYr3!$AI6=CD$4,ADRYr3!$AJ6,IF(ADRYr3!$AK6=CD$4,ADRYr3!$AL6,IF(ADRYr3!$AM6=CD$4,ADRYr3!$AN6,0))))*(INDEX(avoidedcosttbl3,$H6,CM$2)+(($H6-ROUNDDOWN($H6,0))*(INDEX(avoidedcosttbl3,ROUNDUP($H6,0),CM$2)-(INDEX(avoidedcosttbl3,ROUNDDOWN($H6,0),CM$2)))))*ADRYr3!P6*ADRYr3!Q6*ADRYr3!U6)</f>
        <v/>
      </c>
      <c r="CN6" s="30" t="str">
        <f>IF($G6="","",$G6*(IF(ADRYr3!$AI6=CE$4,ADRYr3!$AJ6,IF(ADRYr3!$AK6=CE$4,ADRYr3!$AL6,IF(ADRYr3!$AM6=CE$4,ADRYr3!$AN6,0))))*(INDEX(avoidedcosttbl3,$H6,CN$2)+(($H6-ROUNDDOWN($H6,0))*(INDEX(avoidedcosttbl3,ROUNDUP($H6,0),CN$2)-(INDEX(avoidedcosttbl3,ROUNDDOWN($H6,0),CN$2)))))*ADRYr3!P6*ADRYr3!Q6*ADRYr3!U6)</f>
        <v/>
      </c>
      <c r="CO6" s="220" t="str">
        <f t="shared" ref="CO6:CO17" si="36">IF($G6="","",SUM(CG6:CN6))</f>
        <v/>
      </c>
      <c r="CP6" s="220" t="str">
        <f t="shared" ref="CP6:CP17" si="37">IF($G6="","",CF6+CO6)</f>
        <v/>
      </c>
      <c r="CQ6" s="157" t="str">
        <f>IF($G6="","",$G6*(IF(ADRYr3!$AI6=CQ$4,ADRYr3!$AJ6,IF(ADRYr3!$AK6=CQ$4,ADRYr3!$AL6,IF(ADRYr3!$AM6=CQ$4,ADRYr3!$AN6,0))))*(INDEX(avoidedcosttbl3,$H6,CQ$2)+(($H6-ROUNDDOWN($H6,0))*(INDEX(avoidedcosttbl3,ROUNDUP($H6,0),CQ$2)-(INDEX(avoidedcosttbl3,ROUNDDOWN($H6,0),CQ$2)))))*ADRYr3!$P6*ADRYr3!$Q6*ADRYr3!$U6)</f>
        <v/>
      </c>
      <c r="CR6" s="28" t="str">
        <f>IF($G6="","",G6*(IF(ADRYr3!$AI6=CR$4,ADRYr3!$AJ6,IF(ADRYr3!$AK6=CR$4,ADRYr3!$AL6,IF(ADRYr3!$AM6=CR$4,ADRYr3!$AN6,0))))*(INDEX(avoidedcosttbl3,$H6,CR$2)+(($H6-ROUNDDOWN($H6,0))*(INDEX(avoidedcosttbl3,ROUNDUP($H6,0),CR$2)-(INDEX(avoidedcosttbl3,ROUNDDOWN($H6,0),CR$2)))))*ADRYr3!$P6*ADRYr3!$Q6*ADRYr3!$U6)</f>
        <v/>
      </c>
      <c r="CS6" s="28" t="str">
        <f>IF($G6="","",G6*(IF(ADRYr3!$AI6=CS$4,ADRYr3!$AJ6,IF(ADRYr3!$AK6=CS$4,ADRYr3!$AL6,IF(ADRYr3!$AM6=CS$4,ADRYr3!$AN6,0))))*(INDEX(avoidedcosttbl3,$H6,CS$2)+(($H6-ROUNDDOWN($H6,0))*(INDEX(avoidedcosttbl3,ROUNDUP($H6,0),CS$2)-(INDEX(avoidedcosttbl3,ROUNDDOWN($H6,0),CS$2)))))*ADRYr3!$P6*ADRYr3!$Q6*ADRYr3!$U6)</f>
        <v/>
      </c>
      <c r="CT6" s="28" t="str">
        <f t="shared" si="11"/>
        <v/>
      </c>
      <c r="CU6" s="28" t="str">
        <f>IF($G6="","",G6*(IF(ADRYr3!$AI6=CU$4,ADRYr3!$AJ6,IF(ADRYr3!$AK6=CU$4,ADRYr3!$AL6,IF(ADRYr3!$AM6=CU$4,ADRYr3!$AN6,0))))*(INDEX(avoidedcosttbl3,$H6,CU$2)+(($H6-ROUNDDOWN($H6,0))*(INDEX(avoidedcosttbl3,ROUNDUP($H6,0),CU$2)-(INDEX(avoidedcosttbl3,ROUNDDOWN($H6,0),CU$2)))))*ADRYr3!$P6*ADRYr3!$Q6*ADRYr3!$U6)</f>
        <v/>
      </c>
      <c r="CV6" s="28" t="str">
        <f>IF($G6="","",G6*(IF(ADRYr3!$AI6=CV$4,ADRYr3!$AJ6,IF(ADRYr3!$AK6=CV$4,ADRYr3!$AL6,IF(ADRYr3!$AM6=CV$4,ADRYr3!$AN6,0))))*(INDEX(avoidedcosttbl3,$H6,CV$2)+(($H6-ROUNDDOWN($H6,0))*(INDEX(avoidedcosttbl3,ROUNDUP($H6,0),CV$2)-(INDEX(avoidedcosttbl3,ROUNDDOWN($H6,0),CV$2)))))*ADRYr3!$P6*ADRYr3!$Q6*ADRYr3!$U6)</f>
        <v/>
      </c>
      <c r="CW6" s="28" t="str">
        <f>IF($G6="","",G6*(IF(ADRYr3!$AI6=CW$4,ADRYr3!$AJ6,IF(ADRYr3!$AK6=CW$4,ADRYr3!$AL6,IF(ADRYr3!$AM6=CW$4,ADRYr3!$AN6,0))))*(INDEX(avoidedcosttbl3,$H6,CW$2)+(($H6-ROUNDDOWN($H6,0))*(INDEX(avoidedcosttbl3,ROUNDUP($H6,0),CW$2)-(INDEX(avoidedcosttbl3,ROUNDDOWN($H6,0),CW$2)))))*ADRYr3!$P6*ADRYr3!$Q6*ADRYr3!$U6)</f>
        <v/>
      </c>
      <c r="CX6" s="28" t="str">
        <f>IF($G6="","",G6*(IF(ADRYr3!$AI6=CX$4,ADRYr3!$AJ6,IF(ADRYr3!$AK6=CX$4,ADRYr3!$AL6,IF(ADRYr3!$AM6=CX$4,ADRYr3!$AN6,0))))*(INDEX(avoidedcosttbl3,$H6,CX$2)+(($H6-ROUNDDOWN($H6,0))*(INDEX(avoidedcosttbl3,ROUNDUP($H6,0),CX$2)-(INDEX(avoidedcosttbl3,ROUNDDOWN($H6,0),CX$2)))))*ADRYr3!$P6*ADRYr3!$Q6*ADRYr3!$U6)</f>
        <v/>
      </c>
      <c r="CY6" s="28" t="str">
        <f t="shared" ref="CY6:CY17" si="38">IF($G6="","",BA6*(INDEX(avoidedcosttbl3,$H6,CY$2)+(($H6-ROUNDDOWN($H6,0))*(INDEX(avoidedcosttbl3,ROUNDUP($H6,0),CY$2)-(INDEX(avoidedcosttbl3,ROUNDDOWN($H6,0),CY$2))))))</f>
        <v/>
      </c>
      <c r="CZ6" s="32" t="str">
        <f t="shared" ref="CZ6:CZ17" si="39">IF($G6="","",BB6*(INDEX(avoidedcosttbl3,$H6,CZ$2)+(($H6-ROUNDDOWN($H6,0))*(INDEX(avoidedcosttbl3,ROUNDUP($H6,0),CZ$2)-(INDEX(avoidedcosttbl3,ROUNDDOWN($H6,0),CZ$2))))))</f>
        <v/>
      </c>
      <c r="DA6" s="84" t="str">
        <f t="shared" ref="DA6:DA17" si="40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ref="DC6:DC17" si="41">IF(FE="Yes",IF($G6="","", FEpercent*(AC6*NGE+AG6*OilE+AK6*PropE+AO6*KerE)*(INDEX(avoidedcosttbl3,$H6,DC$2)+(($H6-ROUNDDOWN($H6,0))*(INDEX(avoidedcosttbl3,ROUNDUP($H6,0),DC$2)-(INDEX(avoidedcosttbl3,ROUNDDOWN($H6,0),DC$2)))))),"")</f>
        <v/>
      </c>
      <c r="DD6" s="166" t="str">
        <f t="shared" ref="DD6:DD17" si="42">IF($G6="","",(AC6*NGCO2+AG6*OilCO2+AK6*PropaneCO2+AO6*KeroseneCO2)/2000*(INDEX(avoidedcosttbl3,$H6,DD$2)+(($H6-ROUNDDOWN($H6,0))*(INDEX(avoidedcosttbl3,ROUNDUP($H6,0),DD$2)-(INDEX(avoidedcosttbl3,ROUNDDOWN($H6,0),DD$2))))))</f>
        <v/>
      </c>
      <c r="DE6" s="82">
        <f t="shared" ref="DE6:DE17" si="43">SUM(DB6:DD6)</f>
        <v>0</v>
      </c>
      <c r="DF6" s="760" t="str">
        <f>IF($G6="","",(1+WntPeakEnergyLL)*(INDEX(avoidedcosttbl3,$H6,DF$2)+(($H6-ROUNDDOWN($H6,0))*(INDEX(avoidedcosttbl3,ROUNDUP($H6,0),DF$2)-(INDEX(avoidedcosttbl3,ROUNDDOWN($H6,0),DF$2)))))*$P6*1000*ADRYr3!Z6)</f>
        <v/>
      </c>
      <c r="DG6" s="760" t="str">
        <f>IF($G6="","",(1+WntOffPeakEnergyLL)*(INDEX(avoidedcosttbl3,$H6,DG$2)+(($H6-ROUNDDOWN($H6,0))*(INDEX(avoidedcosttbl3,ROUNDUP($H6,0),DG$2)-(INDEX(avoidedcosttbl3,ROUNDDOWN($H6,0),DG$2)))))*$P6*1000*ADRYr3!AA6)</f>
        <v/>
      </c>
      <c r="DH6" s="760" t="str">
        <f>IF($G6="","",(1+SumPeakEnergyLL)*(INDEX(avoidedcosttbl3,$H6,DH$2)+(($H6-ROUNDDOWN($H6,0))*(INDEX(avoidedcosttbl3,ROUNDUP($H6,0),DH$2)-(INDEX(avoidedcosttbl3,ROUNDDOWN($H6,0),DH$2)))))*$P6*1000*ADRYr3!AB6)</f>
        <v/>
      </c>
      <c r="DI6" s="760" t="str">
        <f>IF($G6="","",(1+SumOffPeakEnergyLL)*(INDEX(avoidedcosttbl3,$H6,DI$2)+(($H6-ROUNDDOWN($H6,0))*(INDEX(avoidedcosttbl3,ROUNDUP($H6,0),DI$2)-(INDEX(avoidedcosttbl3,ROUNDDOWN($H6,0),DI$2)))))*$P6*1000*ADRYr3!AC6)</f>
        <v/>
      </c>
      <c r="DJ6" s="29" t="str">
        <f t="shared" ref="DJ6:DJ17" si="44">IF($G6="","",SUM(DF6:DI6))</f>
        <v/>
      </c>
      <c r="DK6" s="161" t="str">
        <f t="shared" ref="DK6:DK41" si="45">IF($G6="","",DE6+DA6+BX6)</f>
        <v/>
      </c>
      <c r="DL6" s="1375" t="str">
        <f t="shared" ref="DL6:DL41" si="46">IF($G6="","",IF(LEFT(A6,1)="B",DE6+DA6+BX6,DD6+DA6+BX6))</f>
        <v/>
      </c>
      <c r="DM6" s="1375" t="str">
        <f t="shared" ref="DM6:DM41" si="47">IF($G6="","",BX6)</f>
        <v/>
      </c>
      <c r="DN6" s="43" t="str">
        <f t="shared" ref="DN6:DN41" si="48">IF($G6="","",DE6+DA6+BX6+DJ6)</f>
        <v/>
      </c>
      <c r="DO6" s="1131" t="str">
        <f>IF($G6="","",ADRYr3!AQ6)</f>
        <v/>
      </c>
      <c r="DP6" s="1133" t="str">
        <f>IF($G6="","",ADRYr3!AR6)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ref="DT6:DT50" si="49">IF($G6="","",$B$1&amp;"-"&amp;DO6&amp;"-"&amp;H6)</f>
        <v/>
      </c>
      <c r="DU6" s="1135" t="str">
        <f>IF($G6="","",ADRYr3!AS6)</f>
        <v/>
      </c>
      <c r="DV6" s="1136" t="str">
        <f>IF($G6="","",ADRYr3!AT6)</f>
        <v/>
      </c>
      <c r="DW6" s="1344" t="str">
        <f>IF($G6="","",INDEX(AvoidedEnergy!$H$4:$H$10,MATCH($DO6,AvoidedEnergy!$A$4:$A$10,0)))</f>
        <v/>
      </c>
    </row>
    <row r="7" spans="1:127">
      <c r="A7" s="160" t="str">
        <f>IF(ADRYr3!$B7=0,"",ADRYr3!A7)</f>
        <v>A - Residential</v>
      </c>
      <c r="B7" s="9" t="str">
        <f>IF(ADRYr3!$B7=0,"",ADRYr3!B7)</f>
        <v>A5 - Residential Active Demand Response</v>
      </c>
      <c r="C7" s="9" t="str">
        <f>IF(ADRYr3!$B7=0,"",ADRYr3!C7)</f>
        <v>A5a - Residential Active Demand Response</v>
      </c>
      <c r="D7" s="9" t="str">
        <f>IF(ADRYr3!$B7=0,"",ADRYr3!D7)</f>
        <v>Storage Daily Dispatch Upfront Incentive (savings) Summer</v>
      </c>
      <c r="E7" s="9">
        <f>IF(ADRYr3!$B7=0,"",ADRYr3!E7)</f>
        <v>0</v>
      </c>
      <c r="F7" s="11" t="str">
        <f>IF(ADRYr3!$B7=0,"",ADRYr3!F7)</f>
        <v>Behavior</v>
      </c>
      <c r="G7" s="12" t="str">
        <f>IF(ADRYr3!$G7&lt;&gt;0,ADRYr3!G7,"")</f>
        <v/>
      </c>
      <c r="H7" s="1125" t="str">
        <f>IF($G7="","",ROUND(ADRYr3!H7,0))</f>
        <v/>
      </c>
      <c r="I7" s="47" t="str">
        <f>IF($G7="","",ADRYr3!I7*ADRYr3!P7*G7)</f>
        <v/>
      </c>
      <c r="J7" s="47" t="str">
        <f>IF($G7="","",ADRYr3!J7*G7)</f>
        <v/>
      </c>
      <c r="K7" s="47" t="str">
        <f t="shared" si="12"/>
        <v/>
      </c>
      <c r="L7" s="27" t="str">
        <f>IF($G7="","",ADRYr3!V7*G7/1000)</f>
        <v/>
      </c>
      <c r="M7" s="27" t="str">
        <f>IF($G7="","",L7*ADRYr3!$Q7*ADRYr3!$R7)</f>
        <v/>
      </c>
      <c r="N7" s="27" t="str">
        <f t="shared" si="13"/>
        <v/>
      </c>
      <c r="O7" s="27" t="str">
        <f t="shared" si="14"/>
        <v/>
      </c>
      <c r="P7" s="27" t="str">
        <f>IF($G7="","",M7*ADRYr3!P7)</f>
        <v/>
      </c>
      <c r="Q7" s="27" t="str">
        <f t="shared" si="15"/>
        <v/>
      </c>
      <c r="R7" s="27" t="str">
        <f>IF($G7="","",$Q7*ADRYr3!Z7)</f>
        <v/>
      </c>
      <c r="S7" s="27" t="str">
        <f>IF($G7="","",$Q7*ADRYr3!AA7)</f>
        <v/>
      </c>
      <c r="T7" s="27" t="str">
        <f>IF($G7="","",$Q7*ADRYr3!AB7)</f>
        <v/>
      </c>
      <c r="U7" s="27" t="str">
        <f>IF($G7="","",$Q7*ADRYr3!AC7)</f>
        <v/>
      </c>
      <c r="V7" s="27" t="str">
        <f>IF($G7="","",G7*ADRYr3!$AD7*ADRYr3!$P7*ADRYr3!$Q7)</f>
        <v/>
      </c>
      <c r="W7" s="27" t="str">
        <f>IF($G7="","",$G7*ADRYr3!$AD7*ADRYr3!$AF7*ADRYr3!Q7*ADRYr3!$S7)</f>
        <v/>
      </c>
      <c r="X7" s="27" t="str">
        <f>IF($G7="","",$G7*ADRYr3!$AD7*ADRYr3!$AF7*ADRYr3!P7*ADRYr3!Q7*ADRYr3!$S7)</f>
        <v/>
      </c>
      <c r="Y7" s="27" t="str">
        <f>IF($G7="","",$G7*ADRYr3!$AD7*ADRYr3!$AE7*ADRYr3!Q7*ADRYr3!$T7)</f>
        <v/>
      </c>
      <c r="Z7" s="27" t="str">
        <f>IF($G7="","",$G7*ADRYr3!$AD7*ADRYr3!$AE7*ADRYr3!P7*ADRYr3!Q7*ADRYr3!$T7)</f>
        <v/>
      </c>
      <c r="AA7" s="45" t="str">
        <f>IF($G7="","",$G7*ADRYr3!$Q7*ADRYr3!$U7*(IF(IFERROR(SEARCH("NG", ADRYr3!$AI7),0),ADRYr3!$AJ7,0)+IF(IFERROR(SEARCH("NG", ADRYr3!$AK7),0),ADRYr3!$AL7,0)+IF(IFERROR(SEARCH("NG", ADRYr3!$AM7),0),ADRYr3!$AN7,0)))</f>
        <v/>
      </c>
      <c r="AB7" s="45" t="str">
        <f t="shared" si="16"/>
        <v/>
      </c>
      <c r="AC7" s="45">
        <f>IF($G7="",0,AA7*ADRYr3!$P7)</f>
        <v>0</v>
      </c>
      <c r="AD7" s="45" t="str">
        <f t="shared" si="17"/>
        <v/>
      </c>
      <c r="AE7" s="45" t="str">
        <f>IF($G7="","",$G7*ADRYr3!$Q7*ADRYr3!$U7*(IF(IFERROR(SEARCH("Oil", ADRYr3!$AI7), 0),ADRYr3!$AJ7,0)+IF(IFERROR(SEARCH("Oil", ADRYr3!$AK7), 0),ADRYr3!$AL7,0)+IF(IFERROR(SEARCH("Oil", ADRYr3!$AM7), 0),ADRYr3!$AN7,0)))</f>
        <v/>
      </c>
      <c r="AF7" s="45" t="str">
        <f t="shared" si="18"/>
        <v/>
      </c>
      <c r="AG7" s="45">
        <f>IF($G7="",0,AE7*ADRYr3!$P7)</f>
        <v>0</v>
      </c>
      <c r="AH7" s="45" t="str">
        <f t="shared" si="19"/>
        <v/>
      </c>
      <c r="AI7" s="45" t="str">
        <f>IF($G7="","",$G7*ADRYr3!$Q7*ADRYr3!$U7*(IF(ADRYr3!$AI7=Lookups!$E$114,ADRYr3!$AJ7,IF(ADRYr3!$AK7=Lookups!$E$114,ADRYr3!$AL7,IF(ADRYr3!$AM7=Lookups!$E$114,ADRYr3!$AN7,0)))))</f>
        <v/>
      </c>
      <c r="AJ7" s="45" t="str">
        <f t="shared" si="20"/>
        <v/>
      </c>
      <c r="AK7" s="45">
        <f>IF($G7="",0,AI7*ADRYr3!$P7)</f>
        <v>0</v>
      </c>
      <c r="AL7" s="45" t="str">
        <f t="shared" si="21"/>
        <v/>
      </c>
      <c r="AM7" s="45" t="str">
        <f>IF($G7="","",$G7*ADRYr3!$Q7*ADRYr3!$U7*(IF(ADRYr3!$AI7=Lookups!$E$113,ADRYr3!$AJ7,IF(ADRYr3!$AK7=Lookups!$E$113,ADRYr3!$AL7,IF(ADRYr3!$AM7=Lookups!$E$113,ADRYr3!$AN7,0)))))</f>
        <v/>
      </c>
      <c r="AN7" s="45" t="str">
        <f t="shared" si="22"/>
        <v/>
      </c>
      <c r="AO7" s="45">
        <f>IF($G7="",0,AM7*ADRYr3!$P7)</f>
        <v>0</v>
      </c>
      <c r="AP7" s="45" t="str">
        <f t="shared" si="23"/>
        <v/>
      </c>
      <c r="AQ7" s="45" t="str">
        <f>IF($G7="","",$G7*ADRYr3!$Q7*ADRYr3!$U7*(IF(ADRYr3!$AI7=Lookups!$E$115,ADRYr3!$AJ7,IF(ADRYr3!$AK7=Lookups!$E$115,ADRYr3!$AL7,IF(ADRYr3!$AM7=Lookups!$E$115,ADRYr3!$AN7,0)))))</f>
        <v/>
      </c>
      <c r="AR7" s="45" t="str">
        <f t="shared" si="24"/>
        <v/>
      </c>
      <c r="AS7" s="45" t="str">
        <f>IF($G7="","",AQ7*ADRYr3!$P7)</f>
        <v/>
      </c>
      <c r="AT7" s="45" t="str">
        <f t="shared" si="25"/>
        <v/>
      </c>
      <c r="AU7" s="45" t="str">
        <f>IF($G7="","",$G7*ADRYr3!$Q7*ADRYr3!$U7*(IF(ADRYr3!$AI7=Lookups!$E$116,ADRYr3!$AJ7,IF(ADRYr3!$AK7=Lookups!$E$116,ADRYr3!$AL7,IF(ADRYr3!$AM7=Lookups!$E$116,ADRYr3!$AN7,0)))))</f>
        <v/>
      </c>
      <c r="AV7" s="45" t="str">
        <f t="shared" si="26"/>
        <v/>
      </c>
      <c r="AW7" s="45" t="str">
        <f>IF($G7="","",AU7*ADRYr3!$P7)</f>
        <v/>
      </c>
      <c r="AX7" s="45" t="str">
        <f t="shared" si="27"/>
        <v/>
      </c>
      <c r="AY7" s="45">
        <f t="shared" si="28"/>
        <v>0</v>
      </c>
      <c r="AZ7" s="45">
        <f t="shared" si="29"/>
        <v>0</v>
      </c>
      <c r="BA7" s="101" t="str">
        <f>IF($G7="","",$G7*ADRYr3!$P7*ADRYr3!$Q7*ADRYr3!$U7*ADRYr3!AO7)</f>
        <v/>
      </c>
      <c r="BB7" s="102" t="str">
        <f>IF($G7="","",$G7*ADRYr3!$P7*ADRYr3!$Q7*ADRYr3!$U7*ADRYr3!AP7)</f>
        <v/>
      </c>
      <c r="BC7" s="100" t="str">
        <f t="shared" si="30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31"/>
        <v/>
      </c>
      <c r="BO7" s="31" t="str">
        <f t="shared" si="32"/>
        <v/>
      </c>
      <c r="BP7" s="1129" t="str">
        <f t="shared" si="5"/>
        <v/>
      </c>
      <c r="BQ7" s="28" t="str">
        <f t="shared" si="6"/>
        <v/>
      </c>
      <c r="BR7" s="1129" t="str">
        <f t="shared" si="7"/>
        <v/>
      </c>
      <c r="BS7" s="1129" t="str">
        <f t="shared" si="8"/>
        <v/>
      </c>
      <c r="BT7" s="28" t="str">
        <f t="shared" si="9"/>
        <v/>
      </c>
      <c r="BU7" s="28" t="str">
        <f t="shared" si="9"/>
        <v/>
      </c>
      <c r="BV7" s="28" t="str">
        <f t="shared" si="9"/>
        <v/>
      </c>
      <c r="BW7" s="29" t="str">
        <f t="shared" si="33"/>
        <v/>
      </c>
      <c r="BX7" s="29" t="str">
        <f t="shared" si="34"/>
        <v/>
      </c>
      <c r="BY7" s="28" t="str">
        <f>IF($G7="","",$G7*(IF(ADRYr3!$AI7=BY$4,ADRYr3!$AJ7,IF(ADRYr3!$AK7=BY$4,ADRYr3!$AL7,IF(ADRYr3!$AM7=BY$4,ADRYr3!$AN7,0))))*(INDEX(avoidedcosttbl3,$H7,BY$2)+(($H7-ROUNDDOWN($H7,0))*(INDEX(avoidedcosttbl3,ROUNDUP($H7,0),BY$2)-(INDEX(avoidedcosttbl3,ROUNDDOWN($H7,0),BY$2)))))*ADRYr3!P7*ADRYr3!Q7*ADRYr3!U7)</f>
        <v/>
      </c>
      <c r="BZ7" s="28" t="str">
        <f>IF($G7="","",$G7*(IF(ADRYr3!$AI7=BZ$4,ADRYr3!$AJ7,IF(ADRYr3!$AK7=BZ$4,ADRYr3!$AL7,IF(ADRYr3!$AM7=BZ$4,ADRYr3!$AN7,0))))*(INDEX(avoidedcosttbl3,$H7,BZ$2)+(($H7-ROUNDDOWN($H7,0))*(INDEX(avoidedcosttbl3,ROUNDUP($H7,0),BZ$2)-(INDEX(avoidedcosttbl3,ROUNDDOWN($H7,0),BZ$2)))))*ADRYr3!P7*ADRYr3!Q7*ADRYr3!U7)</f>
        <v/>
      </c>
      <c r="CA7" s="28" t="str">
        <f>IF($G7="","",$G7*(IF(ADRYr3!$AI7=CA$4,ADRYr3!$AJ7,IF(ADRYr3!$AK7=CA$4,ADRYr3!$AL7,IF(ADRYr3!$AM7=CA$4,ADRYr3!$AN7,0))))*(INDEX(avoidedcosttbl3,$H7,CA$2)+(($H7-ROUNDDOWN($H7,0))*(INDEX(avoidedcosttbl3,ROUNDUP($H7,0),CA$2)-(INDEX(avoidedcosttbl3,ROUNDDOWN($H7,0),CA$2)))))*ADRYr3!P7*ADRYr3!Q7*ADRYr3!U7)</f>
        <v/>
      </c>
      <c r="CB7" s="28" t="str">
        <f>IF($G7="","",$G7*(IF(ADRYr3!$AI7=CB$4,ADRYr3!$AJ7,IF(ADRYr3!$AK7=CB$4,ADRYr3!$AL7,IF(ADRYr3!$AM7=CB$4,ADRYr3!$AN7,0))))*(INDEX(avoidedcosttbl3,$H7,CB$2)+(($H7-ROUNDDOWN($H7,0))*(INDEX(avoidedcosttbl3,ROUNDUP($H7,0),CB$2)-(INDEX(avoidedcosttbl3,ROUNDDOWN($H7,0),CB$2)))))*ADRYr3!P7*ADRYr3!Q7*ADRYr3!U7)</f>
        <v/>
      </c>
      <c r="CC7" s="28" t="str">
        <f>IF($G7="","",$G7*(IF(ADRYr3!$AI7=CC$4,ADRYr3!$AJ7,IF(ADRYr3!$AK7=CC$4,ADRYr3!$AL7,IF(ADRYr3!$AM7=CC$4,ADRYr3!$AN7,0))))*(INDEX(avoidedcosttbl3,$H7,CC$2)+(($H7-ROUNDDOWN($H7,0))*(INDEX(avoidedcosttbl3,ROUNDUP($H7,0),CC$2)-(INDEX(avoidedcosttbl3,ROUNDDOWN($H7,0),CC$2)))))*ADRYr3!P7*ADRYr3!Q7*ADRYr3!U7)</f>
        <v/>
      </c>
      <c r="CD7" s="28" t="str">
        <f>IF($G7="","",$G7*(IF(ADRYr3!$AI7=CD$4,ADRYr3!$AJ7,IF(ADRYr3!$AK7=CD$4,ADRYr3!$AL7,IF(ADRYr3!$AM7=CD$4,ADRYr3!$AN7,0))))*(INDEX(avoidedcosttbl3,$H7,CD$2)+(($H7-ROUNDDOWN($H7,0))*(INDEX(avoidedcosttbl3,ROUNDUP($H7,0),CD$2)-(INDEX(avoidedcosttbl3,ROUNDDOWN($H7,0),CD$2)))))*ADRYr3!P7*ADRYr3!Q7*ADRYr3!U7)</f>
        <v/>
      </c>
      <c r="CE7" s="28" t="str">
        <f>IF($G7="","",$G7*(IF(ADRYr3!$AI7=CE$4,ADRYr3!$AJ7,IF(ADRYr3!$AK7=CE$4,ADRYr3!$AL7,IF(ADRYr3!$AM7=CE$4,ADRYr3!$AN7,0))))*(INDEX(avoidedcosttbl3,$H7,CE$2)+(($H7-ROUNDDOWN($H7,0))*(INDEX(avoidedcosttbl3,ROUNDUP($H7,0),CE$2)-(INDEX(avoidedcosttbl3,ROUNDDOWN($H7,0),CE$2)))))*ADRYr3!P7*ADRYr3!Q7*ADRYr3!U7)</f>
        <v/>
      </c>
      <c r="CF7" s="41" t="str">
        <f>IF($G7="","",SUM(BY7:CE7))</f>
        <v/>
      </c>
      <c r="CG7" s="30" t="str">
        <f t="shared" si="10"/>
        <v/>
      </c>
      <c r="CH7" s="30" t="str">
        <f>IF($G7="","",$G7*(IF(ADRYr3!$AI7=BY$4,ADRYr3!$AJ7,IF(ADRYr3!$AK7=BY$4,ADRYr3!$AL7,IF(ADRYr3!$AM7=BY$4,ADRYr3!$AN7,0))))*(INDEX(avoidedcosttbl3,$H7,CH$2)+(($H7-ROUNDDOWN($H7,0))*(INDEX(avoidedcosttbl3,ROUNDUP($H7,0),CH$2)-(INDEX(avoidedcosttbl3,ROUNDDOWN($H7,0),CH$2)))))*ADRYr3!P7*ADRYr3!Q7*ADRYr3!U7)</f>
        <v/>
      </c>
      <c r="CI7" s="30" t="str">
        <f>IF($G7="","",$G7*(IF(ADRYr3!$AI7=BZ$4,ADRYr3!$AJ7,IF(ADRYr3!$AK7=BZ$4,ADRYr3!$AL7,IF(ADRYr3!$AM7=BZ$4,ADRYr3!$AN7,0))))*(INDEX(avoidedcosttbl3,$H7,CI$2)+(($H7-ROUNDDOWN($H7,0))*(INDEX(avoidedcosttbl3,ROUNDUP($H7,0),CI$2)-(INDEX(avoidedcosttbl3,ROUNDDOWN($H7,0),CI$2)))))*ADRYr3!P7*ADRYr3!Q7*ADRYr3!U7)</f>
        <v/>
      </c>
      <c r="CJ7" s="30" t="str">
        <f>IF($G7="","",$G7*(IF(ADRYr3!$AI7=CA$4,ADRYr3!$AJ7,IF(ADRYr3!$AK7=CA$4,ADRYr3!$AL7,IF(ADRYr3!$AM7=CA$4,ADRYr3!$AN7,0))))*(INDEX(avoidedcosttbl3,$H7,CJ$2)+(($H7-ROUNDDOWN($H7,0))*(INDEX(avoidedcosttbl3,ROUNDUP($H7,0),CJ$2)-(INDEX(avoidedcosttbl3,ROUNDDOWN($H7,0),CJ$2)))))*ADRYr3!P7*ADRYr3!Q7*ADRYr3!U7)</f>
        <v/>
      </c>
      <c r="CK7" s="30" t="str">
        <f>IF($G7="","",$G7*(IF(ADRYr3!$AI7=CB$4,ADRYr3!$AJ7,IF(ADRYr3!$AK7=CB$4,ADRYr3!$AL7,IF(ADRYr3!$AM7=CB$4,ADRYr3!$AN7,0))))*(INDEX(avoidedcosttbl3,$H7,CK$2)+(($H7-ROUNDDOWN($H7,0))*(INDEX(avoidedcosttbl3,ROUNDUP($H7,0),CK$2)-(INDEX(avoidedcosttbl3,ROUNDDOWN($H7,0),CK$2)))))*ADRYr3!P7*ADRYr3!Q7*ADRYr3!U7)</f>
        <v/>
      </c>
      <c r="CL7" s="30" t="str">
        <f>IF($G7="","",$G7*(IF(ADRYr3!$AI7=CC$4,ADRYr3!$AJ7,IF(ADRYr3!$AK7=CC$4,ADRYr3!$AL7,IF(ADRYr3!$AM7=CC$4,ADRYr3!$AN7,0))))*(INDEX(avoidedcosttbl3,$H7,CL$2)+(($H7-ROUNDDOWN($H7,0))*(INDEX(avoidedcosttbl3,ROUNDUP($H7,0),CL$2)-(INDEX(avoidedcosttbl3,ROUNDDOWN($H7,0),CL$2)))))*ADRYr3!P7*ADRYr3!Q7*ADRYr3!U7)</f>
        <v/>
      </c>
      <c r="CM7" s="30" t="str">
        <f>IF($G7="","",$G7*(IF(ADRYr3!$AI7=CD$4,ADRYr3!$AJ7,IF(ADRYr3!$AK7=CD$4,ADRYr3!$AL7,IF(ADRYr3!$AM7=CD$4,ADRYr3!$AN7,0))))*(INDEX(avoidedcosttbl3,$H7,CM$2)+(($H7-ROUNDDOWN($H7,0))*(INDEX(avoidedcosttbl3,ROUNDUP($H7,0),CM$2)-(INDEX(avoidedcosttbl3,ROUNDDOWN($H7,0),CM$2)))))*ADRYr3!P7*ADRYr3!Q7*ADRYr3!U7)</f>
        <v/>
      </c>
      <c r="CN7" s="30" t="str">
        <f>IF($G7="","",$G7*(IF(ADRYr3!$AI7=CE$4,ADRYr3!$AJ7,IF(ADRYr3!$AK7=CE$4,ADRYr3!$AL7,IF(ADRYr3!$AM7=CE$4,ADRYr3!$AN7,0))))*(INDEX(avoidedcosttbl3,$H7,CN$2)+(($H7-ROUNDDOWN($H7,0))*(INDEX(avoidedcosttbl3,ROUNDUP($H7,0),CN$2)-(INDEX(avoidedcosttbl3,ROUNDDOWN($H7,0),CN$2)))))*ADRYr3!P7*ADRYr3!Q7*ADRYr3!U7)</f>
        <v/>
      </c>
      <c r="CO7" s="220" t="str">
        <f t="shared" si="36"/>
        <v/>
      </c>
      <c r="CP7" s="220" t="str">
        <f t="shared" si="37"/>
        <v/>
      </c>
      <c r="CQ7" s="157" t="str">
        <f>IF($G7="","",$G7*(IF(ADRYr3!$AI7=CQ$4,ADRYr3!$AJ7,IF(ADRYr3!$AK7=CQ$4,ADRYr3!$AL7,IF(ADRYr3!$AM7=CQ$4,ADRYr3!$AN7,0))))*(INDEX(avoidedcosttbl3,$H7,CQ$2)+(($H7-ROUNDDOWN($H7,0))*(INDEX(avoidedcosttbl3,ROUNDUP($H7,0),CQ$2)-(INDEX(avoidedcosttbl3,ROUNDDOWN($H7,0),CQ$2)))))*ADRYr3!$P7*ADRYr3!$Q7*ADRYr3!$U7)</f>
        <v/>
      </c>
      <c r="CR7" s="28" t="str">
        <f>IF($G7="","",G7*(IF(ADRYr3!$AI7=CR$4,ADRYr3!$AJ7,IF(ADRYr3!$AK7=CR$4,ADRYr3!$AL7,IF(ADRYr3!$AM7=CR$4,ADRYr3!$AN7,0))))*(INDEX(avoidedcosttbl3,$H7,CR$2)+(($H7-ROUNDDOWN($H7,0))*(INDEX(avoidedcosttbl3,ROUNDUP($H7,0),CR$2)-(INDEX(avoidedcosttbl3,ROUNDDOWN($H7,0),CR$2)))))*ADRYr3!$P7*ADRYr3!$Q7*ADRYr3!$U7)</f>
        <v/>
      </c>
      <c r="CS7" s="28" t="str">
        <f>IF($G7="","",G7*(IF(ADRYr3!$AI7=CS$4,ADRYr3!$AJ7,IF(ADRYr3!$AK7=CS$4,ADRYr3!$AL7,IF(ADRYr3!$AM7=CS$4,ADRYr3!$AN7,0))))*(INDEX(avoidedcosttbl3,$H7,CS$2)+(($H7-ROUNDDOWN($H7,0))*(INDEX(avoidedcosttbl3,ROUNDUP($H7,0),CS$2)-(INDEX(avoidedcosttbl3,ROUNDDOWN($H7,0),CS$2)))))*ADRYr3!$P7*ADRYr3!$Q7*ADRYr3!$U7)</f>
        <v/>
      </c>
      <c r="CT7" s="28" t="str">
        <f t="shared" si="11"/>
        <v/>
      </c>
      <c r="CU7" s="28" t="str">
        <f>IF($G7="","",G7*(IF(ADRYr3!$AI7=CU$4,ADRYr3!$AJ7,IF(ADRYr3!$AK7=CU$4,ADRYr3!$AL7,IF(ADRYr3!$AM7=CU$4,ADRYr3!$AN7,0))))*(INDEX(avoidedcosttbl3,$H7,CU$2)+(($H7-ROUNDDOWN($H7,0))*(INDEX(avoidedcosttbl3,ROUNDUP($H7,0),CU$2)-(INDEX(avoidedcosttbl3,ROUNDDOWN($H7,0),CU$2)))))*ADRYr3!$P7*ADRYr3!$Q7*ADRYr3!$U7)</f>
        <v/>
      </c>
      <c r="CV7" s="28" t="str">
        <f>IF($G7="","",G7*(IF(ADRYr3!$AI7=CV$4,ADRYr3!$AJ7,IF(ADRYr3!$AK7=CV$4,ADRYr3!$AL7,IF(ADRYr3!$AM7=CV$4,ADRYr3!$AN7,0))))*(INDEX(avoidedcosttbl3,$H7,CV$2)+(($H7-ROUNDDOWN($H7,0))*(INDEX(avoidedcosttbl3,ROUNDUP($H7,0),CV$2)-(INDEX(avoidedcosttbl3,ROUNDDOWN($H7,0),CV$2)))))*ADRYr3!$P7*ADRYr3!$Q7*ADRYr3!$U7)</f>
        <v/>
      </c>
      <c r="CW7" s="28" t="str">
        <f>IF($G7="","",G7*(IF(ADRYr3!$AI7=CW$4,ADRYr3!$AJ7,IF(ADRYr3!$AK7=CW$4,ADRYr3!$AL7,IF(ADRYr3!$AM7=CW$4,ADRYr3!$AN7,0))))*(INDEX(avoidedcosttbl3,$H7,CW$2)+(($H7-ROUNDDOWN($H7,0))*(INDEX(avoidedcosttbl3,ROUNDUP($H7,0),CW$2)-(INDEX(avoidedcosttbl3,ROUNDDOWN($H7,0),CW$2)))))*ADRYr3!$P7*ADRYr3!$Q7*ADRYr3!$U7)</f>
        <v/>
      </c>
      <c r="CX7" s="28" t="str">
        <f>IF($G7="","",G7*(IF(ADRYr3!$AI7=CX$4,ADRYr3!$AJ7,IF(ADRYr3!$AK7=CX$4,ADRYr3!$AL7,IF(ADRYr3!$AM7=CX$4,ADRYr3!$AN7,0))))*(INDEX(avoidedcosttbl3,$H7,CX$2)+(($H7-ROUNDDOWN($H7,0))*(INDEX(avoidedcosttbl3,ROUNDUP($H7,0),CX$2)-(INDEX(avoidedcosttbl3,ROUNDDOWN($H7,0),CX$2)))))*ADRYr3!$P7*ADRYr3!$Q7*ADRYr3!$U7)</f>
        <v/>
      </c>
      <c r="CY7" s="28" t="str">
        <f t="shared" si="38"/>
        <v/>
      </c>
      <c r="CZ7" s="32" t="str">
        <f t="shared" si="39"/>
        <v/>
      </c>
      <c r="DA7" s="84" t="str">
        <f t="shared" si="40"/>
        <v/>
      </c>
      <c r="DB7" s="81" t="str">
        <f>IF(NEIadder="Yes",IF($G7="","",INDEX(Lookups!$G$68:$G$70,MATCH($A7,Lookups!$E$68:$E$70,0))*(SUM(CP7:CX7,BX7))),"")</f>
        <v/>
      </c>
      <c r="DC7" s="263" t="str">
        <f t="shared" si="41"/>
        <v/>
      </c>
      <c r="DD7" s="166" t="str">
        <f t="shared" si="42"/>
        <v/>
      </c>
      <c r="DE7" s="82">
        <f t="shared" si="43"/>
        <v>0</v>
      </c>
      <c r="DF7" s="760" t="str">
        <f>IF($G7="","",(1+WntPeakEnergyLL)*(INDEX(avoidedcosttbl3,$H7,DF$2)+(($H7-ROUNDDOWN($H7,0))*(INDEX(avoidedcosttbl3,ROUNDUP($H7,0),DF$2)-(INDEX(avoidedcosttbl3,ROUNDDOWN($H7,0),DF$2)))))*$P7*1000*ADRYr3!Z7)</f>
        <v/>
      </c>
      <c r="DG7" s="760" t="str">
        <f>IF($G7="","",(1+WntOffPeakEnergyLL)*(INDEX(avoidedcosttbl3,$H7,DG$2)+(($H7-ROUNDDOWN($H7,0))*(INDEX(avoidedcosttbl3,ROUNDUP($H7,0),DG$2)-(INDEX(avoidedcosttbl3,ROUNDDOWN($H7,0),DG$2)))))*$P7*1000*ADRYr3!AA7)</f>
        <v/>
      </c>
      <c r="DH7" s="760" t="str">
        <f>IF($G7="","",(1+SumPeakEnergyLL)*(INDEX(avoidedcosttbl3,$H7,DH$2)+(($H7-ROUNDDOWN($H7,0))*(INDEX(avoidedcosttbl3,ROUNDUP($H7,0),DH$2)-(INDEX(avoidedcosttbl3,ROUNDDOWN($H7,0),DH$2)))))*$P7*1000*ADRYr3!AB7)</f>
        <v/>
      </c>
      <c r="DI7" s="760" t="str">
        <f>IF($G7="","",(1+SumOffPeakEnergyLL)*(INDEX(avoidedcosttbl3,$H7,DI$2)+(($H7-ROUNDDOWN($H7,0))*(INDEX(avoidedcosttbl3,ROUNDUP($H7,0),DI$2)-(INDEX(avoidedcosttbl3,ROUNDDOWN($H7,0),DI$2)))))*$P7*1000*ADRYr3!AC7)</f>
        <v/>
      </c>
      <c r="DJ7" s="29" t="str">
        <f t="shared" si="44"/>
        <v/>
      </c>
      <c r="DK7" s="161" t="str">
        <f t="shared" si="45"/>
        <v/>
      </c>
      <c r="DL7" s="1375" t="str">
        <f t="shared" si="46"/>
        <v/>
      </c>
      <c r="DM7" s="1375" t="str">
        <f t="shared" si="47"/>
        <v/>
      </c>
      <c r="DN7" s="43" t="str">
        <f t="shared" si="48"/>
        <v/>
      </c>
      <c r="DO7" s="1131" t="str">
        <f>IF($G7="","",ADRYr3!AQ7)</f>
        <v/>
      </c>
      <c r="DP7" s="1133" t="str">
        <f>IF($G7="","",ADRYr3!AR7)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49"/>
        <v/>
      </c>
      <c r="DU7" s="1135" t="str">
        <f>IF($G7="","",ADRYr3!AS7)</f>
        <v/>
      </c>
      <c r="DV7" s="1136" t="str">
        <f>IF($G7="","",ADRYr3!AT7)</f>
        <v/>
      </c>
      <c r="DW7" s="1344" t="str">
        <f>IF($G7="","",INDEX(AvoidedEnergy!$H$4:$H$10,MATCH($DO7,AvoidedEnergy!$A$4:$A$10,0)))</f>
        <v/>
      </c>
    </row>
    <row r="8" spans="1:127">
      <c r="A8" s="160" t="str">
        <f>IF(ADRYr3!$B8=0,"",ADRYr3!A8)</f>
        <v>A - Residential</v>
      </c>
      <c r="B8" s="9" t="str">
        <f>IF(ADRYr3!$B8=0,"",ADRYr3!B8)</f>
        <v>A5 - Residential Active Demand Response</v>
      </c>
      <c r="C8" s="9" t="str">
        <f>IF(ADRYr3!$B8=0,"",ADRYr3!C8)</f>
        <v>A5a - Residential Active Demand Response</v>
      </c>
      <c r="D8" s="9" t="str">
        <f>IF(ADRYr3!$B8=0,"",ADRYr3!D8)</f>
        <v>Storage Daily Dispatch Upfront Incentive (consumption) Summer</v>
      </c>
      <c r="E8" s="9">
        <f>IF(ADRYr3!$B8=0,"",ADRYr3!E8)</f>
        <v>0</v>
      </c>
      <c r="F8" s="11" t="str">
        <f>IF(ADRYr3!$B8=0,"",ADRYr3!F8)</f>
        <v>Behavior</v>
      </c>
      <c r="G8" s="12" t="str">
        <f>IF(ADRYr3!$G8&lt;&gt;0,ADRYr3!G8,"")</f>
        <v/>
      </c>
      <c r="H8" s="1125" t="str">
        <f>IF($G8="","",ROUND(ADRYr3!H8,0))</f>
        <v/>
      </c>
      <c r="I8" s="47" t="str">
        <f>IF($G8="","",ADRYr3!I8*ADRYr3!P8*G8)</f>
        <v/>
      </c>
      <c r="J8" s="47" t="str">
        <f>IF($G8="","",ADRYr3!J8*G8)</f>
        <v/>
      </c>
      <c r="K8" s="47" t="str">
        <f t="shared" si="12"/>
        <v/>
      </c>
      <c r="L8" s="27" t="str">
        <f>IF($G8="","",ADRYr3!V8*G8/1000)</f>
        <v/>
      </c>
      <c r="M8" s="27" t="str">
        <f>IF($G8="","",L8*ADRYr3!$Q8*ADRYr3!$R8)</f>
        <v/>
      </c>
      <c r="N8" s="27" t="str">
        <f t="shared" si="13"/>
        <v/>
      </c>
      <c r="O8" s="27" t="str">
        <f t="shared" si="14"/>
        <v/>
      </c>
      <c r="P8" s="27" t="str">
        <f>IF($G8="","",M8*ADRYr3!P8)</f>
        <v/>
      </c>
      <c r="Q8" s="27" t="str">
        <f t="shared" si="15"/>
        <v/>
      </c>
      <c r="R8" s="27" t="str">
        <f>IF($G8="","",$Q8*ADRYr3!Z8)</f>
        <v/>
      </c>
      <c r="S8" s="27" t="str">
        <f>IF($G8="","",$Q8*ADRYr3!AA8)</f>
        <v/>
      </c>
      <c r="T8" s="27" t="str">
        <f>IF($G8="","",$Q8*ADRYr3!AB8)</f>
        <v/>
      </c>
      <c r="U8" s="27" t="str">
        <f>IF($G8="","",$Q8*ADRYr3!AC8)</f>
        <v/>
      </c>
      <c r="V8" s="27" t="str">
        <f>IF($G8="","",G8*ADRYr3!$AD8*ADRYr3!$P8*ADRYr3!$Q8)</f>
        <v/>
      </c>
      <c r="W8" s="27" t="str">
        <f>IF($G8="","",$G8*ADRYr3!$AD8*ADRYr3!$AF8*ADRYr3!Q8*ADRYr3!$S8)</f>
        <v/>
      </c>
      <c r="X8" s="27" t="str">
        <f>IF($G8="","",$G8*ADRYr3!$AD8*ADRYr3!$AF8*ADRYr3!P8*ADRYr3!Q8*ADRYr3!$S8)</f>
        <v/>
      </c>
      <c r="Y8" s="27" t="str">
        <f>IF($G8="","",$G8*ADRYr3!$AD8*ADRYr3!$AE8*ADRYr3!Q8*ADRYr3!$T8)</f>
        <v/>
      </c>
      <c r="Z8" s="27" t="str">
        <f>IF($G8="","",$G8*ADRYr3!$AD8*ADRYr3!$AE8*ADRYr3!P8*ADRYr3!Q8*ADRYr3!$T8)</f>
        <v/>
      </c>
      <c r="AA8" s="45" t="str">
        <f>IF($G8="","",$G8*ADRYr3!$Q8*ADRYr3!$U8*(IF(IFERROR(SEARCH("NG", ADRYr3!$AI8),0),ADRYr3!$AJ8,0)+IF(IFERROR(SEARCH("NG", ADRYr3!$AK8),0),ADRYr3!$AL8,0)+IF(IFERROR(SEARCH("NG", ADRYr3!$AM8),0),ADRYr3!$AN8,0)))</f>
        <v/>
      </c>
      <c r="AB8" s="45" t="str">
        <f t="shared" si="16"/>
        <v/>
      </c>
      <c r="AC8" s="45">
        <f>IF($G8="",0,AA8*ADRYr3!$P8)</f>
        <v>0</v>
      </c>
      <c r="AD8" s="45" t="str">
        <f t="shared" si="17"/>
        <v/>
      </c>
      <c r="AE8" s="45" t="str">
        <f>IF($G8="","",$G8*ADRYr3!$Q8*ADRYr3!$U8*(IF(IFERROR(SEARCH("Oil", ADRYr3!$AI8), 0),ADRYr3!$AJ8,0)+IF(IFERROR(SEARCH("Oil", ADRYr3!$AK8), 0),ADRYr3!$AL8,0)+IF(IFERROR(SEARCH("Oil", ADRYr3!$AM8), 0),ADRYr3!$AN8,0)))</f>
        <v/>
      </c>
      <c r="AF8" s="45" t="str">
        <f t="shared" si="18"/>
        <v/>
      </c>
      <c r="AG8" s="45">
        <f>IF($G8="",0,AE8*ADRYr3!$P8)</f>
        <v>0</v>
      </c>
      <c r="AH8" s="45" t="str">
        <f t="shared" si="19"/>
        <v/>
      </c>
      <c r="AI8" s="45" t="str">
        <f>IF($G8="","",$G8*ADRYr3!$Q8*ADRYr3!$U8*(IF(ADRYr3!$AI8=Lookups!$E$114,ADRYr3!$AJ8,IF(ADRYr3!$AK8=Lookups!$E$114,ADRYr3!$AL8,IF(ADRYr3!$AM8=Lookups!$E$114,ADRYr3!$AN8,0)))))</f>
        <v/>
      </c>
      <c r="AJ8" s="45" t="str">
        <f t="shared" si="20"/>
        <v/>
      </c>
      <c r="AK8" s="45">
        <f>IF($G8="",0,AI8*ADRYr3!$P8)</f>
        <v>0</v>
      </c>
      <c r="AL8" s="45" t="str">
        <f t="shared" si="21"/>
        <v/>
      </c>
      <c r="AM8" s="45" t="str">
        <f>IF($G8="","",$G8*ADRYr3!$Q8*ADRYr3!$U8*(IF(ADRYr3!$AI8=Lookups!$E$113,ADRYr3!$AJ8,IF(ADRYr3!$AK8=Lookups!$E$113,ADRYr3!$AL8,IF(ADRYr3!$AM8=Lookups!$E$113,ADRYr3!$AN8,0)))))</f>
        <v/>
      </c>
      <c r="AN8" s="45" t="str">
        <f t="shared" si="22"/>
        <v/>
      </c>
      <c r="AO8" s="45">
        <f>IF($G8="",0,AM8*ADRYr3!$P8)</f>
        <v>0</v>
      </c>
      <c r="AP8" s="45" t="str">
        <f t="shared" si="23"/>
        <v/>
      </c>
      <c r="AQ8" s="45" t="str">
        <f>IF($G8="","",$G8*ADRYr3!$Q8*ADRYr3!$U8*(IF(ADRYr3!$AI8=Lookups!$E$115,ADRYr3!$AJ8,IF(ADRYr3!$AK8=Lookups!$E$115,ADRYr3!$AL8,IF(ADRYr3!$AM8=Lookups!$E$115,ADRYr3!$AN8,0)))))</f>
        <v/>
      </c>
      <c r="AR8" s="45" t="str">
        <f t="shared" si="24"/>
        <v/>
      </c>
      <c r="AS8" s="45" t="str">
        <f>IF($G8="","",AQ8*ADRYr3!$P8)</f>
        <v/>
      </c>
      <c r="AT8" s="45" t="str">
        <f t="shared" si="25"/>
        <v/>
      </c>
      <c r="AU8" s="45" t="str">
        <f>IF($G8="","",$G8*ADRYr3!$Q8*ADRYr3!$U8*(IF(ADRYr3!$AI8=Lookups!$E$116,ADRYr3!$AJ8,IF(ADRYr3!$AK8=Lookups!$E$116,ADRYr3!$AL8,IF(ADRYr3!$AM8=Lookups!$E$116,ADRYr3!$AN8,0)))))</f>
        <v/>
      </c>
      <c r="AV8" s="45" t="str">
        <f t="shared" si="26"/>
        <v/>
      </c>
      <c r="AW8" s="45" t="str">
        <f>IF($G8="","",AU8*ADRYr3!$P8)</f>
        <v/>
      </c>
      <c r="AX8" s="45" t="str">
        <f t="shared" si="27"/>
        <v/>
      </c>
      <c r="AY8" s="45">
        <f t="shared" si="28"/>
        <v>0</v>
      </c>
      <c r="AZ8" s="45">
        <f t="shared" si="29"/>
        <v>0</v>
      </c>
      <c r="BA8" s="101" t="str">
        <f>IF($G8="","",$G8*ADRYr3!$P8*ADRYr3!$Q8*ADRYr3!$U8*ADRYr3!AO8)</f>
        <v/>
      </c>
      <c r="BB8" s="102" t="str">
        <f>IF($G8="","",$G8*ADRYr3!$P8*ADRYr3!$Q8*ADRYr3!$U8*ADRYr3!AP8)</f>
        <v/>
      </c>
      <c r="BC8" s="100" t="str">
        <f t="shared" si="30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31"/>
        <v/>
      </c>
      <c r="BO8" s="31" t="str">
        <f t="shared" si="32"/>
        <v/>
      </c>
      <c r="BP8" s="1129" t="str">
        <f t="shared" si="5"/>
        <v/>
      </c>
      <c r="BQ8" s="28" t="str">
        <f t="shared" si="6"/>
        <v/>
      </c>
      <c r="BR8" s="1129" t="str">
        <f t="shared" si="7"/>
        <v/>
      </c>
      <c r="BS8" s="1129" t="str">
        <f t="shared" si="8"/>
        <v/>
      </c>
      <c r="BT8" s="28" t="str">
        <f t="shared" si="9"/>
        <v/>
      </c>
      <c r="BU8" s="28" t="str">
        <f t="shared" si="9"/>
        <v/>
      </c>
      <c r="BV8" s="28" t="str">
        <f t="shared" si="9"/>
        <v/>
      </c>
      <c r="BW8" s="29" t="str">
        <f t="shared" si="33"/>
        <v/>
      </c>
      <c r="BX8" s="29" t="str">
        <f t="shared" si="34"/>
        <v/>
      </c>
      <c r="BY8" s="28" t="str">
        <f>IF($G8="","",$G8*(IF(ADRYr3!$AI8=BY$4,ADRYr3!$AJ8,IF(ADRYr3!$AK8=BY$4,ADRYr3!$AL8,IF(ADRYr3!$AM8=BY$4,ADRYr3!$AN8,0))))*(INDEX(avoidedcosttbl3,$H8,BY$2)+(($H8-ROUNDDOWN($H8,0))*(INDEX(avoidedcosttbl3,ROUNDUP($H8,0),BY$2)-(INDEX(avoidedcosttbl3,ROUNDDOWN($H8,0),BY$2)))))*ADRYr3!P8*ADRYr3!Q8*ADRYr3!U8)</f>
        <v/>
      </c>
      <c r="BZ8" s="28" t="str">
        <f>IF($G8="","",$G8*(IF(ADRYr3!$AI8=BZ$4,ADRYr3!$AJ8,IF(ADRYr3!$AK8=BZ$4,ADRYr3!$AL8,IF(ADRYr3!$AM8=BZ$4,ADRYr3!$AN8,0))))*(INDEX(avoidedcosttbl3,$H8,BZ$2)+(($H8-ROUNDDOWN($H8,0))*(INDEX(avoidedcosttbl3,ROUNDUP($H8,0),BZ$2)-(INDEX(avoidedcosttbl3,ROUNDDOWN($H8,0),BZ$2)))))*ADRYr3!P8*ADRYr3!Q8*ADRYr3!U8)</f>
        <v/>
      </c>
      <c r="CA8" s="28" t="str">
        <f>IF($G8="","",$G8*(IF(ADRYr3!$AI8=CA$4,ADRYr3!$AJ8,IF(ADRYr3!$AK8=CA$4,ADRYr3!$AL8,IF(ADRYr3!$AM8=CA$4,ADRYr3!$AN8,0))))*(INDEX(avoidedcosttbl3,$H8,CA$2)+(($H8-ROUNDDOWN($H8,0))*(INDEX(avoidedcosttbl3,ROUNDUP($H8,0),CA$2)-(INDEX(avoidedcosttbl3,ROUNDDOWN($H8,0),CA$2)))))*ADRYr3!P8*ADRYr3!Q8*ADRYr3!U8)</f>
        <v/>
      </c>
      <c r="CB8" s="28" t="str">
        <f>IF($G8="","",$G8*(IF(ADRYr3!$AI8=CB$4,ADRYr3!$AJ8,IF(ADRYr3!$AK8=CB$4,ADRYr3!$AL8,IF(ADRYr3!$AM8=CB$4,ADRYr3!$AN8,0))))*(INDEX(avoidedcosttbl3,$H8,CB$2)+(($H8-ROUNDDOWN($H8,0))*(INDEX(avoidedcosttbl3,ROUNDUP($H8,0),CB$2)-(INDEX(avoidedcosttbl3,ROUNDDOWN($H8,0),CB$2)))))*ADRYr3!P8*ADRYr3!Q8*ADRYr3!U8)</f>
        <v/>
      </c>
      <c r="CC8" s="28" t="str">
        <f>IF($G8="","",$G8*(IF(ADRYr3!$AI8=CC$4,ADRYr3!$AJ8,IF(ADRYr3!$AK8=CC$4,ADRYr3!$AL8,IF(ADRYr3!$AM8=CC$4,ADRYr3!$AN8,0))))*(INDEX(avoidedcosttbl3,$H8,CC$2)+(($H8-ROUNDDOWN($H8,0))*(INDEX(avoidedcosttbl3,ROUNDUP($H8,0),CC$2)-(INDEX(avoidedcosttbl3,ROUNDDOWN($H8,0),CC$2)))))*ADRYr3!P8*ADRYr3!Q8*ADRYr3!U8)</f>
        <v/>
      </c>
      <c r="CD8" s="28" t="str">
        <f>IF($G8="","",$G8*(IF(ADRYr3!$AI8=CD$4,ADRYr3!$AJ8,IF(ADRYr3!$AK8=CD$4,ADRYr3!$AL8,IF(ADRYr3!$AM8=CD$4,ADRYr3!$AN8,0))))*(INDEX(avoidedcosttbl3,$H8,CD$2)+(($H8-ROUNDDOWN($H8,0))*(INDEX(avoidedcosttbl3,ROUNDUP($H8,0),CD$2)-(INDEX(avoidedcosttbl3,ROUNDDOWN($H8,0),CD$2)))))*ADRYr3!P8*ADRYr3!Q8*ADRYr3!U8)</f>
        <v/>
      </c>
      <c r="CE8" s="28" t="str">
        <f>IF($G8="","",$G8*(IF(ADRYr3!$AI8=CE$4,ADRYr3!$AJ8,IF(ADRYr3!$AK8=CE$4,ADRYr3!$AL8,IF(ADRYr3!$AM8=CE$4,ADRYr3!$AN8,0))))*(INDEX(avoidedcosttbl3,$H8,CE$2)+(($H8-ROUNDDOWN($H8,0))*(INDEX(avoidedcosttbl3,ROUNDUP($H8,0),CE$2)-(INDEX(avoidedcosttbl3,ROUNDDOWN($H8,0),CE$2)))))*ADRYr3!P8*ADRYr3!Q8*ADRYr3!U8)</f>
        <v/>
      </c>
      <c r="CF8" s="41" t="str">
        <f t="shared" si="35"/>
        <v/>
      </c>
      <c r="CG8" s="30" t="str">
        <f t="shared" si="10"/>
        <v/>
      </c>
      <c r="CH8" s="30" t="str">
        <f>IF($G8="","",$G8*(IF(ADRYr3!$AI8=BY$4,ADRYr3!$AJ8,IF(ADRYr3!$AK8=BY$4,ADRYr3!$AL8,IF(ADRYr3!$AM8=BY$4,ADRYr3!$AN8,0))))*(INDEX(avoidedcosttbl3,$H8,CH$2)+(($H8-ROUNDDOWN($H8,0))*(INDEX(avoidedcosttbl3,ROUNDUP($H8,0),CH$2)-(INDEX(avoidedcosttbl3,ROUNDDOWN($H8,0),CH$2)))))*ADRYr3!P8*ADRYr3!Q8*ADRYr3!U8)</f>
        <v/>
      </c>
      <c r="CI8" s="30" t="str">
        <f>IF($G8="","",$G8*(IF(ADRYr3!$AI8=BZ$4,ADRYr3!$AJ8,IF(ADRYr3!$AK8=BZ$4,ADRYr3!$AL8,IF(ADRYr3!$AM8=BZ$4,ADRYr3!$AN8,0))))*(INDEX(avoidedcosttbl3,$H8,CI$2)+(($H8-ROUNDDOWN($H8,0))*(INDEX(avoidedcosttbl3,ROUNDUP($H8,0),CI$2)-(INDEX(avoidedcosttbl3,ROUNDDOWN($H8,0),CI$2)))))*ADRYr3!P8*ADRYr3!Q8*ADRYr3!U8)</f>
        <v/>
      </c>
      <c r="CJ8" s="30" t="str">
        <f>IF($G8="","",$G8*(IF(ADRYr3!$AI8=CA$4,ADRYr3!$AJ8,IF(ADRYr3!$AK8=CA$4,ADRYr3!$AL8,IF(ADRYr3!$AM8=CA$4,ADRYr3!$AN8,0))))*(INDEX(avoidedcosttbl3,$H8,CJ$2)+(($H8-ROUNDDOWN($H8,0))*(INDEX(avoidedcosttbl3,ROUNDUP($H8,0),CJ$2)-(INDEX(avoidedcosttbl3,ROUNDDOWN($H8,0),CJ$2)))))*ADRYr3!P8*ADRYr3!Q8*ADRYr3!U8)</f>
        <v/>
      </c>
      <c r="CK8" s="30" t="str">
        <f>IF($G8="","",$G8*(IF(ADRYr3!$AI8=CB$4,ADRYr3!$AJ8,IF(ADRYr3!$AK8=CB$4,ADRYr3!$AL8,IF(ADRYr3!$AM8=CB$4,ADRYr3!$AN8,0))))*(INDEX(avoidedcosttbl3,$H8,CK$2)+(($H8-ROUNDDOWN($H8,0))*(INDEX(avoidedcosttbl3,ROUNDUP($H8,0),CK$2)-(INDEX(avoidedcosttbl3,ROUNDDOWN($H8,0),CK$2)))))*ADRYr3!P8*ADRYr3!Q8*ADRYr3!U8)</f>
        <v/>
      </c>
      <c r="CL8" s="30" t="str">
        <f>IF($G8="","",$G8*(IF(ADRYr3!$AI8=CC$4,ADRYr3!$AJ8,IF(ADRYr3!$AK8=CC$4,ADRYr3!$AL8,IF(ADRYr3!$AM8=CC$4,ADRYr3!$AN8,0))))*(INDEX(avoidedcosttbl3,$H8,CL$2)+(($H8-ROUNDDOWN($H8,0))*(INDEX(avoidedcosttbl3,ROUNDUP($H8,0),CL$2)-(INDEX(avoidedcosttbl3,ROUNDDOWN($H8,0),CL$2)))))*ADRYr3!P8*ADRYr3!Q8*ADRYr3!U8)</f>
        <v/>
      </c>
      <c r="CM8" s="30" t="str">
        <f>IF($G8="","",$G8*(IF(ADRYr3!$AI8=CD$4,ADRYr3!$AJ8,IF(ADRYr3!$AK8=CD$4,ADRYr3!$AL8,IF(ADRYr3!$AM8=CD$4,ADRYr3!$AN8,0))))*(INDEX(avoidedcosttbl3,$H8,CM$2)+(($H8-ROUNDDOWN($H8,0))*(INDEX(avoidedcosttbl3,ROUNDUP($H8,0),CM$2)-(INDEX(avoidedcosttbl3,ROUNDDOWN($H8,0),CM$2)))))*ADRYr3!P8*ADRYr3!Q8*ADRYr3!U8)</f>
        <v/>
      </c>
      <c r="CN8" s="30" t="str">
        <f>IF($G8="","",$G8*(IF(ADRYr3!$AI8=CE$4,ADRYr3!$AJ8,IF(ADRYr3!$AK8=CE$4,ADRYr3!$AL8,IF(ADRYr3!$AM8=CE$4,ADRYr3!$AN8,0))))*(INDEX(avoidedcosttbl3,$H8,CN$2)+(($H8-ROUNDDOWN($H8,0))*(INDEX(avoidedcosttbl3,ROUNDUP($H8,0),CN$2)-(INDEX(avoidedcosttbl3,ROUNDDOWN($H8,0),CN$2)))))*ADRYr3!P8*ADRYr3!Q8*ADRYr3!U8)</f>
        <v/>
      </c>
      <c r="CO8" s="220" t="str">
        <f t="shared" si="36"/>
        <v/>
      </c>
      <c r="CP8" s="220" t="str">
        <f t="shared" si="37"/>
        <v/>
      </c>
      <c r="CQ8" s="157" t="str">
        <f>IF($G8="","",$G8*(IF(ADRYr3!$AI8=CQ$4,ADRYr3!$AJ8,IF(ADRYr3!$AK8=CQ$4,ADRYr3!$AL8,IF(ADRYr3!$AM8=CQ$4,ADRYr3!$AN8,0))))*(INDEX(avoidedcosttbl3,$H8,CQ$2)+(($H8-ROUNDDOWN($H8,0))*(INDEX(avoidedcosttbl3,ROUNDUP($H8,0),CQ$2)-(INDEX(avoidedcosttbl3,ROUNDDOWN($H8,0),CQ$2)))))*ADRYr3!$P8*ADRYr3!$Q8*ADRYr3!$U8)</f>
        <v/>
      </c>
      <c r="CR8" s="28" t="str">
        <f>IF($G8="","",G8*(IF(ADRYr3!$AI8=CR$4,ADRYr3!$AJ8,IF(ADRYr3!$AK8=CR$4,ADRYr3!$AL8,IF(ADRYr3!$AM8=CR$4,ADRYr3!$AN8,0))))*(INDEX(avoidedcosttbl3,$H8,CR$2)+(($H8-ROUNDDOWN($H8,0))*(INDEX(avoidedcosttbl3,ROUNDUP($H8,0),CR$2)-(INDEX(avoidedcosttbl3,ROUNDDOWN($H8,0),CR$2)))))*ADRYr3!$P8*ADRYr3!$Q8*ADRYr3!$U8)</f>
        <v/>
      </c>
      <c r="CS8" s="28" t="str">
        <f>IF($G8="","",G8*(IF(ADRYr3!$AI8=CS$4,ADRYr3!$AJ8,IF(ADRYr3!$AK8=CS$4,ADRYr3!$AL8,IF(ADRYr3!$AM8=CS$4,ADRYr3!$AN8,0))))*(INDEX(avoidedcosttbl3,$H8,CS$2)+(($H8-ROUNDDOWN($H8,0))*(INDEX(avoidedcosttbl3,ROUNDUP($H8,0),CS$2)-(INDEX(avoidedcosttbl3,ROUNDDOWN($H8,0),CS$2)))))*ADRYr3!$P8*ADRYr3!$Q8*ADRYr3!$U8)</f>
        <v/>
      </c>
      <c r="CT8" s="28" t="str">
        <f t="shared" si="11"/>
        <v/>
      </c>
      <c r="CU8" s="28" t="str">
        <f>IF($G8="","",G8*(IF(ADRYr3!$AI8=CU$4,ADRYr3!$AJ8,IF(ADRYr3!$AK8=CU$4,ADRYr3!$AL8,IF(ADRYr3!$AM8=CU$4,ADRYr3!$AN8,0))))*(INDEX(avoidedcosttbl3,$H8,CU$2)+(($H8-ROUNDDOWN($H8,0))*(INDEX(avoidedcosttbl3,ROUNDUP($H8,0),CU$2)-(INDEX(avoidedcosttbl3,ROUNDDOWN($H8,0),CU$2)))))*ADRYr3!$P8*ADRYr3!$Q8*ADRYr3!$U8)</f>
        <v/>
      </c>
      <c r="CV8" s="28" t="str">
        <f>IF($G8="","",G8*(IF(ADRYr3!$AI8=CV$4,ADRYr3!$AJ8,IF(ADRYr3!$AK8=CV$4,ADRYr3!$AL8,IF(ADRYr3!$AM8=CV$4,ADRYr3!$AN8,0))))*(INDEX(avoidedcosttbl3,$H8,CV$2)+(($H8-ROUNDDOWN($H8,0))*(INDEX(avoidedcosttbl3,ROUNDUP($H8,0),CV$2)-(INDEX(avoidedcosttbl3,ROUNDDOWN($H8,0),CV$2)))))*ADRYr3!$P8*ADRYr3!$Q8*ADRYr3!$U8)</f>
        <v/>
      </c>
      <c r="CW8" s="28" t="str">
        <f>IF($G8="","",G8*(IF(ADRYr3!$AI8=CW$4,ADRYr3!$AJ8,IF(ADRYr3!$AK8=CW$4,ADRYr3!$AL8,IF(ADRYr3!$AM8=CW$4,ADRYr3!$AN8,0))))*(INDEX(avoidedcosttbl3,$H8,CW$2)+(($H8-ROUNDDOWN($H8,0))*(INDEX(avoidedcosttbl3,ROUNDUP($H8,0),CW$2)-(INDEX(avoidedcosttbl3,ROUNDDOWN($H8,0),CW$2)))))*ADRYr3!$P8*ADRYr3!$Q8*ADRYr3!$U8)</f>
        <v/>
      </c>
      <c r="CX8" s="28" t="str">
        <f>IF($G8="","",G8*(IF(ADRYr3!$AI8=CX$4,ADRYr3!$AJ8,IF(ADRYr3!$AK8=CX$4,ADRYr3!$AL8,IF(ADRYr3!$AM8=CX$4,ADRYr3!$AN8,0))))*(INDEX(avoidedcosttbl3,$H8,CX$2)+(($H8-ROUNDDOWN($H8,0))*(INDEX(avoidedcosttbl3,ROUNDUP($H8,0),CX$2)-(INDEX(avoidedcosttbl3,ROUNDDOWN($H8,0),CX$2)))))*ADRYr3!$P8*ADRYr3!$Q8*ADRYr3!$U8)</f>
        <v/>
      </c>
      <c r="CY8" s="28" t="str">
        <f t="shared" si="38"/>
        <v/>
      </c>
      <c r="CZ8" s="32" t="str">
        <f t="shared" si="39"/>
        <v/>
      </c>
      <c r="DA8" s="84" t="str">
        <f t="shared" si="40"/>
        <v/>
      </c>
      <c r="DB8" s="81" t="str">
        <f>IF(NEIadder="Yes",IF($G8="","",INDEX(Lookups!$G$68:$G$70,MATCH($A8,Lookups!$E$68:$E$70,0))*(SUM(CP8:CX8,BX8))),"")</f>
        <v/>
      </c>
      <c r="DC8" s="263" t="str">
        <f t="shared" si="41"/>
        <v/>
      </c>
      <c r="DD8" s="166" t="str">
        <f t="shared" si="42"/>
        <v/>
      </c>
      <c r="DE8" s="82">
        <f t="shared" si="43"/>
        <v>0</v>
      </c>
      <c r="DF8" s="760" t="str">
        <f>IF($G8="","",(1+WntPeakEnergyLL)*(INDEX(avoidedcosttbl3,$H8,DF$2)+(($H8-ROUNDDOWN($H8,0))*(INDEX(avoidedcosttbl3,ROUNDUP($H8,0),DF$2)-(INDEX(avoidedcosttbl3,ROUNDDOWN($H8,0),DF$2)))))*$P8*1000*ADRYr3!Z8)</f>
        <v/>
      </c>
      <c r="DG8" s="760" t="str">
        <f>IF($G8="","",(1+WntOffPeakEnergyLL)*(INDEX(avoidedcosttbl3,$H8,DG$2)+(($H8-ROUNDDOWN($H8,0))*(INDEX(avoidedcosttbl3,ROUNDUP($H8,0),DG$2)-(INDEX(avoidedcosttbl3,ROUNDDOWN($H8,0),DG$2)))))*$P8*1000*ADRYr3!AA8)</f>
        <v/>
      </c>
      <c r="DH8" s="760" t="str">
        <f>IF($G8="","",(1+SumPeakEnergyLL)*(INDEX(avoidedcosttbl3,$H8,DH$2)+(($H8-ROUNDDOWN($H8,0))*(INDEX(avoidedcosttbl3,ROUNDUP($H8,0),DH$2)-(INDEX(avoidedcosttbl3,ROUNDDOWN($H8,0),DH$2)))))*$P8*1000*ADRYr3!AB8)</f>
        <v/>
      </c>
      <c r="DI8" s="760" t="str">
        <f>IF($G8="","",(1+SumOffPeakEnergyLL)*(INDEX(avoidedcosttbl3,$H8,DI$2)+(($H8-ROUNDDOWN($H8,0))*(INDEX(avoidedcosttbl3,ROUNDUP($H8,0),DI$2)-(INDEX(avoidedcosttbl3,ROUNDDOWN($H8,0),DI$2)))))*$P8*1000*ADRYr3!AC8)</f>
        <v/>
      </c>
      <c r="DJ8" s="29" t="str">
        <f t="shared" si="44"/>
        <v/>
      </c>
      <c r="DK8" s="161" t="str">
        <f t="shared" si="45"/>
        <v/>
      </c>
      <c r="DL8" s="1375" t="str">
        <f t="shared" si="46"/>
        <v/>
      </c>
      <c r="DM8" s="1375" t="str">
        <f t="shared" si="47"/>
        <v/>
      </c>
      <c r="DN8" s="43" t="str">
        <f t="shared" si="48"/>
        <v/>
      </c>
      <c r="DO8" s="1131" t="str">
        <f>IF($G8="","",ADRYr3!AQ8)</f>
        <v/>
      </c>
      <c r="DP8" s="1133" t="str">
        <f>IF($G8="","",ADRYr3!AR8)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49"/>
        <v/>
      </c>
      <c r="DU8" s="1135" t="str">
        <f>IF($G8="","",ADRYr3!AS8)</f>
        <v/>
      </c>
      <c r="DV8" s="1136" t="str">
        <f>IF($G8="","",ADRYr3!AT8)</f>
        <v/>
      </c>
      <c r="DW8" s="1344" t="str">
        <f>IF($G8="","",INDEX(AvoidedEnergy!$H$4:$H$10,MATCH($DO8,AvoidedEnergy!$A$4:$A$10,0)))</f>
        <v/>
      </c>
    </row>
    <row r="9" spans="1:127">
      <c r="A9" s="160" t="str">
        <f>IF(ADRYr3!$B9=0,"",ADRYr3!A9)</f>
        <v>A - Residential</v>
      </c>
      <c r="B9" s="9" t="str">
        <f>IF(ADRYr3!$B9=0,"",ADRYr3!B9)</f>
        <v>A5 - Residential Active Demand Response</v>
      </c>
      <c r="C9" s="9" t="str">
        <f>IF(ADRYr3!$B9=0,"",ADRYr3!C9)</f>
        <v>A5a - Residential Active Demand Response</v>
      </c>
      <c r="D9" s="9" t="str">
        <f>IF(ADRYr3!$B9=0,"",ADRYr3!D9)</f>
        <v>Storage Daily Dispatch Upfront Incentive (savings) Winter</v>
      </c>
      <c r="E9" s="9">
        <f>IF(ADRYr3!$B9=0,"",ADRYr3!E9)</f>
        <v>0</v>
      </c>
      <c r="F9" s="11" t="str">
        <f>IF(ADRYr3!$B9=0,"",ADRYr3!F9)</f>
        <v>Behavior</v>
      </c>
      <c r="G9" s="12" t="str">
        <f>IF(ADRYr3!$G9&lt;&gt;0,ADRYr3!G9,"")</f>
        <v/>
      </c>
      <c r="H9" s="1125" t="str">
        <f>IF($G9="","",ROUND(ADRYr3!H9,0))</f>
        <v/>
      </c>
      <c r="I9" s="47" t="str">
        <f>IF($G9="","",ADRYr3!I9*ADRYr3!P9*G9)</f>
        <v/>
      </c>
      <c r="J9" s="47" t="str">
        <f>IF($G9="","",ADRYr3!J9*G9)</f>
        <v/>
      </c>
      <c r="K9" s="47" t="str">
        <f t="shared" si="12"/>
        <v/>
      </c>
      <c r="L9" s="27" t="str">
        <f>IF($G9="","",ADRYr3!V9*G9/1000)</f>
        <v/>
      </c>
      <c r="M9" s="27" t="str">
        <f>IF($G9="","",L9*ADRYr3!$Q9*ADRYr3!$R9)</f>
        <v/>
      </c>
      <c r="N9" s="27" t="str">
        <f t="shared" si="13"/>
        <v/>
      </c>
      <c r="O9" s="27" t="str">
        <f t="shared" si="14"/>
        <v/>
      </c>
      <c r="P9" s="27" t="str">
        <f>IF($G9="","",M9*ADRYr3!P9)</f>
        <v/>
      </c>
      <c r="Q9" s="27" t="str">
        <f t="shared" si="15"/>
        <v/>
      </c>
      <c r="R9" s="27" t="str">
        <f>IF($G9="","",$Q9*ADRYr3!Z9)</f>
        <v/>
      </c>
      <c r="S9" s="27" t="str">
        <f>IF($G9="","",$Q9*ADRYr3!AA9)</f>
        <v/>
      </c>
      <c r="T9" s="27" t="str">
        <f>IF($G9="","",$Q9*ADRYr3!AB9)</f>
        <v/>
      </c>
      <c r="U9" s="27" t="str">
        <f>IF($G9="","",$Q9*ADRYr3!AC9)</f>
        <v/>
      </c>
      <c r="V9" s="27" t="str">
        <f>IF($G9="","",G9*ADRYr3!$AD9*ADRYr3!$P9*ADRYr3!$Q9)</f>
        <v/>
      </c>
      <c r="W9" s="27" t="str">
        <f>IF($G9="","",$G9*ADRYr3!$AD9*ADRYr3!$AF9*ADRYr3!Q9*ADRYr3!$S9)</f>
        <v/>
      </c>
      <c r="X9" s="27" t="str">
        <f>IF($G9="","",$G9*ADRYr3!$AD9*ADRYr3!$AF9*ADRYr3!P9*ADRYr3!Q9*ADRYr3!$S9)</f>
        <v/>
      </c>
      <c r="Y9" s="27" t="str">
        <f>IF($G9="","",$G9*ADRYr3!$AD9*ADRYr3!$AE9*ADRYr3!Q9*ADRYr3!$T9)</f>
        <v/>
      </c>
      <c r="Z9" s="27" t="str">
        <f>IF($G9="","",$G9*ADRYr3!$AD9*ADRYr3!$AE9*ADRYr3!P9*ADRYr3!Q9*ADRYr3!$T9)</f>
        <v/>
      </c>
      <c r="AA9" s="45" t="str">
        <f>IF($G9="","",$G9*ADRYr3!$Q9*ADRYr3!$U9*(IF(IFERROR(SEARCH("NG", ADRYr3!$AI9),0),ADRYr3!$AJ9,0)+IF(IFERROR(SEARCH("NG", ADRYr3!$AK9),0),ADRYr3!$AL9,0)+IF(IFERROR(SEARCH("NG", ADRYr3!$AM9),0),ADRYr3!$AN9,0)))</f>
        <v/>
      </c>
      <c r="AB9" s="45" t="str">
        <f t="shared" si="16"/>
        <v/>
      </c>
      <c r="AC9" s="45">
        <f>IF($G9="",0,AA9*ADRYr3!$P9)</f>
        <v>0</v>
      </c>
      <c r="AD9" s="45" t="str">
        <f t="shared" si="17"/>
        <v/>
      </c>
      <c r="AE9" s="45" t="str">
        <f>IF($G9="","",$G9*ADRYr3!$Q9*ADRYr3!$U9*(IF(IFERROR(SEARCH("Oil", ADRYr3!$AI9), 0),ADRYr3!$AJ9,0)+IF(IFERROR(SEARCH("Oil", ADRYr3!$AK9), 0),ADRYr3!$AL9,0)+IF(IFERROR(SEARCH("Oil", ADRYr3!$AM9), 0),ADRYr3!$AN9,0)))</f>
        <v/>
      </c>
      <c r="AF9" s="45" t="str">
        <f t="shared" si="18"/>
        <v/>
      </c>
      <c r="AG9" s="45">
        <f>IF($G9="",0,AE9*ADRYr3!$P9)</f>
        <v>0</v>
      </c>
      <c r="AH9" s="45" t="str">
        <f t="shared" si="19"/>
        <v/>
      </c>
      <c r="AI9" s="45" t="str">
        <f>IF($G9="","",$G9*ADRYr3!$Q9*ADRYr3!$U9*(IF(ADRYr3!$AI9=Lookups!$E$114,ADRYr3!$AJ9,IF(ADRYr3!$AK9=Lookups!$E$114,ADRYr3!$AL9,IF(ADRYr3!$AM9=Lookups!$E$114,ADRYr3!$AN9,0)))))</f>
        <v/>
      </c>
      <c r="AJ9" s="45" t="str">
        <f t="shared" si="20"/>
        <v/>
      </c>
      <c r="AK9" s="45">
        <f>IF($G9="",0,AI9*ADRYr3!$P9)</f>
        <v>0</v>
      </c>
      <c r="AL9" s="45" t="str">
        <f t="shared" si="21"/>
        <v/>
      </c>
      <c r="AM9" s="45" t="str">
        <f>IF($G9="","",$G9*ADRYr3!$Q9*ADRYr3!$U9*(IF(ADRYr3!$AI9=Lookups!$E$113,ADRYr3!$AJ9,IF(ADRYr3!$AK9=Lookups!$E$113,ADRYr3!$AL9,IF(ADRYr3!$AM9=Lookups!$E$113,ADRYr3!$AN9,0)))))</f>
        <v/>
      </c>
      <c r="AN9" s="45" t="str">
        <f t="shared" si="22"/>
        <v/>
      </c>
      <c r="AO9" s="45">
        <f>IF($G9="",0,AM9*ADRYr3!$P9)</f>
        <v>0</v>
      </c>
      <c r="AP9" s="45" t="str">
        <f t="shared" si="23"/>
        <v/>
      </c>
      <c r="AQ9" s="45" t="str">
        <f>IF($G9="","",$G9*ADRYr3!$Q9*ADRYr3!$U9*(IF(ADRYr3!$AI9=Lookups!$E$115,ADRYr3!$AJ9,IF(ADRYr3!$AK9=Lookups!$E$115,ADRYr3!$AL9,IF(ADRYr3!$AM9=Lookups!$E$115,ADRYr3!$AN9,0)))))</f>
        <v/>
      </c>
      <c r="AR9" s="45" t="str">
        <f t="shared" si="24"/>
        <v/>
      </c>
      <c r="AS9" s="45" t="str">
        <f>IF($G9="","",AQ9*ADRYr3!$P9)</f>
        <v/>
      </c>
      <c r="AT9" s="45" t="str">
        <f t="shared" si="25"/>
        <v/>
      </c>
      <c r="AU9" s="45" t="str">
        <f>IF($G9="","",$G9*ADRYr3!$Q9*ADRYr3!$U9*(IF(ADRYr3!$AI9=Lookups!$E$116,ADRYr3!$AJ9,IF(ADRYr3!$AK9=Lookups!$E$116,ADRYr3!$AL9,IF(ADRYr3!$AM9=Lookups!$E$116,ADRYr3!$AN9,0)))))</f>
        <v/>
      </c>
      <c r="AV9" s="45" t="str">
        <f t="shared" si="26"/>
        <v/>
      </c>
      <c r="AW9" s="45" t="str">
        <f>IF($G9="","",AU9*ADRYr3!$P9)</f>
        <v/>
      </c>
      <c r="AX9" s="45" t="str">
        <f t="shared" si="27"/>
        <v/>
      </c>
      <c r="AY9" s="45">
        <f t="shared" si="28"/>
        <v>0</v>
      </c>
      <c r="AZ9" s="45">
        <f t="shared" si="29"/>
        <v>0</v>
      </c>
      <c r="BA9" s="101" t="str">
        <f>IF($G9="","",$G9*ADRYr3!$P9*ADRYr3!$Q9*ADRYr3!$U9*ADRYr3!AO9)</f>
        <v/>
      </c>
      <c r="BB9" s="102" t="str">
        <f>IF($G9="","",$G9*ADRYr3!$P9*ADRYr3!$Q9*ADRYr3!$U9*ADRYr3!AP9)</f>
        <v/>
      </c>
      <c r="BC9" s="100" t="str">
        <f t="shared" si="30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31"/>
        <v/>
      </c>
      <c r="BO9" s="31" t="str">
        <f t="shared" si="32"/>
        <v/>
      </c>
      <c r="BP9" s="1129" t="str">
        <f t="shared" si="5"/>
        <v/>
      </c>
      <c r="BQ9" s="28" t="str">
        <f t="shared" si="6"/>
        <v/>
      </c>
      <c r="BR9" s="1129" t="str">
        <f t="shared" si="7"/>
        <v/>
      </c>
      <c r="BS9" s="1129" t="str">
        <f t="shared" si="8"/>
        <v/>
      </c>
      <c r="BT9" s="28" t="str">
        <f t="shared" si="9"/>
        <v/>
      </c>
      <c r="BU9" s="28" t="str">
        <f t="shared" si="9"/>
        <v/>
      </c>
      <c r="BV9" s="28" t="str">
        <f t="shared" si="9"/>
        <v/>
      </c>
      <c r="BW9" s="29" t="str">
        <f t="shared" si="33"/>
        <v/>
      </c>
      <c r="BX9" s="29" t="str">
        <f t="shared" si="34"/>
        <v/>
      </c>
      <c r="BY9" s="28" t="str">
        <f>IF($G9="","",$G9*(IF(ADRYr3!$AI9=BY$4,ADRYr3!$AJ9,IF(ADRYr3!$AK9=BY$4,ADRYr3!$AL9,IF(ADRYr3!$AM9=BY$4,ADRYr3!$AN9,0))))*(INDEX(avoidedcosttbl3,$H9,BY$2)+(($H9-ROUNDDOWN($H9,0))*(INDEX(avoidedcosttbl3,ROUNDUP($H9,0),BY$2)-(INDEX(avoidedcosttbl3,ROUNDDOWN($H9,0),BY$2)))))*ADRYr3!P9*ADRYr3!Q9*ADRYr3!U9)</f>
        <v/>
      </c>
      <c r="BZ9" s="28" t="str">
        <f>IF($G9="","",$G9*(IF(ADRYr3!$AI9=BZ$4,ADRYr3!$AJ9,IF(ADRYr3!$AK9=BZ$4,ADRYr3!$AL9,IF(ADRYr3!$AM9=BZ$4,ADRYr3!$AN9,0))))*(INDEX(avoidedcosttbl3,$H9,BZ$2)+(($H9-ROUNDDOWN($H9,0))*(INDEX(avoidedcosttbl3,ROUNDUP($H9,0),BZ$2)-(INDEX(avoidedcosttbl3,ROUNDDOWN($H9,0),BZ$2)))))*ADRYr3!P9*ADRYr3!Q9*ADRYr3!U9)</f>
        <v/>
      </c>
      <c r="CA9" s="28" t="str">
        <f>IF($G9="","",$G9*(IF(ADRYr3!$AI9=CA$4,ADRYr3!$AJ9,IF(ADRYr3!$AK9=CA$4,ADRYr3!$AL9,IF(ADRYr3!$AM9=CA$4,ADRYr3!$AN9,0))))*(INDEX(avoidedcosttbl3,$H9,CA$2)+(($H9-ROUNDDOWN($H9,0))*(INDEX(avoidedcosttbl3,ROUNDUP($H9,0),CA$2)-(INDEX(avoidedcosttbl3,ROUNDDOWN($H9,0),CA$2)))))*ADRYr3!P9*ADRYr3!Q9*ADRYr3!U9)</f>
        <v/>
      </c>
      <c r="CB9" s="28" t="str">
        <f>IF($G9="","",$G9*(IF(ADRYr3!$AI9=CB$4,ADRYr3!$AJ9,IF(ADRYr3!$AK9=CB$4,ADRYr3!$AL9,IF(ADRYr3!$AM9=CB$4,ADRYr3!$AN9,0))))*(INDEX(avoidedcosttbl3,$H9,CB$2)+(($H9-ROUNDDOWN($H9,0))*(INDEX(avoidedcosttbl3,ROUNDUP($H9,0),CB$2)-(INDEX(avoidedcosttbl3,ROUNDDOWN($H9,0),CB$2)))))*ADRYr3!P9*ADRYr3!Q9*ADRYr3!U9)</f>
        <v/>
      </c>
      <c r="CC9" s="28" t="str">
        <f>IF($G9="","",$G9*(IF(ADRYr3!$AI9=CC$4,ADRYr3!$AJ9,IF(ADRYr3!$AK9=CC$4,ADRYr3!$AL9,IF(ADRYr3!$AM9=CC$4,ADRYr3!$AN9,0))))*(INDEX(avoidedcosttbl3,$H9,CC$2)+(($H9-ROUNDDOWN($H9,0))*(INDEX(avoidedcosttbl3,ROUNDUP($H9,0),CC$2)-(INDEX(avoidedcosttbl3,ROUNDDOWN($H9,0),CC$2)))))*ADRYr3!P9*ADRYr3!Q9*ADRYr3!U9)</f>
        <v/>
      </c>
      <c r="CD9" s="28" t="str">
        <f>IF($G9="","",$G9*(IF(ADRYr3!$AI9=CD$4,ADRYr3!$AJ9,IF(ADRYr3!$AK9=CD$4,ADRYr3!$AL9,IF(ADRYr3!$AM9=CD$4,ADRYr3!$AN9,0))))*(INDEX(avoidedcosttbl3,$H9,CD$2)+(($H9-ROUNDDOWN($H9,0))*(INDEX(avoidedcosttbl3,ROUNDUP($H9,0),CD$2)-(INDEX(avoidedcosttbl3,ROUNDDOWN($H9,0),CD$2)))))*ADRYr3!P9*ADRYr3!Q9*ADRYr3!U9)</f>
        <v/>
      </c>
      <c r="CE9" s="28" t="str">
        <f>IF($G9="","",$G9*(IF(ADRYr3!$AI9=CE$4,ADRYr3!$AJ9,IF(ADRYr3!$AK9=CE$4,ADRYr3!$AL9,IF(ADRYr3!$AM9=CE$4,ADRYr3!$AN9,0))))*(INDEX(avoidedcosttbl3,$H9,CE$2)+(($H9-ROUNDDOWN($H9,0))*(INDEX(avoidedcosttbl3,ROUNDUP($H9,0),CE$2)-(INDEX(avoidedcosttbl3,ROUNDDOWN($H9,0),CE$2)))))*ADRYr3!P9*ADRYr3!Q9*ADRYr3!U9)</f>
        <v/>
      </c>
      <c r="CF9" s="41" t="str">
        <f t="shared" si="35"/>
        <v/>
      </c>
      <c r="CG9" s="30" t="str">
        <f t="shared" si="10"/>
        <v/>
      </c>
      <c r="CH9" s="30" t="str">
        <f>IF($G9="","",$G9*(IF(ADRYr3!$AI9=BY$4,ADRYr3!$AJ9,IF(ADRYr3!$AK9=BY$4,ADRYr3!$AL9,IF(ADRYr3!$AM9=BY$4,ADRYr3!$AN9,0))))*(INDEX(avoidedcosttbl3,$H9,CH$2)+(($H9-ROUNDDOWN($H9,0))*(INDEX(avoidedcosttbl3,ROUNDUP($H9,0),CH$2)-(INDEX(avoidedcosttbl3,ROUNDDOWN($H9,0),CH$2)))))*ADRYr3!P9*ADRYr3!Q9*ADRYr3!U9)</f>
        <v/>
      </c>
      <c r="CI9" s="30" t="str">
        <f>IF($G9="","",$G9*(IF(ADRYr3!$AI9=BZ$4,ADRYr3!$AJ9,IF(ADRYr3!$AK9=BZ$4,ADRYr3!$AL9,IF(ADRYr3!$AM9=BZ$4,ADRYr3!$AN9,0))))*(INDEX(avoidedcosttbl3,$H9,CI$2)+(($H9-ROUNDDOWN($H9,0))*(INDEX(avoidedcosttbl3,ROUNDUP($H9,0),CI$2)-(INDEX(avoidedcosttbl3,ROUNDDOWN($H9,0),CI$2)))))*ADRYr3!P9*ADRYr3!Q9*ADRYr3!U9)</f>
        <v/>
      </c>
      <c r="CJ9" s="30" t="str">
        <f>IF($G9="","",$G9*(IF(ADRYr3!$AI9=CA$4,ADRYr3!$AJ9,IF(ADRYr3!$AK9=CA$4,ADRYr3!$AL9,IF(ADRYr3!$AM9=CA$4,ADRYr3!$AN9,0))))*(INDEX(avoidedcosttbl3,$H9,CJ$2)+(($H9-ROUNDDOWN($H9,0))*(INDEX(avoidedcosttbl3,ROUNDUP($H9,0),CJ$2)-(INDEX(avoidedcosttbl3,ROUNDDOWN($H9,0),CJ$2)))))*ADRYr3!P9*ADRYr3!Q9*ADRYr3!U9)</f>
        <v/>
      </c>
      <c r="CK9" s="30" t="str">
        <f>IF($G9="","",$G9*(IF(ADRYr3!$AI9=CB$4,ADRYr3!$AJ9,IF(ADRYr3!$AK9=CB$4,ADRYr3!$AL9,IF(ADRYr3!$AM9=CB$4,ADRYr3!$AN9,0))))*(INDEX(avoidedcosttbl3,$H9,CK$2)+(($H9-ROUNDDOWN($H9,0))*(INDEX(avoidedcosttbl3,ROUNDUP($H9,0),CK$2)-(INDEX(avoidedcosttbl3,ROUNDDOWN($H9,0),CK$2)))))*ADRYr3!P9*ADRYr3!Q9*ADRYr3!U9)</f>
        <v/>
      </c>
      <c r="CL9" s="30" t="str">
        <f>IF($G9="","",$G9*(IF(ADRYr3!$AI9=CC$4,ADRYr3!$AJ9,IF(ADRYr3!$AK9=CC$4,ADRYr3!$AL9,IF(ADRYr3!$AM9=CC$4,ADRYr3!$AN9,0))))*(INDEX(avoidedcosttbl3,$H9,CL$2)+(($H9-ROUNDDOWN($H9,0))*(INDEX(avoidedcosttbl3,ROUNDUP($H9,0),CL$2)-(INDEX(avoidedcosttbl3,ROUNDDOWN($H9,0),CL$2)))))*ADRYr3!P9*ADRYr3!Q9*ADRYr3!U9)</f>
        <v/>
      </c>
      <c r="CM9" s="30" t="str">
        <f>IF($G9="","",$G9*(IF(ADRYr3!$AI9=CD$4,ADRYr3!$AJ9,IF(ADRYr3!$AK9=CD$4,ADRYr3!$AL9,IF(ADRYr3!$AM9=CD$4,ADRYr3!$AN9,0))))*(INDEX(avoidedcosttbl3,$H9,CM$2)+(($H9-ROUNDDOWN($H9,0))*(INDEX(avoidedcosttbl3,ROUNDUP($H9,0),CM$2)-(INDEX(avoidedcosttbl3,ROUNDDOWN($H9,0),CM$2)))))*ADRYr3!P9*ADRYr3!Q9*ADRYr3!U9)</f>
        <v/>
      </c>
      <c r="CN9" s="30" t="str">
        <f>IF($G9="","",$G9*(IF(ADRYr3!$AI9=CE$4,ADRYr3!$AJ9,IF(ADRYr3!$AK9=CE$4,ADRYr3!$AL9,IF(ADRYr3!$AM9=CE$4,ADRYr3!$AN9,0))))*(INDEX(avoidedcosttbl3,$H9,CN$2)+(($H9-ROUNDDOWN($H9,0))*(INDEX(avoidedcosttbl3,ROUNDUP($H9,0),CN$2)-(INDEX(avoidedcosttbl3,ROUNDDOWN($H9,0),CN$2)))))*ADRYr3!P9*ADRYr3!Q9*ADRYr3!U9)</f>
        <v/>
      </c>
      <c r="CO9" s="220" t="str">
        <f t="shared" si="36"/>
        <v/>
      </c>
      <c r="CP9" s="220" t="str">
        <f t="shared" si="37"/>
        <v/>
      </c>
      <c r="CQ9" s="157" t="str">
        <f>IF($G9="","",$G9*(IF(ADRYr3!$AI9=CQ$4,ADRYr3!$AJ9,IF(ADRYr3!$AK9=CQ$4,ADRYr3!$AL9,IF(ADRYr3!$AM9=CQ$4,ADRYr3!$AN9,0))))*(INDEX(avoidedcosttbl3,$H9,CQ$2)+(($H9-ROUNDDOWN($H9,0))*(INDEX(avoidedcosttbl3,ROUNDUP($H9,0),CQ$2)-(INDEX(avoidedcosttbl3,ROUNDDOWN($H9,0),CQ$2)))))*ADRYr3!$P9*ADRYr3!$Q9*ADRYr3!$U9)</f>
        <v/>
      </c>
      <c r="CR9" s="28" t="str">
        <f>IF($G9="","",G9*(IF(ADRYr3!$AI9=CR$4,ADRYr3!$AJ9,IF(ADRYr3!$AK9=CR$4,ADRYr3!$AL9,IF(ADRYr3!$AM9=CR$4,ADRYr3!$AN9,0))))*(INDEX(avoidedcosttbl3,$H9,CR$2)+(($H9-ROUNDDOWN($H9,0))*(INDEX(avoidedcosttbl3,ROUNDUP($H9,0),CR$2)-(INDEX(avoidedcosttbl3,ROUNDDOWN($H9,0),CR$2)))))*ADRYr3!$P9*ADRYr3!$Q9*ADRYr3!$U9)</f>
        <v/>
      </c>
      <c r="CS9" s="28" t="str">
        <f>IF($G9="","",G9*(IF(ADRYr3!$AI9=CS$4,ADRYr3!$AJ9,IF(ADRYr3!$AK9=CS$4,ADRYr3!$AL9,IF(ADRYr3!$AM9=CS$4,ADRYr3!$AN9,0))))*(INDEX(avoidedcosttbl3,$H9,CS$2)+(($H9-ROUNDDOWN($H9,0))*(INDEX(avoidedcosttbl3,ROUNDUP($H9,0),CS$2)-(INDEX(avoidedcosttbl3,ROUNDDOWN($H9,0),CS$2)))))*ADRYr3!$P9*ADRYr3!$Q9*ADRYr3!$U9)</f>
        <v/>
      </c>
      <c r="CT9" s="28" t="str">
        <f t="shared" si="11"/>
        <v/>
      </c>
      <c r="CU9" s="28" t="str">
        <f>IF($G9="","",G9*(IF(ADRYr3!$AI9=CU$4,ADRYr3!$AJ9,IF(ADRYr3!$AK9=CU$4,ADRYr3!$AL9,IF(ADRYr3!$AM9=CU$4,ADRYr3!$AN9,0))))*(INDEX(avoidedcosttbl3,$H9,CU$2)+(($H9-ROUNDDOWN($H9,0))*(INDEX(avoidedcosttbl3,ROUNDUP($H9,0),CU$2)-(INDEX(avoidedcosttbl3,ROUNDDOWN($H9,0),CU$2)))))*ADRYr3!$P9*ADRYr3!$Q9*ADRYr3!$U9)</f>
        <v/>
      </c>
      <c r="CV9" s="28" t="str">
        <f>IF($G9="","",G9*(IF(ADRYr3!$AI9=CV$4,ADRYr3!$AJ9,IF(ADRYr3!$AK9=CV$4,ADRYr3!$AL9,IF(ADRYr3!$AM9=CV$4,ADRYr3!$AN9,0))))*(INDEX(avoidedcosttbl3,$H9,CV$2)+(($H9-ROUNDDOWN($H9,0))*(INDEX(avoidedcosttbl3,ROUNDUP($H9,0),CV$2)-(INDEX(avoidedcosttbl3,ROUNDDOWN($H9,0),CV$2)))))*ADRYr3!$P9*ADRYr3!$Q9*ADRYr3!$U9)</f>
        <v/>
      </c>
      <c r="CW9" s="28" t="str">
        <f>IF($G9="","",G9*(IF(ADRYr3!$AI9=CW$4,ADRYr3!$AJ9,IF(ADRYr3!$AK9=CW$4,ADRYr3!$AL9,IF(ADRYr3!$AM9=CW$4,ADRYr3!$AN9,0))))*(INDEX(avoidedcosttbl3,$H9,CW$2)+(($H9-ROUNDDOWN($H9,0))*(INDEX(avoidedcosttbl3,ROUNDUP($H9,0),CW$2)-(INDEX(avoidedcosttbl3,ROUNDDOWN($H9,0),CW$2)))))*ADRYr3!$P9*ADRYr3!$Q9*ADRYr3!$U9)</f>
        <v/>
      </c>
      <c r="CX9" s="28" t="str">
        <f>IF($G9="","",G9*(IF(ADRYr3!$AI9=CX$4,ADRYr3!$AJ9,IF(ADRYr3!$AK9=CX$4,ADRYr3!$AL9,IF(ADRYr3!$AM9=CX$4,ADRYr3!$AN9,0))))*(INDEX(avoidedcosttbl3,$H9,CX$2)+(($H9-ROUNDDOWN($H9,0))*(INDEX(avoidedcosttbl3,ROUNDUP($H9,0),CX$2)-(INDEX(avoidedcosttbl3,ROUNDDOWN($H9,0),CX$2)))))*ADRYr3!$P9*ADRYr3!$Q9*ADRYr3!$U9)</f>
        <v/>
      </c>
      <c r="CY9" s="28" t="str">
        <f t="shared" si="38"/>
        <v/>
      </c>
      <c r="CZ9" s="32" t="str">
        <f t="shared" si="39"/>
        <v/>
      </c>
      <c r="DA9" s="84" t="str">
        <f t="shared" si="40"/>
        <v/>
      </c>
      <c r="DB9" s="81" t="str">
        <f>IF(NEIadder="Yes",IF($G9="","",INDEX(Lookups!$G$68:$G$70,MATCH($A9,Lookups!$E$68:$E$70,0))*(SUM(CP9:CX9,BX9))),"")</f>
        <v/>
      </c>
      <c r="DC9" s="263" t="str">
        <f t="shared" si="41"/>
        <v/>
      </c>
      <c r="DD9" s="166" t="str">
        <f t="shared" si="42"/>
        <v/>
      </c>
      <c r="DE9" s="82">
        <f t="shared" si="43"/>
        <v>0</v>
      </c>
      <c r="DF9" s="760" t="str">
        <f>IF($G9="","",(1+WntPeakEnergyLL)*(INDEX(avoidedcosttbl3,$H9,DF$2)+(($H9-ROUNDDOWN($H9,0))*(INDEX(avoidedcosttbl3,ROUNDUP($H9,0),DF$2)-(INDEX(avoidedcosttbl3,ROUNDDOWN($H9,0),DF$2)))))*$P9*1000*ADRYr3!Z9)</f>
        <v/>
      </c>
      <c r="DG9" s="760" t="str">
        <f>IF($G9="","",(1+WntOffPeakEnergyLL)*(INDEX(avoidedcosttbl3,$H9,DG$2)+(($H9-ROUNDDOWN($H9,0))*(INDEX(avoidedcosttbl3,ROUNDUP($H9,0),DG$2)-(INDEX(avoidedcosttbl3,ROUNDDOWN($H9,0),DG$2)))))*$P9*1000*ADRYr3!AA9)</f>
        <v/>
      </c>
      <c r="DH9" s="760" t="str">
        <f>IF($G9="","",(1+SumPeakEnergyLL)*(INDEX(avoidedcosttbl3,$H9,DH$2)+(($H9-ROUNDDOWN($H9,0))*(INDEX(avoidedcosttbl3,ROUNDUP($H9,0),DH$2)-(INDEX(avoidedcosttbl3,ROUNDDOWN($H9,0),DH$2)))))*$P9*1000*ADRYr3!AB9)</f>
        <v/>
      </c>
      <c r="DI9" s="760" t="str">
        <f>IF($G9="","",(1+SumOffPeakEnergyLL)*(INDEX(avoidedcosttbl3,$H9,DI$2)+(($H9-ROUNDDOWN($H9,0))*(INDEX(avoidedcosttbl3,ROUNDUP($H9,0),DI$2)-(INDEX(avoidedcosttbl3,ROUNDDOWN($H9,0),DI$2)))))*$P9*1000*ADRYr3!AC9)</f>
        <v/>
      </c>
      <c r="DJ9" s="29" t="str">
        <f t="shared" si="44"/>
        <v/>
      </c>
      <c r="DK9" s="161" t="str">
        <f t="shared" si="45"/>
        <v/>
      </c>
      <c r="DL9" s="1375" t="str">
        <f t="shared" si="46"/>
        <v/>
      </c>
      <c r="DM9" s="1375" t="str">
        <f t="shared" si="47"/>
        <v/>
      </c>
      <c r="DN9" s="43" t="str">
        <f t="shared" si="48"/>
        <v/>
      </c>
      <c r="DO9" s="1131" t="str">
        <f>IF($G9="","",ADRYr3!AQ9)</f>
        <v/>
      </c>
      <c r="DP9" s="1133" t="str">
        <f>IF($G9="","",ADRYr3!AR9)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49"/>
        <v/>
      </c>
      <c r="DU9" s="1135" t="str">
        <f>IF($G9="","",ADRYr3!AS9)</f>
        <v/>
      </c>
      <c r="DV9" s="1136" t="str">
        <f>IF($G9="","",ADRYr3!AT9)</f>
        <v/>
      </c>
      <c r="DW9" s="1344" t="str">
        <f>IF($G9="","",INDEX(AvoidedEnergy!$H$4:$H$10,MATCH($DO9,AvoidedEnergy!$A$4:$A$10,0)))</f>
        <v/>
      </c>
    </row>
    <row r="10" spans="1:127">
      <c r="A10" s="160" t="str">
        <f>IF(ADRYr3!$B10=0,"",ADRYr3!A10)</f>
        <v>A - Residential</v>
      </c>
      <c r="B10" s="9" t="str">
        <f>IF(ADRYr3!$B10=0,"",ADRYr3!B10)</f>
        <v>A5 - Residential Active Demand Response</v>
      </c>
      <c r="C10" s="9" t="str">
        <f>IF(ADRYr3!$B10=0,"",ADRYr3!C10)</f>
        <v>A5a - Residential Active Demand Response</v>
      </c>
      <c r="D10" s="9" t="str">
        <f>IF(ADRYr3!$B10=0,"",ADRYr3!D10)</f>
        <v>Storage Daily Dispatch Upfront Incentive (consumption) Winter</v>
      </c>
      <c r="E10" s="9">
        <f>IF(ADRYr3!$B10=0,"",ADRYr3!E10)</f>
        <v>0</v>
      </c>
      <c r="F10" s="11" t="str">
        <f>IF(ADRYr3!$B10=0,"",ADRYr3!F10)</f>
        <v>Behavior</v>
      </c>
      <c r="G10" s="12" t="str">
        <f>IF(ADRYr3!$G10&lt;&gt;0,ADRYr3!G10,"")</f>
        <v/>
      </c>
      <c r="H10" s="1125" t="str">
        <f>IF($G10="","",ROUND(ADRYr3!H10,0))</f>
        <v/>
      </c>
      <c r="I10" s="47" t="str">
        <f>IF($G10="","",ADRYr3!I10*ADRYr3!P10*G10)</f>
        <v/>
      </c>
      <c r="J10" s="47" t="str">
        <f>IF($G10="","",ADRYr3!J10*G10)</f>
        <v/>
      </c>
      <c r="K10" s="47" t="str">
        <f t="shared" si="12"/>
        <v/>
      </c>
      <c r="L10" s="27" t="str">
        <f>IF($G10="","",ADRYr3!V10*G10/1000)</f>
        <v/>
      </c>
      <c r="M10" s="27" t="str">
        <f>IF($G10="","",L10*ADRYr3!$Q10*ADRYr3!$R10)</f>
        <v/>
      </c>
      <c r="N10" s="27" t="str">
        <f t="shared" si="13"/>
        <v/>
      </c>
      <c r="O10" s="27" t="str">
        <f t="shared" si="14"/>
        <v/>
      </c>
      <c r="P10" s="27" t="str">
        <f>IF($G10="","",M10*ADRYr3!P10)</f>
        <v/>
      </c>
      <c r="Q10" s="27" t="str">
        <f t="shared" si="15"/>
        <v/>
      </c>
      <c r="R10" s="27" t="str">
        <f>IF($G10="","",$Q10*ADRYr3!Z10)</f>
        <v/>
      </c>
      <c r="S10" s="27" t="str">
        <f>IF($G10="","",$Q10*ADRYr3!AA10)</f>
        <v/>
      </c>
      <c r="T10" s="27" t="str">
        <f>IF($G10="","",$Q10*ADRYr3!AB10)</f>
        <v/>
      </c>
      <c r="U10" s="27" t="str">
        <f>IF($G10="","",$Q10*ADRYr3!AC10)</f>
        <v/>
      </c>
      <c r="V10" s="27" t="str">
        <f>IF($G10="","",G10*ADRYr3!$AD10*ADRYr3!$P10*ADRYr3!$Q10)</f>
        <v/>
      </c>
      <c r="W10" s="27" t="str">
        <f>IF($G10="","",$G10*ADRYr3!$AD10*ADRYr3!$AF10*ADRYr3!Q10*ADRYr3!$S10)</f>
        <v/>
      </c>
      <c r="X10" s="27" t="str">
        <f>IF($G10="","",$G10*ADRYr3!$AD10*ADRYr3!$AF10*ADRYr3!P10*ADRYr3!Q10*ADRYr3!$S10)</f>
        <v/>
      </c>
      <c r="Y10" s="27" t="str">
        <f>IF($G10="","",$G10*ADRYr3!$AD10*ADRYr3!$AE10*ADRYr3!Q10*ADRYr3!$T10)</f>
        <v/>
      </c>
      <c r="Z10" s="27" t="str">
        <f>IF($G10="","",$G10*ADRYr3!$AD10*ADRYr3!$AE10*ADRYr3!P10*ADRYr3!Q10*ADRYr3!$T10)</f>
        <v/>
      </c>
      <c r="AA10" s="45" t="str">
        <f>IF($G10="","",$G10*ADRYr3!$Q10*ADRYr3!$U10*(IF(IFERROR(SEARCH("NG", ADRYr3!$AI10),0),ADRYr3!$AJ10,0)+IF(IFERROR(SEARCH("NG", ADRYr3!$AK10),0),ADRYr3!$AL10,0)+IF(IFERROR(SEARCH("NG", ADRYr3!$AM10),0),ADRYr3!$AN10,0)))</f>
        <v/>
      </c>
      <c r="AB10" s="45" t="str">
        <f t="shared" si="16"/>
        <v/>
      </c>
      <c r="AC10" s="45">
        <f>IF($G10="",0,AA10*ADRYr3!$P10)</f>
        <v>0</v>
      </c>
      <c r="AD10" s="45" t="str">
        <f t="shared" si="17"/>
        <v/>
      </c>
      <c r="AE10" s="45" t="str">
        <f>IF($G10="","",$G10*ADRYr3!$Q10*ADRYr3!$U10*(IF(IFERROR(SEARCH("Oil", ADRYr3!$AI10), 0),ADRYr3!$AJ10,0)+IF(IFERROR(SEARCH("Oil", ADRYr3!$AK10), 0),ADRYr3!$AL10,0)+IF(IFERROR(SEARCH("Oil", ADRYr3!$AM10), 0),ADRYr3!$AN10,0)))</f>
        <v/>
      </c>
      <c r="AF10" s="45" t="str">
        <f t="shared" si="18"/>
        <v/>
      </c>
      <c r="AG10" s="45">
        <f>IF($G10="",0,AE10*ADRYr3!$P10)</f>
        <v>0</v>
      </c>
      <c r="AH10" s="45" t="str">
        <f t="shared" si="19"/>
        <v/>
      </c>
      <c r="AI10" s="45" t="str">
        <f>IF($G10="","",$G10*ADRYr3!$Q10*ADRYr3!$U10*(IF(ADRYr3!$AI10=Lookups!$E$114,ADRYr3!$AJ10,IF(ADRYr3!$AK10=Lookups!$E$114,ADRYr3!$AL10,IF(ADRYr3!$AM10=Lookups!$E$114,ADRYr3!$AN10,0)))))</f>
        <v/>
      </c>
      <c r="AJ10" s="45" t="str">
        <f t="shared" si="20"/>
        <v/>
      </c>
      <c r="AK10" s="45">
        <f>IF($G10="",0,AI10*ADRYr3!$P10)</f>
        <v>0</v>
      </c>
      <c r="AL10" s="45" t="str">
        <f t="shared" si="21"/>
        <v/>
      </c>
      <c r="AM10" s="45" t="str">
        <f>IF($G10="","",$G10*ADRYr3!$Q10*ADRYr3!$U10*(IF(ADRYr3!$AI10=Lookups!$E$113,ADRYr3!$AJ10,IF(ADRYr3!$AK10=Lookups!$E$113,ADRYr3!$AL10,IF(ADRYr3!$AM10=Lookups!$E$113,ADRYr3!$AN10,0)))))</f>
        <v/>
      </c>
      <c r="AN10" s="45" t="str">
        <f t="shared" si="22"/>
        <v/>
      </c>
      <c r="AO10" s="45">
        <f>IF($G10="",0,AM10*ADRYr3!$P10)</f>
        <v>0</v>
      </c>
      <c r="AP10" s="45" t="str">
        <f t="shared" si="23"/>
        <v/>
      </c>
      <c r="AQ10" s="45" t="str">
        <f>IF($G10="","",$G10*ADRYr3!$Q10*ADRYr3!$U10*(IF(ADRYr3!$AI10=Lookups!$E$115,ADRYr3!$AJ10,IF(ADRYr3!$AK10=Lookups!$E$115,ADRYr3!$AL10,IF(ADRYr3!$AM10=Lookups!$E$115,ADRYr3!$AN10,0)))))</f>
        <v/>
      </c>
      <c r="AR10" s="45" t="str">
        <f t="shared" si="24"/>
        <v/>
      </c>
      <c r="AS10" s="45" t="str">
        <f>IF($G10="","",AQ10*ADRYr3!$P10)</f>
        <v/>
      </c>
      <c r="AT10" s="45" t="str">
        <f t="shared" si="25"/>
        <v/>
      </c>
      <c r="AU10" s="45" t="str">
        <f>IF($G10="","",$G10*ADRYr3!$Q10*ADRYr3!$U10*(IF(ADRYr3!$AI10=Lookups!$E$116,ADRYr3!$AJ10,IF(ADRYr3!$AK10=Lookups!$E$116,ADRYr3!$AL10,IF(ADRYr3!$AM10=Lookups!$E$116,ADRYr3!$AN10,0)))))</f>
        <v/>
      </c>
      <c r="AV10" s="45" t="str">
        <f t="shared" si="26"/>
        <v/>
      </c>
      <c r="AW10" s="45" t="str">
        <f>IF($G10="","",AU10*ADRYr3!$P10)</f>
        <v/>
      </c>
      <c r="AX10" s="45" t="str">
        <f t="shared" si="27"/>
        <v/>
      </c>
      <c r="AY10" s="45">
        <f t="shared" si="28"/>
        <v>0</v>
      </c>
      <c r="AZ10" s="45">
        <f t="shared" si="29"/>
        <v>0</v>
      </c>
      <c r="BA10" s="101" t="str">
        <f>IF($G10="","",$G10*ADRYr3!$P10*ADRYr3!$Q10*ADRYr3!$U10*ADRYr3!AO10)</f>
        <v/>
      </c>
      <c r="BB10" s="102" t="str">
        <f>IF($G10="","",$G10*ADRYr3!$P10*ADRYr3!$Q10*ADRYr3!$U10*ADRYr3!AP10)</f>
        <v/>
      </c>
      <c r="BC10" s="100" t="str">
        <f t="shared" si="30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31"/>
        <v/>
      </c>
      <c r="BO10" s="31" t="str">
        <f t="shared" si="32"/>
        <v/>
      </c>
      <c r="BP10" s="1129" t="str">
        <f t="shared" si="5"/>
        <v/>
      </c>
      <c r="BQ10" s="28" t="str">
        <f t="shared" si="6"/>
        <v/>
      </c>
      <c r="BR10" s="1129" t="str">
        <f t="shared" si="7"/>
        <v/>
      </c>
      <c r="BS10" s="1129" t="str">
        <f t="shared" si="8"/>
        <v/>
      </c>
      <c r="BT10" s="28" t="str">
        <f t="shared" si="9"/>
        <v/>
      </c>
      <c r="BU10" s="28" t="str">
        <f t="shared" si="9"/>
        <v/>
      </c>
      <c r="BV10" s="28" t="str">
        <f t="shared" si="9"/>
        <v/>
      </c>
      <c r="BW10" s="29" t="str">
        <f t="shared" si="33"/>
        <v/>
      </c>
      <c r="BX10" s="29" t="str">
        <f t="shared" si="34"/>
        <v/>
      </c>
      <c r="BY10" s="28" t="str">
        <f>IF($G10="","",$G10*(IF(ADRYr3!$AI10=BY$4,ADRYr3!$AJ10,IF(ADRYr3!$AK10=BY$4,ADRYr3!$AL10,IF(ADRYr3!$AM10=BY$4,ADRYr3!$AN10,0))))*(INDEX(avoidedcosttbl3,$H10,BY$2)+(($H10-ROUNDDOWN($H10,0))*(INDEX(avoidedcosttbl3,ROUNDUP($H10,0),BY$2)-(INDEX(avoidedcosttbl3,ROUNDDOWN($H10,0),BY$2)))))*ADRYr3!P10*ADRYr3!Q10*ADRYr3!U10)</f>
        <v/>
      </c>
      <c r="BZ10" s="28" t="str">
        <f>IF($G10="","",$G10*(IF(ADRYr3!$AI10=BZ$4,ADRYr3!$AJ10,IF(ADRYr3!$AK10=BZ$4,ADRYr3!$AL10,IF(ADRYr3!$AM10=BZ$4,ADRYr3!$AN10,0))))*(INDEX(avoidedcosttbl3,$H10,BZ$2)+(($H10-ROUNDDOWN($H10,0))*(INDEX(avoidedcosttbl3,ROUNDUP($H10,0),BZ$2)-(INDEX(avoidedcosttbl3,ROUNDDOWN($H10,0),BZ$2)))))*ADRYr3!P10*ADRYr3!Q10*ADRYr3!U10)</f>
        <v/>
      </c>
      <c r="CA10" s="28" t="str">
        <f>IF($G10="","",$G10*(IF(ADRYr3!$AI10=CA$4,ADRYr3!$AJ10,IF(ADRYr3!$AK10=CA$4,ADRYr3!$AL10,IF(ADRYr3!$AM10=CA$4,ADRYr3!$AN10,0))))*(INDEX(avoidedcosttbl3,$H10,CA$2)+(($H10-ROUNDDOWN($H10,0))*(INDEX(avoidedcosttbl3,ROUNDUP($H10,0),CA$2)-(INDEX(avoidedcosttbl3,ROUNDDOWN($H10,0),CA$2)))))*ADRYr3!P10*ADRYr3!Q10*ADRYr3!U10)</f>
        <v/>
      </c>
      <c r="CB10" s="28" t="str">
        <f>IF($G10="","",$G10*(IF(ADRYr3!$AI10=CB$4,ADRYr3!$AJ10,IF(ADRYr3!$AK10=CB$4,ADRYr3!$AL10,IF(ADRYr3!$AM10=CB$4,ADRYr3!$AN10,0))))*(INDEX(avoidedcosttbl3,$H10,CB$2)+(($H10-ROUNDDOWN($H10,0))*(INDEX(avoidedcosttbl3,ROUNDUP($H10,0),CB$2)-(INDEX(avoidedcosttbl3,ROUNDDOWN($H10,0),CB$2)))))*ADRYr3!P10*ADRYr3!Q10*ADRYr3!U10)</f>
        <v/>
      </c>
      <c r="CC10" s="28" t="str">
        <f>IF($G10="","",$G10*(IF(ADRYr3!$AI10=CC$4,ADRYr3!$AJ10,IF(ADRYr3!$AK10=CC$4,ADRYr3!$AL10,IF(ADRYr3!$AM10=CC$4,ADRYr3!$AN10,0))))*(INDEX(avoidedcosttbl3,$H10,CC$2)+(($H10-ROUNDDOWN($H10,0))*(INDEX(avoidedcosttbl3,ROUNDUP($H10,0),CC$2)-(INDEX(avoidedcosttbl3,ROUNDDOWN($H10,0),CC$2)))))*ADRYr3!P10*ADRYr3!Q10*ADRYr3!U10)</f>
        <v/>
      </c>
      <c r="CD10" s="28" t="str">
        <f>IF($G10="","",$G10*(IF(ADRYr3!$AI10=CD$4,ADRYr3!$AJ10,IF(ADRYr3!$AK10=CD$4,ADRYr3!$AL10,IF(ADRYr3!$AM10=CD$4,ADRYr3!$AN10,0))))*(INDEX(avoidedcosttbl3,$H10,CD$2)+(($H10-ROUNDDOWN($H10,0))*(INDEX(avoidedcosttbl3,ROUNDUP($H10,0),CD$2)-(INDEX(avoidedcosttbl3,ROUNDDOWN($H10,0),CD$2)))))*ADRYr3!P10*ADRYr3!Q10*ADRYr3!U10)</f>
        <v/>
      </c>
      <c r="CE10" s="28" t="str">
        <f>IF($G10="","",$G10*(IF(ADRYr3!$AI10=CE$4,ADRYr3!$AJ10,IF(ADRYr3!$AK10=CE$4,ADRYr3!$AL10,IF(ADRYr3!$AM10=CE$4,ADRYr3!$AN10,0))))*(INDEX(avoidedcosttbl3,$H10,CE$2)+(($H10-ROUNDDOWN($H10,0))*(INDEX(avoidedcosttbl3,ROUNDUP($H10,0),CE$2)-(INDEX(avoidedcosttbl3,ROUNDDOWN($H10,0),CE$2)))))*ADRYr3!P10*ADRYr3!Q10*ADRYr3!U10)</f>
        <v/>
      </c>
      <c r="CF10" s="41" t="str">
        <f t="shared" si="35"/>
        <v/>
      </c>
      <c r="CG10" s="30" t="str">
        <f t="shared" si="10"/>
        <v/>
      </c>
      <c r="CH10" s="30" t="str">
        <f>IF($G10="","",$G10*(IF(ADRYr3!$AI10=BY$4,ADRYr3!$AJ10,IF(ADRYr3!$AK10=BY$4,ADRYr3!$AL10,IF(ADRYr3!$AM10=BY$4,ADRYr3!$AN10,0))))*(INDEX(avoidedcosttbl3,$H10,CH$2)+(($H10-ROUNDDOWN($H10,0))*(INDEX(avoidedcosttbl3,ROUNDUP($H10,0),CH$2)-(INDEX(avoidedcosttbl3,ROUNDDOWN($H10,0),CH$2)))))*ADRYr3!P10*ADRYr3!Q10*ADRYr3!U10)</f>
        <v/>
      </c>
      <c r="CI10" s="30" t="str">
        <f>IF($G10="","",$G10*(IF(ADRYr3!$AI10=BZ$4,ADRYr3!$AJ10,IF(ADRYr3!$AK10=BZ$4,ADRYr3!$AL10,IF(ADRYr3!$AM10=BZ$4,ADRYr3!$AN10,0))))*(INDEX(avoidedcosttbl3,$H10,CI$2)+(($H10-ROUNDDOWN($H10,0))*(INDEX(avoidedcosttbl3,ROUNDUP($H10,0),CI$2)-(INDEX(avoidedcosttbl3,ROUNDDOWN($H10,0),CI$2)))))*ADRYr3!P10*ADRYr3!Q10*ADRYr3!U10)</f>
        <v/>
      </c>
      <c r="CJ10" s="30" t="str">
        <f>IF($G10="","",$G10*(IF(ADRYr3!$AI10=CA$4,ADRYr3!$AJ10,IF(ADRYr3!$AK10=CA$4,ADRYr3!$AL10,IF(ADRYr3!$AM10=CA$4,ADRYr3!$AN10,0))))*(INDEX(avoidedcosttbl3,$H10,CJ$2)+(($H10-ROUNDDOWN($H10,0))*(INDEX(avoidedcosttbl3,ROUNDUP($H10,0),CJ$2)-(INDEX(avoidedcosttbl3,ROUNDDOWN($H10,0),CJ$2)))))*ADRYr3!P10*ADRYr3!Q10*ADRYr3!U10)</f>
        <v/>
      </c>
      <c r="CK10" s="30" t="str">
        <f>IF($G10="","",$G10*(IF(ADRYr3!$AI10=CB$4,ADRYr3!$AJ10,IF(ADRYr3!$AK10=CB$4,ADRYr3!$AL10,IF(ADRYr3!$AM10=CB$4,ADRYr3!$AN10,0))))*(INDEX(avoidedcosttbl3,$H10,CK$2)+(($H10-ROUNDDOWN($H10,0))*(INDEX(avoidedcosttbl3,ROUNDUP($H10,0),CK$2)-(INDEX(avoidedcosttbl3,ROUNDDOWN($H10,0),CK$2)))))*ADRYr3!P10*ADRYr3!Q10*ADRYr3!U10)</f>
        <v/>
      </c>
      <c r="CL10" s="30" t="str">
        <f>IF($G10="","",$G10*(IF(ADRYr3!$AI10=CC$4,ADRYr3!$AJ10,IF(ADRYr3!$AK10=CC$4,ADRYr3!$AL10,IF(ADRYr3!$AM10=CC$4,ADRYr3!$AN10,0))))*(INDEX(avoidedcosttbl3,$H10,CL$2)+(($H10-ROUNDDOWN($H10,0))*(INDEX(avoidedcosttbl3,ROUNDUP($H10,0),CL$2)-(INDEX(avoidedcosttbl3,ROUNDDOWN($H10,0),CL$2)))))*ADRYr3!P10*ADRYr3!Q10*ADRYr3!U10)</f>
        <v/>
      </c>
      <c r="CM10" s="30" t="str">
        <f>IF($G10="","",$G10*(IF(ADRYr3!$AI10=CD$4,ADRYr3!$AJ10,IF(ADRYr3!$AK10=CD$4,ADRYr3!$AL10,IF(ADRYr3!$AM10=CD$4,ADRYr3!$AN10,0))))*(INDEX(avoidedcosttbl3,$H10,CM$2)+(($H10-ROUNDDOWN($H10,0))*(INDEX(avoidedcosttbl3,ROUNDUP($H10,0),CM$2)-(INDEX(avoidedcosttbl3,ROUNDDOWN($H10,0),CM$2)))))*ADRYr3!P10*ADRYr3!Q10*ADRYr3!U10)</f>
        <v/>
      </c>
      <c r="CN10" s="30" t="str">
        <f>IF($G10="","",$G10*(IF(ADRYr3!$AI10=CE$4,ADRYr3!$AJ10,IF(ADRYr3!$AK10=CE$4,ADRYr3!$AL10,IF(ADRYr3!$AM10=CE$4,ADRYr3!$AN10,0))))*(INDEX(avoidedcosttbl3,$H10,CN$2)+(($H10-ROUNDDOWN($H10,0))*(INDEX(avoidedcosttbl3,ROUNDUP($H10,0),CN$2)-(INDEX(avoidedcosttbl3,ROUNDDOWN($H10,0),CN$2)))))*ADRYr3!P10*ADRYr3!Q10*ADRYr3!U10)</f>
        <v/>
      </c>
      <c r="CO10" s="220" t="str">
        <f t="shared" si="36"/>
        <v/>
      </c>
      <c r="CP10" s="220" t="str">
        <f t="shared" si="37"/>
        <v/>
      </c>
      <c r="CQ10" s="157" t="str">
        <f>IF($G10="","",$G10*(IF(ADRYr3!$AI10=CQ$4,ADRYr3!$AJ10,IF(ADRYr3!$AK10=CQ$4,ADRYr3!$AL10,IF(ADRYr3!$AM10=CQ$4,ADRYr3!$AN10,0))))*(INDEX(avoidedcosttbl3,$H10,CQ$2)+(($H10-ROUNDDOWN($H10,0))*(INDEX(avoidedcosttbl3,ROUNDUP($H10,0),CQ$2)-(INDEX(avoidedcosttbl3,ROUNDDOWN($H10,0),CQ$2)))))*ADRYr3!$P10*ADRYr3!$Q10*ADRYr3!$U10)</f>
        <v/>
      </c>
      <c r="CR10" s="28" t="str">
        <f>IF($G10="","",G10*(IF(ADRYr3!$AI10=CR$4,ADRYr3!$AJ10,IF(ADRYr3!$AK10=CR$4,ADRYr3!$AL10,IF(ADRYr3!$AM10=CR$4,ADRYr3!$AN10,0))))*(INDEX(avoidedcosttbl3,$H10,CR$2)+(($H10-ROUNDDOWN($H10,0))*(INDEX(avoidedcosttbl3,ROUNDUP($H10,0),CR$2)-(INDEX(avoidedcosttbl3,ROUNDDOWN($H10,0),CR$2)))))*ADRYr3!$P10*ADRYr3!$Q10*ADRYr3!$U10)</f>
        <v/>
      </c>
      <c r="CS10" s="28" t="str">
        <f>IF($G10="","",G10*(IF(ADRYr3!$AI10=CS$4,ADRYr3!$AJ10,IF(ADRYr3!$AK10=CS$4,ADRYr3!$AL10,IF(ADRYr3!$AM10=CS$4,ADRYr3!$AN10,0))))*(INDEX(avoidedcosttbl3,$H10,CS$2)+(($H10-ROUNDDOWN($H10,0))*(INDEX(avoidedcosttbl3,ROUNDUP($H10,0),CS$2)-(INDEX(avoidedcosttbl3,ROUNDDOWN($H10,0),CS$2)))))*ADRYr3!$P10*ADRYr3!$Q10*ADRYr3!$U10)</f>
        <v/>
      </c>
      <c r="CT10" s="28" t="str">
        <f t="shared" si="11"/>
        <v/>
      </c>
      <c r="CU10" s="28" t="str">
        <f>IF($G10="","",G10*(IF(ADRYr3!$AI10=CU$4,ADRYr3!$AJ10,IF(ADRYr3!$AK10=CU$4,ADRYr3!$AL10,IF(ADRYr3!$AM10=CU$4,ADRYr3!$AN10,0))))*(INDEX(avoidedcosttbl3,$H10,CU$2)+(($H10-ROUNDDOWN($H10,0))*(INDEX(avoidedcosttbl3,ROUNDUP($H10,0),CU$2)-(INDEX(avoidedcosttbl3,ROUNDDOWN($H10,0),CU$2)))))*ADRYr3!$P10*ADRYr3!$Q10*ADRYr3!$U10)</f>
        <v/>
      </c>
      <c r="CV10" s="28" t="str">
        <f>IF($G10="","",G10*(IF(ADRYr3!$AI10=CV$4,ADRYr3!$AJ10,IF(ADRYr3!$AK10=CV$4,ADRYr3!$AL10,IF(ADRYr3!$AM10=CV$4,ADRYr3!$AN10,0))))*(INDEX(avoidedcosttbl3,$H10,CV$2)+(($H10-ROUNDDOWN($H10,0))*(INDEX(avoidedcosttbl3,ROUNDUP($H10,0),CV$2)-(INDEX(avoidedcosttbl3,ROUNDDOWN($H10,0),CV$2)))))*ADRYr3!$P10*ADRYr3!$Q10*ADRYr3!$U10)</f>
        <v/>
      </c>
      <c r="CW10" s="28" t="str">
        <f>IF($G10="","",G10*(IF(ADRYr3!$AI10=CW$4,ADRYr3!$AJ10,IF(ADRYr3!$AK10=CW$4,ADRYr3!$AL10,IF(ADRYr3!$AM10=CW$4,ADRYr3!$AN10,0))))*(INDEX(avoidedcosttbl3,$H10,CW$2)+(($H10-ROUNDDOWN($H10,0))*(INDEX(avoidedcosttbl3,ROUNDUP($H10,0),CW$2)-(INDEX(avoidedcosttbl3,ROUNDDOWN($H10,0),CW$2)))))*ADRYr3!$P10*ADRYr3!$Q10*ADRYr3!$U10)</f>
        <v/>
      </c>
      <c r="CX10" s="28" t="str">
        <f>IF($G10="","",G10*(IF(ADRYr3!$AI10=CX$4,ADRYr3!$AJ10,IF(ADRYr3!$AK10=CX$4,ADRYr3!$AL10,IF(ADRYr3!$AM10=CX$4,ADRYr3!$AN10,0))))*(INDEX(avoidedcosttbl3,$H10,CX$2)+(($H10-ROUNDDOWN($H10,0))*(INDEX(avoidedcosttbl3,ROUNDUP($H10,0),CX$2)-(INDEX(avoidedcosttbl3,ROUNDDOWN($H10,0),CX$2)))))*ADRYr3!$P10*ADRYr3!$Q10*ADRYr3!$U10)</f>
        <v/>
      </c>
      <c r="CY10" s="28" t="str">
        <f t="shared" si="38"/>
        <v/>
      </c>
      <c r="CZ10" s="32" t="str">
        <f t="shared" si="39"/>
        <v/>
      </c>
      <c r="DA10" s="84" t="str">
        <f t="shared" si="40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41"/>
        <v/>
      </c>
      <c r="DD10" s="166" t="str">
        <f t="shared" si="42"/>
        <v/>
      </c>
      <c r="DE10" s="82">
        <f>SUM(DB10:DD10)</f>
        <v>0</v>
      </c>
      <c r="DF10" s="760" t="str">
        <f>IF($G10="","",(1+WntPeakEnergyLL)*(INDEX(avoidedcosttbl3,$H10,DF$2)+(($H10-ROUNDDOWN($H10,0))*(INDEX(avoidedcosttbl3,ROUNDUP($H10,0),DF$2)-(INDEX(avoidedcosttbl3,ROUNDDOWN($H10,0),DF$2)))))*$P10*1000*ADRYr3!Z10)</f>
        <v/>
      </c>
      <c r="DG10" s="760" t="str">
        <f>IF($G10="","",(1+WntOffPeakEnergyLL)*(INDEX(avoidedcosttbl3,$H10,DG$2)+(($H10-ROUNDDOWN($H10,0))*(INDEX(avoidedcosttbl3,ROUNDUP($H10,0),DG$2)-(INDEX(avoidedcosttbl3,ROUNDDOWN($H10,0),DG$2)))))*$P10*1000*ADRYr3!AA10)</f>
        <v/>
      </c>
      <c r="DH10" s="760" t="str">
        <f>IF($G10="","",(1+SumPeakEnergyLL)*(INDEX(avoidedcosttbl3,$H10,DH$2)+(($H10-ROUNDDOWN($H10,0))*(INDEX(avoidedcosttbl3,ROUNDUP($H10,0),DH$2)-(INDEX(avoidedcosttbl3,ROUNDDOWN($H10,0),DH$2)))))*$P10*1000*ADRYr3!AB10)</f>
        <v/>
      </c>
      <c r="DI10" s="760" t="str">
        <f>IF($G10="","",(1+SumOffPeakEnergyLL)*(INDEX(avoidedcosttbl3,$H10,DI$2)+(($H10-ROUNDDOWN($H10,0))*(INDEX(avoidedcosttbl3,ROUNDUP($H10,0),DI$2)-(INDEX(avoidedcosttbl3,ROUNDDOWN($H10,0),DI$2)))))*$P10*1000*ADRYr3!AC10)</f>
        <v/>
      </c>
      <c r="DJ10" s="29" t="str">
        <f t="shared" si="44"/>
        <v/>
      </c>
      <c r="DK10" s="161" t="str">
        <f t="shared" si="45"/>
        <v/>
      </c>
      <c r="DL10" s="1375" t="str">
        <f t="shared" si="46"/>
        <v/>
      </c>
      <c r="DM10" s="1375" t="str">
        <f t="shared" si="47"/>
        <v/>
      </c>
      <c r="DN10" s="43" t="str">
        <f t="shared" si="48"/>
        <v/>
      </c>
      <c r="DO10" s="1131" t="str">
        <f>IF($G10="","",ADRYr3!AQ10)</f>
        <v/>
      </c>
      <c r="DP10" s="1133" t="str">
        <f>IF($G10="","",ADRYr3!AR10)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49"/>
        <v/>
      </c>
      <c r="DU10" s="1135" t="str">
        <f>IF($G10="","",ADRYr3!AS10)</f>
        <v/>
      </c>
      <c r="DV10" s="1136" t="str">
        <f>IF($G10="","",ADRYr3!AT10)</f>
        <v/>
      </c>
      <c r="DW10" s="1344" t="str">
        <f>IF($G10="","",INDEX(AvoidedEnergy!$H$4:$H$10,MATCH($DO10,AvoidedEnergy!$A$4:$A$10,0)))</f>
        <v/>
      </c>
    </row>
    <row r="11" spans="1:127">
      <c r="A11" s="160" t="str">
        <f>IF(ADRYr3!$B11=0,"",ADRYr3!A11)</f>
        <v>A - Residential</v>
      </c>
      <c r="B11" s="9" t="str">
        <f>IF(ADRYr3!$B11=0,"",ADRYr3!B11)</f>
        <v>A5 - Residential Active Demand Response</v>
      </c>
      <c r="C11" s="9" t="str">
        <f>IF(ADRYr3!$B11=0,"",ADRYr3!C11)</f>
        <v>A5a - Residential Active Demand Response</v>
      </c>
      <c r="D11" s="9" t="str">
        <f>IF(ADRYr3!$B11=0,"",ADRYr3!D11)</f>
        <v>Storage Daily Dispatch P4P (savings) Summer</v>
      </c>
      <c r="E11" s="9" t="str">
        <f>IF(ADRYr3!$B11=0,"",ADRYr3!E11)</f>
        <v>E21A5a002</v>
      </c>
      <c r="F11" s="11" t="str">
        <f>IF(ADRYr3!$B11=0,"",ADRYr3!F11)</f>
        <v>Behavior</v>
      </c>
      <c r="G11" s="12" t="str">
        <f>IF(ADRYr3!$G11&lt;&gt;0,ADRYr3!G11,"")</f>
        <v/>
      </c>
      <c r="H11" s="1125" t="str">
        <f>IF($G11="","",ROUND(ADRYr3!H11,0))</f>
        <v/>
      </c>
      <c r="I11" s="47" t="str">
        <f>IF($G11="","",ADRYr3!I11*ADRYr3!P11*G11)</f>
        <v/>
      </c>
      <c r="J11" s="47" t="str">
        <f>IF($G11="","",ADRYr3!J11*G11)</f>
        <v/>
      </c>
      <c r="K11" s="47" t="str">
        <f t="shared" si="12"/>
        <v/>
      </c>
      <c r="L11" s="27" t="str">
        <f>IF($G11="","",ADRYr3!V11*G11/1000)</f>
        <v/>
      </c>
      <c r="M11" s="27" t="str">
        <f>IF($G11="","",L11*ADRYr3!$Q11*ADRYr3!$R11)</f>
        <v/>
      </c>
      <c r="N11" s="27" t="str">
        <f t="shared" si="13"/>
        <v/>
      </c>
      <c r="O11" s="27" t="str">
        <f t="shared" si="14"/>
        <v/>
      </c>
      <c r="P11" s="27" t="str">
        <f>IF($G11="","",M11*ADRYr3!P11)</f>
        <v/>
      </c>
      <c r="Q11" s="27" t="str">
        <f t="shared" si="15"/>
        <v/>
      </c>
      <c r="R11" s="27" t="str">
        <f>IF($G11="","",$Q11*ADRYr3!Z11)</f>
        <v/>
      </c>
      <c r="S11" s="27" t="str">
        <f>IF($G11="","",$Q11*ADRYr3!AA11)</f>
        <v/>
      </c>
      <c r="T11" s="27" t="str">
        <f>IF($G11="","",$Q11*ADRYr3!AB11)</f>
        <v/>
      </c>
      <c r="U11" s="27" t="str">
        <f>IF($G11="","",$Q11*ADRYr3!AC11)</f>
        <v/>
      </c>
      <c r="V11" s="27" t="str">
        <f>IF($G11="","",G11*ADRYr3!$AD11*ADRYr3!$P11*ADRYr3!$Q11)</f>
        <v/>
      </c>
      <c r="W11" s="27" t="str">
        <f>IF($G11="","",$G11*ADRYr3!$AD11*ADRYr3!$AF11*ADRYr3!Q11*ADRYr3!$S11)</f>
        <v/>
      </c>
      <c r="X11" s="27" t="str">
        <f>IF($G11="","",$G11*ADRYr3!$AD11*ADRYr3!$AF11*ADRYr3!P11*ADRYr3!Q11*ADRYr3!$S11)</f>
        <v/>
      </c>
      <c r="Y11" s="27" t="str">
        <f>IF($G11="","",$G11*ADRYr3!$AD11*ADRYr3!$AE11*ADRYr3!Q11*ADRYr3!$T11)</f>
        <v/>
      </c>
      <c r="Z11" s="27" t="str">
        <f>IF($G11="","",$G11*ADRYr3!$AD11*ADRYr3!$AE11*ADRYr3!P11*ADRYr3!Q11*ADRYr3!$T11)</f>
        <v/>
      </c>
      <c r="AA11" s="45" t="str">
        <f>IF($G11="","",$G11*ADRYr3!$Q11*ADRYr3!$U11*(IF(IFERROR(SEARCH("NG", ADRYr3!$AI11),0),ADRYr3!$AJ11,0)+IF(IFERROR(SEARCH("NG", ADRYr3!$AK11),0),ADRYr3!$AL11,0)+IF(IFERROR(SEARCH("NG", ADRYr3!$AM11),0),ADRYr3!$AN11,0)))</f>
        <v/>
      </c>
      <c r="AB11" s="45" t="str">
        <f t="shared" si="16"/>
        <v/>
      </c>
      <c r="AC11" s="45">
        <f>IF($G11="",0,AA11*ADRYr3!$P11)</f>
        <v>0</v>
      </c>
      <c r="AD11" s="45" t="str">
        <f t="shared" si="17"/>
        <v/>
      </c>
      <c r="AE11" s="45" t="str">
        <f>IF($G11="","",$G11*ADRYr3!$Q11*ADRYr3!$U11*(IF(IFERROR(SEARCH("Oil", ADRYr3!$AI11), 0),ADRYr3!$AJ11,0)+IF(IFERROR(SEARCH("Oil", ADRYr3!$AK11), 0),ADRYr3!$AL11,0)+IF(IFERROR(SEARCH("Oil", ADRYr3!$AM11), 0),ADRYr3!$AN11,0)))</f>
        <v/>
      </c>
      <c r="AF11" s="45" t="str">
        <f t="shared" si="18"/>
        <v/>
      </c>
      <c r="AG11" s="45">
        <f>IF($G11="",0,AE11*ADRYr3!$P11)</f>
        <v>0</v>
      </c>
      <c r="AH11" s="45" t="str">
        <f t="shared" si="19"/>
        <v/>
      </c>
      <c r="AI11" s="45" t="str">
        <f>IF($G11="","",$G11*ADRYr3!$Q11*ADRYr3!$U11*(IF(ADRYr3!$AI11=Lookups!$E$114,ADRYr3!$AJ11,IF(ADRYr3!$AK11=Lookups!$E$114,ADRYr3!$AL11,IF(ADRYr3!$AM11=Lookups!$E$114,ADRYr3!$AN11,0)))))</f>
        <v/>
      </c>
      <c r="AJ11" s="45" t="str">
        <f t="shared" si="20"/>
        <v/>
      </c>
      <c r="AK11" s="45">
        <f>IF($G11="",0,AI11*ADRYr3!$P11)</f>
        <v>0</v>
      </c>
      <c r="AL11" s="45" t="str">
        <f t="shared" si="21"/>
        <v/>
      </c>
      <c r="AM11" s="45" t="str">
        <f>IF($G11="","",$G11*ADRYr3!$Q11*ADRYr3!$U11*(IF(ADRYr3!$AI11=Lookups!$E$113,ADRYr3!$AJ11,IF(ADRYr3!$AK11=Lookups!$E$113,ADRYr3!$AL11,IF(ADRYr3!$AM11=Lookups!$E$113,ADRYr3!$AN11,0)))))</f>
        <v/>
      </c>
      <c r="AN11" s="45" t="str">
        <f t="shared" si="22"/>
        <v/>
      </c>
      <c r="AO11" s="45">
        <f>IF($G11="",0,AM11*ADRYr3!$P11)</f>
        <v>0</v>
      </c>
      <c r="AP11" s="45" t="str">
        <f t="shared" si="23"/>
        <v/>
      </c>
      <c r="AQ11" s="45" t="str">
        <f>IF($G11="","",$G11*ADRYr3!$Q11*ADRYr3!$U11*(IF(ADRYr3!$AI11=Lookups!$E$115,ADRYr3!$AJ11,IF(ADRYr3!$AK11=Lookups!$E$115,ADRYr3!$AL11,IF(ADRYr3!$AM11=Lookups!$E$115,ADRYr3!$AN11,0)))))</f>
        <v/>
      </c>
      <c r="AR11" s="45" t="str">
        <f t="shared" si="24"/>
        <v/>
      </c>
      <c r="AS11" s="45" t="str">
        <f>IF($G11="","",AQ11*ADRYr3!$P11)</f>
        <v/>
      </c>
      <c r="AT11" s="45" t="str">
        <f t="shared" si="25"/>
        <v/>
      </c>
      <c r="AU11" s="45" t="str">
        <f>IF($G11="","",$G11*ADRYr3!$Q11*ADRYr3!$U11*(IF(ADRYr3!$AI11=Lookups!$E$116,ADRYr3!$AJ11,IF(ADRYr3!$AK11=Lookups!$E$116,ADRYr3!$AL11,IF(ADRYr3!$AM11=Lookups!$E$116,ADRYr3!$AN11,0)))))</f>
        <v/>
      </c>
      <c r="AV11" s="45" t="str">
        <f t="shared" si="26"/>
        <v/>
      </c>
      <c r="AW11" s="45" t="str">
        <f>IF($G11="","",AU11*ADRYr3!$P11)</f>
        <v/>
      </c>
      <c r="AX11" s="45" t="str">
        <f t="shared" si="27"/>
        <v/>
      </c>
      <c r="AY11" s="45">
        <f t="shared" si="28"/>
        <v>0</v>
      </c>
      <c r="AZ11" s="45">
        <f t="shared" si="29"/>
        <v>0</v>
      </c>
      <c r="BA11" s="101" t="str">
        <f>IF($G11="","",$G11*ADRYr3!$P11*ADRYr3!$Q11*ADRYr3!$U11*ADRYr3!AO11)</f>
        <v/>
      </c>
      <c r="BB11" s="102" t="str">
        <f>IF($G11="","",$G11*ADRYr3!$P11*ADRYr3!$Q11*ADRYr3!$U11*ADRYr3!AP11)</f>
        <v/>
      </c>
      <c r="BC11" s="100" t="str">
        <f t="shared" si="30"/>
        <v/>
      </c>
      <c r="BD11" s="1126"/>
      <c r="BE11" s="1126"/>
      <c r="BF11" s="1126"/>
      <c r="BG11" s="1126"/>
      <c r="BH11" s="1127" t="str">
        <f t="shared" si="3"/>
        <v/>
      </c>
      <c r="BI11" s="1126"/>
      <c r="BJ11" s="1126"/>
      <c r="BK11" s="1126"/>
      <c r="BL11" s="1126"/>
      <c r="BM11" s="30" t="str">
        <f t="shared" si="4"/>
        <v/>
      </c>
      <c r="BN11" s="1128" t="str">
        <f t="shared" si="31"/>
        <v/>
      </c>
      <c r="BO11" s="31" t="str">
        <f t="shared" si="32"/>
        <v/>
      </c>
      <c r="BP11" s="1129" t="str">
        <f t="shared" si="5"/>
        <v/>
      </c>
      <c r="BQ11" s="28" t="str">
        <f t="shared" si="6"/>
        <v/>
      </c>
      <c r="BR11" s="1129" t="str">
        <f t="shared" si="7"/>
        <v/>
      </c>
      <c r="BS11" s="1129" t="str">
        <f t="shared" si="8"/>
        <v/>
      </c>
      <c r="BT11" s="28" t="str">
        <f t="shared" si="9"/>
        <v/>
      </c>
      <c r="BU11" s="28" t="str">
        <f t="shared" si="9"/>
        <v/>
      </c>
      <c r="BV11" s="28" t="str">
        <f t="shared" si="9"/>
        <v/>
      </c>
      <c r="BW11" s="29" t="str">
        <f t="shared" si="33"/>
        <v/>
      </c>
      <c r="BX11" s="29" t="str">
        <f t="shared" si="34"/>
        <v/>
      </c>
      <c r="BY11" s="28" t="str">
        <f>IF($G11="","",$G11*(IF(ADRYr3!$AI11=BY$4,ADRYr3!$AJ11,IF(ADRYr3!$AK11=BY$4,ADRYr3!$AL11,IF(ADRYr3!$AM11=BY$4,ADRYr3!$AN11,0))))*(INDEX(avoidedcosttbl3,$H11,BY$2)+(($H11-ROUNDDOWN($H11,0))*(INDEX(avoidedcosttbl3,ROUNDUP($H11,0),BY$2)-(INDEX(avoidedcosttbl3,ROUNDDOWN($H11,0),BY$2)))))*ADRYr3!P11*ADRYr3!Q11*ADRYr3!U11)</f>
        <v/>
      </c>
      <c r="BZ11" s="28" t="str">
        <f>IF($G11="","",$G11*(IF(ADRYr3!$AI11=BZ$4,ADRYr3!$AJ11,IF(ADRYr3!$AK11=BZ$4,ADRYr3!$AL11,IF(ADRYr3!$AM11=BZ$4,ADRYr3!$AN11,0))))*(INDEX(avoidedcosttbl3,$H11,BZ$2)+(($H11-ROUNDDOWN($H11,0))*(INDEX(avoidedcosttbl3,ROUNDUP($H11,0),BZ$2)-(INDEX(avoidedcosttbl3,ROUNDDOWN($H11,0),BZ$2)))))*ADRYr3!P11*ADRYr3!Q11*ADRYr3!U11)</f>
        <v/>
      </c>
      <c r="CA11" s="28" t="str">
        <f>IF($G11="","",$G11*(IF(ADRYr3!$AI11=CA$4,ADRYr3!$AJ11,IF(ADRYr3!$AK11=CA$4,ADRYr3!$AL11,IF(ADRYr3!$AM11=CA$4,ADRYr3!$AN11,0))))*(INDEX(avoidedcosttbl3,$H11,CA$2)+(($H11-ROUNDDOWN($H11,0))*(INDEX(avoidedcosttbl3,ROUNDUP($H11,0),CA$2)-(INDEX(avoidedcosttbl3,ROUNDDOWN($H11,0),CA$2)))))*ADRYr3!P11*ADRYr3!Q11*ADRYr3!U11)</f>
        <v/>
      </c>
      <c r="CB11" s="28" t="str">
        <f>IF($G11="","",$G11*(IF(ADRYr3!$AI11=CB$4,ADRYr3!$AJ11,IF(ADRYr3!$AK11=CB$4,ADRYr3!$AL11,IF(ADRYr3!$AM11=CB$4,ADRYr3!$AN11,0))))*(INDEX(avoidedcosttbl3,$H11,CB$2)+(($H11-ROUNDDOWN($H11,0))*(INDEX(avoidedcosttbl3,ROUNDUP($H11,0),CB$2)-(INDEX(avoidedcosttbl3,ROUNDDOWN($H11,0),CB$2)))))*ADRYr3!P11*ADRYr3!Q11*ADRYr3!U11)</f>
        <v/>
      </c>
      <c r="CC11" s="28" t="str">
        <f>IF($G11="","",$G11*(IF(ADRYr3!$AI11=CC$4,ADRYr3!$AJ11,IF(ADRYr3!$AK11=CC$4,ADRYr3!$AL11,IF(ADRYr3!$AM11=CC$4,ADRYr3!$AN11,0))))*(INDEX(avoidedcosttbl3,$H11,CC$2)+(($H11-ROUNDDOWN($H11,0))*(INDEX(avoidedcosttbl3,ROUNDUP($H11,0),CC$2)-(INDEX(avoidedcosttbl3,ROUNDDOWN($H11,0),CC$2)))))*ADRYr3!P11*ADRYr3!Q11*ADRYr3!U11)</f>
        <v/>
      </c>
      <c r="CD11" s="28" t="str">
        <f>IF($G11="","",$G11*(IF(ADRYr3!$AI11=CD$4,ADRYr3!$AJ11,IF(ADRYr3!$AK11=CD$4,ADRYr3!$AL11,IF(ADRYr3!$AM11=CD$4,ADRYr3!$AN11,0))))*(INDEX(avoidedcosttbl3,$H11,CD$2)+(($H11-ROUNDDOWN($H11,0))*(INDEX(avoidedcosttbl3,ROUNDUP($H11,0),CD$2)-(INDEX(avoidedcosttbl3,ROUNDDOWN($H11,0),CD$2)))))*ADRYr3!P11*ADRYr3!Q11*ADRYr3!U11)</f>
        <v/>
      </c>
      <c r="CE11" s="28" t="str">
        <f>IF($G11="","",$G11*(IF(ADRYr3!$AI11=CE$4,ADRYr3!$AJ11,IF(ADRYr3!$AK11=CE$4,ADRYr3!$AL11,IF(ADRYr3!$AM11=CE$4,ADRYr3!$AN11,0))))*(INDEX(avoidedcosttbl3,$H11,CE$2)+(($H11-ROUNDDOWN($H11,0))*(INDEX(avoidedcosttbl3,ROUNDUP($H11,0),CE$2)-(INDEX(avoidedcosttbl3,ROUNDDOWN($H11,0),CE$2)))))*ADRYr3!P11*ADRYr3!Q11*ADRYr3!U11)</f>
        <v/>
      </c>
      <c r="CF11" s="41" t="str">
        <f t="shared" si="35"/>
        <v/>
      </c>
      <c r="CG11" s="30" t="str">
        <f t="shared" si="10"/>
        <v/>
      </c>
      <c r="CH11" s="30" t="str">
        <f>IF($G11="","",$G11*(IF(ADRYr3!$AI11=BY$4,ADRYr3!$AJ11,IF(ADRYr3!$AK11=BY$4,ADRYr3!$AL11,IF(ADRYr3!$AM11=BY$4,ADRYr3!$AN11,0))))*(INDEX(avoidedcosttbl3,$H11,CH$2)+(($H11-ROUNDDOWN($H11,0))*(INDEX(avoidedcosttbl3,ROUNDUP($H11,0),CH$2)-(INDEX(avoidedcosttbl3,ROUNDDOWN($H11,0),CH$2)))))*ADRYr3!P11*ADRYr3!Q11*ADRYr3!U11)</f>
        <v/>
      </c>
      <c r="CI11" s="30" t="str">
        <f>IF($G11="","",$G11*(IF(ADRYr3!$AI11=BZ$4,ADRYr3!$AJ11,IF(ADRYr3!$AK11=BZ$4,ADRYr3!$AL11,IF(ADRYr3!$AM11=BZ$4,ADRYr3!$AN11,0))))*(INDEX(avoidedcosttbl3,$H11,CI$2)+(($H11-ROUNDDOWN($H11,0))*(INDEX(avoidedcosttbl3,ROUNDUP($H11,0),CI$2)-(INDEX(avoidedcosttbl3,ROUNDDOWN($H11,0),CI$2)))))*ADRYr3!P11*ADRYr3!Q11*ADRYr3!U11)</f>
        <v/>
      </c>
      <c r="CJ11" s="30" t="str">
        <f>IF($G11="","",$G11*(IF(ADRYr3!$AI11=CA$4,ADRYr3!$AJ11,IF(ADRYr3!$AK11=CA$4,ADRYr3!$AL11,IF(ADRYr3!$AM11=CA$4,ADRYr3!$AN11,0))))*(INDEX(avoidedcosttbl3,$H11,CJ$2)+(($H11-ROUNDDOWN($H11,0))*(INDEX(avoidedcosttbl3,ROUNDUP($H11,0),CJ$2)-(INDEX(avoidedcosttbl3,ROUNDDOWN($H11,0),CJ$2)))))*ADRYr3!P11*ADRYr3!Q11*ADRYr3!U11)</f>
        <v/>
      </c>
      <c r="CK11" s="30" t="str">
        <f>IF($G11="","",$G11*(IF(ADRYr3!$AI11=CB$4,ADRYr3!$AJ11,IF(ADRYr3!$AK11=CB$4,ADRYr3!$AL11,IF(ADRYr3!$AM11=CB$4,ADRYr3!$AN11,0))))*(INDEX(avoidedcosttbl3,$H11,CK$2)+(($H11-ROUNDDOWN($H11,0))*(INDEX(avoidedcosttbl3,ROUNDUP($H11,0),CK$2)-(INDEX(avoidedcosttbl3,ROUNDDOWN($H11,0),CK$2)))))*ADRYr3!P11*ADRYr3!Q11*ADRYr3!U11)</f>
        <v/>
      </c>
      <c r="CL11" s="30" t="str">
        <f>IF($G11="","",$G11*(IF(ADRYr3!$AI11=CC$4,ADRYr3!$AJ11,IF(ADRYr3!$AK11=CC$4,ADRYr3!$AL11,IF(ADRYr3!$AM11=CC$4,ADRYr3!$AN11,0))))*(INDEX(avoidedcosttbl3,$H11,CL$2)+(($H11-ROUNDDOWN($H11,0))*(INDEX(avoidedcosttbl3,ROUNDUP($H11,0),CL$2)-(INDEX(avoidedcosttbl3,ROUNDDOWN($H11,0),CL$2)))))*ADRYr3!P11*ADRYr3!Q11*ADRYr3!U11)</f>
        <v/>
      </c>
      <c r="CM11" s="30" t="str">
        <f>IF($G11="","",$G11*(IF(ADRYr3!$AI11=CD$4,ADRYr3!$AJ11,IF(ADRYr3!$AK11=CD$4,ADRYr3!$AL11,IF(ADRYr3!$AM11=CD$4,ADRYr3!$AN11,0))))*(INDEX(avoidedcosttbl3,$H11,CM$2)+(($H11-ROUNDDOWN($H11,0))*(INDEX(avoidedcosttbl3,ROUNDUP($H11,0),CM$2)-(INDEX(avoidedcosttbl3,ROUNDDOWN($H11,0),CM$2)))))*ADRYr3!P11*ADRYr3!Q11*ADRYr3!U11)</f>
        <v/>
      </c>
      <c r="CN11" s="30" t="str">
        <f>IF($G11="","",$G11*(IF(ADRYr3!$AI11=CE$4,ADRYr3!$AJ11,IF(ADRYr3!$AK11=CE$4,ADRYr3!$AL11,IF(ADRYr3!$AM11=CE$4,ADRYr3!$AN11,0))))*(INDEX(avoidedcosttbl3,$H11,CN$2)+(($H11-ROUNDDOWN($H11,0))*(INDEX(avoidedcosttbl3,ROUNDUP($H11,0),CN$2)-(INDEX(avoidedcosttbl3,ROUNDDOWN($H11,0),CN$2)))))*ADRYr3!P11*ADRYr3!Q11*ADRYr3!U11)</f>
        <v/>
      </c>
      <c r="CO11" s="220" t="str">
        <f t="shared" si="36"/>
        <v/>
      </c>
      <c r="CP11" s="220" t="str">
        <f t="shared" si="37"/>
        <v/>
      </c>
      <c r="CQ11" s="157" t="str">
        <f>IF($G11="","",$G11*(IF(ADRYr3!$AI11=CQ$4,ADRYr3!$AJ11,IF(ADRYr3!$AK11=CQ$4,ADRYr3!$AL11,IF(ADRYr3!$AM11=CQ$4,ADRYr3!$AN11,0))))*(INDEX(avoidedcosttbl3,$H11,CQ$2)+(($H11-ROUNDDOWN($H11,0))*(INDEX(avoidedcosttbl3,ROUNDUP($H11,0),CQ$2)-(INDEX(avoidedcosttbl3,ROUNDDOWN($H11,0),CQ$2)))))*ADRYr3!$P11*ADRYr3!$Q11*ADRYr3!$U11)</f>
        <v/>
      </c>
      <c r="CR11" s="28" t="str">
        <f>IF($G11="","",G11*(IF(ADRYr3!$AI11=CR$4,ADRYr3!$AJ11,IF(ADRYr3!$AK11=CR$4,ADRYr3!$AL11,IF(ADRYr3!$AM11=CR$4,ADRYr3!$AN11,0))))*(INDEX(avoidedcosttbl3,$H11,CR$2)+(($H11-ROUNDDOWN($H11,0))*(INDEX(avoidedcosttbl3,ROUNDUP($H11,0),CR$2)-(INDEX(avoidedcosttbl3,ROUNDDOWN($H11,0),CR$2)))))*ADRYr3!$P11*ADRYr3!$Q11*ADRYr3!$U11)</f>
        <v/>
      </c>
      <c r="CS11" s="28" t="str">
        <f>IF($G11="","",G11*(IF(ADRYr3!$AI11=CS$4,ADRYr3!$AJ11,IF(ADRYr3!$AK11=CS$4,ADRYr3!$AL11,IF(ADRYr3!$AM11=CS$4,ADRYr3!$AN11,0))))*(INDEX(avoidedcosttbl3,$H11,CS$2)+(($H11-ROUNDDOWN($H11,0))*(INDEX(avoidedcosttbl3,ROUNDUP($H11,0),CS$2)-(INDEX(avoidedcosttbl3,ROUNDDOWN($H11,0),CS$2)))))*ADRYr3!$P11*ADRYr3!$Q11*ADRYr3!$U11)</f>
        <v/>
      </c>
      <c r="CT11" s="28" t="str">
        <f t="shared" si="11"/>
        <v/>
      </c>
      <c r="CU11" s="28" t="str">
        <f>IF($G11="","",G11*(IF(ADRYr3!$AI11=CU$4,ADRYr3!$AJ11,IF(ADRYr3!$AK11=CU$4,ADRYr3!$AL11,IF(ADRYr3!$AM11=CU$4,ADRYr3!$AN11,0))))*(INDEX(avoidedcosttbl3,$H11,CU$2)+(($H11-ROUNDDOWN($H11,0))*(INDEX(avoidedcosttbl3,ROUNDUP($H11,0),CU$2)-(INDEX(avoidedcosttbl3,ROUNDDOWN($H11,0),CU$2)))))*ADRYr3!$P11*ADRYr3!$Q11*ADRYr3!$U11)</f>
        <v/>
      </c>
      <c r="CV11" s="28" t="str">
        <f>IF($G11="","",G11*(IF(ADRYr3!$AI11=CV$4,ADRYr3!$AJ11,IF(ADRYr3!$AK11=CV$4,ADRYr3!$AL11,IF(ADRYr3!$AM11=CV$4,ADRYr3!$AN11,0))))*(INDEX(avoidedcosttbl3,$H11,CV$2)+(($H11-ROUNDDOWN($H11,0))*(INDEX(avoidedcosttbl3,ROUNDUP($H11,0),CV$2)-(INDEX(avoidedcosttbl3,ROUNDDOWN($H11,0),CV$2)))))*ADRYr3!$P11*ADRYr3!$Q11*ADRYr3!$U11)</f>
        <v/>
      </c>
      <c r="CW11" s="28" t="str">
        <f>IF($G11="","",G11*(IF(ADRYr3!$AI11=CW$4,ADRYr3!$AJ11,IF(ADRYr3!$AK11=CW$4,ADRYr3!$AL11,IF(ADRYr3!$AM11=CW$4,ADRYr3!$AN11,0))))*(INDEX(avoidedcosttbl3,$H11,CW$2)+(($H11-ROUNDDOWN($H11,0))*(INDEX(avoidedcosttbl3,ROUNDUP($H11,0),CW$2)-(INDEX(avoidedcosttbl3,ROUNDDOWN($H11,0),CW$2)))))*ADRYr3!$P11*ADRYr3!$Q11*ADRYr3!$U11)</f>
        <v/>
      </c>
      <c r="CX11" s="28" t="str">
        <f>IF($G11="","",G11*(IF(ADRYr3!$AI11=CX$4,ADRYr3!$AJ11,IF(ADRYr3!$AK11=CX$4,ADRYr3!$AL11,IF(ADRYr3!$AM11=CX$4,ADRYr3!$AN11,0))))*(INDEX(avoidedcosttbl3,$H11,CX$2)+(($H11-ROUNDDOWN($H11,0))*(INDEX(avoidedcosttbl3,ROUNDUP($H11,0),CX$2)-(INDEX(avoidedcosttbl3,ROUNDDOWN($H11,0),CX$2)))))*ADRYr3!$P11*ADRYr3!$Q11*ADRYr3!$U11)</f>
        <v/>
      </c>
      <c r="CY11" s="28" t="str">
        <f t="shared" si="38"/>
        <v/>
      </c>
      <c r="CZ11" s="32" t="str">
        <f t="shared" si="39"/>
        <v/>
      </c>
      <c r="DA11" s="84" t="str">
        <f t="shared" si="40"/>
        <v/>
      </c>
      <c r="DB11" s="81" t="str">
        <f>IF(NEIadder="Yes",IF($G11="","",INDEX(Lookups!$G$68:$G$70,MATCH($A11,Lookups!$E$68:$E$70,0))*(SUM(CP11:CX11,BX11))),"")</f>
        <v/>
      </c>
      <c r="DC11" s="263" t="str">
        <f t="shared" si="41"/>
        <v/>
      </c>
      <c r="DD11" s="166" t="str">
        <f t="shared" si="42"/>
        <v/>
      </c>
      <c r="DE11" s="82">
        <f>SUM(DB11:DD11)</f>
        <v>0</v>
      </c>
      <c r="DF11" s="760" t="str">
        <f>IF($G11="","",(1+WntPeakEnergyLL)*(INDEX(avoidedcosttbl3,$H11,DF$2)+(($H11-ROUNDDOWN($H11,0))*(INDEX(avoidedcosttbl3,ROUNDUP($H11,0),DF$2)-(INDEX(avoidedcosttbl3,ROUNDDOWN($H11,0),DF$2)))))*$P11*1000*ADRYr3!Z11)</f>
        <v/>
      </c>
      <c r="DG11" s="760" t="str">
        <f>IF($G11="","",(1+WntOffPeakEnergyLL)*(INDEX(avoidedcosttbl3,$H11,DG$2)+(($H11-ROUNDDOWN($H11,0))*(INDEX(avoidedcosttbl3,ROUNDUP($H11,0),DG$2)-(INDEX(avoidedcosttbl3,ROUNDDOWN($H11,0),DG$2)))))*$P11*1000*ADRYr3!AA11)</f>
        <v/>
      </c>
      <c r="DH11" s="760" t="str">
        <f>IF($G11="","",(1+SumPeakEnergyLL)*(INDEX(avoidedcosttbl3,$H11,DH$2)+(($H11-ROUNDDOWN($H11,0))*(INDEX(avoidedcosttbl3,ROUNDUP($H11,0),DH$2)-(INDEX(avoidedcosttbl3,ROUNDDOWN($H11,0),DH$2)))))*$P11*1000*ADRYr3!AB11)</f>
        <v/>
      </c>
      <c r="DI11" s="760" t="str">
        <f>IF($G11="","",(1+SumOffPeakEnergyLL)*(INDEX(avoidedcosttbl3,$H11,DI$2)+(($H11-ROUNDDOWN($H11,0))*(INDEX(avoidedcosttbl3,ROUNDUP($H11,0),DI$2)-(INDEX(avoidedcosttbl3,ROUNDDOWN($H11,0),DI$2)))))*$P11*1000*ADRYr3!AC11)</f>
        <v/>
      </c>
      <c r="DJ11" s="29" t="str">
        <f t="shared" si="44"/>
        <v/>
      </c>
      <c r="DK11" s="161" t="str">
        <f t="shared" si="45"/>
        <v/>
      </c>
      <c r="DL11" s="1375" t="str">
        <f t="shared" si="46"/>
        <v/>
      </c>
      <c r="DM11" s="1375" t="str">
        <f t="shared" si="47"/>
        <v/>
      </c>
      <c r="DN11" s="43" t="str">
        <f t="shared" si="48"/>
        <v/>
      </c>
      <c r="DO11" s="1131" t="str">
        <f>IF($G11="","",ADRYr3!AQ11)</f>
        <v/>
      </c>
      <c r="DP11" s="1133" t="str">
        <f>IF($G11="","",ADRYr3!AR11)</f>
        <v/>
      </c>
      <c r="DQ11" s="1135" t="str">
        <f>IF($G11="","",IF($DP11="Yes",COLUMN(AESC!$L$10),IF($DP11="No","Using AvoidedDemand tab",IF($DP11="Mixed",COLUMN(AESC!$N$10)))))</f>
        <v/>
      </c>
      <c r="DR11" s="1135" t="str">
        <f>IF($G11="","",IF($DP11="Yes",COLUMN(AESC!$P$10),IF($DP11="No","Using AvoidedDemand tab",IF($DP11="Mixed",COLUMN(AESC!$R$10)))))</f>
        <v/>
      </c>
      <c r="DS11" s="1135" t="str">
        <f>IF($G11="","",IF($DP11="Yes",COLUMN(AESC!$S$10),IF($DP11="No",COLUMN(AESC!$T$10),IF($DP11="Mixed",COLUMN(AESC!$U$10)))))</f>
        <v/>
      </c>
      <c r="DT11" s="1135" t="str">
        <f t="shared" si="49"/>
        <v/>
      </c>
      <c r="DU11" s="1135" t="str">
        <f>IF($G11="","",ADRYr3!AS11)</f>
        <v/>
      </c>
      <c r="DV11" s="1136" t="str">
        <f>IF($G11="","",ADRYr3!AT11)</f>
        <v/>
      </c>
      <c r="DW11" s="1344" t="str">
        <f>IF($G11="","",INDEX(AvoidedEnergy!$H$4:$H$10,MATCH($DO11,AvoidedEnergy!$A$4:$A$10,0)))</f>
        <v/>
      </c>
    </row>
    <row r="12" spans="1:127">
      <c r="A12" s="160" t="str">
        <f>IF(ADRYr3!$B12=0,"",ADRYr3!A12)</f>
        <v>A - Residential</v>
      </c>
      <c r="B12" s="9" t="str">
        <f>IF(ADRYr3!$B12=0,"",ADRYr3!B12)</f>
        <v>A5 - Residential Active Demand Response</v>
      </c>
      <c r="C12" s="9" t="str">
        <f>IF(ADRYr3!$B12=0,"",ADRYr3!C12)</f>
        <v>A5a - Residential Active Demand Response</v>
      </c>
      <c r="D12" s="9" t="str">
        <f>IF(ADRYr3!$B12=0,"",ADRYr3!D12)</f>
        <v>Storage Daily Dispatch P4P (consumption) Summer</v>
      </c>
      <c r="E12" s="9" t="str">
        <f>IF(ADRYr3!$B12=0,"",ADRYr3!E12)</f>
        <v>E21A5a003</v>
      </c>
      <c r="F12" s="11" t="str">
        <f>IF(ADRYr3!$B12=0,"",ADRYr3!F12)</f>
        <v>Behavior</v>
      </c>
      <c r="G12" s="12" t="str">
        <f>IF(ADRYr3!$G12&lt;&gt;0,ADRYr3!G12,"")</f>
        <v/>
      </c>
      <c r="H12" s="1125" t="str">
        <f>IF($G12="","",ROUND(ADRYr3!H12,0))</f>
        <v/>
      </c>
      <c r="I12" s="47" t="str">
        <f>IF($G12="","",ADRYr3!I12*ADRYr3!P12*G12)</f>
        <v/>
      </c>
      <c r="J12" s="47" t="str">
        <f>IF($G12="","",ADRYr3!J12*G12)</f>
        <v/>
      </c>
      <c r="K12" s="47" t="str">
        <f t="shared" si="12"/>
        <v/>
      </c>
      <c r="L12" s="27" t="str">
        <f>IF($G12="","",ADRYr3!V12*G12/1000)</f>
        <v/>
      </c>
      <c r="M12" s="27" t="str">
        <f>IF($G12="","",L12*ADRYr3!$Q12*ADRYr3!$R12)</f>
        <v/>
      </c>
      <c r="N12" s="27" t="str">
        <f t="shared" si="13"/>
        <v/>
      </c>
      <c r="O12" s="27" t="str">
        <f t="shared" si="14"/>
        <v/>
      </c>
      <c r="P12" s="27" t="str">
        <f>IF($G12="","",M12*ADRYr3!P12)</f>
        <v/>
      </c>
      <c r="Q12" s="27" t="str">
        <f t="shared" si="15"/>
        <v/>
      </c>
      <c r="R12" s="27" t="str">
        <f>IF($G12="","",$Q12*ADRYr3!Z12)</f>
        <v/>
      </c>
      <c r="S12" s="27" t="str">
        <f>IF($G12="","",$Q12*ADRYr3!AA12)</f>
        <v/>
      </c>
      <c r="T12" s="27" t="str">
        <f>IF($G12="","",$Q12*ADRYr3!AB12)</f>
        <v/>
      </c>
      <c r="U12" s="27" t="str">
        <f>IF($G12="","",$Q12*ADRYr3!AC12)</f>
        <v/>
      </c>
      <c r="V12" s="27" t="str">
        <f>IF($G12="","",G12*ADRYr3!$AD12*ADRYr3!$P12*ADRYr3!$Q12)</f>
        <v/>
      </c>
      <c r="W12" s="27" t="str">
        <f>IF($G12="","",$G12*ADRYr3!$AD12*ADRYr3!$AF12*ADRYr3!Q12*ADRYr3!$S12)</f>
        <v/>
      </c>
      <c r="X12" s="27" t="str">
        <f>IF($G12="","",$G12*ADRYr3!$AD12*ADRYr3!$AF12*ADRYr3!P12*ADRYr3!Q12*ADRYr3!$S12)</f>
        <v/>
      </c>
      <c r="Y12" s="27" t="str">
        <f>IF($G12="","",$G12*ADRYr3!$AD12*ADRYr3!$AE12*ADRYr3!Q12*ADRYr3!$T12)</f>
        <v/>
      </c>
      <c r="Z12" s="27" t="str">
        <f>IF($G12="","",$G12*ADRYr3!$AD12*ADRYr3!$AE12*ADRYr3!P12*ADRYr3!Q12*ADRYr3!$T12)</f>
        <v/>
      </c>
      <c r="AA12" s="45" t="str">
        <f>IF($G12="","",$G12*ADRYr3!$Q12*ADRYr3!$U12*(IF(IFERROR(SEARCH("NG", ADRYr3!$AI12),0),ADRYr3!$AJ12,0)+IF(IFERROR(SEARCH("NG", ADRYr3!$AK12),0),ADRYr3!$AL12,0)+IF(IFERROR(SEARCH("NG", ADRYr3!$AM12),0),ADRYr3!$AN12,0)))</f>
        <v/>
      </c>
      <c r="AB12" s="45" t="str">
        <f t="shared" si="16"/>
        <v/>
      </c>
      <c r="AC12" s="45">
        <f>IF($G12="",0,AA12*ADRYr3!$P12)</f>
        <v>0</v>
      </c>
      <c r="AD12" s="45" t="str">
        <f t="shared" si="17"/>
        <v/>
      </c>
      <c r="AE12" s="45" t="str">
        <f>IF($G12="","",$G12*ADRYr3!$Q12*ADRYr3!$U12*(IF(IFERROR(SEARCH("Oil", ADRYr3!$AI12), 0),ADRYr3!$AJ12,0)+IF(IFERROR(SEARCH("Oil", ADRYr3!$AK12), 0),ADRYr3!$AL12,0)+IF(IFERROR(SEARCH("Oil", ADRYr3!$AM12), 0),ADRYr3!$AN12,0)))</f>
        <v/>
      </c>
      <c r="AF12" s="45" t="str">
        <f t="shared" si="18"/>
        <v/>
      </c>
      <c r="AG12" s="45">
        <f>IF($G12="",0,AE12*ADRYr3!$P12)</f>
        <v>0</v>
      </c>
      <c r="AH12" s="45" t="str">
        <f t="shared" si="19"/>
        <v/>
      </c>
      <c r="AI12" s="45" t="str">
        <f>IF($G12="","",$G12*ADRYr3!$Q12*ADRYr3!$U12*(IF(ADRYr3!$AI12=Lookups!$E$114,ADRYr3!$AJ12,IF(ADRYr3!$AK12=Lookups!$E$114,ADRYr3!$AL12,IF(ADRYr3!$AM12=Lookups!$E$114,ADRYr3!$AN12,0)))))</f>
        <v/>
      </c>
      <c r="AJ12" s="45" t="str">
        <f t="shared" si="20"/>
        <v/>
      </c>
      <c r="AK12" s="45">
        <f>IF($G12="",0,AI12*ADRYr3!$P12)</f>
        <v>0</v>
      </c>
      <c r="AL12" s="45" t="str">
        <f t="shared" si="21"/>
        <v/>
      </c>
      <c r="AM12" s="45" t="str">
        <f>IF($G12="","",$G12*ADRYr3!$Q12*ADRYr3!$U12*(IF(ADRYr3!$AI12=Lookups!$E$113,ADRYr3!$AJ12,IF(ADRYr3!$AK12=Lookups!$E$113,ADRYr3!$AL12,IF(ADRYr3!$AM12=Lookups!$E$113,ADRYr3!$AN12,0)))))</f>
        <v/>
      </c>
      <c r="AN12" s="45" t="str">
        <f t="shared" si="22"/>
        <v/>
      </c>
      <c r="AO12" s="45">
        <f>IF($G12="",0,AM12*ADRYr3!$P12)</f>
        <v>0</v>
      </c>
      <c r="AP12" s="45" t="str">
        <f t="shared" si="23"/>
        <v/>
      </c>
      <c r="AQ12" s="45" t="str">
        <f>IF($G12="","",$G12*ADRYr3!$Q12*ADRYr3!$U12*(IF(ADRYr3!$AI12=Lookups!$E$115,ADRYr3!$AJ12,IF(ADRYr3!$AK12=Lookups!$E$115,ADRYr3!$AL12,IF(ADRYr3!$AM12=Lookups!$E$115,ADRYr3!$AN12,0)))))</f>
        <v/>
      </c>
      <c r="AR12" s="45" t="str">
        <f t="shared" si="24"/>
        <v/>
      </c>
      <c r="AS12" s="45" t="str">
        <f>IF($G12="","",AQ12*ADRYr3!$P12)</f>
        <v/>
      </c>
      <c r="AT12" s="45" t="str">
        <f t="shared" si="25"/>
        <v/>
      </c>
      <c r="AU12" s="45" t="str">
        <f>IF($G12="","",$G12*ADRYr3!$Q12*ADRYr3!$U12*(IF(ADRYr3!$AI12=Lookups!$E$116,ADRYr3!$AJ12,IF(ADRYr3!$AK12=Lookups!$E$116,ADRYr3!$AL12,IF(ADRYr3!$AM12=Lookups!$E$116,ADRYr3!$AN12,0)))))</f>
        <v/>
      </c>
      <c r="AV12" s="45" t="str">
        <f t="shared" si="26"/>
        <v/>
      </c>
      <c r="AW12" s="45" t="str">
        <f>IF($G12="","",AU12*ADRYr3!$P12)</f>
        <v/>
      </c>
      <c r="AX12" s="45" t="str">
        <f t="shared" si="27"/>
        <v/>
      </c>
      <c r="AY12" s="45">
        <f t="shared" si="28"/>
        <v>0</v>
      </c>
      <c r="AZ12" s="45">
        <f t="shared" si="29"/>
        <v>0</v>
      </c>
      <c r="BA12" s="101" t="str">
        <f>IF($G12="","",$G12*ADRYr3!$P12*ADRYr3!$Q12*ADRYr3!$U12*ADRYr3!AO12)</f>
        <v/>
      </c>
      <c r="BB12" s="102" t="str">
        <f>IF($G12="","",$G12*ADRYr3!$P12*ADRYr3!$Q12*ADRYr3!$U12*ADRYr3!AP12)</f>
        <v/>
      </c>
      <c r="BC12" s="100" t="str">
        <f t="shared" si="30"/>
        <v/>
      </c>
      <c r="BD12" s="1126"/>
      <c r="BE12" s="1126"/>
      <c r="BF12" s="1126"/>
      <c r="BG12" s="1126"/>
      <c r="BH12" s="1127" t="str">
        <f t="shared" si="3"/>
        <v/>
      </c>
      <c r="BI12" s="1126"/>
      <c r="BJ12" s="1126"/>
      <c r="BK12" s="1126"/>
      <c r="BL12" s="1126"/>
      <c r="BM12" s="30" t="str">
        <f t="shared" si="4"/>
        <v/>
      </c>
      <c r="BN12" s="1128" t="str">
        <f t="shared" si="31"/>
        <v/>
      </c>
      <c r="BO12" s="31" t="str">
        <f t="shared" si="32"/>
        <v/>
      </c>
      <c r="BP12" s="1129" t="str">
        <f t="shared" si="5"/>
        <v/>
      </c>
      <c r="BQ12" s="28" t="str">
        <f t="shared" si="6"/>
        <v/>
      </c>
      <c r="BR12" s="1129" t="str">
        <f t="shared" si="7"/>
        <v/>
      </c>
      <c r="BS12" s="1129" t="str">
        <f t="shared" si="8"/>
        <v/>
      </c>
      <c r="BT12" s="28" t="str">
        <f t="shared" si="9"/>
        <v/>
      </c>
      <c r="BU12" s="28" t="str">
        <f t="shared" si="9"/>
        <v/>
      </c>
      <c r="BV12" s="28" t="str">
        <f t="shared" si="9"/>
        <v/>
      </c>
      <c r="BW12" s="29" t="str">
        <f t="shared" si="33"/>
        <v/>
      </c>
      <c r="BX12" s="29" t="str">
        <f t="shared" si="34"/>
        <v/>
      </c>
      <c r="BY12" s="28" t="str">
        <f>IF($G12="","",$G12*(IF(ADRYr3!$AI12=BY$4,ADRYr3!$AJ12,IF(ADRYr3!$AK12=BY$4,ADRYr3!$AL12,IF(ADRYr3!$AM12=BY$4,ADRYr3!$AN12,0))))*(INDEX(avoidedcosttbl3,$H12,BY$2)+(($H12-ROUNDDOWN($H12,0))*(INDEX(avoidedcosttbl3,ROUNDUP($H12,0),BY$2)-(INDEX(avoidedcosttbl3,ROUNDDOWN($H12,0),BY$2)))))*ADRYr3!P12*ADRYr3!Q12*ADRYr3!U12)</f>
        <v/>
      </c>
      <c r="BZ12" s="28" t="str">
        <f>IF($G12="","",$G12*(IF(ADRYr3!$AI12=BZ$4,ADRYr3!$AJ12,IF(ADRYr3!$AK12=BZ$4,ADRYr3!$AL12,IF(ADRYr3!$AM12=BZ$4,ADRYr3!$AN12,0))))*(INDEX(avoidedcosttbl3,$H12,BZ$2)+(($H12-ROUNDDOWN($H12,0))*(INDEX(avoidedcosttbl3,ROUNDUP($H12,0),BZ$2)-(INDEX(avoidedcosttbl3,ROUNDDOWN($H12,0),BZ$2)))))*ADRYr3!P12*ADRYr3!Q12*ADRYr3!U12)</f>
        <v/>
      </c>
      <c r="CA12" s="28" t="str">
        <f>IF($G12="","",$G12*(IF(ADRYr3!$AI12=CA$4,ADRYr3!$AJ12,IF(ADRYr3!$AK12=CA$4,ADRYr3!$AL12,IF(ADRYr3!$AM12=CA$4,ADRYr3!$AN12,0))))*(INDEX(avoidedcosttbl3,$H12,CA$2)+(($H12-ROUNDDOWN($H12,0))*(INDEX(avoidedcosttbl3,ROUNDUP($H12,0),CA$2)-(INDEX(avoidedcosttbl3,ROUNDDOWN($H12,0),CA$2)))))*ADRYr3!P12*ADRYr3!Q12*ADRYr3!U12)</f>
        <v/>
      </c>
      <c r="CB12" s="28" t="str">
        <f>IF($G12="","",$G12*(IF(ADRYr3!$AI12=CB$4,ADRYr3!$AJ12,IF(ADRYr3!$AK12=CB$4,ADRYr3!$AL12,IF(ADRYr3!$AM12=CB$4,ADRYr3!$AN12,0))))*(INDEX(avoidedcosttbl3,$H12,CB$2)+(($H12-ROUNDDOWN($H12,0))*(INDEX(avoidedcosttbl3,ROUNDUP($H12,0),CB$2)-(INDEX(avoidedcosttbl3,ROUNDDOWN($H12,0),CB$2)))))*ADRYr3!P12*ADRYr3!Q12*ADRYr3!U12)</f>
        <v/>
      </c>
      <c r="CC12" s="28" t="str">
        <f>IF($G12="","",$G12*(IF(ADRYr3!$AI12=CC$4,ADRYr3!$AJ12,IF(ADRYr3!$AK12=CC$4,ADRYr3!$AL12,IF(ADRYr3!$AM12=CC$4,ADRYr3!$AN12,0))))*(INDEX(avoidedcosttbl3,$H12,CC$2)+(($H12-ROUNDDOWN($H12,0))*(INDEX(avoidedcosttbl3,ROUNDUP($H12,0),CC$2)-(INDEX(avoidedcosttbl3,ROUNDDOWN($H12,0),CC$2)))))*ADRYr3!P12*ADRYr3!Q12*ADRYr3!U12)</f>
        <v/>
      </c>
      <c r="CD12" s="28" t="str">
        <f>IF($G12="","",$G12*(IF(ADRYr3!$AI12=CD$4,ADRYr3!$AJ12,IF(ADRYr3!$AK12=CD$4,ADRYr3!$AL12,IF(ADRYr3!$AM12=CD$4,ADRYr3!$AN12,0))))*(INDEX(avoidedcosttbl3,$H12,CD$2)+(($H12-ROUNDDOWN($H12,0))*(INDEX(avoidedcosttbl3,ROUNDUP($H12,0),CD$2)-(INDEX(avoidedcosttbl3,ROUNDDOWN($H12,0),CD$2)))))*ADRYr3!P12*ADRYr3!Q12*ADRYr3!U12)</f>
        <v/>
      </c>
      <c r="CE12" s="28" t="str">
        <f>IF($G12="","",$G12*(IF(ADRYr3!$AI12=CE$4,ADRYr3!$AJ12,IF(ADRYr3!$AK12=CE$4,ADRYr3!$AL12,IF(ADRYr3!$AM12=CE$4,ADRYr3!$AN12,0))))*(INDEX(avoidedcosttbl3,$H12,CE$2)+(($H12-ROUNDDOWN($H12,0))*(INDEX(avoidedcosttbl3,ROUNDUP($H12,0),CE$2)-(INDEX(avoidedcosttbl3,ROUNDDOWN($H12,0),CE$2)))))*ADRYr3!P12*ADRYr3!Q12*ADRYr3!U12)</f>
        <v/>
      </c>
      <c r="CF12" s="41" t="str">
        <f t="shared" si="35"/>
        <v/>
      </c>
      <c r="CG12" s="30" t="str">
        <f t="shared" si="10"/>
        <v/>
      </c>
      <c r="CH12" s="30" t="str">
        <f>IF($G12="","",$G12*(IF(ADRYr3!$AI12=BY$4,ADRYr3!$AJ12,IF(ADRYr3!$AK12=BY$4,ADRYr3!$AL12,IF(ADRYr3!$AM12=BY$4,ADRYr3!$AN12,0))))*(INDEX(avoidedcosttbl3,$H12,CH$2)+(($H12-ROUNDDOWN($H12,0))*(INDEX(avoidedcosttbl3,ROUNDUP($H12,0),CH$2)-(INDEX(avoidedcosttbl3,ROUNDDOWN($H12,0),CH$2)))))*ADRYr3!P12*ADRYr3!Q12*ADRYr3!U12)</f>
        <v/>
      </c>
      <c r="CI12" s="30" t="str">
        <f>IF($G12="","",$G12*(IF(ADRYr3!$AI12=BZ$4,ADRYr3!$AJ12,IF(ADRYr3!$AK12=BZ$4,ADRYr3!$AL12,IF(ADRYr3!$AM12=BZ$4,ADRYr3!$AN12,0))))*(INDEX(avoidedcosttbl3,$H12,CI$2)+(($H12-ROUNDDOWN($H12,0))*(INDEX(avoidedcosttbl3,ROUNDUP($H12,0),CI$2)-(INDEX(avoidedcosttbl3,ROUNDDOWN($H12,0),CI$2)))))*ADRYr3!P12*ADRYr3!Q12*ADRYr3!U12)</f>
        <v/>
      </c>
      <c r="CJ12" s="30" t="str">
        <f>IF($G12="","",$G12*(IF(ADRYr3!$AI12=CA$4,ADRYr3!$AJ12,IF(ADRYr3!$AK12=CA$4,ADRYr3!$AL12,IF(ADRYr3!$AM12=CA$4,ADRYr3!$AN12,0))))*(INDEX(avoidedcosttbl3,$H12,CJ$2)+(($H12-ROUNDDOWN($H12,0))*(INDEX(avoidedcosttbl3,ROUNDUP($H12,0),CJ$2)-(INDEX(avoidedcosttbl3,ROUNDDOWN($H12,0),CJ$2)))))*ADRYr3!P12*ADRYr3!Q12*ADRYr3!U12)</f>
        <v/>
      </c>
      <c r="CK12" s="30" t="str">
        <f>IF($G12="","",$G12*(IF(ADRYr3!$AI12=CB$4,ADRYr3!$AJ12,IF(ADRYr3!$AK12=CB$4,ADRYr3!$AL12,IF(ADRYr3!$AM12=CB$4,ADRYr3!$AN12,0))))*(INDEX(avoidedcosttbl3,$H12,CK$2)+(($H12-ROUNDDOWN($H12,0))*(INDEX(avoidedcosttbl3,ROUNDUP($H12,0),CK$2)-(INDEX(avoidedcosttbl3,ROUNDDOWN($H12,0),CK$2)))))*ADRYr3!P12*ADRYr3!Q12*ADRYr3!U12)</f>
        <v/>
      </c>
      <c r="CL12" s="30" t="str">
        <f>IF($G12="","",$G12*(IF(ADRYr3!$AI12=CC$4,ADRYr3!$AJ12,IF(ADRYr3!$AK12=CC$4,ADRYr3!$AL12,IF(ADRYr3!$AM12=CC$4,ADRYr3!$AN12,0))))*(INDEX(avoidedcosttbl3,$H12,CL$2)+(($H12-ROUNDDOWN($H12,0))*(INDEX(avoidedcosttbl3,ROUNDUP($H12,0),CL$2)-(INDEX(avoidedcosttbl3,ROUNDDOWN($H12,0),CL$2)))))*ADRYr3!P12*ADRYr3!Q12*ADRYr3!U12)</f>
        <v/>
      </c>
      <c r="CM12" s="30" t="str">
        <f>IF($G12="","",$G12*(IF(ADRYr3!$AI12=CD$4,ADRYr3!$AJ12,IF(ADRYr3!$AK12=CD$4,ADRYr3!$AL12,IF(ADRYr3!$AM12=CD$4,ADRYr3!$AN12,0))))*(INDEX(avoidedcosttbl3,$H12,CM$2)+(($H12-ROUNDDOWN($H12,0))*(INDEX(avoidedcosttbl3,ROUNDUP($H12,0),CM$2)-(INDEX(avoidedcosttbl3,ROUNDDOWN($H12,0),CM$2)))))*ADRYr3!P12*ADRYr3!Q12*ADRYr3!U12)</f>
        <v/>
      </c>
      <c r="CN12" s="30" t="str">
        <f>IF($G12="","",$G12*(IF(ADRYr3!$AI12=CE$4,ADRYr3!$AJ12,IF(ADRYr3!$AK12=CE$4,ADRYr3!$AL12,IF(ADRYr3!$AM12=CE$4,ADRYr3!$AN12,0))))*(INDEX(avoidedcosttbl3,$H12,CN$2)+(($H12-ROUNDDOWN($H12,0))*(INDEX(avoidedcosttbl3,ROUNDUP($H12,0),CN$2)-(INDEX(avoidedcosttbl3,ROUNDDOWN($H12,0),CN$2)))))*ADRYr3!P12*ADRYr3!Q12*ADRYr3!U12)</f>
        <v/>
      </c>
      <c r="CO12" s="220" t="str">
        <f t="shared" si="36"/>
        <v/>
      </c>
      <c r="CP12" s="220" t="str">
        <f t="shared" si="37"/>
        <v/>
      </c>
      <c r="CQ12" s="157" t="str">
        <f>IF($G12="","",$G12*(IF(ADRYr3!$AI12=CQ$4,ADRYr3!$AJ12,IF(ADRYr3!$AK12=CQ$4,ADRYr3!$AL12,IF(ADRYr3!$AM12=CQ$4,ADRYr3!$AN12,0))))*(INDEX(avoidedcosttbl3,$H12,CQ$2)+(($H12-ROUNDDOWN($H12,0))*(INDEX(avoidedcosttbl3,ROUNDUP($H12,0),CQ$2)-(INDEX(avoidedcosttbl3,ROUNDDOWN($H12,0),CQ$2)))))*ADRYr3!$P12*ADRYr3!$Q12*ADRYr3!$U12)</f>
        <v/>
      </c>
      <c r="CR12" s="28" t="str">
        <f>IF($G12="","",G12*(IF(ADRYr3!$AI12=CR$4,ADRYr3!$AJ12,IF(ADRYr3!$AK12=CR$4,ADRYr3!$AL12,IF(ADRYr3!$AM12=CR$4,ADRYr3!$AN12,0))))*(INDEX(avoidedcosttbl3,$H12,CR$2)+(($H12-ROUNDDOWN($H12,0))*(INDEX(avoidedcosttbl3,ROUNDUP($H12,0),CR$2)-(INDEX(avoidedcosttbl3,ROUNDDOWN($H12,0),CR$2)))))*ADRYr3!$P12*ADRYr3!$Q12*ADRYr3!$U12)</f>
        <v/>
      </c>
      <c r="CS12" s="28" t="str">
        <f>IF($G12="","",G12*(IF(ADRYr3!$AI12=CS$4,ADRYr3!$AJ12,IF(ADRYr3!$AK12=CS$4,ADRYr3!$AL12,IF(ADRYr3!$AM12=CS$4,ADRYr3!$AN12,0))))*(INDEX(avoidedcosttbl3,$H12,CS$2)+(($H12-ROUNDDOWN($H12,0))*(INDEX(avoidedcosttbl3,ROUNDUP($H12,0),CS$2)-(INDEX(avoidedcosttbl3,ROUNDDOWN($H12,0),CS$2)))))*ADRYr3!$P12*ADRYr3!$Q12*ADRYr3!$U12)</f>
        <v/>
      </c>
      <c r="CT12" s="28" t="str">
        <f t="shared" si="11"/>
        <v/>
      </c>
      <c r="CU12" s="28" t="str">
        <f>IF($G12="","",G12*(IF(ADRYr3!$AI12=CU$4,ADRYr3!$AJ12,IF(ADRYr3!$AK12=CU$4,ADRYr3!$AL12,IF(ADRYr3!$AM12=CU$4,ADRYr3!$AN12,0))))*(INDEX(avoidedcosttbl3,$H12,CU$2)+(($H12-ROUNDDOWN($H12,0))*(INDEX(avoidedcosttbl3,ROUNDUP($H12,0),CU$2)-(INDEX(avoidedcosttbl3,ROUNDDOWN($H12,0),CU$2)))))*ADRYr3!$P12*ADRYr3!$Q12*ADRYr3!$U12)</f>
        <v/>
      </c>
      <c r="CV12" s="28" t="str">
        <f>IF($G12="","",G12*(IF(ADRYr3!$AI12=CV$4,ADRYr3!$AJ12,IF(ADRYr3!$AK12=CV$4,ADRYr3!$AL12,IF(ADRYr3!$AM12=CV$4,ADRYr3!$AN12,0))))*(INDEX(avoidedcosttbl3,$H12,CV$2)+(($H12-ROUNDDOWN($H12,0))*(INDEX(avoidedcosttbl3,ROUNDUP($H12,0),CV$2)-(INDEX(avoidedcosttbl3,ROUNDDOWN($H12,0),CV$2)))))*ADRYr3!$P12*ADRYr3!$Q12*ADRYr3!$U12)</f>
        <v/>
      </c>
      <c r="CW12" s="28" t="str">
        <f>IF($G12="","",G12*(IF(ADRYr3!$AI12=CW$4,ADRYr3!$AJ12,IF(ADRYr3!$AK12=CW$4,ADRYr3!$AL12,IF(ADRYr3!$AM12=CW$4,ADRYr3!$AN12,0))))*(INDEX(avoidedcosttbl3,$H12,CW$2)+(($H12-ROUNDDOWN($H12,0))*(INDEX(avoidedcosttbl3,ROUNDUP($H12,0),CW$2)-(INDEX(avoidedcosttbl3,ROUNDDOWN($H12,0),CW$2)))))*ADRYr3!$P12*ADRYr3!$Q12*ADRYr3!$U12)</f>
        <v/>
      </c>
      <c r="CX12" s="28" t="str">
        <f>IF($G12="","",G12*(IF(ADRYr3!$AI12=CX$4,ADRYr3!$AJ12,IF(ADRYr3!$AK12=CX$4,ADRYr3!$AL12,IF(ADRYr3!$AM12=CX$4,ADRYr3!$AN12,0))))*(INDEX(avoidedcosttbl3,$H12,CX$2)+(($H12-ROUNDDOWN($H12,0))*(INDEX(avoidedcosttbl3,ROUNDUP($H12,0),CX$2)-(INDEX(avoidedcosttbl3,ROUNDDOWN($H12,0),CX$2)))))*ADRYr3!$P12*ADRYr3!$Q12*ADRYr3!$U12)</f>
        <v/>
      </c>
      <c r="CY12" s="28" t="str">
        <f t="shared" si="38"/>
        <v/>
      </c>
      <c r="CZ12" s="32" t="str">
        <f t="shared" si="39"/>
        <v/>
      </c>
      <c r="DA12" s="84" t="str">
        <f t="shared" si="40"/>
        <v/>
      </c>
      <c r="DB12" s="81" t="str">
        <f>IF(NEIadder="Yes",IF($G12="","",INDEX(Lookups!$G$68:$G$70,MATCH($A12,Lookups!$E$68:$E$70,0))*(SUM(CP12:CX12,BX12))),"")</f>
        <v/>
      </c>
      <c r="DC12" s="263" t="str">
        <f t="shared" si="41"/>
        <v/>
      </c>
      <c r="DD12" s="166" t="str">
        <f t="shared" si="42"/>
        <v/>
      </c>
      <c r="DE12" s="82">
        <f t="shared" si="43"/>
        <v>0</v>
      </c>
      <c r="DF12" s="760" t="str">
        <f>IF($G12="","",(1+WntPeakEnergyLL)*(INDEX(avoidedcosttbl3,$H12,DF$2)+(($H12-ROUNDDOWN($H12,0))*(INDEX(avoidedcosttbl3,ROUNDUP($H12,0),DF$2)-(INDEX(avoidedcosttbl3,ROUNDDOWN($H12,0),DF$2)))))*$P12*1000*ADRYr3!Z12)</f>
        <v/>
      </c>
      <c r="DG12" s="760" t="str">
        <f>IF($G12="","",(1+WntOffPeakEnergyLL)*(INDEX(avoidedcosttbl3,$H12,DG$2)+(($H12-ROUNDDOWN($H12,0))*(INDEX(avoidedcosttbl3,ROUNDUP($H12,0),DG$2)-(INDEX(avoidedcosttbl3,ROUNDDOWN($H12,0),DG$2)))))*$P12*1000*ADRYr3!AA12)</f>
        <v/>
      </c>
      <c r="DH12" s="760" t="str">
        <f>IF($G12="","",(1+SumPeakEnergyLL)*(INDEX(avoidedcosttbl3,$H12,DH$2)+(($H12-ROUNDDOWN($H12,0))*(INDEX(avoidedcosttbl3,ROUNDUP($H12,0),DH$2)-(INDEX(avoidedcosttbl3,ROUNDDOWN($H12,0),DH$2)))))*$P12*1000*ADRYr3!AB12)</f>
        <v/>
      </c>
      <c r="DI12" s="760" t="str">
        <f>IF($G12="","",(1+SumOffPeakEnergyLL)*(INDEX(avoidedcosttbl3,$H12,DI$2)+(($H12-ROUNDDOWN($H12,0))*(INDEX(avoidedcosttbl3,ROUNDUP($H12,0),DI$2)-(INDEX(avoidedcosttbl3,ROUNDDOWN($H12,0),DI$2)))))*$P12*1000*ADRYr3!AC12)</f>
        <v/>
      </c>
      <c r="DJ12" s="29" t="str">
        <f t="shared" si="44"/>
        <v/>
      </c>
      <c r="DK12" s="161" t="str">
        <f t="shared" si="45"/>
        <v/>
      </c>
      <c r="DL12" s="1375" t="str">
        <f t="shared" si="46"/>
        <v/>
      </c>
      <c r="DM12" s="1375" t="str">
        <f t="shared" si="47"/>
        <v/>
      </c>
      <c r="DN12" s="43" t="str">
        <f t="shared" si="48"/>
        <v/>
      </c>
      <c r="DO12" s="1131" t="str">
        <f>IF($G12="","",ADRYr3!AQ12)</f>
        <v/>
      </c>
      <c r="DP12" s="1133" t="str">
        <f>IF($G12="","",ADRYr3!AR12)</f>
        <v/>
      </c>
      <c r="DQ12" s="1135" t="str">
        <f>IF($G12="","",IF($DP12="Yes",COLUMN(AESC!$L$10),IF($DP12="No","Using AvoidedDemand tab",IF($DP12="Mixed",COLUMN(AESC!$N$10)))))</f>
        <v/>
      </c>
      <c r="DR12" s="1135" t="str">
        <f>IF($G12="","",IF($DP12="Yes",COLUMN(AESC!$P$10),IF($DP12="No","Using AvoidedDemand tab",IF($DP12="Mixed",COLUMN(AESC!$R$10)))))</f>
        <v/>
      </c>
      <c r="DS12" s="1135" t="str">
        <f>IF($G12="","",IF($DP12="Yes",COLUMN(AESC!$S$10),IF($DP12="No",COLUMN(AESC!$T$10),IF($DP12="Mixed",COLUMN(AESC!$U$10)))))</f>
        <v/>
      </c>
      <c r="DT12" s="1135" t="str">
        <f t="shared" si="49"/>
        <v/>
      </c>
      <c r="DU12" s="1135" t="str">
        <f>IF($G12="","",ADRYr3!AS12)</f>
        <v/>
      </c>
      <c r="DV12" s="1136" t="str">
        <f>IF($G12="","",ADRYr3!AT12)</f>
        <v/>
      </c>
      <c r="DW12" s="1344" t="str">
        <f>IF($G12="","",INDEX(AvoidedEnergy!$H$4:$H$10,MATCH($DO12,AvoidedEnergy!$A$4:$A$10,0)))</f>
        <v/>
      </c>
    </row>
    <row r="13" spans="1:127">
      <c r="A13" s="160" t="str">
        <f>IF(ADRYr3!$B13=0,"",ADRYr3!A13)</f>
        <v>A - Residential</v>
      </c>
      <c r="B13" s="9" t="str">
        <f>IF(ADRYr3!$B13=0,"",ADRYr3!B13)</f>
        <v>A5 - Residential Active Demand Response</v>
      </c>
      <c r="C13" s="9" t="str">
        <f>IF(ADRYr3!$B13=0,"",ADRYr3!C13)</f>
        <v>A5a - Residential Active Demand Response</v>
      </c>
      <c r="D13" s="9" t="str">
        <f>IF(ADRYr3!$B13=0,"",ADRYr3!D13)</f>
        <v>Storage Targeted Dispatch P4P (savings) Winter</v>
      </c>
      <c r="E13" s="9">
        <f>IF(ADRYr3!$B13=0,"",ADRYr3!E13)</f>
        <v>0</v>
      </c>
      <c r="F13" s="11" t="str">
        <f>IF(ADRYr3!$B13=0,"",ADRYr3!F13)</f>
        <v>Behavior</v>
      </c>
      <c r="G13" s="12" t="str">
        <f>IF(ADRYr3!$G13&lt;&gt;0,ADRYr3!G13,"")</f>
        <v/>
      </c>
      <c r="H13" s="1125" t="str">
        <f>IF($G13="","",ROUND(ADRYr3!H13,0))</f>
        <v/>
      </c>
      <c r="I13" s="47" t="str">
        <f>IF($G13="","",ADRYr3!I13*ADRYr3!P13*G13)</f>
        <v/>
      </c>
      <c r="J13" s="47" t="str">
        <f>IF($G13="","",ADRYr3!J13*G13)</f>
        <v/>
      </c>
      <c r="K13" s="47" t="str">
        <f t="shared" si="12"/>
        <v/>
      </c>
      <c r="L13" s="27" t="str">
        <f>IF($G13="","",ADRYr3!V13*G13/1000)</f>
        <v/>
      </c>
      <c r="M13" s="27" t="str">
        <f>IF($G13="","",L13*ADRYr3!$Q13*ADRYr3!$R13)</f>
        <v/>
      </c>
      <c r="N13" s="27" t="str">
        <f t="shared" si="13"/>
        <v/>
      </c>
      <c r="O13" s="27" t="str">
        <f t="shared" si="14"/>
        <v/>
      </c>
      <c r="P13" s="27" t="str">
        <f>IF($G13="","",M13*ADRYr3!P13)</f>
        <v/>
      </c>
      <c r="Q13" s="27" t="str">
        <f t="shared" si="15"/>
        <v/>
      </c>
      <c r="R13" s="27" t="str">
        <f>IF($G13="","",$Q13*ADRYr3!Z13)</f>
        <v/>
      </c>
      <c r="S13" s="27" t="str">
        <f>IF($G13="","",$Q13*ADRYr3!AA13)</f>
        <v/>
      </c>
      <c r="T13" s="27" t="str">
        <f>IF($G13="","",$Q13*ADRYr3!AB13)</f>
        <v/>
      </c>
      <c r="U13" s="27" t="str">
        <f>IF($G13="","",$Q13*ADRYr3!AC13)</f>
        <v/>
      </c>
      <c r="V13" s="27" t="str">
        <f>IF($G13="","",G13*ADRYr3!$AD13*ADRYr3!$P13*ADRYr3!$Q13)</f>
        <v/>
      </c>
      <c r="W13" s="27" t="str">
        <f>IF($G13="","",$G13*ADRYr3!$AD13*ADRYr3!$AF13*ADRYr3!Q13*ADRYr3!$S13)</f>
        <v/>
      </c>
      <c r="X13" s="27" t="str">
        <f>IF($G13="","",$G13*ADRYr3!$AD13*ADRYr3!$AF13*ADRYr3!P13*ADRYr3!Q13*ADRYr3!$S13)</f>
        <v/>
      </c>
      <c r="Y13" s="27" t="str">
        <f>IF($G13="","",$G13*ADRYr3!$AD13*ADRYr3!$AE13*ADRYr3!Q13*ADRYr3!$T13)</f>
        <v/>
      </c>
      <c r="Z13" s="27" t="str">
        <f>IF($G13="","",$G13*ADRYr3!$AD13*ADRYr3!$AE13*ADRYr3!P13*ADRYr3!Q13*ADRYr3!$T13)</f>
        <v/>
      </c>
      <c r="AA13" s="45" t="str">
        <f>IF($G13="","",$G13*ADRYr3!$Q13*ADRYr3!$U13*(IF(IFERROR(SEARCH("NG", ADRYr3!$AI13),0),ADRYr3!$AJ13,0)+IF(IFERROR(SEARCH("NG", ADRYr3!$AK13),0),ADRYr3!$AL13,0)+IF(IFERROR(SEARCH("NG", ADRYr3!$AM13),0),ADRYr3!$AN13,0)))</f>
        <v/>
      </c>
      <c r="AB13" s="45" t="str">
        <f t="shared" si="16"/>
        <v/>
      </c>
      <c r="AC13" s="45">
        <f>IF($G13="",0,AA13*ADRYr3!$P13)</f>
        <v>0</v>
      </c>
      <c r="AD13" s="45" t="str">
        <f t="shared" si="17"/>
        <v/>
      </c>
      <c r="AE13" s="45" t="str">
        <f>IF($G13="","",$G13*ADRYr3!$Q13*ADRYr3!$U13*(IF(IFERROR(SEARCH("Oil", ADRYr3!$AI13), 0),ADRYr3!$AJ13,0)+IF(IFERROR(SEARCH("Oil", ADRYr3!$AK13), 0),ADRYr3!$AL13,0)+IF(IFERROR(SEARCH("Oil", ADRYr3!$AM13), 0),ADRYr3!$AN13,0)))</f>
        <v/>
      </c>
      <c r="AF13" s="45" t="str">
        <f t="shared" si="18"/>
        <v/>
      </c>
      <c r="AG13" s="45">
        <f>IF($G13="",0,AE13*ADRYr3!$P13)</f>
        <v>0</v>
      </c>
      <c r="AH13" s="45" t="str">
        <f t="shared" si="19"/>
        <v/>
      </c>
      <c r="AI13" s="45" t="str">
        <f>IF($G13="","",$G13*ADRYr3!$Q13*ADRYr3!$U13*(IF(ADRYr3!$AI13=Lookups!$E$114,ADRYr3!$AJ13,IF(ADRYr3!$AK13=Lookups!$E$114,ADRYr3!$AL13,IF(ADRYr3!$AM13=Lookups!$E$114,ADRYr3!$AN13,0)))))</f>
        <v/>
      </c>
      <c r="AJ13" s="45" t="str">
        <f t="shared" si="20"/>
        <v/>
      </c>
      <c r="AK13" s="45">
        <f>IF($G13="",0,AI13*ADRYr3!$P13)</f>
        <v>0</v>
      </c>
      <c r="AL13" s="45" t="str">
        <f t="shared" si="21"/>
        <v/>
      </c>
      <c r="AM13" s="45" t="str">
        <f>IF($G13="","",$G13*ADRYr3!$Q13*ADRYr3!$U13*(IF(ADRYr3!$AI13=Lookups!$E$113,ADRYr3!$AJ13,IF(ADRYr3!$AK13=Lookups!$E$113,ADRYr3!$AL13,IF(ADRYr3!$AM13=Lookups!$E$113,ADRYr3!$AN13,0)))))</f>
        <v/>
      </c>
      <c r="AN13" s="45" t="str">
        <f t="shared" si="22"/>
        <v/>
      </c>
      <c r="AO13" s="45">
        <f>IF($G13="",0,AM13*ADRYr3!$P13)</f>
        <v>0</v>
      </c>
      <c r="AP13" s="45" t="str">
        <f t="shared" si="23"/>
        <v/>
      </c>
      <c r="AQ13" s="45" t="str">
        <f>IF($G13="","",$G13*ADRYr3!$Q13*ADRYr3!$U13*(IF(ADRYr3!$AI13=Lookups!$E$115,ADRYr3!$AJ13,IF(ADRYr3!$AK13=Lookups!$E$115,ADRYr3!$AL13,IF(ADRYr3!$AM13=Lookups!$E$115,ADRYr3!$AN13,0)))))</f>
        <v/>
      </c>
      <c r="AR13" s="45" t="str">
        <f t="shared" si="24"/>
        <v/>
      </c>
      <c r="AS13" s="45" t="str">
        <f>IF($G13="","",AQ13*ADRYr3!$P13)</f>
        <v/>
      </c>
      <c r="AT13" s="45" t="str">
        <f t="shared" si="25"/>
        <v/>
      </c>
      <c r="AU13" s="45" t="str">
        <f>IF($G13="","",$G13*ADRYr3!$Q13*ADRYr3!$U13*(IF(ADRYr3!$AI13=Lookups!$E$116,ADRYr3!$AJ13,IF(ADRYr3!$AK13=Lookups!$E$116,ADRYr3!$AL13,IF(ADRYr3!$AM13=Lookups!$E$116,ADRYr3!$AN13,0)))))</f>
        <v/>
      </c>
      <c r="AV13" s="45" t="str">
        <f t="shared" si="26"/>
        <v/>
      </c>
      <c r="AW13" s="45" t="str">
        <f>IF($G13="","",AU13*ADRYr3!$P13)</f>
        <v/>
      </c>
      <c r="AX13" s="45" t="str">
        <f t="shared" si="27"/>
        <v/>
      </c>
      <c r="AY13" s="45">
        <f t="shared" si="28"/>
        <v>0</v>
      </c>
      <c r="AZ13" s="45">
        <f t="shared" si="29"/>
        <v>0</v>
      </c>
      <c r="BA13" s="101" t="str">
        <f>IF($G13="","",$G13*ADRYr3!$P13*ADRYr3!$Q13*ADRYr3!$U13*ADRYr3!AO13)</f>
        <v/>
      </c>
      <c r="BB13" s="102" t="str">
        <f>IF($G13="","",$G13*ADRYr3!$P13*ADRYr3!$Q13*ADRYr3!$U13*ADRYr3!AP13)</f>
        <v/>
      </c>
      <c r="BC13" s="100" t="str">
        <f t="shared" si="30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31"/>
        <v/>
      </c>
      <c r="BO13" s="31" t="str">
        <f t="shared" si="32"/>
        <v/>
      </c>
      <c r="BP13" s="1129" t="str">
        <f t="shared" si="5"/>
        <v/>
      </c>
      <c r="BQ13" s="28" t="str">
        <f t="shared" si="6"/>
        <v/>
      </c>
      <c r="BR13" s="1129" t="str">
        <f t="shared" si="7"/>
        <v/>
      </c>
      <c r="BS13" s="1129" t="str">
        <f t="shared" si="8"/>
        <v/>
      </c>
      <c r="BT13" s="28" t="str">
        <f t="shared" si="9"/>
        <v/>
      </c>
      <c r="BU13" s="28" t="str">
        <f t="shared" si="9"/>
        <v/>
      </c>
      <c r="BV13" s="28" t="str">
        <f t="shared" si="9"/>
        <v/>
      </c>
      <c r="BW13" s="29" t="str">
        <f t="shared" si="33"/>
        <v/>
      </c>
      <c r="BX13" s="29" t="str">
        <f t="shared" si="34"/>
        <v/>
      </c>
      <c r="BY13" s="28" t="str">
        <f>IF($G13="","",$G13*(IF(ADRYr3!$AI13=BY$4,ADRYr3!$AJ13,IF(ADRYr3!$AK13=BY$4,ADRYr3!$AL13,IF(ADRYr3!$AM13=BY$4,ADRYr3!$AN13,0))))*(INDEX(avoidedcosttbl3,$H13,BY$2)+(($H13-ROUNDDOWN($H13,0))*(INDEX(avoidedcosttbl3,ROUNDUP($H13,0),BY$2)-(INDEX(avoidedcosttbl3,ROUNDDOWN($H13,0),BY$2)))))*ADRYr3!P13*ADRYr3!Q13*ADRYr3!U13)</f>
        <v/>
      </c>
      <c r="BZ13" s="28" t="str">
        <f>IF($G13="","",$G13*(IF(ADRYr3!$AI13=BZ$4,ADRYr3!$AJ13,IF(ADRYr3!$AK13=BZ$4,ADRYr3!$AL13,IF(ADRYr3!$AM13=BZ$4,ADRYr3!$AN13,0))))*(INDEX(avoidedcosttbl3,$H13,BZ$2)+(($H13-ROUNDDOWN($H13,0))*(INDEX(avoidedcosttbl3,ROUNDUP($H13,0),BZ$2)-(INDEX(avoidedcosttbl3,ROUNDDOWN($H13,0),BZ$2)))))*ADRYr3!P13*ADRYr3!Q13*ADRYr3!U13)</f>
        <v/>
      </c>
      <c r="CA13" s="28" t="str">
        <f>IF($G13="","",$G13*(IF(ADRYr3!$AI13=CA$4,ADRYr3!$AJ13,IF(ADRYr3!$AK13=CA$4,ADRYr3!$AL13,IF(ADRYr3!$AM13=CA$4,ADRYr3!$AN13,0))))*(INDEX(avoidedcosttbl3,$H13,CA$2)+(($H13-ROUNDDOWN($H13,0))*(INDEX(avoidedcosttbl3,ROUNDUP($H13,0),CA$2)-(INDEX(avoidedcosttbl3,ROUNDDOWN($H13,0),CA$2)))))*ADRYr3!P13*ADRYr3!Q13*ADRYr3!U13)</f>
        <v/>
      </c>
      <c r="CB13" s="28" t="str">
        <f>IF($G13="","",$G13*(IF(ADRYr3!$AI13=CB$4,ADRYr3!$AJ13,IF(ADRYr3!$AK13=CB$4,ADRYr3!$AL13,IF(ADRYr3!$AM13=CB$4,ADRYr3!$AN13,0))))*(INDEX(avoidedcosttbl3,$H13,CB$2)+(($H13-ROUNDDOWN($H13,0))*(INDEX(avoidedcosttbl3,ROUNDUP($H13,0),CB$2)-(INDEX(avoidedcosttbl3,ROUNDDOWN($H13,0),CB$2)))))*ADRYr3!P13*ADRYr3!Q13*ADRYr3!U13)</f>
        <v/>
      </c>
      <c r="CC13" s="28" t="str">
        <f>IF($G13="","",$G13*(IF(ADRYr3!$AI13=CC$4,ADRYr3!$AJ13,IF(ADRYr3!$AK13=CC$4,ADRYr3!$AL13,IF(ADRYr3!$AM13=CC$4,ADRYr3!$AN13,0))))*(INDEX(avoidedcosttbl3,$H13,CC$2)+(($H13-ROUNDDOWN($H13,0))*(INDEX(avoidedcosttbl3,ROUNDUP($H13,0),CC$2)-(INDEX(avoidedcosttbl3,ROUNDDOWN($H13,0),CC$2)))))*ADRYr3!P13*ADRYr3!Q13*ADRYr3!U13)</f>
        <v/>
      </c>
      <c r="CD13" s="28" t="str">
        <f>IF($G13="","",$G13*(IF(ADRYr3!$AI13=CD$4,ADRYr3!$AJ13,IF(ADRYr3!$AK13=CD$4,ADRYr3!$AL13,IF(ADRYr3!$AM13=CD$4,ADRYr3!$AN13,0))))*(INDEX(avoidedcosttbl3,$H13,CD$2)+(($H13-ROUNDDOWN($H13,0))*(INDEX(avoidedcosttbl3,ROUNDUP($H13,0),CD$2)-(INDEX(avoidedcosttbl3,ROUNDDOWN($H13,0),CD$2)))))*ADRYr3!P13*ADRYr3!Q13*ADRYr3!U13)</f>
        <v/>
      </c>
      <c r="CE13" s="28" t="str">
        <f>IF($G13="","",$G13*(IF(ADRYr3!$AI13=CE$4,ADRYr3!$AJ13,IF(ADRYr3!$AK13=CE$4,ADRYr3!$AL13,IF(ADRYr3!$AM13=CE$4,ADRYr3!$AN13,0))))*(INDEX(avoidedcosttbl3,$H13,CE$2)+(($H13-ROUNDDOWN($H13,0))*(INDEX(avoidedcosttbl3,ROUNDUP($H13,0),CE$2)-(INDEX(avoidedcosttbl3,ROUNDDOWN($H13,0),CE$2)))))*ADRYr3!P13*ADRYr3!Q13*ADRYr3!U13)</f>
        <v/>
      </c>
      <c r="CF13" s="41" t="str">
        <f t="shared" si="35"/>
        <v/>
      </c>
      <c r="CG13" s="30" t="str">
        <f t="shared" si="10"/>
        <v/>
      </c>
      <c r="CH13" s="30" t="str">
        <f>IF($G13="","",$G13*(IF(ADRYr3!$AI13=BY$4,ADRYr3!$AJ13,IF(ADRYr3!$AK13=BY$4,ADRYr3!$AL13,IF(ADRYr3!$AM13=BY$4,ADRYr3!$AN13,0))))*(INDEX(avoidedcosttbl3,$H13,CH$2)+(($H13-ROUNDDOWN($H13,0))*(INDEX(avoidedcosttbl3,ROUNDUP($H13,0),CH$2)-(INDEX(avoidedcosttbl3,ROUNDDOWN($H13,0),CH$2)))))*ADRYr3!P13*ADRYr3!Q13*ADRYr3!U13)</f>
        <v/>
      </c>
      <c r="CI13" s="30" t="str">
        <f>IF($G13="","",$G13*(IF(ADRYr3!$AI13=BZ$4,ADRYr3!$AJ13,IF(ADRYr3!$AK13=BZ$4,ADRYr3!$AL13,IF(ADRYr3!$AM13=BZ$4,ADRYr3!$AN13,0))))*(INDEX(avoidedcosttbl3,$H13,CI$2)+(($H13-ROUNDDOWN($H13,0))*(INDEX(avoidedcosttbl3,ROUNDUP($H13,0),CI$2)-(INDEX(avoidedcosttbl3,ROUNDDOWN($H13,0),CI$2)))))*ADRYr3!P13*ADRYr3!Q13*ADRYr3!U13)</f>
        <v/>
      </c>
      <c r="CJ13" s="30" t="str">
        <f>IF($G13="","",$G13*(IF(ADRYr3!$AI13=CA$4,ADRYr3!$AJ13,IF(ADRYr3!$AK13=CA$4,ADRYr3!$AL13,IF(ADRYr3!$AM13=CA$4,ADRYr3!$AN13,0))))*(INDEX(avoidedcosttbl3,$H13,CJ$2)+(($H13-ROUNDDOWN($H13,0))*(INDEX(avoidedcosttbl3,ROUNDUP($H13,0),CJ$2)-(INDEX(avoidedcosttbl3,ROUNDDOWN($H13,0),CJ$2)))))*ADRYr3!P13*ADRYr3!Q13*ADRYr3!U13)</f>
        <v/>
      </c>
      <c r="CK13" s="30" t="str">
        <f>IF($G13="","",$G13*(IF(ADRYr3!$AI13=CB$4,ADRYr3!$AJ13,IF(ADRYr3!$AK13=CB$4,ADRYr3!$AL13,IF(ADRYr3!$AM13=CB$4,ADRYr3!$AN13,0))))*(INDEX(avoidedcosttbl3,$H13,CK$2)+(($H13-ROUNDDOWN($H13,0))*(INDEX(avoidedcosttbl3,ROUNDUP($H13,0),CK$2)-(INDEX(avoidedcosttbl3,ROUNDDOWN($H13,0),CK$2)))))*ADRYr3!P13*ADRYr3!Q13*ADRYr3!U13)</f>
        <v/>
      </c>
      <c r="CL13" s="30" t="str">
        <f>IF($G13="","",$G13*(IF(ADRYr3!$AI13=CC$4,ADRYr3!$AJ13,IF(ADRYr3!$AK13=CC$4,ADRYr3!$AL13,IF(ADRYr3!$AM13=CC$4,ADRYr3!$AN13,0))))*(INDEX(avoidedcosttbl3,$H13,CL$2)+(($H13-ROUNDDOWN($H13,0))*(INDEX(avoidedcosttbl3,ROUNDUP($H13,0),CL$2)-(INDEX(avoidedcosttbl3,ROUNDDOWN($H13,0),CL$2)))))*ADRYr3!P13*ADRYr3!Q13*ADRYr3!U13)</f>
        <v/>
      </c>
      <c r="CM13" s="30" t="str">
        <f>IF($G13="","",$G13*(IF(ADRYr3!$AI13=CD$4,ADRYr3!$AJ13,IF(ADRYr3!$AK13=CD$4,ADRYr3!$AL13,IF(ADRYr3!$AM13=CD$4,ADRYr3!$AN13,0))))*(INDEX(avoidedcosttbl3,$H13,CM$2)+(($H13-ROUNDDOWN($H13,0))*(INDEX(avoidedcosttbl3,ROUNDUP($H13,0),CM$2)-(INDEX(avoidedcosttbl3,ROUNDDOWN($H13,0),CM$2)))))*ADRYr3!P13*ADRYr3!Q13*ADRYr3!U13)</f>
        <v/>
      </c>
      <c r="CN13" s="30" t="str">
        <f>IF($G13="","",$G13*(IF(ADRYr3!$AI13=CE$4,ADRYr3!$AJ13,IF(ADRYr3!$AK13=CE$4,ADRYr3!$AL13,IF(ADRYr3!$AM13=CE$4,ADRYr3!$AN13,0))))*(INDEX(avoidedcosttbl3,$H13,CN$2)+(($H13-ROUNDDOWN($H13,0))*(INDEX(avoidedcosttbl3,ROUNDUP($H13,0),CN$2)-(INDEX(avoidedcosttbl3,ROUNDDOWN($H13,0),CN$2)))))*ADRYr3!P13*ADRYr3!Q13*ADRYr3!U13)</f>
        <v/>
      </c>
      <c r="CO13" s="220" t="str">
        <f t="shared" si="36"/>
        <v/>
      </c>
      <c r="CP13" s="220" t="str">
        <f t="shared" si="37"/>
        <v/>
      </c>
      <c r="CQ13" s="157" t="str">
        <f>IF($G13="","",$G13*(IF(ADRYr3!$AI13=CQ$4,ADRYr3!$AJ13,IF(ADRYr3!$AK13=CQ$4,ADRYr3!$AL13,IF(ADRYr3!$AM13=CQ$4,ADRYr3!$AN13,0))))*(INDEX(avoidedcosttbl3,$H13,CQ$2)+(($H13-ROUNDDOWN($H13,0))*(INDEX(avoidedcosttbl3,ROUNDUP($H13,0),CQ$2)-(INDEX(avoidedcosttbl3,ROUNDDOWN($H13,0),CQ$2)))))*ADRYr3!$P13*ADRYr3!$Q13*ADRYr3!$U13)</f>
        <v/>
      </c>
      <c r="CR13" s="28" t="str">
        <f>IF($G13="","",G13*(IF(ADRYr3!$AI13=CR$4,ADRYr3!$AJ13,IF(ADRYr3!$AK13=CR$4,ADRYr3!$AL13,IF(ADRYr3!$AM13=CR$4,ADRYr3!$AN13,0))))*(INDEX(avoidedcosttbl3,$H13,CR$2)+(($H13-ROUNDDOWN($H13,0))*(INDEX(avoidedcosttbl3,ROUNDUP($H13,0),CR$2)-(INDEX(avoidedcosttbl3,ROUNDDOWN($H13,0),CR$2)))))*ADRYr3!$P13*ADRYr3!$Q13*ADRYr3!$U13)</f>
        <v/>
      </c>
      <c r="CS13" s="28" t="str">
        <f>IF($G13="","",G13*(IF(ADRYr3!$AI13=CS$4,ADRYr3!$AJ13,IF(ADRYr3!$AK13=CS$4,ADRYr3!$AL13,IF(ADRYr3!$AM13=CS$4,ADRYr3!$AN13,0))))*(INDEX(avoidedcosttbl3,$H13,CS$2)+(($H13-ROUNDDOWN($H13,0))*(INDEX(avoidedcosttbl3,ROUNDUP($H13,0),CS$2)-(INDEX(avoidedcosttbl3,ROUNDDOWN($H13,0),CS$2)))))*ADRYr3!$P13*ADRYr3!$Q13*ADRYr3!$U13)</f>
        <v/>
      </c>
      <c r="CT13" s="28" t="str">
        <f t="shared" si="11"/>
        <v/>
      </c>
      <c r="CU13" s="28" t="str">
        <f>IF($G13="","",G13*(IF(ADRYr3!$AI13=CU$4,ADRYr3!$AJ13,IF(ADRYr3!$AK13=CU$4,ADRYr3!$AL13,IF(ADRYr3!$AM13=CU$4,ADRYr3!$AN13,0))))*(INDEX(avoidedcosttbl3,$H13,CU$2)+(($H13-ROUNDDOWN($H13,0))*(INDEX(avoidedcosttbl3,ROUNDUP($H13,0),CU$2)-(INDEX(avoidedcosttbl3,ROUNDDOWN($H13,0),CU$2)))))*ADRYr3!$P13*ADRYr3!$Q13*ADRYr3!$U13)</f>
        <v/>
      </c>
      <c r="CV13" s="28" t="str">
        <f>IF($G13="","",G13*(IF(ADRYr3!$AI13=CV$4,ADRYr3!$AJ13,IF(ADRYr3!$AK13=CV$4,ADRYr3!$AL13,IF(ADRYr3!$AM13=CV$4,ADRYr3!$AN13,0))))*(INDEX(avoidedcosttbl3,$H13,CV$2)+(($H13-ROUNDDOWN($H13,0))*(INDEX(avoidedcosttbl3,ROUNDUP($H13,0),CV$2)-(INDEX(avoidedcosttbl3,ROUNDDOWN($H13,0),CV$2)))))*ADRYr3!$P13*ADRYr3!$Q13*ADRYr3!$U13)</f>
        <v/>
      </c>
      <c r="CW13" s="28" t="str">
        <f>IF($G13="","",G13*(IF(ADRYr3!$AI13=CW$4,ADRYr3!$AJ13,IF(ADRYr3!$AK13=CW$4,ADRYr3!$AL13,IF(ADRYr3!$AM13=CW$4,ADRYr3!$AN13,0))))*(INDEX(avoidedcosttbl3,$H13,CW$2)+(($H13-ROUNDDOWN($H13,0))*(INDEX(avoidedcosttbl3,ROUNDUP($H13,0),CW$2)-(INDEX(avoidedcosttbl3,ROUNDDOWN($H13,0),CW$2)))))*ADRYr3!$P13*ADRYr3!$Q13*ADRYr3!$U13)</f>
        <v/>
      </c>
      <c r="CX13" s="28" t="str">
        <f>IF($G13="","",G13*(IF(ADRYr3!$AI13=CX$4,ADRYr3!$AJ13,IF(ADRYr3!$AK13=CX$4,ADRYr3!$AL13,IF(ADRYr3!$AM13=CX$4,ADRYr3!$AN13,0))))*(INDEX(avoidedcosttbl3,$H13,CX$2)+(($H13-ROUNDDOWN($H13,0))*(INDEX(avoidedcosttbl3,ROUNDUP($H13,0),CX$2)-(INDEX(avoidedcosttbl3,ROUNDDOWN($H13,0),CX$2)))))*ADRYr3!$P13*ADRYr3!$Q13*ADRYr3!$U13)</f>
        <v/>
      </c>
      <c r="CY13" s="28" t="str">
        <f t="shared" si="38"/>
        <v/>
      </c>
      <c r="CZ13" s="32" t="str">
        <f t="shared" si="39"/>
        <v/>
      </c>
      <c r="DA13" s="84" t="str">
        <f t="shared" si="40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41"/>
        <v/>
      </c>
      <c r="DD13" s="166" t="str">
        <f t="shared" si="42"/>
        <v/>
      </c>
      <c r="DE13" s="82">
        <f t="shared" si="43"/>
        <v>0</v>
      </c>
      <c r="DF13" s="760" t="str">
        <f>IF($G13="","",(1+WntPeakEnergyLL)*(INDEX(avoidedcosttbl3,$H13,DF$2)+(($H13-ROUNDDOWN($H13,0))*(INDEX(avoidedcosttbl3,ROUNDUP($H13,0),DF$2)-(INDEX(avoidedcosttbl3,ROUNDDOWN($H13,0),DF$2)))))*$P13*1000*ADRYr3!Z13)</f>
        <v/>
      </c>
      <c r="DG13" s="760" t="str">
        <f>IF($G13="","",(1+WntOffPeakEnergyLL)*(INDEX(avoidedcosttbl3,$H13,DG$2)+(($H13-ROUNDDOWN($H13,0))*(INDEX(avoidedcosttbl3,ROUNDUP($H13,0),DG$2)-(INDEX(avoidedcosttbl3,ROUNDDOWN($H13,0),DG$2)))))*$P13*1000*ADRYr3!AA13)</f>
        <v/>
      </c>
      <c r="DH13" s="760" t="str">
        <f>IF($G13="","",(1+SumPeakEnergyLL)*(INDEX(avoidedcosttbl3,$H13,DH$2)+(($H13-ROUNDDOWN($H13,0))*(INDEX(avoidedcosttbl3,ROUNDUP($H13,0),DH$2)-(INDEX(avoidedcosttbl3,ROUNDDOWN($H13,0),DH$2)))))*$P13*1000*ADRYr3!AB13)</f>
        <v/>
      </c>
      <c r="DI13" s="760" t="str">
        <f>IF($G13="","",(1+SumOffPeakEnergyLL)*(INDEX(avoidedcosttbl3,$H13,DI$2)+(($H13-ROUNDDOWN($H13,0))*(INDEX(avoidedcosttbl3,ROUNDUP($H13,0),DI$2)-(INDEX(avoidedcosttbl3,ROUNDDOWN($H13,0),DI$2)))))*$P13*1000*ADRYr3!AC13)</f>
        <v/>
      </c>
      <c r="DJ13" s="29" t="str">
        <f t="shared" si="44"/>
        <v/>
      </c>
      <c r="DK13" s="161" t="str">
        <f t="shared" si="45"/>
        <v/>
      </c>
      <c r="DL13" s="1375" t="str">
        <f t="shared" si="46"/>
        <v/>
      </c>
      <c r="DM13" s="1375" t="str">
        <f t="shared" si="47"/>
        <v/>
      </c>
      <c r="DN13" s="43" t="str">
        <f t="shared" si="48"/>
        <v/>
      </c>
      <c r="DO13" s="1131" t="str">
        <f>IF($G13="","",ADRYr3!AQ13)</f>
        <v/>
      </c>
      <c r="DP13" s="1133" t="str">
        <f>IF($G13="","",ADRYr3!AR13)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49"/>
        <v/>
      </c>
      <c r="DU13" s="1135" t="str">
        <f>IF($G13="","",ADRYr3!AS13)</f>
        <v/>
      </c>
      <c r="DV13" s="1136" t="str">
        <f>IF($G13="","",ADRYr3!AT13)</f>
        <v/>
      </c>
      <c r="DW13" s="1344" t="str">
        <f>IF($G13="","",INDEX(AvoidedEnergy!$H$4:$H$10,MATCH($DO13,AvoidedEnergy!$A$4:$A$10,0)))</f>
        <v/>
      </c>
    </row>
    <row r="14" spans="1:127">
      <c r="A14" s="160" t="str">
        <f>IF(ADRYr3!$B14=0,"",ADRYr3!A14)</f>
        <v>A - Residential</v>
      </c>
      <c r="B14" s="9" t="str">
        <f>IF(ADRYr3!$B14=0,"",ADRYr3!B14)</f>
        <v>A5 - Residential Active Demand Response</v>
      </c>
      <c r="C14" s="9" t="str">
        <f>IF(ADRYr3!$B14=0,"",ADRYr3!C14)</f>
        <v>A5a - Residential Active Demand Response</v>
      </c>
      <c r="D14" s="9" t="str">
        <f>IF(ADRYr3!$B14=0,"",ADRYr3!D14)</f>
        <v>Storage Targeted Dispatch P4P (consumption) Winter</v>
      </c>
      <c r="E14" s="9">
        <f>IF(ADRYr3!$B14=0,"",ADRYr3!E14)</f>
        <v>0</v>
      </c>
      <c r="F14" s="11" t="str">
        <f>IF(ADRYr3!$B14=0,"",ADRYr3!F14)</f>
        <v>Behavior</v>
      </c>
      <c r="G14" s="12" t="str">
        <f>IF(ADRYr3!$G14&lt;&gt;0,ADRYr3!G14,"")</f>
        <v/>
      </c>
      <c r="H14" s="1125" t="str">
        <f>IF($G14="","",ROUND(ADRYr3!H14,0))</f>
        <v/>
      </c>
      <c r="I14" s="47" t="str">
        <f>IF($G14="","",ADRYr3!I14*ADRYr3!P14*G14)</f>
        <v/>
      </c>
      <c r="J14" s="47" t="str">
        <f>IF($G14="","",ADRYr3!J14*G14)</f>
        <v/>
      </c>
      <c r="K14" s="47" t="str">
        <f t="shared" si="12"/>
        <v/>
      </c>
      <c r="L14" s="27" t="str">
        <f>IF($G14="","",ADRYr3!V14*G14/1000)</f>
        <v/>
      </c>
      <c r="M14" s="27" t="str">
        <f>IF($G14="","",L14*ADRYr3!$Q14*ADRYr3!$R14)</f>
        <v/>
      </c>
      <c r="N14" s="27" t="str">
        <f t="shared" si="13"/>
        <v/>
      </c>
      <c r="O14" s="27" t="str">
        <f t="shared" si="14"/>
        <v/>
      </c>
      <c r="P14" s="27" t="str">
        <f>IF($G14="","",M14*ADRYr3!P14)</f>
        <v/>
      </c>
      <c r="Q14" s="27" t="str">
        <f t="shared" si="15"/>
        <v/>
      </c>
      <c r="R14" s="27" t="str">
        <f>IF($G14="","",$Q14*ADRYr3!Z14)</f>
        <v/>
      </c>
      <c r="S14" s="27" t="str">
        <f>IF($G14="","",$Q14*ADRYr3!AA14)</f>
        <v/>
      </c>
      <c r="T14" s="27" t="str">
        <f>IF($G14="","",$Q14*ADRYr3!AB14)</f>
        <v/>
      </c>
      <c r="U14" s="27" t="str">
        <f>IF($G14="","",$Q14*ADRYr3!AC14)</f>
        <v/>
      </c>
      <c r="V14" s="27" t="str">
        <f>IF($G14="","",G14*ADRYr3!$AD14*ADRYr3!$P14*ADRYr3!$Q14)</f>
        <v/>
      </c>
      <c r="W14" s="27" t="str">
        <f>IF($G14="","",$G14*ADRYr3!$AD14*ADRYr3!$AF14*ADRYr3!Q14*ADRYr3!$S14)</f>
        <v/>
      </c>
      <c r="X14" s="27" t="str">
        <f>IF($G14="","",$G14*ADRYr3!$AD14*ADRYr3!$AF14*ADRYr3!P14*ADRYr3!Q14*ADRYr3!$S14)</f>
        <v/>
      </c>
      <c r="Y14" s="27" t="str">
        <f>IF($G14="","",$G14*ADRYr3!$AD14*ADRYr3!$AE14*ADRYr3!Q14*ADRYr3!$T14)</f>
        <v/>
      </c>
      <c r="Z14" s="27" t="str">
        <f>IF($G14="","",$G14*ADRYr3!$AD14*ADRYr3!$AE14*ADRYr3!P14*ADRYr3!Q14*ADRYr3!$T14)</f>
        <v/>
      </c>
      <c r="AA14" s="45" t="str">
        <f>IF($G14="","",$G14*ADRYr3!$Q14*ADRYr3!$U14*(IF(IFERROR(SEARCH("NG", ADRYr3!$AI14),0),ADRYr3!$AJ14,0)+IF(IFERROR(SEARCH("NG", ADRYr3!$AK14),0),ADRYr3!$AL14,0)+IF(IFERROR(SEARCH("NG", ADRYr3!$AM14),0),ADRYr3!$AN14,0)))</f>
        <v/>
      </c>
      <c r="AB14" s="45" t="str">
        <f t="shared" si="16"/>
        <v/>
      </c>
      <c r="AC14" s="45">
        <f>IF($G14="",0,AA14*ADRYr3!$P14)</f>
        <v>0</v>
      </c>
      <c r="AD14" s="45" t="str">
        <f t="shared" si="17"/>
        <v/>
      </c>
      <c r="AE14" s="45" t="str">
        <f>IF($G14="","",$G14*ADRYr3!$Q14*ADRYr3!$U14*(IF(IFERROR(SEARCH("Oil", ADRYr3!$AI14), 0),ADRYr3!$AJ14,0)+IF(IFERROR(SEARCH("Oil", ADRYr3!$AK14), 0),ADRYr3!$AL14,0)+IF(IFERROR(SEARCH("Oil", ADRYr3!$AM14), 0),ADRYr3!$AN14,0)))</f>
        <v/>
      </c>
      <c r="AF14" s="45" t="str">
        <f t="shared" si="18"/>
        <v/>
      </c>
      <c r="AG14" s="45">
        <f>IF($G14="",0,AE14*ADRYr3!$P14)</f>
        <v>0</v>
      </c>
      <c r="AH14" s="45" t="str">
        <f t="shared" si="19"/>
        <v/>
      </c>
      <c r="AI14" s="45" t="str">
        <f>IF($G14="","",$G14*ADRYr3!$Q14*ADRYr3!$U14*(IF(ADRYr3!$AI14=Lookups!$E$114,ADRYr3!$AJ14,IF(ADRYr3!$AK14=Lookups!$E$114,ADRYr3!$AL14,IF(ADRYr3!$AM14=Lookups!$E$114,ADRYr3!$AN14,0)))))</f>
        <v/>
      </c>
      <c r="AJ14" s="45" t="str">
        <f t="shared" si="20"/>
        <v/>
      </c>
      <c r="AK14" s="45">
        <f>IF($G14="",0,AI14*ADRYr3!$P14)</f>
        <v>0</v>
      </c>
      <c r="AL14" s="45" t="str">
        <f t="shared" si="21"/>
        <v/>
      </c>
      <c r="AM14" s="45" t="str">
        <f>IF($G14="","",$G14*ADRYr3!$Q14*ADRYr3!$U14*(IF(ADRYr3!$AI14=Lookups!$E$113,ADRYr3!$AJ14,IF(ADRYr3!$AK14=Lookups!$E$113,ADRYr3!$AL14,IF(ADRYr3!$AM14=Lookups!$E$113,ADRYr3!$AN14,0)))))</f>
        <v/>
      </c>
      <c r="AN14" s="45" t="str">
        <f t="shared" si="22"/>
        <v/>
      </c>
      <c r="AO14" s="45">
        <f>IF($G14="",0,AM14*ADRYr3!$P14)</f>
        <v>0</v>
      </c>
      <c r="AP14" s="45" t="str">
        <f t="shared" si="23"/>
        <v/>
      </c>
      <c r="AQ14" s="45" t="str">
        <f>IF($G14="","",$G14*ADRYr3!$Q14*ADRYr3!$U14*(IF(ADRYr3!$AI14=Lookups!$E$115,ADRYr3!$AJ14,IF(ADRYr3!$AK14=Lookups!$E$115,ADRYr3!$AL14,IF(ADRYr3!$AM14=Lookups!$E$115,ADRYr3!$AN14,0)))))</f>
        <v/>
      </c>
      <c r="AR14" s="45" t="str">
        <f t="shared" si="24"/>
        <v/>
      </c>
      <c r="AS14" s="45" t="str">
        <f>IF($G14="","",AQ14*ADRYr3!$P14)</f>
        <v/>
      </c>
      <c r="AT14" s="45" t="str">
        <f t="shared" si="25"/>
        <v/>
      </c>
      <c r="AU14" s="45" t="str">
        <f>IF($G14="","",$G14*ADRYr3!$Q14*ADRYr3!$U14*(IF(ADRYr3!$AI14=Lookups!$E$116,ADRYr3!$AJ14,IF(ADRYr3!$AK14=Lookups!$E$116,ADRYr3!$AL14,IF(ADRYr3!$AM14=Lookups!$E$116,ADRYr3!$AN14,0)))))</f>
        <v/>
      </c>
      <c r="AV14" s="45" t="str">
        <f t="shared" si="26"/>
        <v/>
      </c>
      <c r="AW14" s="45" t="str">
        <f>IF($G14="","",AU14*ADRYr3!$P14)</f>
        <v/>
      </c>
      <c r="AX14" s="45" t="str">
        <f t="shared" si="27"/>
        <v/>
      </c>
      <c r="AY14" s="45">
        <f t="shared" si="28"/>
        <v>0</v>
      </c>
      <c r="AZ14" s="45">
        <f t="shared" si="29"/>
        <v>0</v>
      </c>
      <c r="BA14" s="101" t="str">
        <f>IF($G14="","",$G14*ADRYr3!$P14*ADRYr3!$Q14*ADRYr3!$U14*ADRYr3!AO14)</f>
        <v/>
      </c>
      <c r="BB14" s="102" t="str">
        <f>IF($G14="","",$G14*ADRYr3!$P14*ADRYr3!$Q14*ADRYr3!$U14*ADRYr3!AP14)</f>
        <v/>
      </c>
      <c r="BC14" s="100" t="str">
        <f t="shared" si="30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31"/>
        <v/>
      </c>
      <c r="BO14" s="31" t="str">
        <f t="shared" si="32"/>
        <v/>
      </c>
      <c r="BP14" s="1129" t="str">
        <f t="shared" si="5"/>
        <v/>
      </c>
      <c r="BQ14" s="28" t="str">
        <f t="shared" si="6"/>
        <v/>
      </c>
      <c r="BR14" s="1129" t="str">
        <f t="shared" si="7"/>
        <v/>
      </c>
      <c r="BS14" s="1129" t="str">
        <f t="shared" si="8"/>
        <v/>
      </c>
      <c r="BT14" s="28" t="str">
        <f t="shared" si="9"/>
        <v/>
      </c>
      <c r="BU14" s="28" t="str">
        <f t="shared" si="9"/>
        <v/>
      </c>
      <c r="BV14" s="28" t="str">
        <f t="shared" si="9"/>
        <v/>
      </c>
      <c r="BW14" s="29" t="str">
        <f t="shared" si="33"/>
        <v/>
      </c>
      <c r="BX14" s="29" t="str">
        <f t="shared" si="34"/>
        <v/>
      </c>
      <c r="BY14" s="28" t="str">
        <f>IF($G14="","",$G14*(IF(ADRYr3!$AI14=BY$4,ADRYr3!$AJ14,IF(ADRYr3!$AK14=BY$4,ADRYr3!$AL14,IF(ADRYr3!$AM14=BY$4,ADRYr3!$AN14,0))))*(INDEX(avoidedcosttbl3,$H14,BY$2)+(($H14-ROUNDDOWN($H14,0))*(INDEX(avoidedcosttbl3,ROUNDUP($H14,0),BY$2)-(INDEX(avoidedcosttbl3,ROUNDDOWN($H14,0),BY$2)))))*ADRYr3!P14*ADRYr3!Q14*ADRYr3!U14)</f>
        <v/>
      </c>
      <c r="BZ14" s="28" t="str">
        <f>IF($G14="","",$G14*(IF(ADRYr3!$AI14=BZ$4,ADRYr3!$AJ14,IF(ADRYr3!$AK14=BZ$4,ADRYr3!$AL14,IF(ADRYr3!$AM14=BZ$4,ADRYr3!$AN14,0))))*(INDEX(avoidedcosttbl3,$H14,BZ$2)+(($H14-ROUNDDOWN($H14,0))*(INDEX(avoidedcosttbl3,ROUNDUP($H14,0),BZ$2)-(INDEX(avoidedcosttbl3,ROUNDDOWN($H14,0),BZ$2)))))*ADRYr3!P14*ADRYr3!Q14*ADRYr3!U14)</f>
        <v/>
      </c>
      <c r="CA14" s="28" t="str">
        <f>IF($G14="","",$G14*(IF(ADRYr3!$AI14=CA$4,ADRYr3!$AJ14,IF(ADRYr3!$AK14=CA$4,ADRYr3!$AL14,IF(ADRYr3!$AM14=CA$4,ADRYr3!$AN14,0))))*(INDEX(avoidedcosttbl3,$H14,CA$2)+(($H14-ROUNDDOWN($H14,0))*(INDEX(avoidedcosttbl3,ROUNDUP($H14,0),CA$2)-(INDEX(avoidedcosttbl3,ROUNDDOWN($H14,0),CA$2)))))*ADRYr3!P14*ADRYr3!Q14*ADRYr3!U14)</f>
        <v/>
      </c>
      <c r="CB14" s="28" t="str">
        <f>IF($G14="","",$G14*(IF(ADRYr3!$AI14=CB$4,ADRYr3!$AJ14,IF(ADRYr3!$AK14=CB$4,ADRYr3!$AL14,IF(ADRYr3!$AM14=CB$4,ADRYr3!$AN14,0))))*(INDEX(avoidedcosttbl3,$H14,CB$2)+(($H14-ROUNDDOWN($H14,0))*(INDEX(avoidedcosttbl3,ROUNDUP($H14,0),CB$2)-(INDEX(avoidedcosttbl3,ROUNDDOWN($H14,0),CB$2)))))*ADRYr3!P14*ADRYr3!Q14*ADRYr3!U14)</f>
        <v/>
      </c>
      <c r="CC14" s="28" t="str">
        <f>IF($G14="","",$G14*(IF(ADRYr3!$AI14=CC$4,ADRYr3!$AJ14,IF(ADRYr3!$AK14=CC$4,ADRYr3!$AL14,IF(ADRYr3!$AM14=CC$4,ADRYr3!$AN14,0))))*(INDEX(avoidedcosttbl3,$H14,CC$2)+(($H14-ROUNDDOWN($H14,0))*(INDEX(avoidedcosttbl3,ROUNDUP($H14,0),CC$2)-(INDEX(avoidedcosttbl3,ROUNDDOWN($H14,0),CC$2)))))*ADRYr3!P14*ADRYr3!Q14*ADRYr3!U14)</f>
        <v/>
      </c>
      <c r="CD14" s="28" t="str">
        <f>IF($G14="","",$G14*(IF(ADRYr3!$AI14=CD$4,ADRYr3!$AJ14,IF(ADRYr3!$AK14=CD$4,ADRYr3!$AL14,IF(ADRYr3!$AM14=CD$4,ADRYr3!$AN14,0))))*(INDEX(avoidedcosttbl3,$H14,CD$2)+(($H14-ROUNDDOWN($H14,0))*(INDEX(avoidedcosttbl3,ROUNDUP($H14,0),CD$2)-(INDEX(avoidedcosttbl3,ROUNDDOWN($H14,0),CD$2)))))*ADRYr3!P14*ADRYr3!Q14*ADRYr3!U14)</f>
        <v/>
      </c>
      <c r="CE14" s="28" t="str">
        <f>IF($G14="","",$G14*(IF(ADRYr3!$AI14=CE$4,ADRYr3!$AJ14,IF(ADRYr3!$AK14=CE$4,ADRYr3!$AL14,IF(ADRYr3!$AM14=CE$4,ADRYr3!$AN14,0))))*(INDEX(avoidedcosttbl3,$H14,CE$2)+(($H14-ROUNDDOWN($H14,0))*(INDEX(avoidedcosttbl3,ROUNDUP($H14,0),CE$2)-(INDEX(avoidedcosttbl3,ROUNDDOWN($H14,0),CE$2)))))*ADRYr3!P14*ADRYr3!Q14*ADRYr3!U14)</f>
        <v/>
      </c>
      <c r="CF14" s="41" t="str">
        <f t="shared" si="35"/>
        <v/>
      </c>
      <c r="CG14" s="30" t="str">
        <f t="shared" si="10"/>
        <v/>
      </c>
      <c r="CH14" s="30" t="str">
        <f>IF($G14="","",$G14*(IF(ADRYr3!$AI14=BY$4,ADRYr3!$AJ14,IF(ADRYr3!$AK14=BY$4,ADRYr3!$AL14,IF(ADRYr3!$AM14=BY$4,ADRYr3!$AN14,0))))*(INDEX(avoidedcosttbl3,$H14,CH$2)+(($H14-ROUNDDOWN($H14,0))*(INDEX(avoidedcosttbl3,ROUNDUP($H14,0),CH$2)-(INDEX(avoidedcosttbl3,ROUNDDOWN($H14,0),CH$2)))))*ADRYr3!P14*ADRYr3!Q14*ADRYr3!U14)</f>
        <v/>
      </c>
      <c r="CI14" s="30" t="str">
        <f>IF($G14="","",$G14*(IF(ADRYr3!$AI14=BZ$4,ADRYr3!$AJ14,IF(ADRYr3!$AK14=BZ$4,ADRYr3!$AL14,IF(ADRYr3!$AM14=BZ$4,ADRYr3!$AN14,0))))*(INDEX(avoidedcosttbl3,$H14,CI$2)+(($H14-ROUNDDOWN($H14,0))*(INDEX(avoidedcosttbl3,ROUNDUP($H14,0),CI$2)-(INDEX(avoidedcosttbl3,ROUNDDOWN($H14,0),CI$2)))))*ADRYr3!P14*ADRYr3!Q14*ADRYr3!U14)</f>
        <v/>
      </c>
      <c r="CJ14" s="30" t="str">
        <f>IF($G14="","",$G14*(IF(ADRYr3!$AI14=CA$4,ADRYr3!$AJ14,IF(ADRYr3!$AK14=CA$4,ADRYr3!$AL14,IF(ADRYr3!$AM14=CA$4,ADRYr3!$AN14,0))))*(INDEX(avoidedcosttbl3,$H14,CJ$2)+(($H14-ROUNDDOWN($H14,0))*(INDEX(avoidedcosttbl3,ROUNDUP($H14,0),CJ$2)-(INDEX(avoidedcosttbl3,ROUNDDOWN($H14,0),CJ$2)))))*ADRYr3!P14*ADRYr3!Q14*ADRYr3!U14)</f>
        <v/>
      </c>
      <c r="CK14" s="30" t="str">
        <f>IF($G14="","",$G14*(IF(ADRYr3!$AI14=CB$4,ADRYr3!$AJ14,IF(ADRYr3!$AK14=CB$4,ADRYr3!$AL14,IF(ADRYr3!$AM14=CB$4,ADRYr3!$AN14,0))))*(INDEX(avoidedcosttbl3,$H14,CK$2)+(($H14-ROUNDDOWN($H14,0))*(INDEX(avoidedcosttbl3,ROUNDUP($H14,0),CK$2)-(INDEX(avoidedcosttbl3,ROUNDDOWN($H14,0),CK$2)))))*ADRYr3!P14*ADRYr3!Q14*ADRYr3!U14)</f>
        <v/>
      </c>
      <c r="CL14" s="30" t="str">
        <f>IF($G14="","",$G14*(IF(ADRYr3!$AI14=CC$4,ADRYr3!$AJ14,IF(ADRYr3!$AK14=CC$4,ADRYr3!$AL14,IF(ADRYr3!$AM14=CC$4,ADRYr3!$AN14,0))))*(INDEX(avoidedcosttbl3,$H14,CL$2)+(($H14-ROUNDDOWN($H14,0))*(INDEX(avoidedcosttbl3,ROUNDUP($H14,0),CL$2)-(INDEX(avoidedcosttbl3,ROUNDDOWN($H14,0),CL$2)))))*ADRYr3!P14*ADRYr3!Q14*ADRYr3!U14)</f>
        <v/>
      </c>
      <c r="CM14" s="30" t="str">
        <f>IF($G14="","",$G14*(IF(ADRYr3!$AI14=CD$4,ADRYr3!$AJ14,IF(ADRYr3!$AK14=CD$4,ADRYr3!$AL14,IF(ADRYr3!$AM14=CD$4,ADRYr3!$AN14,0))))*(INDEX(avoidedcosttbl3,$H14,CM$2)+(($H14-ROUNDDOWN($H14,0))*(INDEX(avoidedcosttbl3,ROUNDUP($H14,0),CM$2)-(INDEX(avoidedcosttbl3,ROUNDDOWN($H14,0),CM$2)))))*ADRYr3!P14*ADRYr3!Q14*ADRYr3!U14)</f>
        <v/>
      </c>
      <c r="CN14" s="30" t="str">
        <f>IF($G14="","",$G14*(IF(ADRYr3!$AI14=CE$4,ADRYr3!$AJ14,IF(ADRYr3!$AK14=CE$4,ADRYr3!$AL14,IF(ADRYr3!$AM14=CE$4,ADRYr3!$AN14,0))))*(INDEX(avoidedcosttbl3,$H14,CN$2)+(($H14-ROUNDDOWN($H14,0))*(INDEX(avoidedcosttbl3,ROUNDUP($H14,0),CN$2)-(INDEX(avoidedcosttbl3,ROUNDDOWN($H14,0),CN$2)))))*ADRYr3!P14*ADRYr3!Q14*ADRYr3!U14)</f>
        <v/>
      </c>
      <c r="CO14" s="220" t="str">
        <f t="shared" si="36"/>
        <v/>
      </c>
      <c r="CP14" s="220" t="str">
        <f t="shared" si="37"/>
        <v/>
      </c>
      <c r="CQ14" s="157" t="str">
        <f>IF($G14="","",$G14*(IF(ADRYr3!$AI14=CQ$4,ADRYr3!$AJ14,IF(ADRYr3!$AK14=CQ$4,ADRYr3!$AL14,IF(ADRYr3!$AM14=CQ$4,ADRYr3!$AN14,0))))*(INDEX(avoidedcosttbl3,$H14,CQ$2)+(($H14-ROUNDDOWN($H14,0))*(INDEX(avoidedcosttbl3,ROUNDUP($H14,0),CQ$2)-(INDEX(avoidedcosttbl3,ROUNDDOWN($H14,0),CQ$2)))))*ADRYr3!$P14*ADRYr3!$Q14*ADRYr3!$U14)</f>
        <v/>
      </c>
      <c r="CR14" s="28" t="str">
        <f>IF($G14="","",G14*(IF(ADRYr3!$AI14=CR$4,ADRYr3!$AJ14,IF(ADRYr3!$AK14=CR$4,ADRYr3!$AL14,IF(ADRYr3!$AM14=CR$4,ADRYr3!$AN14,0))))*(INDEX(avoidedcosttbl3,$H14,CR$2)+(($H14-ROUNDDOWN($H14,0))*(INDEX(avoidedcosttbl3,ROUNDUP($H14,0),CR$2)-(INDEX(avoidedcosttbl3,ROUNDDOWN($H14,0),CR$2)))))*ADRYr3!$P14*ADRYr3!$Q14*ADRYr3!$U14)</f>
        <v/>
      </c>
      <c r="CS14" s="28" t="str">
        <f>IF($G14="","",G14*(IF(ADRYr3!$AI14=CS$4,ADRYr3!$AJ14,IF(ADRYr3!$AK14=CS$4,ADRYr3!$AL14,IF(ADRYr3!$AM14=CS$4,ADRYr3!$AN14,0))))*(INDEX(avoidedcosttbl3,$H14,CS$2)+(($H14-ROUNDDOWN($H14,0))*(INDEX(avoidedcosttbl3,ROUNDUP($H14,0),CS$2)-(INDEX(avoidedcosttbl3,ROUNDDOWN($H14,0),CS$2)))))*ADRYr3!$P14*ADRYr3!$Q14*ADRYr3!$U14)</f>
        <v/>
      </c>
      <c r="CT14" s="28" t="str">
        <f t="shared" si="11"/>
        <v/>
      </c>
      <c r="CU14" s="28" t="str">
        <f>IF($G14="","",G14*(IF(ADRYr3!$AI14=CU$4,ADRYr3!$AJ14,IF(ADRYr3!$AK14=CU$4,ADRYr3!$AL14,IF(ADRYr3!$AM14=CU$4,ADRYr3!$AN14,0))))*(INDEX(avoidedcosttbl3,$H14,CU$2)+(($H14-ROUNDDOWN($H14,0))*(INDEX(avoidedcosttbl3,ROUNDUP($H14,0),CU$2)-(INDEX(avoidedcosttbl3,ROUNDDOWN($H14,0),CU$2)))))*ADRYr3!$P14*ADRYr3!$Q14*ADRYr3!$U14)</f>
        <v/>
      </c>
      <c r="CV14" s="28" t="str">
        <f>IF($G14="","",G14*(IF(ADRYr3!$AI14=CV$4,ADRYr3!$AJ14,IF(ADRYr3!$AK14=CV$4,ADRYr3!$AL14,IF(ADRYr3!$AM14=CV$4,ADRYr3!$AN14,0))))*(INDEX(avoidedcosttbl3,$H14,CV$2)+(($H14-ROUNDDOWN($H14,0))*(INDEX(avoidedcosttbl3,ROUNDUP($H14,0),CV$2)-(INDEX(avoidedcosttbl3,ROUNDDOWN($H14,0),CV$2)))))*ADRYr3!$P14*ADRYr3!$Q14*ADRYr3!$U14)</f>
        <v/>
      </c>
      <c r="CW14" s="28" t="str">
        <f>IF($G14="","",G14*(IF(ADRYr3!$AI14=CW$4,ADRYr3!$AJ14,IF(ADRYr3!$AK14=CW$4,ADRYr3!$AL14,IF(ADRYr3!$AM14=CW$4,ADRYr3!$AN14,0))))*(INDEX(avoidedcosttbl3,$H14,CW$2)+(($H14-ROUNDDOWN($H14,0))*(INDEX(avoidedcosttbl3,ROUNDUP($H14,0),CW$2)-(INDEX(avoidedcosttbl3,ROUNDDOWN($H14,0),CW$2)))))*ADRYr3!$P14*ADRYr3!$Q14*ADRYr3!$U14)</f>
        <v/>
      </c>
      <c r="CX14" s="28" t="str">
        <f>IF($G14="","",G14*(IF(ADRYr3!$AI14=CX$4,ADRYr3!$AJ14,IF(ADRYr3!$AK14=CX$4,ADRYr3!$AL14,IF(ADRYr3!$AM14=CX$4,ADRYr3!$AN14,0))))*(INDEX(avoidedcosttbl3,$H14,CX$2)+(($H14-ROUNDDOWN($H14,0))*(INDEX(avoidedcosttbl3,ROUNDUP($H14,0),CX$2)-(INDEX(avoidedcosttbl3,ROUNDDOWN($H14,0),CX$2)))))*ADRYr3!$P14*ADRYr3!$Q14*ADRYr3!$U14)</f>
        <v/>
      </c>
      <c r="CY14" s="28" t="str">
        <f t="shared" si="38"/>
        <v/>
      </c>
      <c r="CZ14" s="32" t="str">
        <f t="shared" si="39"/>
        <v/>
      </c>
      <c r="DA14" s="84" t="str">
        <f t="shared" si="40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41"/>
        <v/>
      </c>
      <c r="DD14" s="166" t="str">
        <f t="shared" si="42"/>
        <v/>
      </c>
      <c r="DE14" s="82">
        <f t="shared" si="43"/>
        <v>0</v>
      </c>
      <c r="DF14" s="760" t="str">
        <f>IF($G14="","",(1+WntPeakEnergyLL)*(INDEX(avoidedcosttbl3,$H14,DF$2)+(($H14-ROUNDDOWN($H14,0))*(INDEX(avoidedcosttbl3,ROUNDUP($H14,0),DF$2)-(INDEX(avoidedcosttbl3,ROUNDDOWN($H14,0),DF$2)))))*$P14*1000*ADRYr3!Z14)</f>
        <v/>
      </c>
      <c r="DG14" s="760" t="str">
        <f>IF($G14="","",(1+WntOffPeakEnergyLL)*(INDEX(avoidedcosttbl3,$H14,DG$2)+(($H14-ROUNDDOWN($H14,0))*(INDEX(avoidedcosttbl3,ROUNDUP($H14,0),DG$2)-(INDEX(avoidedcosttbl3,ROUNDDOWN($H14,0),DG$2)))))*$P14*1000*ADRYr3!AA14)</f>
        <v/>
      </c>
      <c r="DH14" s="760" t="str">
        <f>IF($G14="","",(1+SumPeakEnergyLL)*(INDEX(avoidedcosttbl3,$H14,DH$2)+(($H14-ROUNDDOWN($H14,0))*(INDEX(avoidedcosttbl3,ROUNDUP($H14,0),DH$2)-(INDEX(avoidedcosttbl3,ROUNDDOWN($H14,0),DH$2)))))*$P14*1000*ADRYr3!AB14)</f>
        <v/>
      </c>
      <c r="DI14" s="760" t="str">
        <f>IF($G14="","",(1+SumOffPeakEnergyLL)*(INDEX(avoidedcosttbl3,$H14,DI$2)+(($H14-ROUNDDOWN($H14,0))*(INDEX(avoidedcosttbl3,ROUNDUP($H14,0),DI$2)-(INDEX(avoidedcosttbl3,ROUNDDOWN($H14,0),DI$2)))))*$P14*1000*ADRYr3!AC14)</f>
        <v/>
      </c>
      <c r="DJ14" s="29" t="str">
        <f t="shared" si="44"/>
        <v/>
      </c>
      <c r="DK14" s="161" t="str">
        <f t="shared" si="45"/>
        <v/>
      </c>
      <c r="DL14" s="1375" t="str">
        <f t="shared" si="46"/>
        <v/>
      </c>
      <c r="DM14" s="1375" t="str">
        <f t="shared" si="47"/>
        <v/>
      </c>
      <c r="DN14" s="43" t="str">
        <f t="shared" si="48"/>
        <v/>
      </c>
      <c r="DO14" s="1131" t="str">
        <f>IF($G14="","",ADRYr3!AQ14)</f>
        <v/>
      </c>
      <c r="DP14" s="1133" t="str">
        <f>IF($G14="","",ADRYr3!AR14)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49"/>
        <v/>
      </c>
      <c r="DU14" s="1135" t="str">
        <f>IF($G14="","",ADRYr3!AS14)</f>
        <v/>
      </c>
      <c r="DV14" s="1136" t="str">
        <f>IF($G14="","",ADRYr3!AT14)</f>
        <v/>
      </c>
      <c r="DW14" s="1344" t="str">
        <f>IF($G14="","",INDEX(AvoidedEnergy!$H$4:$H$10,MATCH($DO14,AvoidedEnergy!$A$4:$A$10,0)))</f>
        <v/>
      </c>
    </row>
    <row r="15" spans="1:127">
      <c r="A15" s="160" t="str">
        <f>IF(ADRYr3!$B15=0,"",ADRYr3!A15)</f>
        <v>A - Residential</v>
      </c>
      <c r="B15" s="9" t="str">
        <f>IF(ADRYr3!$B15=0,"",ADRYr3!B15)</f>
        <v>A5 - Residential Active Demand Response</v>
      </c>
      <c r="C15" s="9" t="str">
        <f>IF(ADRYr3!$B15=0,"",ADRYr3!C15)</f>
        <v>A5a - Residential Active Demand Response</v>
      </c>
      <c r="D15" s="9" t="str">
        <f>IF(ADRYr3!$B15=0,"",ADRYr3!D15)</f>
        <v>EV Load Management Summer</v>
      </c>
      <c r="E15" s="9">
        <f>IF(ADRYr3!$B15=0,"",ADRYr3!E15)</f>
        <v>0</v>
      </c>
      <c r="F15" s="11" t="str">
        <f>IF(ADRYr3!$B15=0,"",ADRYr3!F15)</f>
        <v>Behavior</v>
      </c>
      <c r="G15" s="12" t="str">
        <f>IF(ADRYr3!$G15&lt;&gt;0,ADRYr3!G15,"")</f>
        <v/>
      </c>
      <c r="H15" s="1125" t="str">
        <f>IF($G15="","",ROUND(ADRYr3!H15,0))</f>
        <v/>
      </c>
      <c r="I15" s="47" t="str">
        <f>IF($G15="","",ADRYr3!I15*ADRYr3!P15*G15)</f>
        <v/>
      </c>
      <c r="J15" s="47" t="str">
        <f>IF($G15="","",ADRYr3!J15*G15)</f>
        <v/>
      </c>
      <c r="K15" s="47" t="str">
        <f t="shared" si="12"/>
        <v/>
      </c>
      <c r="L15" s="27" t="str">
        <f>IF($G15="","",ADRYr3!V15*G15/1000)</f>
        <v/>
      </c>
      <c r="M15" s="27" t="str">
        <f>IF($G15="","",L15*ADRYr3!$Q15*ADRYr3!$R15)</f>
        <v/>
      </c>
      <c r="N15" s="27" t="str">
        <f t="shared" si="13"/>
        <v/>
      </c>
      <c r="O15" s="27" t="str">
        <f t="shared" si="14"/>
        <v/>
      </c>
      <c r="P15" s="27" t="str">
        <f>IF($G15="","",M15*ADRYr3!P15)</f>
        <v/>
      </c>
      <c r="Q15" s="27" t="str">
        <f t="shared" si="15"/>
        <v/>
      </c>
      <c r="R15" s="27" t="str">
        <f>IF($G15="","",$Q15*ADRYr3!Z15)</f>
        <v/>
      </c>
      <c r="S15" s="27" t="str">
        <f>IF($G15="","",$Q15*ADRYr3!AA15)</f>
        <v/>
      </c>
      <c r="T15" s="27" t="str">
        <f>IF($G15="","",$Q15*ADRYr3!AB15)</f>
        <v/>
      </c>
      <c r="U15" s="27" t="str">
        <f>IF($G15="","",$Q15*ADRYr3!AC15)</f>
        <v/>
      </c>
      <c r="V15" s="27" t="str">
        <f>IF($G15="","",G15*ADRYr3!$AD15*ADRYr3!$P15*ADRYr3!$Q15)</f>
        <v/>
      </c>
      <c r="W15" s="27" t="str">
        <f>IF($G15="","",$G15*ADRYr3!$AD15*ADRYr3!$AF15*ADRYr3!Q15*ADRYr3!$S15)</f>
        <v/>
      </c>
      <c r="X15" s="27" t="str">
        <f>IF($G15="","",$G15*ADRYr3!$AD15*ADRYr3!$AF15*ADRYr3!P15*ADRYr3!Q15*ADRYr3!$S15)</f>
        <v/>
      </c>
      <c r="Y15" s="27" t="str">
        <f>IF($G15="","",$G15*ADRYr3!$AD15*ADRYr3!$AE15*ADRYr3!Q15*ADRYr3!$T15)</f>
        <v/>
      </c>
      <c r="Z15" s="27" t="str">
        <f>IF($G15="","",$G15*ADRYr3!$AD15*ADRYr3!$AE15*ADRYr3!P15*ADRYr3!Q15*ADRYr3!$T15)</f>
        <v/>
      </c>
      <c r="AA15" s="45" t="str">
        <f>IF($G15="","",$G15*ADRYr3!$Q15*ADRYr3!$U15*(IF(IFERROR(SEARCH("NG", ADRYr3!$AI15),0),ADRYr3!$AJ15,0)+IF(IFERROR(SEARCH("NG", ADRYr3!$AK15),0),ADRYr3!$AL15,0)+IF(IFERROR(SEARCH("NG", ADRYr3!$AM15),0),ADRYr3!$AN15,0)))</f>
        <v/>
      </c>
      <c r="AB15" s="45" t="str">
        <f t="shared" si="16"/>
        <v/>
      </c>
      <c r="AC15" s="45">
        <f>IF($G15="",0,AA15*ADRYr3!$P15)</f>
        <v>0</v>
      </c>
      <c r="AD15" s="45" t="str">
        <f t="shared" si="17"/>
        <v/>
      </c>
      <c r="AE15" s="45" t="str">
        <f>IF($G15="","",$G15*ADRYr3!$Q15*ADRYr3!$U15*(IF(IFERROR(SEARCH("Oil", ADRYr3!$AI15), 0),ADRYr3!$AJ15,0)+IF(IFERROR(SEARCH("Oil", ADRYr3!$AK15), 0),ADRYr3!$AL15,0)+IF(IFERROR(SEARCH("Oil", ADRYr3!$AM15), 0),ADRYr3!$AN15,0)))</f>
        <v/>
      </c>
      <c r="AF15" s="45" t="str">
        <f t="shared" si="18"/>
        <v/>
      </c>
      <c r="AG15" s="45">
        <f>IF($G15="",0,AE15*ADRYr3!$P15)</f>
        <v>0</v>
      </c>
      <c r="AH15" s="45" t="str">
        <f t="shared" si="19"/>
        <v/>
      </c>
      <c r="AI15" s="45" t="str">
        <f>IF($G15="","",$G15*ADRYr3!$Q15*ADRYr3!$U15*(IF(ADRYr3!$AI15=Lookups!$E$114,ADRYr3!$AJ15,IF(ADRYr3!$AK15=Lookups!$E$114,ADRYr3!$AL15,IF(ADRYr3!$AM15=Lookups!$E$114,ADRYr3!$AN15,0)))))</f>
        <v/>
      </c>
      <c r="AJ15" s="45" t="str">
        <f t="shared" si="20"/>
        <v/>
      </c>
      <c r="AK15" s="45">
        <f>IF($G15="",0,AI15*ADRYr3!$P15)</f>
        <v>0</v>
      </c>
      <c r="AL15" s="45" t="str">
        <f t="shared" si="21"/>
        <v/>
      </c>
      <c r="AM15" s="45" t="str">
        <f>IF($G15="","",$G15*ADRYr3!$Q15*ADRYr3!$U15*(IF(ADRYr3!$AI15=Lookups!$E$113,ADRYr3!$AJ15,IF(ADRYr3!$AK15=Lookups!$E$113,ADRYr3!$AL15,IF(ADRYr3!$AM15=Lookups!$E$113,ADRYr3!$AN15,0)))))</f>
        <v/>
      </c>
      <c r="AN15" s="45" t="str">
        <f t="shared" si="22"/>
        <v/>
      </c>
      <c r="AO15" s="45">
        <f>IF($G15="",0,AM15*ADRYr3!$P15)</f>
        <v>0</v>
      </c>
      <c r="AP15" s="45" t="str">
        <f t="shared" si="23"/>
        <v/>
      </c>
      <c r="AQ15" s="45" t="str">
        <f>IF($G15="","",$G15*ADRYr3!$Q15*ADRYr3!$U15*(IF(ADRYr3!$AI15=Lookups!$E$115,ADRYr3!$AJ15,IF(ADRYr3!$AK15=Lookups!$E$115,ADRYr3!$AL15,IF(ADRYr3!$AM15=Lookups!$E$115,ADRYr3!$AN15,0)))))</f>
        <v/>
      </c>
      <c r="AR15" s="45" t="str">
        <f t="shared" si="24"/>
        <v/>
      </c>
      <c r="AS15" s="45" t="str">
        <f>IF($G15="","",AQ15*ADRYr3!$P15)</f>
        <v/>
      </c>
      <c r="AT15" s="45" t="str">
        <f t="shared" si="25"/>
        <v/>
      </c>
      <c r="AU15" s="45" t="str">
        <f>IF($G15="","",$G15*ADRYr3!$Q15*ADRYr3!$U15*(IF(ADRYr3!$AI15=Lookups!$E$116,ADRYr3!$AJ15,IF(ADRYr3!$AK15=Lookups!$E$116,ADRYr3!$AL15,IF(ADRYr3!$AM15=Lookups!$E$116,ADRYr3!$AN15,0)))))</f>
        <v/>
      </c>
      <c r="AV15" s="45" t="str">
        <f t="shared" si="26"/>
        <v/>
      </c>
      <c r="AW15" s="45" t="str">
        <f>IF($G15="","",AU15*ADRYr3!$P15)</f>
        <v/>
      </c>
      <c r="AX15" s="45" t="str">
        <f t="shared" si="27"/>
        <v/>
      </c>
      <c r="AY15" s="45">
        <f t="shared" si="28"/>
        <v>0</v>
      </c>
      <c r="AZ15" s="45">
        <f t="shared" si="29"/>
        <v>0</v>
      </c>
      <c r="BA15" s="101" t="str">
        <f>IF($G15="","",$G15*ADRYr3!$P15*ADRYr3!$Q15*ADRYr3!$U15*ADRYr3!AO15)</f>
        <v/>
      </c>
      <c r="BB15" s="102" t="str">
        <f>IF($G15="","",$G15*ADRYr3!$P15*ADRYr3!$Q15*ADRYr3!$U15*ADRYr3!AP15)</f>
        <v/>
      </c>
      <c r="BC15" s="100" t="str">
        <f t="shared" si="30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31"/>
        <v/>
      </c>
      <c r="BO15" s="31" t="str">
        <f t="shared" si="32"/>
        <v/>
      </c>
      <c r="BP15" s="1129" t="str">
        <f t="shared" si="5"/>
        <v/>
      </c>
      <c r="BQ15" s="28" t="str">
        <f t="shared" si="6"/>
        <v/>
      </c>
      <c r="BR15" s="1129" t="str">
        <f t="shared" si="7"/>
        <v/>
      </c>
      <c r="BS15" s="1129" t="str">
        <f t="shared" si="8"/>
        <v/>
      </c>
      <c r="BT15" s="28" t="str">
        <f t="shared" si="9"/>
        <v/>
      </c>
      <c r="BU15" s="28" t="str">
        <f t="shared" si="9"/>
        <v/>
      </c>
      <c r="BV15" s="28" t="str">
        <f t="shared" si="9"/>
        <v/>
      </c>
      <c r="BW15" s="29" t="str">
        <f t="shared" si="33"/>
        <v/>
      </c>
      <c r="BX15" s="29" t="str">
        <f t="shared" si="34"/>
        <v/>
      </c>
      <c r="BY15" s="28" t="str">
        <f>IF($G15="","",$G15*(IF(ADRYr3!$AI15=BY$4,ADRYr3!$AJ15,IF(ADRYr3!$AK15=BY$4,ADRYr3!$AL15,IF(ADRYr3!$AM15=BY$4,ADRYr3!$AN15,0))))*(INDEX(avoidedcosttbl3,$H15,BY$2)+(($H15-ROUNDDOWN($H15,0))*(INDEX(avoidedcosttbl3,ROUNDUP($H15,0),BY$2)-(INDEX(avoidedcosttbl3,ROUNDDOWN($H15,0),BY$2)))))*ADRYr3!P15*ADRYr3!Q15*ADRYr3!U15)</f>
        <v/>
      </c>
      <c r="BZ15" s="28" t="str">
        <f>IF($G15="","",$G15*(IF(ADRYr3!$AI15=BZ$4,ADRYr3!$AJ15,IF(ADRYr3!$AK15=BZ$4,ADRYr3!$AL15,IF(ADRYr3!$AM15=BZ$4,ADRYr3!$AN15,0))))*(INDEX(avoidedcosttbl3,$H15,BZ$2)+(($H15-ROUNDDOWN($H15,0))*(INDEX(avoidedcosttbl3,ROUNDUP($H15,0),BZ$2)-(INDEX(avoidedcosttbl3,ROUNDDOWN($H15,0),BZ$2)))))*ADRYr3!P15*ADRYr3!Q15*ADRYr3!U15)</f>
        <v/>
      </c>
      <c r="CA15" s="28" t="str">
        <f>IF($G15="","",$G15*(IF(ADRYr3!$AI15=CA$4,ADRYr3!$AJ15,IF(ADRYr3!$AK15=CA$4,ADRYr3!$AL15,IF(ADRYr3!$AM15=CA$4,ADRYr3!$AN15,0))))*(INDEX(avoidedcosttbl3,$H15,CA$2)+(($H15-ROUNDDOWN($H15,0))*(INDEX(avoidedcosttbl3,ROUNDUP($H15,0),CA$2)-(INDEX(avoidedcosttbl3,ROUNDDOWN($H15,0),CA$2)))))*ADRYr3!P15*ADRYr3!Q15*ADRYr3!U15)</f>
        <v/>
      </c>
      <c r="CB15" s="28" t="str">
        <f>IF($G15="","",$G15*(IF(ADRYr3!$AI15=CB$4,ADRYr3!$AJ15,IF(ADRYr3!$AK15=CB$4,ADRYr3!$AL15,IF(ADRYr3!$AM15=CB$4,ADRYr3!$AN15,0))))*(INDEX(avoidedcosttbl3,$H15,CB$2)+(($H15-ROUNDDOWN($H15,0))*(INDEX(avoidedcosttbl3,ROUNDUP($H15,0),CB$2)-(INDEX(avoidedcosttbl3,ROUNDDOWN($H15,0),CB$2)))))*ADRYr3!P15*ADRYr3!Q15*ADRYr3!U15)</f>
        <v/>
      </c>
      <c r="CC15" s="28" t="str">
        <f>IF($G15="","",$G15*(IF(ADRYr3!$AI15=CC$4,ADRYr3!$AJ15,IF(ADRYr3!$AK15=CC$4,ADRYr3!$AL15,IF(ADRYr3!$AM15=CC$4,ADRYr3!$AN15,0))))*(INDEX(avoidedcosttbl3,$H15,CC$2)+(($H15-ROUNDDOWN($H15,0))*(INDEX(avoidedcosttbl3,ROUNDUP($H15,0),CC$2)-(INDEX(avoidedcosttbl3,ROUNDDOWN($H15,0),CC$2)))))*ADRYr3!P15*ADRYr3!Q15*ADRYr3!U15)</f>
        <v/>
      </c>
      <c r="CD15" s="28" t="str">
        <f>IF($G15="","",$G15*(IF(ADRYr3!$AI15=CD$4,ADRYr3!$AJ15,IF(ADRYr3!$AK15=CD$4,ADRYr3!$AL15,IF(ADRYr3!$AM15=CD$4,ADRYr3!$AN15,0))))*(INDEX(avoidedcosttbl3,$H15,CD$2)+(($H15-ROUNDDOWN($H15,0))*(INDEX(avoidedcosttbl3,ROUNDUP($H15,0),CD$2)-(INDEX(avoidedcosttbl3,ROUNDDOWN($H15,0),CD$2)))))*ADRYr3!P15*ADRYr3!Q15*ADRYr3!U15)</f>
        <v/>
      </c>
      <c r="CE15" s="28" t="str">
        <f>IF($G15="","",$G15*(IF(ADRYr3!$AI15=CE$4,ADRYr3!$AJ15,IF(ADRYr3!$AK15=CE$4,ADRYr3!$AL15,IF(ADRYr3!$AM15=CE$4,ADRYr3!$AN15,0))))*(INDEX(avoidedcosttbl3,$H15,CE$2)+(($H15-ROUNDDOWN($H15,0))*(INDEX(avoidedcosttbl3,ROUNDUP($H15,0),CE$2)-(INDEX(avoidedcosttbl3,ROUNDDOWN($H15,0),CE$2)))))*ADRYr3!P15*ADRYr3!Q15*ADRYr3!U15)</f>
        <v/>
      </c>
      <c r="CF15" s="41" t="str">
        <f t="shared" si="35"/>
        <v/>
      </c>
      <c r="CG15" s="30" t="str">
        <f t="shared" si="10"/>
        <v/>
      </c>
      <c r="CH15" s="30" t="str">
        <f>IF($G15="","",$G15*(IF(ADRYr3!$AI15=BY$4,ADRYr3!$AJ15,IF(ADRYr3!$AK15=BY$4,ADRYr3!$AL15,IF(ADRYr3!$AM15=BY$4,ADRYr3!$AN15,0))))*(INDEX(avoidedcosttbl3,$H15,CH$2)+(($H15-ROUNDDOWN($H15,0))*(INDEX(avoidedcosttbl3,ROUNDUP($H15,0),CH$2)-(INDEX(avoidedcosttbl3,ROUNDDOWN($H15,0),CH$2)))))*ADRYr3!P15*ADRYr3!Q15*ADRYr3!U15)</f>
        <v/>
      </c>
      <c r="CI15" s="30" t="str">
        <f>IF($G15="","",$G15*(IF(ADRYr3!$AI15=BZ$4,ADRYr3!$AJ15,IF(ADRYr3!$AK15=BZ$4,ADRYr3!$AL15,IF(ADRYr3!$AM15=BZ$4,ADRYr3!$AN15,0))))*(INDEX(avoidedcosttbl3,$H15,CI$2)+(($H15-ROUNDDOWN($H15,0))*(INDEX(avoidedcosttbl3,ROUNDUP($H15,0),CI$2)-(INDEX(avoidedcosttbl3,ROUNDDOWN($H15,0),CI$2)))))*ADRYr3!P15*ADRYr3!Q15*ADRYr3!U15)</f>
        <v/>
      </c>
      <c r="CJ15" s="30" t="str">
        <f>IF($G15="","",$G15*(IF(ADRYr3!$AI15=CA$4,ADRYr3!$AJ15,IF(ADRYr3!$AK15=CA$4,ADRYr3!$AL15,IF(ADRYr3!$AM15=CA$4,ADRYr3!$AN15,0))))*(INDEX(avoidedcosttbl3,$H15,CJ$2)+(($H15-ROUNDDOWN($H15,0))*(INDEX(avoidedcosttbl3,ROUNDUP($H15,0),CJ$2)-(INDEX(avoidedcosttbl3,ROUNDDOWN($H15,0),CJ$2)))))*ADRYr3!P15*ADRYr3!Q15*ADRYr3!U15)</f>
        <v/>
      </c>
      <c r="CK15" s="30" t="str">
        <f>IF($G15="","",$G15*(IF(ADRYr3!$AI15=CB$4,ADRYr3!$AJ15,IF(ADRYr3!$AK15=CB$4,ADRYr3!$AL15,IF(ADRYr3!$AM15=CB$4,ADRYr3!$AN15,0))))*(INDEX(avoidedcosttbl3,$H15,CK$2)+(($H15-ROUNDDOWN($H15,0))*(INDEX(avoidedcosttbl3,ROUNDUP($H15,0),CK$2)-(INDEX(avoidedcosttbl3,ROUNDDOWN($H15,0),CK$2)))))*ADRYr3!P15*ADRYr3!Q15*ADRYr3!U15)</f>
        <v/>
      </c>
      <c r="CL15" s="30" t="str">
        <f>IF($G15="","",$G15*(IF(ADRYr3!$AI15=CC$4,ADRYr3!$AJ15,IF(ADRYr3!$AK15=CC$4,ADRYr3!$AL15,IF(ADRYr3!$AM15=CC$4,ADRYr3!$AN15,0))))*(INDEX(avoidedcosttbl3,$H15,CL$2)+(($H15-ROUNDDOWN($H15,0))*(INDEX(avoidedcosttbl3,ROUNDUP($H15,0),CL$2)-(INDEX(avoidedcosttbl3,ROUNDDOWN($H15,0),CL$2)))))*ADRYr3!P15*ADRYr3!Q15*ADRYr3!U15)</f>
        <v/>
      </c>
      <c r="CM15" s="30" t="str">
        <f>IF($G15="","",$G15*(IF(ADRYr3!$AI15=CD$4,ADRYr3!$AJ15,IF(ADRYr3!$AK15=CD$4,ADRYr3!$AL15,IF(ADRYr3!$AM15=CD$4,ADRYr3!$AN15,0))))*(INDEX(avoidedcosttbl3,$H15,CM$2)+(($H15-ROUNDDOWN($H15,0))*(INDEX(avoidedcosttbl3,ROUNDUP($H15,0),CM$2)-(INDEX(avoidedcosttbl3,ROUNDDOWN($H15,0),CM$2)))))*ADRYr3!P15*ADRYr3!Q15*ADRYr3!U15)</f>
        <v/>
      </c>
      <c r="CN15" s="30" t="str">
        <f>IF($G15="","",$G15*(IF(ADRYr3!$AI15=CE$4,ADRYr3!$AJ15,IF(ADRYr3!$AK15=CE$4,ADRYr3!$AL15,IF(ADRYr3!$AM15=CE$4,ADRYr3!$AN15,0))))*(INDEX(avoidedcosttbl3,$H15,CN$2)+(($H15-ROUNDDOWN($H15,0))*(INDEX(avoidedcosttbl3,ROUNDUP($H15,0),CN$2)-(INDEX(avoidedcosttbl3,ROUNDDOWN($H15,0),CN$2)))))*ADRYr3!P15*ADRYr3!Q15*ADRYr3!U15)</f>
        <v/>
      </c>
      <c r="CO15" s="220" t="str">
        <f t="shared" si="36"/>
        <v/>
      </c>
      <c r="CP15" s="220" t="str">
        <f t="shared" si="37"/>
        <v/>
      </c>
      <c r="CQ15" s="157" t="str">
        <f>IF($G15="","",$G15*(IF(ADRYr3!$AI15=CQ$4,ADRYr3!$AJ15,IF(ADRYr3!$AK15=CQ$4,ADRYr3!$AL15,IF(ADRYr3!$AM15=CQ$4,ADRYr3!$AN15,0))))*(INDEX(avoidedcosttbl3,$H15,CQ$2)+(($H15-ROUNDDOWN($H15,0))*(INDEX(avoidedcosttbl3,ROUNDUP($H15,0),CQ$2)-(INDEX(avoidedcosttbl3,ROUNDDOWN($H15,0),CQ$2)))))*ADRYr3!$P15*ADRYr3!$Q15*ADRYr3!$U15)</f>
        <v/>
      </c>
      <c r="CR15" s="28" t="str">
        <f>IF($G15="","",G15*(IF(ADRYr3!$AI15=CR$4,ADRYr3!$AJ15,IF(ADRYr3!$AK15=CR$4,ADRYr3!$AL15,IF(ADRYr3!$AM15=CR$4,ADRYr3!$AN15,0))))*(INDEX(avoidedcosttbl3,$H15,CR$2)+(($H15-ROUNDDOWN($H15,0))*(INDEX(avoidedcosttbl3,ROUNDUP($H15,0),CR$2)-(INDEX(avoidedcosttbl3,ROUNDDOWN($H15,0),CR$2)))))*ADRYr3!$P15*ADRYr3!$Q15*ADRYr3!$U15)</f>
        <v/>
      </c>
      <c r="CS15" s="28" t="str">
        <f>IF($G15="","",G15*(IF(ADRYr3!$AI15=CS$4,ADRYr3!$AJ15,IF(ADRYr3!$AK15=CS$4,ADRYr3!$AL15,IF(ADRYr3!$AM15=CS$4,ADRYr3!$AN15,0))))*(INDEX(avoidedcosttbl3,$H15,CS$2)+(($H15-ROUNDDOWN($H15,0))*(INDEX(avoidedcosttbl3,ROUNDUP($H15,0),CS$2)-(INDEX(avoidedcosttbl3,ROUNDDOWN($H15,0),CS$2)))))*ADRYr3!$P15*ADRYr3!$Q15*ADRYr3!$U15)</f>
        <v/>
      </c>
      <c r="CT15" s="28" t="str">
        <f t="shared" si="11"/>
        <v/>
      </c>
      <c r="CU15" s="28" t="str">
        <f>IF($G15="","",G15*(IF(ADRYr3!$AI15=CU$4,ADRYr3!$AJ15,IF(ADRYr3!$AK15=CU$4,ADRYr3!$AL15,IF(ADRYr3!$AM15=CU$4,ADRYr3!$AN15,0))))*(INDEX(avoidedcosttbl3,$H15,CU$2)+(($H15-ROUNDDOWN($H15,0))*(INDEX(avoidedcosttbl3,ROUNDUP($H15,0),CU$2)-(INDEX(avoidedcosttbl3,ROUNDDOWN($H15,0),CU$2)))))*ADRYr3!$P15*ADRYr3!$Q15*ADRYr3!$U15)</f>
        <v/>
      </c>
      <c r="CV15" s="28" t="str">
        <f>IF($G15="","",G15*(IF(ADRYr3!$AI15=CV$4,ADRYr3!$AJ15,IF(ADRYr3!$AK15=CV$4,ADRYr3!$AL15,IF(ADRYr3!$AM15=CV$4,ADRYr3!$AN15,0))))*(INDEX(avoidedcosttbl3,$H15,CV$2)+(($H15-ROUNDDOWN($H15,0))*(INDEX(avoidedcosttbl3,ROUNDUP($H15,0),CV$2)-(INDEX(avoidedcosttbl3,ROUNDDOWN($H15,0),CV$2)))))*ADRYr3!$P15*ADRYr3!$Q15*ADRYr3!$U15)</f>
        <v/>
      </c>
      <c r="CW15" s="28" t="str">
        <f>IF($G15="","",G15*(IF(ADRYr3!$AI15=CW$4,ADRYr3!$AJ15,IF(ADRYr3!$AK15=CW$4,ADRYr3!$AL15,IF(ADRYr3!$AM15=CW$4,ADRYr3!$AN15,0))))*(INDEX(avoidedcosttbl3,$H15,CW$2)+(($H15-ROUNDDOWN($H15,0))*(INDEX(avoidedcosttbl3,ROUNDUP($H15,0),CW$2)-(INDEX(avoidedcosttbl3,ROUNDDOWN($H15,0),CW$2)))))*ADRYr3!$P15*ADRYr3!$Q15*ADRYr3!$U15)</f>
        <v/>
      </c>
      <c r="CX15" s="28" t="str">
        <f>IF($G15="","",G15*(IF(ADRYr3!$AI15=CX$4,ADRYr3!$AJ15,IF(ADRYr3!$AK15=CX$4,ADRYr3!$AL15,IF(ADRYr3!$AM15=CX$4,ADRYr3!$AN15,0))))*(INDEX(avoidedcosttbl3,$H15,CX$2)+(($H15-ROUNDDOWN($H15,0))*(INDEX(avoidedcosttbl3,ROUNDUP($H15,0),CX$2)-(INDEX(avoidedcosttbl3,ROUNDDOWN($H15,0),CX$2)))))*ADRYr3!$P15*ADRYr3!$Q15*ADRYr3!$U15)</f>
        <v/>
      </c>
      <c r="CY15" s="28" t="str">
        <f t="shared" si="38"/>
        <v/>
      </c>
      <c r="CZ15" s="32" t="str">
        <f t="shared" si="39"/>
        <v/>
      </c>
      <c r="DA15" s="84" t="str">
        <f t="shared" si="40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41"/>
        <v/>
      </c>
      <c r="DD15" s="166" t="str">
        <f t="shared" si="42"/>
        <v/>
      </c>
      <c r="DE15" s="82">
        <f t="shared" si="43"/>
        <v>0</v>
      </c>
      <c r="DF15" s="760" t="str">
        <f>IF($G15="","",(1+WntPeakEnergyLL)*(INDEX(avoidedcosttbl3,$H15,DF$2)+(($H15-ROUNDDOWN($H15,0))*(INDEX(avoidedcosttbl3,ROUNDUP($H15,0),DF$2)-(INDEX(avoidedcosttbl3,ROUNDDOWN($H15,0),DF$2)))))*$P15*1000*ADRYr3!Z15)</f>
        <v/>
      </c>
      <c r="DG15" s="760" t="str">
        <f>IF($G15="","",(1+WntOffPeakEnergyLL)*(INDEX(avoidedcosttbl3,$H15,DG$2)+(($H15-ROUNDDOWN($H15,0))*(INDEX(avoidedcosttbl3,ROUNDUP($H15,0),DG$2)-(INDEX(avoidedcosttbl3,ROUNDDOWN($H15,0),DG$2)))))*$P15*1000*ADRYr3!AA15)</f>
        <v/>
      </c>
      <c r="DH15" s="760" t="str">
        <f>IF($G15="","",(1+SumPeakEnergyLL)*(INDEX(avoidedcosttbl3,$H15,DH$2)+(($H15-ROUNDDOWN($H15,0))*(INDEX(avoidedcosttbl3,ROUNDUP($H15,0),DH$2)-(INDEX(avoidedcosttbl3,ROUNDDOWN($H15,0),DH$2)))))*$P15*1000*ADRYr3!AB15)</f>
        <v/>
      </c>
      <c r="DI15" s="760" t="str">
        <f>IF($G15="","",(1+SumOffPeakEnergyLL)*(INDEX(avoidedcosttbl3,$H15,DI$2)+(($H15-ROUNDDOWN($H15,0))*(INDEX(avoidedcosttbl3,ROUNDUP($H15,0),DI$2)-(INDEX(avoidedcosttbl3,ROUNDDOWN($H15,0),DI$2)))))*$P15*1000*ADRYr3!AC15)</f>
        <v/>
      </c>
      <c r="DJ15" s="29" t="str">
        <f t="shared" si="44"/>
        <v/>
      </c>
      <c r="DK15" s="161" t="str">
        <f t="shared" si="45"/>
        <v/>
      </c>
      <c r="DL15" s="1375" t="str">
        <f t="shared" si="46"/>
        <v/>
      </c>
      <c r="DM15" s="1375" t="str">
        <f t="shared" si="47"/>
        <v/>
      </c>
      <c r="DN15" s="43" t="str">
        <f t="shared" si="48"/>
        <v/>
      </c>
      <c r="DO15" s="1131" t="str">
        <f>IF($G15="","",ADRYr3!AQ15)</f>
        <v/>
      </c>
      <c r="DP15" s="1133" t="str">
        <f>IF($G15="","",ADRYr3!AR15)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49"/>
        <v/>
      </c>
      <c r="DU15" s="1135" t="str">
        <f>IF($G15="","",ADRYr3!AS15)</f>
        <v/>
      </c>
      <c r="DV15" s="1136" t="str">
        <f>IF($G15="","",ADRYr3!AT15)</f>
        <v/>
      </c>
      <c r="DW15" s="1344" t="str">
        <f>IF($G15="","",INDEX(AvoidedEnergy!$H$4:$H$10,MATCH($DO15,AvoidedEnergy!$A$4:$A$10,0)))</f>
        <v/>
      </c>
    </row>
    <row r="16" spans="1:127">
      <c r="A16" s="160" t="str">
        <f>IF(ADRYr3!$B16=0,"",ADRYr3!A16)</f>
        <v>A - Residential</v>
      </c>
      <c r="B16" s="9" t="str">
        <f>IF(ADRYr3!$B16=0,"",ADRYr3!B16)</f>
        <v>A5 - Residential Active Demand Response</v>
      </c>
      <c r="C16" s="9" t="str">
        <f>IF(ADRYr3!$B16=0,"",ADRYr3!C16)</f>
        <v>A5a - Residential Active Demand Response</v>
      </c>
      <c r="D16" s="9" t="str">
        <f>IF(ADRYr3!$B16=0,"",ADRYr3!D16)</f>
        <v>EV Load Management Winter</v>
      </c>
      <c r="E16" s="9">
        <f>IF(ADRYr3!$B16=0,"",ADRYr3!E16)</f>
        <v>0</v>
      </c>
      <c r="F16" s="11" t="str">
        <f>IF(ADRYr3!$B16=0,"",ADRYr3!F16)</f>
        <v>Behavior</v>
      </c>
      <c r="G16" s="12" t="str">
        <f>IF(ADRYr3!$G16&lt;&gt;0,ADRYr3!G16,"")</f>
        <v/>
      </c>
      <c r="H16" s="1125" t="str">
        <f>IF($G16="","",ROUND(ADRYr3!H16,0))</f>
        <v/>
      </c>
      <c r="I16" s="47" t="str">
        <f>IF($G16="","",ADRYr3!I16*ADRYr3!P16*G16)</f>
        <v/>
      </c>
      <c r="J16" s="47" t="str">
        <f>IF($G16="","",ADRYr3!J16*G16)</f>
        <v/>
      </c>
      <c r="K16" s="47" t="str">
        <f t="shared" si="12"/>
        <v/>
      </c>
      <c r="L16" s="27" t="str">
        <f>IF($G16="","",ADRYr3!V16*G16/1000)</f>
        <v/>
      </c>
      <c r="M16" s="27" t="str">
        <f>IF($G16="","",L16*ADRYr3!$Q16*ADRYr3!$R16)</f>
        <v/>
      </c>
      <c r="N16" s="27" t="str">
        <f t="shared" si="13"/>
        <v/>
      </c>
      <c r="O16" s="27" t="str">
        <f t="shared" si="14"/>
        <v/>
      </c>
      <c r="P16" s="27" t="str">
        <f>IF($G16="","",M16*ADRYr3!P16)</f>
        <v/>
      </c>
      <c r="Q16" s="27" t="str">
        <f t="shared" si="15"/>
        <v/>
      </c>
      <c r="R16" s="27" t="str">
        <f>IF($G16="","",$Q16*ADRYr3!Z16)</f>
        <v/>
      </c>
      <c r="S16" s="27" t="str">
        <f>IF($G16="","",$Q16*ADRYr3!AA16)</f>
        <v/>
      </c>
      <c r="T16" s="27" t="str">
        <f>IF($G16="","",$Q16*ADRYr3!AB16)</f>
        <v/>
      </c>
      <c r="U16" s="27" t="str">
        <f>IF($G16="","",$Q16*ADRYr3!AC16)</f>
        <v/>
      </c>
      <c r="V16" s="27" t="str">
        <f>IF($G16="","",G16*ADRYr3!$AD16*ADRYr3!$P16*ADRYr3!$Q16)</f>
        <v/>
      </c>
      <c r="W16" s="27" t="str">
        <f>IF($G16="","",$G16*ADRYr3!$AD16*ADRYr3!$AF16*ADRYr3!Q16*ADRYr3!$S16)</f>
        <v/>
      </c>
      <c r="X16" s="27" t="str">
        <f>IF($G16="","",$G16*ADRYr3!$AD16*ADRYr3!$AF16*ADRYr3!P16*ADRYr3!Q16*ADRYr3!$S16)</f>
        <v/>
      </c>
      <c r="Y16" s="27" t="str">
        <f>IF($G16="","",$G16*ADRYr3!$AD16*ADRYr3!$AE16*ADRYr3!Q16*ADRYr3!$T16)</f>
        <v/>
      </c>
      <c r="Z16" s="27" t="str">
        <f>IF($G16="","",$G16*ADRYr3!$AD16*ADRYr3!$AE16*ADRYr3!P16*ADRYr3!Q16*ADRYr3!$T16)</f>
        <v/>
      </c>
      <c r="AA16" s="45" t="str">
        <f>IF($G16="","",$G16*ADRYr3!$Q16*ADRYr3!$U16*(IF(IFERROR(SEARCH("NG", ADRYr3!$AI16),0),ADRYr3!$AJ16,0)+IF(IFERROR(SEARCH("NG", ADRYr3!$AK16),0),ADRYr3!$AL16,0)+IF(IFERROR(SEARCH("NG", ADRYr3!$AM16),0),ADRYr3!$AN16,0)))</f>
        <v/>
      </c>
      <c r="AB16" s="45" t="str">
        <f t="shared" si="16"/>
        <v/>
      </c>
      <c r="AC16" s="45">
        <f>IF($G16="",0,AA16*ADRYr3!$P16)</f>
        <v>0</v>
      </c>
      <c r="AD16" s="45" t="str">
        <f t="shared" si="17"/>
        <v/>
      </c>
      <c r="AE16" s="45" t="str">
        <f>IF($G16="","",$G16*ADRYr3!$Q16*ADRYr3!$U16*(IF(IFERROR(SEARCH("Oil", ADRYr3!$AI16), 0),ADRYr3!$AJ16,0)+IF(IFERROR(SEARCH("Oil", ADRYr3!$AK16), 0),ADRYr3!$AL16,0)+IF(IFERROR(SEARCH("Oil", ADRYr3!$AM16), 0),ADRYr3!$AN16,0)))</f>
        <v/>
      </c>
      <c r="AF16" s="45" t="str">
        <f t="shared" si="18"/>
        <v/>
      </c>
      <c r="AG16" s="45">
        <f>IF($G16="",0,AE16*ADRYr3!$P16)</f>
        <v>0</v>
      </c>
      <c r="AH16" s="45" t="str">
        <f t="shared" si="19"/>
        <v/>
      </c>
      <c r="AI16" s="45" t="str">
        <f>IF($G16="","",$G16*ADRYr3!$Q16*ADRYr3!$U16*(IF(ADRYr3!$AI16=Lookups!$E$114,ADRYr3!$AJ16,IF(ADRYr3!$AK16=Lookups!$E$114,ADRYr3!$AL16,IF(ADRYr3!$AM16=Lookups!$E$114,ADRYr3!$AN16,0)))))</f>
        <v/>
      </c>
      <c r="AJ16" s="45" t="str">
        <f t="shared" si="20"/>
        <v/>
      </c>
      <c r="AK16" s="45">
        <f>IF($G16="",0,AI16*ADRYr3!$P16)</f>
        <v>0</v>
      </c>
      <c r="AL16" s="45" t="str">
        <f t="shared" si="21"/>
        <v/>
      </c>
      <c r="AM16" s="45" t="str">
        <f>IF($G16="","",$G16*ADRYr3!$Q16*ADRYr3!$U16*(IF(ADRYr3!$AI16=Lookups!$E$113,ADRYr3!$AJ16,IF(ADRYr3!$AK16=Lookups!$E$113,ADRYr3!$AL16,IF(ADRYr3!$AM16=Lookups!$E$113,ADRYr3!$AN16,0)))))</f>
        <v/>
      </c>
      <c r="AN16" s="45" t="str">
        <f t="shared" si="22"/>
        <v/>
      </c>
      <c r="AO16" s="45">
        <f>IF($G16="",0,AM16*ADRYr3!$P16)</f>
        <v>0</v>
      </c>
      <c r="AP16" s="45" t="str">
        <f t="shared" si="23"/>
        <v/>
      </c>
      <c r="AQ16" s="45" t="str">
        <f>IF($G16="","",$G16*ADRYr3!$Q16*ADRYr3!$U16*(IF(ADRYr3!$AI16=Lookups!$E$115,ADRYr3!$AJ16,IF(ADRYr3!$AK16=Lookups!$E$115,ADRYr3!$AL16,IF(ADRYr3!$AM16=Lookups!$E$115,ADRYr3!$AN16,0)))))</f>
        <v/>
      </c>
      <c r="AR16" s="45" t="str">
        <f t="shared" si="24"/>
        <v/>
      </c>
      <c r="AS16" s="45" t="str">
        <f>IF($G16="","",AQ16*ADRYr3!$P16)</f>
        <v/>
      </c>
      <c r="AT16" s="45" t="str">
        <f t="shared" si="25"/>
        <v/>
      </c>
      <c r="AU16" s="45" t="str">
        <f>IF($G16="","",$G16*ADRYr3!$Q16*ADRYr3!$U16*(IF(ADRYr3!$AI16=Lookups!$E$116,ADRYr3!$AJ16,IF(ADRYr3!$AK16=Lookups!$E$116,ADRYr3!$AL16,IF(ADRYr3!$AM16=Lookups!$E$116,ADRYr3!$AN16,0)))))</f>
        <v/>
      </c>
      <c r="AV16" s="45" t="str">
        <f t="shared" si="26"/>
        <v/>
      </c>
      <c r="AW16" s="45" t="str">
        <f>IF($G16="","",AU16*ADRYr3!$P16)</f>
        <v/>
      </c>
      <c r="AX16" s="45" t="str">
        <f t="shared" si="27"/>
        <v/>
      </c>
      <c r="AY16" s="45">
        <f t="shared" si="28"/>
        <v>0</v>
      </c>
      <c r="AZ16" s="45">
        <f t="shared" si="29"/>
        <v>0</v>
      </c>
      <c r="BA16" s="101" t="str">
        <f>IF($G16="","",$G16*ADRYr3!$P16*ADRYr3!$Q16*ADRYr3!$U16*ADRYr3!AO16)</f>
        <v/>
      </c>
      <c r="BB16" s="102" t="str">
        <f>IF($G16="","",$G16*ADRYr3!$P16*ADRYr3!$Q16*ADRYr3!$U16*ADRYr3!AP16)</f>
        <v/>
      </c>
      <c r="BC16" s="100" t="str">
        <f t="shared" si="30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31"/>
        <v/>
      </c>
      <c r="BO16" s="31" t="str">
        <f t="shared" si="32"/>
        <v/>
      </c>
      <c r="BP16" s="1129" t="str">
        <f t="shared" si="5"/>
        <v/>
      </c>
      <c r="BQ16" s="28" t="str">
        <f t="shared" si="6"/>
        <v/>
      </c>
      <c r="BR16" s="1129" t="str">
        <f t="shared" si="7"/>
        <v/>
      </c>
      <c r="BS16" s="1129" t="str">
        <f t="shared" si="8"/>
        <v/>
      </c>
      <c r="BT16" s="28" t="str">
        <f t="shared" si="9"/>
        <v/>
      </c>
      <c r="BU16" s="28" t="str">
        <f t="shared" si="9"/>
        <v/>
      </c>
      <c r="BV16" s="28" t="str">
        <f t="shared" si="9"/>
        <v/>
      </c>
      <c r="BW16" s="29" t="str">
        <f t="shared" si="33"/>
        <v/>
      </c>
      <c r="BX16" s="29" t="str">
        <f t="shared" si="34"/>
        <v/>
      </c>
      <c r="BY16" s="28" t="str">
        <f>IF($G16="","",$G16*(IF(ADRYr3!$AI16=BY$4,ADRYr3!$AJ16,IF(ADRYr3!$AK16=BY$4,ADRYr3!$AL16,IF(ADRYr3!$AM16=BY$4,ADRYr3!$AN16,0))))*(INDEX(avoidedcosttbl3,$H16,BY$2)+(($H16-ROUNDDOWN($H16,0))*(INDEX(avoidedcosttbl3,ROUNDUP($H16,0),BY$2)-(INDEX(avoidedcosttbl3,ROUNDDOWN($H16,0),BY$2)))))*ADRYr3!P16*ADRYr3!Q16*ADRYr3!U16)</f>
        <v/>
      </c>
      <c r="BZ16" s="28" t="str">
        <f>IF($G16="","",$G16*(IF(ADRYr3!$AI16=BZ$4,ADRYr3!$AJ16,IF(ADRYr3!$AK16=BZ$4,ADRYr3!$AL16,IF(ADRYr3!$AM16=BZ$4,ADRYr3!$AN16,0))))*(INDEX(avoidedcosttbl3,$H16,BZ$2)+(($H16-ROUNDDOWN($H16,0))*(INDEX(avoidedcosttbl3,ROUNDUP($H16,0),BZ$2)-(INDEX(avoidedcosttbl3,ROUNDDOWN($H16,0),BZ$2)))))*ADRYr3!P16*ADRYr3!Q16*ADRYr3!U16)</f>
        <v/>
      </c>
      <c r="CA16" s="28" t="str">
        <f>IF($G16="","",$G16*(IF(ADRYr3!$AI16=CA$4,ADRYr3!$AJ16,IF(ADRYr3!$AK16=CA$4,ADRYr3!$AL16,IF(ADRYr3!$AM16=CA$4,ADRYr3!$AN16,0))))*(INDEX(avoidedcosttbl3,$H16,CA$2)+(($H16-ROUNDDOWN($H16,0))*(INDEX(avoidedcosttbl3,ROUNDUP($H16,0),CA$2)-(INDEX(avoidedcosttbl3,ROUNDDOWN($H16,0),CA$2)))))*ADRYr3!P16*ADRYr3!Q16*ADRYr3!U16)</f>
        <v/>
      </c>
      <c r="CB16" s="28" t="str">
        <f>IF($G16="","",$G16*(IF(ADRYr3!$AI16=CB$4,ADRYr3!$AJ16,IF(ADRYr3!$AK16=CB$4,ADRYr3!$AL16,IF(ADRYr3!$AM16=CB$4,ADRYr3!$AN16,0))))*(INDEX(avoidedcosttbl3,$H16,CB$2)+(($H16-ROUNDDOWN($H16,0))*(INDEX(avoidedcosttbl3,ROUNDUP($H16,0),CB$2)-(INDEX(avoidedcosttbl3,ROUNDDOWN($H16,0),CB$2)))))*ADRYr3!P16*ADRYr3!Q16*ADRYr3!U16)</f>
        <v/>
      </c>
      <c r="CC16" s="28" t="str">
        <f>IF($G16="","",$G16*(IF(ADRYr3!$AI16=CC$4,ADRYr3!$AJ16,IF(ADRYr3!$AK16=CC$4,ADRYr3!$AL16,IF(ADRYr3!$AM16=CC$4,ADRYr3!$AN16,0))))*(INDEX(avoidedcosttbl3,$H16,CC$2)+(($H16-ROUNDDOWN($H16,0))*(INDEX(avoidedcosttbl3,ROUNDUP($H16,0),CC$2)-(INDEX(avoidedcosttbl3,ROUNDDOWN($H16,0),CC$2)))))*ADRYr3!P16*ADRYr3!Q16*ADRYr3!U16)</f>
        <v/>
      </c>
      <c r="CD16" s="28" t="str">
        <f>IF($G16="","",$G16*(IF(ADRYr3!$AI16=CD$4,ADRYr3!$AJ16,IF(ADRYr3!$AK16=CD$4,ADRYr3!$AL16,IF(ADRYr3!$AM16=CD$4,ADRYr3!$AN16,0))))*(INDEX(avoidedcosttbl3,$H16,CD$2)+(($H16-ROUNDDOWN($H16,0))*(INDEX(avoidedcosttbl3,ROUNDUP($H16,0),CD$2)-(INDEX(avoidedcosttbl3,ROUNDDOWN($H16,0),CD$2)))))*ADRYr3!P16*ADRYr3!Q16*ADRYr3!U16)</f>
        <v/>
      </c>
      <c r="CE16" s="28" t="str">
        <f>IF($G16="","",$G16*(IF(ADRYr3!$AI16=CE$4,ADRYr3!$AJ16,IF(ADRYr3!$AK16=CE$4,ADRYr3!$AL16,IF(ADRYr3!$AM16=CE$4,ADRYr3!$AN16,0))))*(INDEX(avoidedcosttbl3,$H16,CE$2)+(($H16-ROUNDDOWN($H16,0))*(INDEX(avoidedcosttbl3,ROUNDUP($H16,0),CE$2)-(INDEX(avoidedcosttbl3,ROUNDDOWN($H16,0),CE$2)))))*ADRYr3!P16*ADRYr3!Q16*ADRYr3!U16)</f>
        <v/>
      </c>
      <c r="CF16" s="41" t="str">
        <f t="shared" si="35"/>
        <v/>
      </c>
      <c r="CG16" s="30" t="str">
        <f t="shared" si="10"/>
        <v/>
      </c>
      <c r="CH16" s="30" t="str">
        <f>IF($G16="","",$G16*(IF(ADRYr3!$AI16=BY$4,ADRYr3!$AJ16,IF(ADRYr3!$AK16=BY$4,ADRYr3!$AL16,IF(ADRYr3!$AM16=BY$4,ADRYr3!$AN16,0))))*(INDEX(avoidedcosttbl3,$H16,CH$2)+(($H16-ROUNDDOWN($H16,0))*(INDEX(avoidedcosttbl3,ROUNDUP($H16,0),CH$2)-(INDEX(avoidedcosttbl3,ROUNDDOWN($H16,0),CH$2)))))*ADRYr3!P16*ADRYr3!Q16*ADRYr3!U16)</f>
        <v/>
      </c>
      <c r="CI16" s="30" t="str">
        <f>IF($G16="","",$G16*(IF(ADRYr3!$AI16=BZ$4,ADRYr3!$AJ16,IF(ADRYr3!$AK16=BZ$4,ADRYr3!$AL16,IF(ADRYr3!$AM16=BZ$4,ADRYr3!$AN16,0))))*(INDEX(avoidedcosttbl3,$H16,CI$2)+(($H16-ROUNDDOWN($H16,0))*(INDEX(avoidedcosttbl3,ROUNDUP($H16,0),CI$2)-(INDEX(avoidedcosttbl3,ROUNDDOWN($H16,0),CI$2)))))*ADRYr3!P16*ADRYr3!Q16*ADRYr3!U16)</f>
        <v/>
      </c>
      <c r="CJ16" s="30" t="str">
        <f>IF($G16="","",$G16*(IF(ADRYr3!$AI16=CA$4,ADRYr3!$AJ16,IF(ADRYr3!$AK16=CA$4,ADRYr3!$AL16,IF(ADRYr3!$AM16=CA$4,ADRYr3!$AN16,0))))*(INDEX(avoidedcosttbl3,$H16,CJ$2)+(($H16-ROUNDDOWN($H16,0))*(INDEX(avoidedcosttbl3,ROUNDUP($H16,0),CJ$2)-(INDEX(avoidedcosttbl3,ROUNDDOWN($H16,0),CJ$2)))))*ADRYr3!P16*ADRYr3!Q16*ADRYr3!U16)</f>
        <v/>
      </c>
      <c r="CK16" s="30" t="str">
        <f>IF($G16="","",$G16*(IF(ADRYr3!$AI16=CB$4,ADRYr3!$AJ16,IF(ADRYr3!$AK16=CB$4,ADRYr3!$AL16,IF(ADRYr3!$AM16=CB$4,ADRYr3!$AN16,0))))*(INDEX(avoidedcosttbl3,$H16,CK$2)+(($H16-ROUNDDOWN($H16,0))*(INDEX(avoidedcosttbl3,ROUNDUP($H16,0),CK$2)-(INDEX(avoidedcosttbl3,ROUNDDOWN($H16,0),CK$2)))))*ADRYr3!P16*ADRYr3!Q16*ADRYr3!U16)</f>
        <v/>
      </c>
      <c r="CL16" s="30" t="str">
        <f>IF($G16="","",$G16*(IF(ADRYr3!$AI16=CC$4,ADRYr3!$AJ16,IF(ADRYr3!$AK16=CC$4,ADRYr3!$AL16,IF(ADRYr3!$AM16=CC$4,ADRYr3!$AN16,0))))*(INDEX(avoidedcosttbl3,$H16,CL$2)+(($H16-ROUNDDOWN($H16,0))*(INDEX(avoidedcosttbl3,ROUNDUP($H16,0),CL$2)-(INDEX(avoidedcosttbl3,ROUNDDOWN($H16,0),CL$2)))))*ADRYr3!P16*ADRYr3!Q16*ADRYr3!U16)</f>
        <v/>
      </c>
      <c r="CM16" s="30" t="str">
        <f>IF($G16="","",$G16*(IF(ADRYr3!$AI16=CD$4,ADRYr3!$AJ16,IF(ADRYr3!$AK16=CD$4,ADRYr3!$AL16,IF(ADRYr3!$AM16=CD$4,ADRYr3!$AN16,0))))*(INDEX(avoidedcosttbl3,$H16,CM$2)+(($H16-ROUNDDOWN($H16,0))*(INDEX(avoidedcosttbl3,ROUNDUP($H16,0),CM$2)-(INDEX(avoidedcosttbl3,ROUNDDOWN($H16,0),CM$2)))))*ADRYr3!P16*ADRYr3!Q16*ADRYr3!U16)</f>
        <v/>
      </c>
      <c r="CN16" s="30" t="str">
        <f>IF($G16="","",$G16*(IF(ADRYr3!$AI16=CE$4,ADRYr3!$AJ16,IF(ADRYr3!$AK16=CE$4,ADRYr3!$AL16,IF(ADRYr3!$AM16=CE$4,ADRYr3!$AN16,0))))*(INDEX(avoidedcosttbl3,$H16,CN$2)+(($H16-ROUNDDOWN($H16,0))*(INDEX(avoidedcosttbl3,ROUNDUP($H16,0),CN$2)-(INDEX(avoidedcosttbl3,ROUNDDOWN($H16,0),CN$2)))))*ADRYr3!P16*ADRYr3!Q16*ADRYr3!U16)</f>
        <v/>
      </c>
      <c r="CO16" s="220" t="str">
        <f t="shared" si="36"/>
        <v/>
      </c>
      <c r="CP16" s="220" t="str">
        <f t="shared" si="37"/>
        <v/>
      </c>
      <c r="CQ16" s="157" t="str">
        <f>IF($G16="","",$G16*(IF(ADRYr3!$AI16=CQ$4,ADRYr3!$AJ16,IF(ADRYr3!$AK16=CQ$4,ADRYr3!$AL16,IF(ADRYr3!$AM16=CQ$4,ADRYr3!$AN16,0))))*(INDEX(avoidedcosttbl3,$H16,CQ$2)+(($H16-ROUNDDOWN($H16,0))*(INDEX(avoidedcosttbl3,ROUNDUP($H16,0),CQ$2)-(INDEX(avoidedcosttbl3,ROUNDDOWN($H16,0),CQ$2)))))*ADRYr3!$P16*ADRYr3!$Q16*ADRYr3!$U16)</f>
        <v/>
      </c>
      <c r="CR16" s="28" t="str">
        <f>IF($G16="","",G16*(IF(ADRYr3!$AI16=CR$4,ADRYr3!$AJ16,IF(ADRYr3!$AK16=CR$4,ADRYr3!$AL16,IF(ADRYr3!$AM16=CR$4,ADRYr3!$AN16,0))))*(INDEX(avoidedcosttbl3,$H16,CR$2)+(($H16-ROUNDDOWN($H16,0))*(INDEX(avoidedcosttbl3,ROUNDUP($H16,0),CR$2)-(INDEX(avoidedcosttbl3,ROUNDDOWN($H16,0),CR$2)))))*ADRYr3!$P16*ADRYr3!$Q16*ADRYr3!$U16)</f>
        <v/>
      </c>
      <c r="CS16" s="28" t="str">
        <f>IF($G16="","",G16*(IF(ADRYr3!$AI16=CS$4,ADRYr3!$AJ16,IF(ADRYr3!$AK16=CS$4,ADRYr3!$AL16,IF(ADRYr3!$AM16=CS$4,ADRYr3!$AN16,0))))*(INDEX(avoidedcosttbl3,$H16,CS$2)+(($H16-ROUNDDOWN($H16,0))*(INDEX(avoidedcosttbl3,ROUNDUP($H16,0),CS$2)-(INDEX(avoidedcosttbl3,ROUNDDOWN($H16,0),CS$2)))))*ADRYr3!$P16*ADRYr3!$Q16*ADRYr3!$U16)</f>
        <v/>
      </c>
      <c r="CT16" s="28" t="str">
        <f t="shared" si="11"/>
        <v/>
      </c>
      <c r="CU16" s="28" t="str">
        <f>IF($G16="","",G16*(IF(ADRYr3!$AI16=CU$4,ADRYr3!$AJ16,IF(ADRYr3!$AK16=CU$4,ADRYr3!$AL16,IF(ADRYr3!$AM16=CU$4,ADRYr3!$AN16,0))))*(INDEX(avoidedcosttbl3,$H16,CU$2)+(($H16-ROUNDDOWN($H16,0))*(INDEX(avoidedcosttbl3,ROUNDUP($H16,0),CU$2)-(INDEX(avoidedcosttbl3,ROUNDDOWN($H16,0),CU$2)))))*ADRYr3!$P16*ADRYr3!$Q16*ADRYr3!$U16)</f>
        <v/>
      </c>
      <c r="CV16" s="28" t="str">
        <f>IF($G16="","",G16*(IF(ADRYr3!$AI16=CV$4,ADRYr3!$AJ16,IF(ADRYr3!$AK16=CV$4,ADRYr3!$AL16,IF(ADRYr3!$AM16=CV$4,ADRYr3!$AN16,0))))*(INDEX(avoidedcosttbl3,$H16,CV$2)+(($H16-ROUNDDOWN($H16,0))*(INDEX(avoidedcosttbl3,ROUNDUP($H16,0),CV$2)-(INDEX(avoidedcosttbl3,ROUNDDOWN($H16,0),CV$2)))))*ADRYr3!$P16*ADRYr3!$Q16*ADRYr3!$U16)</f>
        <v/>
      </c>
      <c r="CW16" s="28" t="str">
        <f>IF($G16="","",G16*(IF(ADRYr3!$AI16=CW$4,ADRYr3!$AJ16,IF(ADRYr3!$AK16=CW$4,ADRYr3!$AL16,IF(ADRYr3!$AM16=CW$4,ADRYr3!$AN16,0))))*(INDEX(avoidedcosttbl3,$H16,CW$2)+(($H16-ROUNDDOWN($H16,0))*(INDEX(avoidedcosttbl3,ROUNDUP($H16,0),CW$2)-(INDEX(avoidedcosttbl3,ROUNDDOWN($H16,0),CW$2)))))*ADRYr3!$P16*ADRYr3!$Q16*ADRYr3!$U16)</f>
        <v/>
      </c>
      <c r="CX16" s="28" t="str">
        <f>IF($G16="","",G16*(IF(ADRYr3!$AI16=CX$4,ADRYr3!$AJ16,IF(ADRYr3!$AK16=CX$4,ADRYr3!$AL16,IF(ADRYr3!$AM16=CX$4,ADRYr3!$AN16,0))))*(INDEX(avoidedcosttbl3,$H16,CX$2)+(($H16-ROUNDDOWN($H16,0))*(INDEX(avoidedcosttbl3,ROUNDUP($H16,0),CX$2)-(INDEX(avoidedcosttbl3,ROUNDDOWN($H16,0),CX$2)))))*ADRYr3!$P16*ADRYr3!$Q16*ADRYr3!$U16)</f>
        <v/>
      </c>
      <c r="CY16" s="28" t="str">
        <f t="shared" si="38"/>
        <v/>
      </c>
      <c r="CZ16" s="32" t="str">
        <f t="shared" si="39"/>
        <v/>
      </c>
      <c r="DA16" s="84" t="str">
        <f t="shared" si="40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41"/>
        <v/>
      </c>
      <c r="DD16" s="166" t="str">
        <f t="shared" si="42"/>
        <v/>
      </c>
      <c r="DE16" s="82">
        <f t="shared" si="43"/>
        <v>0</v>
      </c>
      <c r="DF16" s="760" t="str">
        <f>IF($G16="","",(1+WntPeakEnergyLL)*(INDEX(avoidedcosttbl3,$H16,DF$2)+(($H16-ROUNDDOWN($H16,0))*(INDEX(avoidedcosttbl3,ROUNDUP($H16,0),DF$2)-(INDEX(avoidedcosttbl3,ROUNDDOWN($H16,0),DF$2)))))*$P16*1000*ADRYr3!Z16)</f>
        <v/>
      </c>
      <c r="DG16" s="760" t="str">
        <f>IF($G16="","",(1+WntOffPeakEnergyLL)*(INDEX(avoidedcosttbl3,$H16,DG$2)+(($H16-ROUNDDOWN($H16,0))*(INDEX(avoidedcosttbl3,ROUNDUP($H16,0),DG$2)-(INDEX(avoidedcosttbl3,ROUNDDOWN($H16,0),DG$2)))))*$P16*1000*ADRYr3!AA16)</f>
        <v/>
      </c>
      <c r="DH16" s="760" t="str">
        <f>IF($G16="","",(1+SumPeakEnergyLL)*(INDEX(avoidedcosttbl3,$H16,DH$2)+(($H16-ROUNDDOWN($H16,0))*(INDEX(avoidedcosttbl3,ROUNDUP($H16,0),DH$2)-(INDEX(avoidedcosttbl3,ROUNDDOWN($H16,0),DH$2)))))*$P16*1000*ADRYr3!AB16)</f>
        <v/>
      </c>
      <c r="DI16" s="760" t="str">
        <f>IF($G16="","",(1+SumOffPeakEnergyLL)*(INDEX(avoidedcosttbl3,$H16,DI$2)+(($H16-ROUNDDOWN($H16,0))*(INDEX(avoidedcosttbl3,ROUNDUP($H16,0),DI$2)-(INDEX(avoidedcosttbl3,ROUNDDOWN($H16,0),DI$2)))))*$P16*1000*ADRYr3!AC16)</f>
        <v/>
      </c>
      <c r="DJ16" s="29" t="str">
        <f t="shared" si="44"/>
        <v/>
      </c>
      <c r="DK16" s="161" t="str">
        <f t="shared" si="45"/>
        <v/>
      </c>
      <c r="DL16" s="1375" t="str">
        <f t="shared" si="46"/>
        <v/>
      </c>
      <c r="DM16" s="1375" t="str">
        <f t="shared" si="47"/>
        <v/>
      </c>
      <c r="DN16" s="43" t="str">
        <f t="shared" si="48"/>
        <v/>
      </c>
      <c r="DO16" s="1131" t="str">
        <f>IF($G16="","",ADRYr3!AQ16)</f>
        <v/>
      </c>
      <c r="DP16" s="1133" t="str">
        <f>IF($G16="","",ADRYr3!AR16)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49"/>
        <v/>
      </c>
      <c r="DU16" s="1135" t="str">
        <f>IF($G16="","",ADRYr3!AS16)</f>
        <v/>
      </c>
      <c r="DV16" s="1136" t="str">
        <f>IF($G16="","",ADRYr3!AT16)</f>
        <v/>
      </c>
      <c r="DW16" s="1344" t="str">
        <f>IF($G16="","",INDEX(AvoidedEnergy!$H$4:$H$10,MATCH($DO16,AvoidedEnergy!$A$4:$A$10,0)))</f>
        <v/>
      </c>
    </row>
    <row r="17" spans="1:127">
      <c r="A17" s="160" t="str">
        <f>IF(ADRYr3!$B17=0,"",ADRYr3!A17)</f>
        <v>B - Low-Income</v>
      </c>
      <c r="B17" s="9" t="str">
        <f>IF(ADRYr3!$B17=0,"",ADRYr3!B17)</f>
        <v>Home Energy Assistance</v>
      </c>
      <c r="C17" s="9" t="str">
        <f>IF(ADRYr3!$B17=0,"",ADRYr3!C17)</f>
        <v>Res Demand Response</v>
      </c>
      <c r="D17" s="9" t="str">
        <f>IF(ADRYr3!$B17=0,"",ADRYr3!D17)</f>
        <v>Direct Load Control Targeted Dispatch Upfront/Annual Incentive Summer</v>
      </c>
      <c r="E17" s="9">
        <f>IF(ADRYr3!$B17=0,"",ADRYr3!E17)</f>
        <v>0</v>
      </c>
      <c r="F17" s="11" t="str">
        <f>IF(ADRYr3!$B17=0,"",ADRYr3!F17)</f>
        <v>Behavior</v>
      </c>
      <c r="G17" s="12" t="str">
        <f>IF(ADRYr3!$G17&lt;&gt;0,ADRYr3!G17,"")</f>
        <v/>
      </c>
      <c r="H17" s="1125" t="str">
        <f>IF($G17="","",ROUND(ADRYr3!H17,0))</f>
        <v/>
      </c>
      <c r="I17" s="47" t="str">
        <f>IF($G17="","",ADRYr3!I17*ADRYr3!P17*G17)</f>
        <v/>
      </c>
      <c r="J17" s="47" t="str">
        <f>IF($G17="","",ADRYr3!J17*G17)</f>
        <v/>
      </c>
      <c r="K17" s="47" t="str">
        <f t="shared" si="12"/>
        <v/>
      </c>
      <c r="L17" s="27" t="str">
        <f>IF($G17="","",ADRYr3!V17*G17/1000)</f>
        <v/>
      </c>
      <c r="M17" s="27" t="str">
        <f>IF($G17="","",L17*ADRYr3!$Q17*ADRYr3!$R17)</f>
        <v/>
      </c>
      <c r="N17" s="27" t="str">
        <f t="shared" si="13"/>
        <v/>
      </c>
      <c r="O17" s="27" t="str">
        <f t="shared" si="14"/>
        <v/>
      </c>
      <c r="P17" s="27" t="str">
        <f>IF($G17="","",M17*ADRYr3!P17)</f>
        <v/>
      </c>
      <c r="Q17" s="27" t="str">
        <f t="shared" si="15"/>
        <v/>
      </c>
      <c r="R17" s="27" t="str">
        <f>IF($G17="","",$Q17*ADRYr3!Z17)</f>
        <v/>
      </c>
      <c r="S17" s="27" t="str">
        <f>IF($G17="","",$Q17*ADRYr3!AA17)</f>
        <v/>
      </c>
      <c r="T17" s="27" t="str">
        <f>IF($G17="","",$Q17*ADRYr3!AB17)</f>
        <v/>
      </c>
      <c r="U17" s="27" t="str">
        <f>IF($G17="","",$Q17*ADRYr3!AC17)</f>
        <v/>
      </c>
      <c r="V17" s="27" t="str">
        <f>IF($G17="","",G17*ADRYr3!$AD17*ADRYr3!$P17*ADRYr3!$Q17)</f>
        <v/>
      </c>
      <c r="W17" s="27" t="str">
        <f>IF($G17="","",$G17*ADRYr3!$AD17*ADRYr3!$AF17*ADRYr3!Q17*ADRYr3!$S17)</f>
        <v/>
      </c>
      <c r="X17" s="27" t="str">
        <f>IF($G17="","",$G17*ADRYr3!$AD17*ADRYr3!$AF17*ADRYr3!P17*ADRYr3!Q17*ADRYr3!$S17)</f>
        <v/>
      </c>
      <c r="Y17" s="27" t="str">
        <f>IF($G17="","",$G17*ADRYr3!$AD17*ADRYr3!$AE17*ADRYr3!Q17*ADRYr3!$T17)</f>
        <v/>
      </c>
      <c r="Z17" s="27" t="str">
        <f>IF($G17="","",$G17*ADRYr3!$AD17*ADRYr3!$AE17*ADRYr3!P17*ADRYr3!Q17*ADRYr3!$T17)</f>
        <v/>
      </c>
      <c r="AA17" s="45" t="str">
        <f>IF($G17="","",$G17*ADRYr3!$Q17*ADRYr3!$U17*(IF(IFERROR(SEARCH("NG", ADRYr3!$AI17),0),ADRYr3!$AJ17,0)+IF(IFERROR(SEARCH("NG", ADRYr3!$AK17),0),ADRYr3!$AL17,0)+IF(IFERROR(SEARCH("NG", ADRYr3!$AM17),0),ADRYr3!$AN17,0)))</f>
        <v/>
      </c>
      <c r="AB17" s="45" t="str">
        <f t="shared" si="16"/>
        <v/>
      </c>
      <c r="AC17" s="45">
        <f>IF($G17="",0,AA17*ADRYr3!$P17)</f>
        <v>0</v>
      </c>
      <c r="AD17" s="45" t="str">
        <f t="shared" si="17"/>
        <v/>
      </c>
      <c r="AE17" s="45" t="str">
        <f>IF($G17="","",$G17*ADRYr3!$Q17*ADRYr3!$U17*(IF(IFERROR(SEARCH("Oil", ADRYr3!$AI17), 0),ADRYr3!$AJ17,0)+IF(IFERROR(SEARCH("Oil", ADRYr3!$AK17), 0),ADRYr3!$AL17,0)+IF(IFERROR(SEARCH("Oil", ADRYr3!$AM17), 0),ADRYr3!$AN17,0)))</f>
        <v/>
      </c>
      <c r="AF17" s="45" t="str">
        <f t="shared" si="18"/>
        <v/>
      </c>
      <c r="AG17" s="45">
        <f>IF($G17="",0,AE17*ADRYr3!$P17)</f>
        <v>0</v>
      </c>
      <c r="AH17" s="45" t="str">
        <f t="shared" si="19"/>
        <v/>
      </c>
      <c r="AI17" s="45" t="str">
        <f>IF($G17="","",$G17*ADRYr3!$Q17*ADRYr3!$U17*(IF(ADRYr3!$AI17=Lookups!$E$114,ADRYr3!$AJ17,IF(ADRYr3!$AK17=Lookups!$E$114,ADRYr3!$AL17,IF(ADRYr3!$AM17=Lookups!$E$114,ADRYr3!$AN17,0)))))</f>
        <v/>
      </c>
      <c r="AJ17" s="45" t="str">
        <f t="shared" si="20"/>
        <v/>
      </c>
      <c r="AK17" s="45">
        <f>IF($G17="",0,AI17*ADRYr3!$P17)</f>
        <v>0</v>
      </c>
      <c r="AL17" s="45" t="str">
        <f t="shared" si="21"/>
        <v/>
      </c>
      <c r="AM17" s="45" t="str">
        <f>IF($G17="","",$G17*ADRYr3!$Q17*ADRYr3!$U17*(IF(ADRYr3!$AI17=Lookups!$E$113,ADRYr3!$AJ17,IF(ADRYr3!$AK17=Lookups!$E$113,ADRYr3!$AL17,IF(ADRYr3!$AM17=Lookups!$E$113,ADRYr3!$AN17,0)))))</f>
        <v/>
      </c>
      <c r="AN17" s="45" t="str">
        <f t="shared" si="22"/>
        <v/>
      </c>
      <c r="AO17" s="45">
        <f>IF($G17="",0,AM17*ADRYr3!$P17)</f>
        <v>0</v>
      </c>
      <c r="AP17" s="45" t="str">
        <f t="shared" si="23"/>
        <v/>
      </c>
      <c r="AQ17" s="45" t="str">
        <f>IF($G17="","",$G17*ADRYr3!$Q17*ADRYr3!$U17*(IF(ADRYr3!$AI17=Lookups!$E$115,ADRYr3!$AJ17,IF(ADRYr3!$AK17=Lookups!$E$115,ADRYr3!$AL17,IF(ADRYr3!$AM17=Lookups!$E$115,ADRYr3!$AN17,0)))))</f>
        <v/>
      </c>
      <c r="AR17" s="45" t="str">
        <f t="shared" si="24"/>
        <v/>
      </c>
      <c r="AS17" s="45" t="str">
        <f>IF($G17="","",AQ17*ADRYr3!$P17)</f>
        <v/>
      </c>
      <c r="AT17" s="45" t="str">
        <f t="shared" si="25"/>
        <v/>
      </c>
      <c r="AU17" s="45" t="str">
        <f>IF($G17="","",$G17*ADRYr3!$Q17*ADRYr3!$U17*(IF(ADRYr3!$AI17=Lookups!$E$116,ADRYr3!$AJ17,IF(ADRYr3!$AK17=Lookups!$E$116,ADRYr3!$AL17,IF(ADRYr3!$AM17=Lookups!$E$116,ADRYr3!$AN17,0)))))</f>
        <v/>
      </c>
      <c r="AV17" s="45" t="str">
        <f t="shared" si="26"/>
        <v/>
      </c>
      <c r="AW17" s="45" t="str">
        <f>IF($G17="","",AU17*ADRYr3!$P17)</f>
        <v/>
      </c>
      <c r="AX17" s="45" t="str">
        <f t="shared" si="27"/>
        <v/>
      </c>
      <c r="AY17" s="45">
        <f t="shared" si="28"/>
        <v>0</v>
      </c>
      <c r="AZ17" s="45">
        <f t="shared" si="29"/>
        <v>0</v>
      </c>
      <c r="BA17" s="101" t="str">
        <f>IF($G17="","",$G17*ADRYr3!$P17*ADRYr3!$Q17*ADRYr3!$U17*ADRYr3!AO17)</f>
        <v/>
      </c>
      <c r="BB17" s="102" t="str">
        <f>IF($G17="","",$G17*ADRYr3!$P17*ADRYr3!$Q17*ADRYr3!$U17*ADRYr3!AP17)</f>
        <v/>
      </c>
      <c r="BC17" s="100" t="str">
        <f t="shared" si="30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31"/>
        <v/>
      </c>
      <c r="BO17" s="31" t="str">
        <f t="shared" si="32"/>
        <v/>
      </c>
      <c r="BP17" s="1129" t="str">
        <f t="shared" si="5"/>
        <v/>
      </c>
      <c r="BQ17" s="28" t="str">
        <f t="shared" si="6"/>
        <v/>
      </c>
      <c r="BR17" s="1129" t="str">
        <f t="shared" si="7"/>
        <v/>
      </c>
      <c r="BS17" s="1129" t="str">
        <f t="shared" si="8"/>
        <v/>
      </c>
      <c r="BT17" s="28" t="str">
        <f t="shared" si="9"/>
        <v/>
      </c>
      <c r="BU17" s="28" t="str">
        <f t="shared" si="9"/>
        <v/>
      </c>
      <c r="BV17" s="28" t="str">
        <f t="shared" si="9"/>
        <v/>
      </c>
      <c r="BW17" s="29" t="str">
        <f t="shared" si="33"/>
        <v/>
      </c>
      <c r="BX17" s="29" t="str">
        <f t="shared" si="34"/>
        <v/>
      </c>
      <c r="BY17" s="28" t="str">
        <f>IF($G17="","",$G17*(IF(ADRYr3!$AI17=BY$4,ADRYr3!$AJ17,IF(ADRYr3!$AK17=BY$4,ADRYr3!$AL17,IF(ADRYr3!$AM17=BY$4,ADRYr3!$AN17,0))))*(INDEX(avoidedcosttbl3,$H17,BY$2)+(($H17-ROUNDDOWN($H17,0))*(INDEX(avoidedcosttbl3,ROUNDUP($H17,0),BY$2)-(INDEX(avoidedcosttbl3,ROUNDDOWN($H17,0),BY$2)))))*ADRYr3!P17*ADRYr3!Q17*ADRYr3!U17)</f>
        <v/>
      </c>
      <c r="BZ17" s="28" t="str">
        <f>IF($G17="","",$G17*(IF(ADRYr3!$AI17=BZ$4,ADRYr3!$AJ17,IF(ADRYr3!$AK17=BZ$4,ADRYr3!$AL17,IF(ADRYr3!$AM17=BZ$4,ADRYr3!$AN17,0))))*(INDEX(avoidedcosttbl3,$H17,BZ$2)+(($H17-ROUNDDOWN($H17,0))*(INDEX(avoidedcosttbl3,ROUNDUP($H17,0),BZ$2)-(INDEX(avoidedcosttbl3,ROUNDDOWN($H17,0),BZ$2)))))*ADRYr3!P17*ADRYr3!Q17*ADRYr3!U17)</f>
        <v/>
      </c>
      <c r="CA17" s="28" t="str">
        <f>IF($G17="","",$G17*(IF(ADRYr3!$AI17=CA$4,ADRYr3!$AJ17,IF(ADRYr3!$AK17=CA$4,ADRYr3!$AL17,IF(ADRYr3!$AM17=CA$4,ADRYr3!$AN17,0))))*(INDEX(avoidedcosttbl3,$H17,CA$2)+(($H17-ROUNDDOWN($H17,0))*(INDEX(avoidedcosttbl3,ROUNDUP($H17,0),CA$2)-(INDEX(avoidedcosttbl3,ROUNDDOWN($H17,0),CA$2)))))*ADRYr3!P17*ADRYr3!Q17*ADRYr3!U17)</f>
        <v/>
      </c>
      <c r="CB17" s="28" t="str">
        <f>IF($G17="","",$G17*(IF(ADRYr3!$AI17=CB$4,ADRYr3!$AJ17,IF(ADRYr3!$AK17=CB$4,ADRYr3!$AL17,IF(ADRYr3!$AM17=CB$4,ADRYr3!$AN17,0))))*(INDEX(avoidedcosttbl3,$H17,CB$2)+(($H17-ROUNDDOWN($H17,0))*(INDEX(avoidedcosttbl3,ROUNDUP($H17,0),CB$2)-(INDEX(avoidedcosttbl3,ROUNDDOWN($H17,0),CB$2)))))*ADRYr3!P17*ADRYr3!Q17*ADRYr3!U17)</f>
        <v/>
      </c>
      <c r="CC17" s="28" t="str">
        <f>IF($G17="","",$G17*(IF(ADRYr3!$AI17=CC$4,ADRYr3!$AJ17,IF(ADRYr3!$AK17=CC$4,ADRYr3!$AL17,IF(ADRYr3!$AM17=CC$4,ADRYr3!$AN17,0))))*(INDEX(avoidedcosttbl3,$H17,CC$2)+(($H17-ROUNDDOWN($H17,0))*(INDEX(avoidedcosttbl3,ROUNDUP($H17,0),CC$2)-(INDEX(avoidedcosttbl3,ROUNDDOWN($H17,0),CC$2)))))*ADRYr3!P17*ADRYr3!Q17*ADRYr3!U17)</f>
        <v/>
      </c>
      <c r="CD17" s="28" t="str">
        <f>IF($G17="","",$G17*(IF(ADRYr3!$AI17=CD$4,ADRYr3!$AJ17,IF(ADRYr3!$AK17=CD$4,ADRYr3!$AL17,IF(ADRYr3!$AM17=CD$4,ADRYr3!$AN17,0))))*(INDEX(avoidedcosttbl3,$H17,CD$2)+(($H17-ROUNDDOWN($H17,0))*(INDEX(avoidedcosttbl3,ROUNDUP($H17,0),CD$2)-(INDEX(avoidedcosttbl3,ROUNDDOWN($H17,0),CD$2)))))*ADRYr3!P17*ADRYr3!Q17*ADRYr3!U17)</f>
        <v/>
      </c>
      <c r="CE17" s="28" t="str">
        <f>IF($G17="","",$G17*(IF(ADRYr3!$AI17=CE$4,ADRYr3!$AJ17,IF(ADRYr3!$AK17=CE$4,ADRYr3!$AL17,IF(ADRYr3!$AM17=CE$4,ADRYr3!$AN17,0))))*(INDEX(avoidedcosttbl3,$H17,CE$2)+(($H17-ROUNDDOWN($H17,0))*(INDEX(avoidedcosttbl3,ROUNDUP($H17,0),CE$2)-(INDEX(avoidedcosttbl3,ROUNDDOWN($H17,0),CE$2)))))*ADRYr3!P17*ADRYr3!Q17*ADRYr3!U17)</f>
        <v/>
      </c>
      <c r="CF17" s="41" t="str">
        <f t="shared" si="35"/>
        <v/>
      </c>
      <c r="CG17" s="30" t="str">
        <f t="shared" si="10"/>
        <v/>
      </c>
      <c r="CH17" s="30" t="str">
        <f>IF($G17="","",$G17*(IF(ADRYr3!$AI17=BY$4,ADRYr3!$AJ17,IF(ADRYr3!$AK17=BY$4,ADRYr3!$AL17,IF(ADRYr3!$AM17=BY$4,ADRYr3!$AN17,0))))*(INDEX(avoidedcosttbl3,$H17,CH$2)+(($H17-ROUNDDOWN($H17,0))*(INDEX(avoidedcosttbl3,ROUNDUP($H17,0),CH$2)-(INDEX(avoidedcosttbl3,ROUNDDOWN($H17,0),CH$2)))))*ADRYr3!P17*ADRYr3!Q17*ADRYr3!U17)</f>
        <v/>
      </c>
      <c r="CI17" s="30" t="str">
        <f>IF($G17="","",$G17*(IF(ADRYr3!$AI17=BZ$4,ADRYr3!$AJ17,IF(ADRYr3!$AK17=BZ$4,ADRYr3!$AL17,IF(ADRYr3!$AM17=BZ$4,ADRYr3!$AN17,0))))*(INDEX(avoidedcosttbl3,$H17,CI$2)+(($H17-ROUNDDOWN($H17,0))*(INDEX(avoidedcosttbl3,ROUNDUP($H17,0),CI$2)-(INDEX(avoidedcosttbl3,ROUNDDOWN($H17,0),CI$2)))))*ADRYr3!P17*ADRYr3!Q17*ADRYr3!U17)</f>
        <v/>
      </c>
      <c r="CJ17" s="30" t="str">
        <f>IF($G17="","",$G17*(IF(ADRYr3!$AI17=CA$4,ADRYr3!$AJ17,IF(ADRYr3!$AK17=CA$4,ADRYr3!$AL17,IF(ADRYr3!$AM17=CA$4,ADRYr3!$AN17,0))))*(INDEX(avoidedcosttbl3,$H17,CJ$2)+(($H17-ROUNDDOWN($H17,0))*(INDEX(avoidedcosttbl3,ROUNDUP($H17,0),CJ$2)-(INDEX(avoidedcosttbl3,ROUNDDOWN($H17,0),CJ$2)))))*ADRYr3!P17*ADRYr3!Q17*ADRYr3!U17)</f>
        <v/>
      </c>
      <c r="CK17" s="30" t="str">
        <f>IF($G17="","",$G17*(IF(ADRYr3!$AI17=CB$4,ADRYr3!$AJ17,IF(ADRYr3!$AK17=CB$4,ADRYr3!$AL17,IF(ADRYr3!$AM17=CB$4,ADRYr3!$AN17,0))))*(INDEX(avoidedcosttbl3,$H17,CK$2)+(($H17-ROUNDDOWN($H17,0))*(INDEX(avoidedcosttbl3,ROUNDUP($H17,0),CK$2)-(INDEX(avoidedcosttbl3,ROUNDDOWN($H17,0),CK$2)))))*ADRYr3!P17*ADRYr3!Q17*ADRYr3!U17)</f>
        <v/>
      </c>
      <c r="CL17" s="30" t="str">
        <f>IF($G17="","",$G17*(IF(ADRYr3!$AI17=CC$4,ADRYr3!$AJ17,IF(ADRYr3!$AK17=CC$4,ADRYr3!$AL17,IF(ADRYr3!$AM17=CC$4,ADRYr3!$AN17,0))))*(INDEX(avoidedcosttbl3,$H17,CL$2)+(($H17-ROUNDDOWN($H17,0))*(INDEX(avoidedcosttbl3,ROUNDUP($H17,0),CL$2)-(INDEX(avoidedcosttbl3,ROUNDDOWN($H17,0),CL$2)))))*ADRYr3!P17*ADRYr3!Q17*ADRYr3!U17)</f>
        <v/>
      </c>
      <c r="CM17" s="30" t="str">
        <f>IF($G17="","",$G17*(IF(ADRYr3!$AI17=CD$4,ADRYr3!$AJ17,IF(ADRYr3!$AK17=CD$4,ADRYr3!$AL17,IF(ADRYr3!$AM17=CD$4,ADRYr3!$AN17,0))))*(INDEX(avoidedcosttbl3,$H17,CM$2)+(($H17-ROUNDDOWN($H17,0))*(INDEX(avoidedcosttbl3,ROUNDUP($H17,0),CM$2)-(INDEX(avoidedcosttbl3,ROUNDDOWN($H17,0),CM$2)))))*ADRYr3!P17*ADRYr3!Q17*ADRYr3!U17)</f>
        <v/>
      </c>
      <c r="CN17" s="30" t="str">
        <f>IF($G17="","",$G17*(IF(ADRYr3!$AI17=CE$4,ADRYr3!$AJ17,IF(ADRYr3!$AK17=CE$4,ADRYr3!$AL17,IF(ADRYr3!$AM17=CE$4,ADRYr3!$AN17,0))))*(INDEX(avoidedcosttbl3,$H17,CN$2)+(($H17-ROUNDDOWN($H17,0))*(INDEX(avoidedcosttbl3,ROUNDUP($H17,0),CN$2)-(INDEX(avoidedcosttbl3,ROUNDDOWN($H17,0),CN$2)))))*ADRYr3!P17*ADRYr3!Q17*ADRYr3!U17)</f>
        <v/>
      </c>
      <c r="CO17" s="220" t="str">
        <f t="shared" si="36"/>
        <v/>
      </c>
      <c r="CP17" s="220" t="str">
        <f t="shared" si="37"/>
        <v/>
      </c>
      <c r="CQ17" s="157" t="str">
        <f>IF($G17="","",$G17*(IF(ADRYr3!$AI17=CQ$4,ADRYr3!$AJ17,IF(ADRYr3!$AK17=CQ$4,ADRYr3!$AL17,IF(ADRYr3!$AM17=CQ$4,ADRYr3!$AN17,0))))*(INDEX(avoidedcosttbl3,$H17,CQ$2)+(($H17-ROUNDDOWN($H17,0))*(INDEX(avoidedcosttbl3,ROUNDUP($H17,0),CQ$2)-(INDEX(avoidedcosttbl3,ROUNDDOWN($H17,0),CQ$2)))))*ADRYr3!$P17*ADRYr3!$Q17*ADRYr3!$U17)</f>
        <v/>
      </c>
      <c r="CR17" s="28" t="str">
        <f>IF($G17="","",G17*(IF(ADRYr3!$AI17=CR$4,ADRYr3!$AJ17,IF(ADRYr3!$AK17=CR$4,ADRYr3!$AL17,IF(ADRYr3!$AM17=CR$4,ADRYr3!$AN17,0))))*(INDEX(avoidedcosttbl3,$H17,CR$2)+(($H17-ROUNDDOWN($H17,0))*(INDEX(avoidedcosttbl3,ROUNDUP($H17,0),CR$2)-(INDEX(avoidedcosttbl3,ROUNDDOWN($H17,0),CR$2)))))*ADRYr3!$P17*ADRYr3!$Q17*ADRYr3!$U17)</f>
        <v/>
      </c>
      <c r="CS17" s="28" t="str">
        <f>IF($G17="","",G17*(IF(ADRYr3!$AI17=CS$4,ADRYr3!$AJ17,IF(ADRYr3!$AK17=CS$4,ADRYr3!$AL17,IF(ADRYr3!$AM17=CS$4,ADRYr3!$AN17,0))))*(INDEX(avoidedcosttbl3,$H17,CS$2)+(($H17-ROUNDDOWN($H17,0))*(INDEX(avoidedcosttbl3,ROUNDUP($H17,0),CS$2)-(INDEX(avoidedcosttbl3,ROUNDDOWN($H17,0),CS$2)))))*ADRYr3!$P17*ADRYr3!$Q17*ADRYr3!$U17)</f>
        <v/>
      </c>
      <c r="CT17" s="28" t="str">
        <f t="shared" si="11"/>
        <v/>
      </c>
      <c r="CU17" s="28" t="str">
        <f>IF($G17="","",G17*(IF(ADRYr3!$AI17=CU$4,ADRYr3!$AJ17,IF(ADRYr3!$AK17=CU$4,ADRYr3!$AL17,IF(ADRYr3!$AM17=CU$4,ADRYr3!$AN17,0))))*(INDEX(avoidedcosttbl3,$H17,CU$2)+(($H17-ROUNDDOWN($H17,0))*(INDEX(avoidedcosttbl3,ROUNDUP($H17,0),CU$2)-(INDEX(avoidedcosttbl3,ROUNDDOWN($H17,0),CU$2)))))*ADRYr3!$P17*ADRYr3!$Q17*ADRYr3!$U17)</f>
        <v/>
      </c>
      <c r="CV17" s="28" t="str">
        <f>IF($G17="","",G17*(IF(ADRYr3!$AI17=CV$4,ADRYr3!$AJ17,IF(ADRYr3!$AK17=CV$4,ADRYr3!$AL17,IF(ADRYr3!$AM17=CV$4,ADRYr3!$AN17,0))))*(INDEX(avoidedcosttbl3,$H17,CV$2)+(($H17-ROUNDDOWN($H17,0))*(INDEX(avoidedcosttbl3,ROUNDUP($H17,0),CV$2)-(INDEX(avoidedcosttbl3,ROUNDDOWN($H17,0),CV$2)))))*ADRYr3!$P17*ADRYr3!$Q17*ADRYr3!$U17)</f>
        <v/>
      </c>
      <c r="CW17" s="28" t="str">
        <f>IF($G17="","",G17*(IF(ADRYr3!$AI17=CW$4,ADRYr3!$AJ17,IF(ADRYr3!$AK17=CW$4,ADRYr3!$AL17,IF(ADRYr3!$AM17=CW$4,ADRYr3!$AN17,0))))*(INDEX(avoidedcosttbl3,$H17,CW$2)+(($H17-ROUNDDOWN($H17,0))*(INDEX(avoidedcosttbl3,ROUNDUP($H17,0),CW$2)-(INDEX(avoidedcosttbl3,ROUNDDOWN($H17,0),CW$2)))))*ADRYr3!$P17*ADRYr3!$Q17*ADRYr3!$U17)</f>
        <v/>
      </c>
      <c r="CX17" s="28" t="str">
        <f>IF($G17="","",G17*(IF(ADRYr3!$AI17=CX$4,ADRYr3!$AJ17,IF(ADRYr3!$AK17=CX$4,ADRYr3!$AL17,IF(ADRYr3!$AM17=CX$4,ADRYr3!$AN17,0))))*(INDEX(avoidedcosttbl3,$H17,CX$2)+(($H17-ROUNDDOWN($H17,0))*(INDEX(avoidedcosttbl3,ROUNDUP($H17,0),CX$2)-(INDEX(avoidedcosttbl3,ROUNDDOWN($H17,0),CX$2)))))*ADRYr3!$P17*ADRYr3!$Q17*ADRYr3!$U17)</f>
        <v/>
      </c>
      <c r="CY17" s="28" t="str">
        <f t="shared" si="38"/>
        <v/>
      </c>
      <c r="CZ17" s="32" t="str">
        <f t="shared" si="39"/>
        <v/>
      </c>
      <c r="DA17" s="84" t="str">
        <f t="shared" si="40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41"/>
        <v/>
      </c>
      <c r="DD17" s="166" t="str">
        <f t="shared" si="42"/>
        <v/>
      </c>
      <c r="DE17" s="82">
        <f t="shared" si="43"/>
        <v>0</v>
      </c>
      <c r="DF17" s="760" t="str">
        <f>IF($G17="","",(1+WntPeakEnergyLL)*(INDEX(avoidedcosttbl3,$H17,DF$2)+(($H17-ROUNDDOWN($H17,0))*(INDEX(avoidedcosttbl3,ROUNDUP($H17,0),DF$2)-(INDEX(avoidedcosttbl3,ROUNDDOWN($H17,0),DF$2)))))*$P17*1000*ADRYr3!Z17)</f>
        <v/>
      </c>
      <c r="DG17" s="760" t="str">
        <f>IF($G17="","",(1+WntOffPeakEnergyLL)*(INDEX(avoidedcosttbl3,$H17,DG$2)+(($H17-ROUNDDOWN($H17,0))*(INDEX(avoidedcosttbl3,ROUNDUP($H17,0),DG$2)-(INDEX(avoidedcosttbl3,ROUNDDOWN($H17,0),DG$2)))))*$P17*1000*ADRYr3!AA17)</f>
        <v/>
      </c>
      <c r="DH17" s="760" t="str">
        <f>IF($G17="","",(1+SumPeakEnergyLL)*(INDEX(avoidedcosttbl3,$H17,DH$2)+(($H17-ROUNDDOWN($H17,0))*(INDEX(avoidedcosttbl3,ROUNDUP($H17,0),DH$2)-(INDEX(avoidedcosttbl3,ROUNDDOWN($H17,0),DH$2)))))*$P17*1000*ADRYr3!AB17)</f>
        <v/>
      </c>
      <c r="DI17" s="760" t="str">
        <f>IF($G17="","",(1+SumOffPeakEnergyLL)*(INDEX(avoidedcosttbl3,$H17,DI$2)+(($H17-ROUNDDOWN($H17,0))*(INDEX(avoidedcosttbl3,ROUNDUP($H17,0),DI$2)-(INDEX(avoidedcosttbl3,ROUNDDOWN($H17,0),DI$2)))))*$P17*1000*ADRYr3!AC17)</f>
        <v/>
      </c>
      <c r="DJ17" s="29" t="str">
        <f t="shared" si="44"/>
        <v/>
      </c>
      <c r="DK17" s="161" t="str">
        <f t="shared" si="45"/>
        <v/>
      </c>
      <c r="DL17" s="1375" t="str">
        <f t="shared" si="46"/>
        <v/>
      </c>
      <c r="DM17" s="1375" t="str">
        <f t="shared" si="47"/>
        <v/>
      </c>
      <c r="DN17" s="43" t="str">
        <f t="shared" si="48"/>
        <v/>
      </c>
      <c r="DO17" s="1131" t="str">
        <f>IF($G17="","",ADRYr3!AQ17)</f>
        <v/>
      </c>
      <c r="DP17" s="1133" t="str">
        <f>IF($G17="","",ADRYr3!AR17)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49"/>
        <v/>
      </c>
      <c r="DU17" s="1135" t="str">
        <f>IF($G17="","",ADRYr3!AS17)</f>
        <v/>
      </c>
      <c r="DV17" s="1136" t="str">
        <f>IF($G17="","",ADRYr3!AT17)</f>
        <v/>
      </c>
      <c r="DW17" s="1344" t="str">
        <f>IF($G17="","",INDEX(AvoidedEnergy!$H$4:$H$10,MATCH($DO17,AvoidedEnergy!$A$4:$A$10,0)))</f>
        <v/>
      </c>
    </row>
    <row r="18" spans="1:127">
      <c r="A18" s="160" t="str">
        <f>IF(ADRYr3!$B18=0,"",ADRYr3!A18)</f>
        <v>B - Low-Income</v>
      </c>
      <c r="B18" s="9" t="str">
        <f>IF(ADRYr3!$B18=0,"",ADRYr3!B18)</f>
        <v>Home Energy Assistance</v>
      </c>
      <c r="C18" s="9" t="str">
        <f>IF(ADRYr3!$B18=0,"",ADRYr3!C18)</f>
        <v>Res Demand Response</v>
      </c>
      <c r="D18" s="9" t="str">
        <f>IF(ADRYr3!$B18=0,"",ADRYr3!D18)</f>
        <v>Behavior DR</v>
      </c>
      <c r="E18" s="9">
        <f>IF(ADRYr3!$B18=0,"",ADRYr3!E18)</f>
        <v>0</v>
      </c>
      <c r="F18" s="11" t="str">
        <f>IF(ADRYr3!$B18=0,"",ADRYr3!F18)</f>
        <v>Behavior</v>
      </c>
      <c r="G18" s="12" t="str">
        <f>IF(ADRYr3!$G18&lt;&gt;0,ADRYr3!G18,"")</f>
        <v/>
      </c>
      <c r="H18" s="1125" t="str">
        <f>IF($G18="","",ROUND(ADRYr3!H18,0))</f>
        <v/>
      </c>
      <c r="I18" s="47" t="str">
        <f>IF($G18="","",ADRYr3!I18*ADRYr3!P18*G18)</f>
        <v/>
      </c>
      <c r="J18" s="47" t="str">
        <f>IF($G18="","",ADRYr3!J18*G18)</f>
        <v/>
      </c>
      <c r="K18" s="47" t="str">
        <f t="shared" ref="K18:K50" si="50">IF($G18="","",I18-J18)</f>
        <v/>
      </c>
      <c r="L18" s="27" t="str">
        <f>IF($G18="","",ADRYr3!V18*G18/1000)</f>
        <v/>
      </c>
      <c r="M18" s="27" t="str">
        <f>IF($G18="","",L18*ADRYr3!$Q18*ADRYr3!$R18)</f>
        <v/>
      </c>
      <c r="N18" s="27" t="str">
        <f t="shared" ref="N18:N50" si="51">IFERROR(L18*H18,"")</f>
        <v/>
      </c>
      <c r="O18" s="27" t="str">
        <f t="shared" ref="O18:O50" si="52">IF($G18="","",M18*$H18)</f>
        <v/>
      </c>
      <c r="P18" s="27" t="str">
        <f>IF($G18="","",M18*ADRYr3!P18)</f>
        <v/>
      </c>
      <c r="Q18" s="27" t="str">
        <f t="shared" ref="Q18:Q50" si="53">IF($G18="","",P18*$H18)</f>
        <v/>
      </c>
      <c r="R18" s="27" t="str">
        <f>IF($G18="","",$Q18*ADRYr3!Z18)</f>
        <v/>
      </c>
      <c r="S18" s="27" t="str">
        <f>IF($G18="","",$Q18*ADRYr3!AA18)</f>
        <v/>
      </c>
      <c r="T18" s="27" t="str">
        <f>IF($G18="","",$Q18*ADRYr3!AB18)</f>
        <v/>
      </c>
      <c r="U18" s="27" t="str">
        <f>IF($G18="","",$Q18*ADRYr3!AC18)</f>
        <v/>
      </c>
      <c r="V18" s="27" t="str">
        <f>IF($G18="","",G18*ADRYr3!$AD18*ADRYr3!$P18*ADRYr3!$Q18)</f>
        <v/>
      </c>
      <c r="W18" s="27" t="str">
        <f>IF($G18="","",$G18*ADRYr3!$AD18*ADRYr3!$AF18*ADRYr3!Q18*ADRYr3!$S18)</f>
        <v/>
      </c>
      <c r="X18" s="27" t="str">
        <f>IF($G18="","",$G18*ADRYr3!$AD18*ADRYr3!$AF18*ADRYr3!P18*ADRYr3!Q18*ADRYr3!$S18)</f>
        <v/>
      </c>
      <c r="Y18" s="27" t="str">
        <f>IF($G18="","",$G18*ADRYr3!$AD18*ADRYr3!$AE18*ADRYr3!Q18*ADRYr3!$T18)</f>
        <v/>
      </c>
      <c r="Z18" s="27" t="str">
        <f>IF($G18="","",$G18*ADRYr3!$AD18*ADRYr3!$AE18*ADRYr3!P18*ADRYr3!Q18*ADRYr3!$T18)</f>
        <v/>
      </c>
      <c r="AA18" s="45" t="str">
        <f>IF($G18="","",$G18*ADRYr3!$Q18*ADRYr3!$U18*(IF(IFERROR(SEARCH("NG", ADRYr3!$AI18),0),ADRYr3!$AJ18,0)+IF(IFERROR(SEARCH("NG", ADRYr3!$AK18),0),ADRYr3!$AL18,0)+IF(IFERROR(SEARCH("NG", ADRYr3!$AM18),0),ADRYr3!$AN18,0)))</f>
        <v/>
      </c>
      <c r="AB18" s="45" t="str">
        <f t="shared" ref="AB18:AB50" si="54">IF($G18="","",AA18*$H18)</f>
        <v/>
      </c>
      <c r="AC18" s="45">
        <f>IF($G18="",0,AA18*ADRYr3!$P18)</f>
        <v>0</v>
      </c>
      <c r="AD18" s="45" t="str">
        <f t="shared" ref="AD18:AD50" si="55">IF($G18="","",AC18*$H18)</f>
        <v/>
      </c>
      <c r="AE18" s="45" t="str">
        <f>IF($G18="","",$G18*ADRYr3!$Q18*ADRYr3!$U18*(IF(IFERROR(SEARCH("Oil", ADRYr3!$AI18), 0),ADRYr3!$AJ18,0)+IF(IFERROR(SEARCH("Oil", ADRYr3!$AK18), 0),ADRYr3!$AL18,0)+IF(IFERROR(SEARCH("Oil", ADRYr3!$AM18), 0),ADRYr3!$AN18,0)))</f>
        <v/>
      </c>
      <c r="AF18" s="45" t="str">
        <f t="shared" ref="AF18:AF50" si="56">IF($G18="","",AE18*$H18)</f>
        <v/>
      </c>
      <c r="AG18" s="45">
        <f>IF($G18="",0,AE18*ADRYr3!$P18)</f>
        <v>0</v>
      </c>
      <c r="AH18" s="45" t="str">
        <f t="shared" ref="AH18:AH50" si="57">IF($G18="","",AG18*$H18)</f>
        <v/>
      </c>
      <c r="AI18" s="45" t="str">
        <f>IF($G18="","",$G18*ADRYr3!$Q18*ADRYr3!$U18*(IF(ADRYr3!$AI18=Lookups!$E$114,ADRYr3!$AJ18,IF(ADRYr3!$AK18=Lookups!$E$114,ADRYr3!$AL18,IF(ADRYr3!$AM18=Lookups!$E$114,ADRYr3!$AN18,0)))))</f>
        <v/>
      </c>
      <c r="AJ18" s="45" t="str">
        <f t="shared" ref="AJ18:AJ50" si="58">IF($G18="","",AI18*$H18)</f>
        <v/>
      </c>
      <c r="AK18" s="45">
        <f>IF($G18="",0,AI18*ADRYr3!$P18)</f>
        <v>0</v>
      </c>
      <c r="AL18" s="45" t="str">
        <f t="shared" ref="AL18:AL50" si="59">IF($G18="","",AK18*$H18)</f>
        <v/>
      </c>
      <c r="AM18" s="45" t="str">
        <f>IF($G18="","",$G18*ADRYr3!$Q18*ADRYr3!$U18*(IF(ADRYr3!$AI18=Lookups!$E$113,ADRYr3!$AJ18,IF(ADRYr3!$AK18=Lookups!$E$113,ADRYr3!$AL18,IF(ADRYr3!$AM18=Lookups!$E$113,ADRYr3!$AN18,0)))))</f>
        <v/>
      </c>
      <c r="AN18" s="45" t="str">
        <f t="shared" ref="AN18:AN50" si="60">IF($G18="","",AM18*$H18)</f>
        <v/>
      </c>
      <c r="AO18" s="45">
        <f>IF($G18="",0,AM18*ADRYr3!$P18)</f>
        <v>0</v>
      </c>
      <c r="AP18" s="45" t="str">
        <f t="shared" ref="AP18:AP50" si="61">IF($G18="","",AO18*$H18)</f>
        <v/>
      </c>
      <c r="AQ18" s="45" t="str">
        <f>IF($G18="","",$G18*ADRYr3!$Q18*ADRYr3!$U18*(IF(ADRYr3!$AI18=Lookups!$E$115,ADRYr3!$AJ18,IF(ADRYr3!$AK18=Lookups!$E$115,ADRYr3!$AL18,IF(ADRYr3!$AM18=Lookups!$E$115,ADRYr3!$AN18,0)))))</f>
        <v/>
      </c>
      <c r="AR18" s="45" t="str">
        <f t="shared" ref="AR18:AR50" si="62">IF($G18="","",AQ18*$H18)</f>
        <v/>
      </c>
      <c r="AS18" s="45" t="str">
        <f>IF($G18="","",AQ18*ADRYr3!$P18)</f>
        <v/>
      </c>
      <c r="AT18" s="45" t="str">
        <f t="shared" ref="AT18:AT50" si="63">IF($G18="","",AS18*$H18)</f>
        <v/>
      </c>
      <c r="AU18" s="45" t="str">
        <f>IF($G18="","",$G18*ADRYr3!$Q18*ADRYr3!$U18*(IF(ADRYr3!$AI18=Lookups!$E$116,ADRYr3!$AJ18,IF(ADRYr3!$AK18=Lookups!$E$116,ADRYr3!$AL18,IF(ADRYr3!$AM18=Lookups!$E$116,ADRYr3!$AN18,0)))))</f>
        <v/>
      </c>
      <c r="AV18" s="45" t="str">
        <f t="shared" ref="AV18:AV50" si="64">IF($G18="","",AU18*$H18)</f>
        <v/>
      </c>
      <c r="AW18" s="45" t="str">
        <f>IF($G18="","",AU18*ADRYr3!$P18)</f>
        <v/>
      </c>
      <c r="AX18" s="45" t="str">
        <f t="shared" ref="AX18:AX50" si="65">IF($G18="","",AW18*$H18)</f>
        <v/>
      </c>
      <c r="AY18" s="45">
        <f t="shared" ref="AY18:AY50" si="66">SUM(AC18,AG18,AK18,AO18,AS18,AW18)</f>
        <v>0</v>
      </c>
      <c r="AZ18" s="45">
        <f t="shared" ref="AZ18:AZ50" si="67">SUM(AD18,AH18,AL18,AP18,AT18,AX18)</f>
        <v>0</v>
      </c>
      <c r="BA18" s="101" t="str">
        <f>IF($G18="","",$G18*ADRYr3!$P18*ADRYr3!$Q18*ADRYr3!$U18*ADRYr3!AO18)</f>
        <v/>
      </c>
      <c r="BB18" s="102" t="str">
        <f>IF($G18="","",$G18*ADRYr3!$P18*ADRYr3!$Q18*ADRYr3!$U18*ADRYr3!AP18)</f>
        <v/>
      </c>
      <c r="BC18" s="100" t="str">
        <f t="shared" ref="BC18:BC50" si="68">IF($G18="","",SUM(BA18:BB18)*$H18)</f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31"/>
        <v/>
      </c>
      <c r="BO18" s="31" t="str">
        <f t="shared" ref="BO18:BO50" si="69">IF($G18="","",SUM(BH18,BN18))</f>
        <v/>
      </c>
      <c r="BP18" s="1129" t="str">
        <f t="shared" si="5"/>
        <v/>
      </c>
      <c r="BQ18" s="28" t="str">
        <f t="shared" si="6"/>
        <v/>
      </c>
      <c r="BR18" s="1129" t="str">
        <f t="shared" si="7"/>
        <v/>
      </c>
      <c r="BS18" s="1129" t="str">
        <f t="shared" si="8"/>
        <v/>
      </c>
      <c r="BT18" s="28" t="str">
        <f t="shared" si="9"/>
        <v/>
      </c>
      <c r="BU18" s="28" t="str">
        <f t="shared" si="9"/>
        <v/>
      </c>
      <c r="BV18" s="28" t="str">
        <f t="shared" si="9"/>
        <v/>
      </c>
      <c r="BW18" s="29" t="str">
        <f t="shared" ref="BW18:BW50" si="70">IF($G18="","",SUM(BP18:BV18))</f>
        <v/>
      </c>
      <c r="BX18" s="29" t="str">
        <f t="shared" ref="BX18:BX50" si="71">IF($G18="","",BO18+BW18)</f>
        <v/>
      </c>
      <c r="BY18" s="28" t="str">
        <f>IF($G18="","",$G18*(IF(ADRYr3!$AI18=BY$4,ADRYr3!$AJ18,IF(ADRYr3!$AK18=BY$4,ADRYr3!$AL18,IF(ADRYr3!$AM18=BY$4,ADRYr3!$AN18,0))))*(INDEX(avoidedcosttbl3,$H18,BY$2)+(($H18-ROUNDDOWN($H18,0))*(INDEX(avoidedcosttbl3,ROUNDUP($H18,0),BY$2)-(INDEX(avoidedcosttbl3,ROUNDDOWN($H18,0),BY$2)))))*ADRYr3!P18*ADRYr3!Q18*ADRYr3!U18)</f>
        <v/>
      </c>
      <c r="BZ18" s="28" t="str">
        <f>IF($G18="","",$G18*(IF(ADRYr3!$AI18=BZ$4,ADRYr3!$AJ18,IF(ADRYr3!$AK18=BZ$4,ADRYr3!$AL18,IF(ADRYr3!$AM18=BZ$4,ADRYr3!$AN18,0))))*(INDEX(avoidedcosttbl3,$H18,BZ$2)+(($H18-ROUNDDOWN($H18,0))*(INDEX(avoidedcosttbl3,ROUNDUP($H18,0),BZ$2)-(INDEX(avoidedcosttbl3,ROUNDDOWN($H18,0),BZ$2)))))*ADRYr3!P18*ADRYr3!Q18*ADRYr3!U18)</f>
        <v/>
      </c>
      <c r="CA18" s="28" t="str">
        <f>IF($G18="","",$G18*(IF(ADRYr3!$AI18=CA$4,ADRYr3!$AJ18,IF(ADRYr3!$AK18=CA$4,ADRYr3!$AL18,IF(ADRYr3!$AM18=CA$4,ADRYr3!$AN18,0))))*(INDEX(avoidedcosttbl3,$H18,CA$2)+(($H18-ROUNDDOWN($H18,0))*(INDEX(avoidedcosttbl3,ROUNDUP($H18,0),CA$2)-(INDEX(avoidedcosttbl3,ROUNDDOWN($H18,0),CA$2)))))*ADRYr3!P18*ADRYr3!Q18*ADRYr3!U18)</f>
        <v/>
      </c>
      <c r="CB18" s="28" t="str">
        <f>IF($G18="","",$G18*(IF(ADRYr3!$AI18=CB$4,ADRYr3!$AJ18,IF(ADRYr3!$AK18=CB$4,ADRYr3!$AL18,IF(ADRYr3!$AM18=CB$4,ADRYr3!$AN18,0))))*(INDEX(avoidedcosttbl3,$H18,CB$2)+(($H18-ROUNDDOWN($H18,0))*(INDEX(avoidedcosttbl3,ROUNDUP($H18,0),CB$2)-(INDEX(avoidedcosttbl3,ROUNDDOWN($H18,0),CB$2)))))*ADRYr3!P18*ADRYr3!Q18*ADRYr3!U18)</f>
        <v/>
      </c>
      <c r="CC18" s="28" t="str">
        <f>IF($G18="","",$G18*(IF(ADRYr3!$AI18=CC$4,ADRYr3!$AJ18,IF(ADRYr3!$AK18=CC$4,ADRYr3!$AL18,IF(ADRYr3!$AM18=CC$4,ADRYr3!$AN18,0))))*(INDEX(avoidedcosttbl3,$H18,CC$2)+(($H18-ROUNDDOWN($H18,0))*(INDEX(avoidedcosttbl3,ROUNDUP($H18,0),CC$2)-(INDEX(avoidedcosttbl3,ROUNDDOWN($H18,0),CC$2)))))*ADRYr3!P18*ADRYr3!Q18*ADRYr3!U18)</f>
        <v/>
      </c>
      <c r="CD18" s="28" t="str">
        <f>IF($G18="","",$G18*(IF(ADRYr3!$AI18=CD$4,ADRYr3!$AJ18,IF(ADRYr3!$AK18=CD$4,ADRYr3!$AL18,IF(ADRYr3!$AM18=CD$4,ADRYr3!$AN18,0))))*(INDEX(avoidedcosttbl3,$H18,CD$2)+(($H18-ROUNDDOWN($H18,0))*(INDEX(avoidedcosttbl3,ROUNDUP($H18,0),CD$2)-(INDEX(avoidedcosttbl3,ROUNDDOWN($H18,0),CD$2)))))*ADRYr3!P18*ADRYr3!Q18*ADRYr3!U18)</f>
        <v/>
      </c>
      <c r="CE18" s="28" t="str">
        <f>IF($G18="","",$G18*(IF(ADRYr3!$AI18=CE$4,ADRYr3!$AJ18,IF(ADRYr3!$AK18=CE$4,ADRYr3!$AL18,IF(ADRYr3!$AM18=CE$4,ADRYr3!$AN18,0))))*(INDEX(avoidedcosttbl3,$H18,CE$2)+(($H18-ROUNDDOWN($H18,0))*(INDEX(avoidedcosttbl3,ROUNDUP($H18,0),CE$2)-(INDEX(avoidedcosttbl3,ROUNDDOWN($H18,0),CE$2)))))*ADRYr3!P18*ADRYr3!Q18*ADRYr3!U18)</f>
        <v/>
      </c>
      <c r="CF18" s="41" t="str">
        <f t="shared" ref="CF18:CF50" si="72">IF($G18="","",SUM(BY18:CE18))</f>
        <v/>
      </c>
      <c r="CG18" s="30" t="str">
        <f t="shared" si="10"/>
        <v/>
      </c>
      <c r="CH18" s="30" t="str">
        <f>IF($G18="","",$G18*(IF(ADRYr3!$AI18=BY$4,ADRYr3!$AJ18,IF(ADRYr3!$AK18=BY$4,ADRYr3!$AL18,IF(ADRYr3!$AM18=BY$4,ADRYr3!$AN18,0))))*(INDEX(avoidedcosttbl3,$H18,CH$2)+(($H18-ROUNDDOWN($H18,0))*(INDEX(avoidedcosttbl3,ROUNDUP($H18,0),CH$2)-(INDEX(avoidedcosttbl3,ROUNDDOWN($H18,0),CH$2)))))*ADRYr3!P18*ADRYr3!Q18*ADRYr3!U18)</f>
        <v/>
      </c>
      <c r="CI18" s="30" t="str">
        <f>IF($G18="","",$G18*(IF(ADRYr3!$AI18=BZ$4,ADRYr3!$AJ18,IF(ADRYr3!$AK18=BZ$4,ADRYr3!$AL18,IF(ADRYr3!$AM18=BZ$4,ADRYr3!$AN18,0))))*(INDEX(avoidedcosttbl3,$H18,CI$2)+(($H18-ROUNDDOWN($H18,0))*(INDEX(avoidedcosttbl3,ROUNDUP($H18,0),CI$2)-(INDEX(avoidedcosttbl3,ROUNDDOWN($H18,0),CI$2)))))*ADRYr3!P18*ADRYr3!Q18*ADRYr3!U18)</f>
        <v/>
      </c>
      <c r="CJ18" s="30" t="str">
        <f>IF($G18="","",$G18*(IF(ADRYr3!$AI18=CA$4,ADRYr3!$AJ18,IF(ADRYr3!$AK18=CA$4,ADRYr3!$AL18,IF(ADRYr3!$AM18=CA$4,ADRYr3!$AN18,0))))*(INDEX(avoidedcosttbl3,$H18,CJ$2)+(($H18-ROUNDDOWN($H18,0))*(INDEX(avoidedcosttbl3,ROUNDUP($H18,0),CJ$2)-(INDEX(avoidedcosttbl3,ROUNDDOWN($H18,0),CJ$2)))))*ADRYr3!P18*ADRYr3!Q18*ADRYr3!U18)</f>
        <v/>
      </c>
      <c r="CK18" s="30" t="str">
        <f>IF($G18="","",$G18*(IF(ADRYr3!$AI18=CB$4,ADRYr3!$AJ18,IF(ADRYr3!$AK18=CB$4,ADRYr3!$AL18,IF(ADRYr3!$AM18=CB$4,ADRYr3!$AN18,0))))*(INDEX(avoidedcosttbl3,$H18,CK$2)+(($H18-ROUNDDOWN($H18,0))*(INDEX(avoidedcosttbl3,ROUNDUP($H18,0),CK$2)-(INDEX(avoidedcosttbl3,ROUNDDOWN($H18,0),CK$2)))))*ADRYr3!P18*ADRYr3!Q18*ADRYr3!U18)</f>
        <v/>
      </c>
      <c r="CL18" s="30" t="str">
        <f>IF($G18="","",$G18*(IF(ADRYr3!$AI18=CC$4,ADRYr3!$AJ18,IF(ADRYr3!$AK18=CC$4,ADRYr3!$AL18,IF(ADRYr3!$AM18=CC$4,ADRYr3!$AN18,0))))*(INDEX(avoidedcosttbl3,$H18,CL$2)+(($H18-ROUNDDOWN($H18,0))*(INDEX(avoidedcosttbl3,ROUNDUP($H18,0),CL$2)-(INDEX(avoidedcosttbl3,ROUNDDOWN($H18,0),CL$2)))))*ADRYr3!P18*ADRYr3!Q18*ADRYr3!U18)</f>
        <v/>
      </c>
      <c r="CM18" s="30" t="str">
        <f>IF($G18="","",$G18*(IF(ADRYr3!$AI18=CD$4,ADRYr3!$AJ18,IF(ADRYr3!$AK18=CD$4,ADRYr3!$AL18,IF(ADRYr3!$AM18=CD$4,ADRYr3!$AN18,0))))*(INDEX(avoidedcosttbl3,$H18,CM$2)+(($H18-ROUNDDOWN($H18,0))*(INDEX(avoidedcosttbl3,ROUNDUP($H18,0),CM$2)-(INDEX(avoidedcosttbl3,ROUNDDOWN($H18,0),CM$2)))))*ADRYr3!P18*ADRYr3!Q18*ADRYr3!U18)</f>
        <v/>
      </c>
      <c r="CN18" s="30" t="str">
        <f>IF($G18="","",$G18*(IF(ADRYr3!$AI18=CE$4,ADRYr3!$AJ18,IF(ADRYr3!$AK18=CE$4,ADRYr3!$AL18,IF(ADRYr3!$AM18=CE$4,ADRYr3!$AN18,0))))*(INDEX(avoidedcosttbl3,$H18,CN$2)+(($H18-ROUNDDOWN($H18,0))*(INDEX(avoidedcosttbl3,ROUNDUP($H18,0),CN$2)-(INDEX(avoidedcosttbl3,ROUNDDOWN($H18,0),CN$2)))))*ADRYr3!P18*ADRYr3!Q18*ADRYr3!U18)</f>
        <v/>
      </c>
      <c r="CO18" s="220" t="str">
        <f t="shared" ref="CO18:CO50" si="73">IF($G18="","",SUM(CG18:CN18))</f>
        <v/>
      </c>
      <c r="CP18" s="220" t="str">
        <f t="shared" ref="CP18:CP50" si="74">IF($G18="","",CF18+CO18)</f>
        <v/>
      </c>
      <c r="CQ18" s="157" t="str">
        <f>IF($G18="","",$G18*(IF(ADRYr3!$AI18=CQ$4,ADRYr3!$AJ18,IF(ADRYr3!$AK18=CQ$4,ADRYr3!$AL18,IF(ADRYr3!$AM18=CQ$4,ADRYr3!$AN18,0))))*(INDEX(avoidedcosttbl3,$H18,CQ$2)+(($H18-ROUNDDOWN($H18,0))*(INDEX(avoidedcosttbl3,ROUNDUP($H18,0),CQ$2)-(INDEX(avoidedcosttbl3,ROUNDDOWN($H18,0),CQ$2)))))*ADRYr3!$P18*ADRYr3!$Q18*ADRYr3!$U18)</f>
        <v/>
      </c>
      <c r="CR18" s="28" t="str">
        <f>IF($G18="","",G18*(IF(ADRYr3!$AI18=CR$4,ADRYr3!$AJ18,IF(ADRYr3!$AK18=CR$4,ADRYr3!$AL18,IF(ADRYr3!$AM18=CR$4,ADRYr3!$AN18,0))))*(INDEX(avoidedcosttbl3,$H18,CR$2)+(($H18-ROUNDDOWN($H18,0))*(INDEX(avoidedcosttbl3,ROUNDUP($H18,0),CR$2)-(INDEX(avoidedcosttbl3,ROUNDDOWN($H18,0),CR$2)))))*ADRYr3!$P18*ADRYr3!$Q18*ADRYr3!$U18)</f>
        <v/>
      </c>
      <c r="CS18" s="28" t="str">
        <f>IF($G18="","",G18*(IF(ADRYr3!$AI18=CS$4,ADRYr3!$AJ18,IF(ADRYr3!$AK18=CS$4,ADRYr3!$AL18,IF(ADRYr3!$AM18=CS$4,ADRYr3!$AN18,0))))*(INDEX(avoidedcosttbl3,$H18,CS$2)+(($H18-ROUNDDOWN($H18,0))*(INDEX(avoidedcosttbl3,ROUNDUP($H18,0),CS$2)-(INDEX(avoidedcosttbl3,ROUNDDOWN($H18,0),CS$2)))))*ADRYr3!$P18*ADRYr3!$Q18*ADRYr3!$U18)</f>
        <v/>
      </c>
      <c r="CT18" s="28" t="str">
        <f t="shared" si="11"/>
        <v/>
      </c>
      <c r="CU18" s="28" t="str">
        <f>IF($G18="","",G18*(IF(ADRYr3!$AI18=CU$4,ADRYr3!$AJ18,IF(ADRYr3!$AK18=CU$4,ADRYr3!$AL18,IF(ADRYr3!$AM18=CU$4,ADRYr3!$AN18,0))))*(INDEX(avoidedcosttbl3,$H18,CU$2)+(($H18-ROUNDDOWN($H18,0))*(INDEX(avoidedcosttbl3,ROUNDUP($H18,0),CU$2)-(INDEX(avoidedcosttbl3,ROUNDDOWN($H18,0),CU$2)))))*ADRYr3!$P18*ADRYr3!$Q18*ADRYr3!$U18)</f>
        <v/>
      </c>
      <c r="CV18" s="28" t="str">
        <f>IF($G18="","",G18*(IF(ADRYr3!$AI18=CV$4,ADRYr3!$AJ18,IF(ADRYr3!$AK18=CV$4,ADRYr3!$AL18,IF(ADRYr3!$AM18=CV$4,ADRYr3!$AN18,0))))*(INDEX(avoidedcosttbl3,$H18,CV$2)+(($H18-ROUNDDOWN($H18,0))*(INDEX(avoidedcosttbl3,ROUNDUP($H18,0),CV$2)-(INDEX(avoidedcosttbl3,ROUNDDOWN($H18,0),CV$2)))))*ADRYr3!$P18*ADRYr3!$Q18*ADRYr3!$U18)</f>
        <v/>
      </c>
      <c r="CW18" s="28" t="str">
        <f>IF($G18="","",G18*(IF(ADRYr3!$AI18=CW$4,ADRYr3!$AJ18,IF(ADRYr3!$AK18=CW$4,ADRYr3!$AL18,IF(ADRYr3!$AM18=CW$4,ADRYr3!$AN18,0))))*(INDEX(avoidedcosttbl3,$H18,CW$2)+(($H18-ROUNDDOWN($H18,0))*(INDEX(avoidedcosttbl3,ROUNDUP($H18,0),CW$2)-(INDEX(avoidedcosttbl3,ROUNDDOWN($H18,0),CW$2)))))*ADRYr3!$P18*ADRYr3!$Q18*ADRYr3!$U18)</f>
        <v/>
      </c>
      <c r="CX18" s="28" t="str">
        <f>IF($G18="","",G18*(IF(ADRYr3!$AI18=CX$4,ADRYr3!$AJ18,IF(ADRYr3!$AK18=CX$4,ADRYr3!$AL18,IF(ADRYr3!$AM18=CX$4,ADRYr3!$AN18,0))))*(INDEX(avoidedcosttbl3,$H18,CX$2)+(($H18-ROUNDDOWN($H18,0))*(INDEX(avoidedcosttbl3,ROUNDUP($H18,0),CX$2)-(INDEX(avoidedcosttbl3,ROUNDDOWN($H18,0),CX$2)))))*ADRYr3!$P18*ADRYr3!$Q18*ADRYr3!$U18)</f>
        <v/>
      </c>
      <c r="CY18" s="28" t="str">
        <f t="shared" ref="CY18:CY50" si="75">IF($G18="","",BA18*(INDEX(avoidedcosttbl3,$H18,CY$2)+(($H18-ROUNDDOWN($H18,0))*(INDEX(avoidedcosttbl3,ROUNDUP($H18,0),CY$2)-(INDEX(avoidedcosttbl3,ROUNDDOWN($H18,0),CY$2))))))</f>
        <v/>
      </c>
      <c r="CZ18" s="32" t="str">
        <f t="shared" ref="CZ18:CZ50" si="76">IF($G18="","",BB18*(INDEX(avoidedcosttbl3,$H18,CZ$2)+(($H18-ROUNDDOWN($H18,0))*(INDEX(avoidedcosttbl3,ROUNDUP($H18,0),CZ$2)-(INDEX(avoidedcosttbl3,ROUNDDOWN($H18,0),CZ$2))))))</f>
        <v/>
      </c>
      <c r="DA18" s="84" t="str">
        <f t="shared" ref="DA18:DA50" si="77">IF($G18="","",SUM(CP18:CZ18))</f>
        <v/>
      </c>
      <c r="DB18" s="81" t="str">
        <f>IF(NEIadder="Yes",IF($G18="","",INDEX(Lookups!$G$68:$G$70,MATCH($A18,Lookups!$E$68:$E$70,0))*(SUM(CP18:CX18,BX18))),"")</f>
        <v/>
      </c>
      <c r="DC18" s="263" t="str">
        <f t="shared" ref="DC18:DC50" si="78">IF(FE="Yes",IF($G18="","", FEpercent*(AC18*NGE+AG18*OilE+AK18*PropE+AO18*KerE)*(INDEX(avoidedcosttbl3,$H18,DC$2)+(($H18-ROUNDDOWN($H18,0))*(INDEX(avoidedcosttbl3,ROUNDUP($H18,0),DC$2)-(INDEX(avoidedcosttbl3,ROUNDDOWN($H18,0),DC$2)))))),"")</f>
        <v/>
      </c>
      <c r="DD18" s="166" t="str">
        <f t="shared" ref="DD18:DD50" si="79">IF($G18="","",(AC18*NGCO2+AG18*OilCO2+AK18*PropaneCO2+AO18*KeroseneCO2)/2000*(INDEX(avoidedcosttbl3,$H18,DD$2)+(($H18-ROUNDDOWN($H18,0))*(INDEX(avoidedcosttbl3,ROUNDUP($H18,0),DD$2)-(INDEX(avoidedcosttbl3,ROUNDDOWN($H18,0),DD$2))))))</f>
        <v/>
      </c>
      <c r="DE18" s="82">
        <f t="shared" ref="DE18:DE50" si="80">SUM(DB18:DD18)</f>
        <v>0</v>
      </c>
      <c r="DF18" s="760" t="str">
        <f>IF($G18="","",(1+WntPeakEnergyLL)*(INDEX(avoidedcosttbl3,$H18,DF$2)+(($H18-ROUNDDOWN($H18,0))*(INDEX(avoidedcosttbl3,ROUNDUP($H18,0),DF$2)-(INDEX(avoidedcosttbl3,ROUNDDOWN($H18,0),DF$2)))))*$P18*1000*ADRYr3!Z18)</f>
        <v/>
      </c>
      <c r="DG18" s="760" t="str">
        <f>IF($G18="","",(1+WntOffPeakEnergyLL)*(INDEX(avoidedcosttbl3,$H18,DG$2)+(($H18-ROUNDDOWN($H18,0))*(INDEX(avoidedcosttbl3,ROUNDUP($H18,0),DG$2)-(INDEX(avoidedcosttbl3,ROUNDDOWN($H18,0),DG$2)))))*$P18*1000*ADRYr3!AA18)</f>
        <v/>
      </c>
      <c r="DH18" s="760" t="str">
        <f>IF($G18="","",(1+SumPeakEnergyLL)*(INDEX(avoidedcosttbl3,$H18,DH$2)+(($H18-ROUNDDOWN($H18,0))*(INDEX(avoidedcosttbl3,ROUNDUP($H18,0),DH$2)-(INDEX(avoidedcosttbl3,ROUNDDOWN($H18,0),DH$2)))))*$P18*1000*ADRYr3!AB18)</f>
        <v/>
      </c>
      <c r="DI18" s="760" t="str">
        <f>IF($G18="","",(1+SumOffPeakEnergyLL)*(INDEX(avoidedcosttbl3,$H18,DI$2)+(($H18-ROUNDDOWN($H18,0))*(INDEX(avoidedcosttbl3,ROUNDUP($H18,0),DI$2)-(INDEX(avoidedcosttbl3,ROUNDDOWN($H18,0),DI$2)))))*$P18*1000*ADRYr3!AC18)</f>
        <v/>
      </c>
      <c r="DJ18" s="29" t="str">
        <f t="shared" ref="DJ18:DJ50" si="81">IF($G18="","",SUM(DF18:DI18))</f>
        <v/>
      </c>
      <c r="DK18" s="161" t="str">
        <f t="shared" si="45"/>
        <v/>
      </c>
      <c r="DL18" s="1375" t="str">
        <f t="shared" si="46"/>
        <v/>
      </c>
      <c r="DM18" s="1375" t="str">
        <f t="shared" si="47"/>
        <v/>
      </c>
      <c r="DN18" s="43" t="str">
        <f t="shared" si="48"/>
        <v/>
      </c>
      <c r="DO18" s="1131" t="str">
        <f>IF($G18="","",ADRYr3!AQ18)</f>
        <v/>
      </c>
      <c r="DP18" s="1133" t="str">
        <f>IF($G18="","",ADRYr3!AR18)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49"/>
        <v/>
      </c>
      <c r="DU18" s="1135" t="str">
        <f>IF($G18="","",ADRYr3!AS18)</f>
        <v/>
      </c>
      <c r="DV18" s="1136" t="str">
        <f>IF($G18="","",ADRYr3!AT18)</f>
        <v/>
      </c>
      <c r="DW18" s="1344" t="str">
        <f>IF($G18="","",INDEX(AvoidedEnergy!$H$4:$H$10,MATCH($DO18,AvoidedEnergy!$A$4:$A$10,0)))</f>
        <v/>
      </c>
    </row>
    <row r="19" spans="1:127">
      <c r="A19" s="160" t="str">
        <f>IF(ADRYr3!$B19=0,"",ADRYr3!A19)</f>
        <v>B - Low-Income</v>
      </c>
      <c r="B19" s="9" t="str">
        <f>IF(ADRYr3!$B19=0,"",ADRYr3!B19)</f>
        <v>Home Energy Assistance</v>
      </c>
      <c r="C19" s="9" t="str">
        <f>IF(ADRYr3!$B19=0,"",ADRYr3!C19)</f>
        <v>Res Demand Response</v>
      </c>
      <c r="D19" s="9" t="str">
        <f>IF(ADRYr3!$B19=0,"",ADRYr3!D19)</f>
        <v>Storage Daily Dispatch Upfront Incentive (savings) Summer</v>
      </c>
      <c r="E19" s="9">
        <f>IF(ADRYr3!$B19=0,"",ADRYr3!E19)</f>
        <v>0</v>
      </c>
      <c r="F19" s="11" t="str">
        <f>IF(ADRYr3!$B19=0,"",ADRYr3!F19)</f>
        <v>Behavior</v>
      </c>
      <c r="G19" s="12" t="str">
        <f>IF(ADRYr3!$G19&lt;&gt;0,ADRYr3!G19,"")</f>
        <v/>
      </c>
      <c r="H19" s="1125" t="str">
        <f>IF($G19="","",ROUND(ADRYr3!H19,0))</f>
        <v/>
      </c>
      <c r="I19" s="47" t="str">
        <f>IF($G19="","",ADRYr3!I19*ADRYr3!P19*G19)</f>
        <v/>
      </c>
      <c r="J19" s="47" t="str">
        <f>IF($G19="","",ADRYr3!J19*G19)</f>
        <v/>
      </c>
      <c r="K19" s="47" t="str">
        <f t="shared" si="50"/>
        <v/>
      </c>
      <c r="L19" s="27" t="str">
        <f>IF($G19="","",ADRYr3!V19*G19/1000)</f>
        <v/>
      </c>
      <c r="M19" s="27" t="str">
        <f>IF($G19="","",L19*ADRYr3!$Q19*ADRYr3!$R19)</f>
        <v/>
      </c>
      <c r="N19" s="27" t="str">
        <f t="shared" si="51"/>
        <v/>
      </c>
      <c r="O19" s="27" t="str">
        <f t="shared" si="52"/>
        <v/>
      </c>
      <c r="P19" s="27" t="str">
        <f>IF($G19="","",M19*ADRYr3!P19)</f>
        <v/>
      </c>
      <c r="Q19" s="27" t="str">
        <f t="shared" si="53"/>
        <v/>
      </c>
      <c r="R19" s="27" t="str">
        <f>IF($G19="","",$Q19*ADRYr3!Z19)</f>
        <v/>
      </c>
      <c r="S19" s="27" t="str">
        <f>IF($G19="","",$Q19*ADRYr3!AA19)</f>
        <v/>
      </c>
      <c r="T19" s="27" t="str">
        <f>IF($G19="","",$Q19*ADRYr3!AB19)</f>
        <v/>
      </c>
      <c r="U19" s="27" t="str">
        <f>IF($G19="","",$Q19*ADRYr3!AC19)</f>
        <v/>
      </c>
      <c r="V19" s="27" t="str">
        <f>IF($G19="","",G19*ADRYr3!$AD19*ADRYr3!$P19*ADRYr3!$Q19)</f>
        <v/>
      </c>
      <c r="W19" s="27" t="str">
        <f>IF($G19="","",$G19*ADRYr3!$AD19*ADRYr3!$AF19*ADRYr3!Q19*ADRYr3!$S19)</f>
        <v/>
      </c>
      <c r="X19" s="27" t="str">
        <f>IF($G19="","",$G19*ADRYr3!$AD19*ADRYr3!$AF19*ADRYr3!P19*ADRYr3!Q19*ADRYr3!$S19)</f>
        <v/>
      </c>
      <c r="Y19" s="27" t="str">
        <f>IF($G19="","",$G19*ADRYr3!$AD19*ADRYr3!$AE19*ADRYr3!Q19*ADRYr3!$T19)</f>
        <v/>
      </c>
      <c r="Z19" s="27" t="str">
        <f>IF($G19="","",$G19*ADRYr3!$AD19*ADRYr3!$AE19*ADRYr3!P19*ADRYr3!Q19*ADRYr3!$T19)</f>
        <v/>
      </c>
      <c r="AA19" s="45" t="str">
        <f>IF($G19="","",$G19*ADRYr3!$Q19*ADRYr3!$U19*(IF(IFERROR(SEARCH("NG", ADRYr3!$AI19),0),ADRYr3!$AJ19,0)+IF(IFERROR(SEARCH("NG", ADRYr3!$AK19),0),ADRYr3!$AL19,0)+IF(IFERROR(SEARCH("NG", ADRYr3!$AM19),0),ADRYr3!$AN19,0)))</f>
        <v/>
      </c>
      <c r="AB19" s="45" t="str">
        <f t="shared" si="54"/>
        <v/>
      </c>
      <c r="AC19" s="45">
        <f>IF($G19="",0,AA19*ADRYr3!$P19)</f>
        <v>0</v>
      </c>
      <c r="AD19" s="45" t="str">
        <f t="shared" si="55"/>
        <v/>
      </c>
      <c r="AE19" s="45" t="str">
        <f>IF($G19="","",$G19*ADRYr3!$Q19*ADRYr3!$U19*(IF(IFERROR(SEARCH("Oil", ADRYr3!$AI19), 0),ADRYr3!$AJ19,0)+IF(IFERROR(SEARCH("Oil", ADRYr3!$AK19), 0),ADRYr3!$AL19,0)+IF(IFERROR(SEARCH("Oil", ADRYr3!$AM19), 0),ADRYr3!$AN19,0)))</f>
        <v/>
      </c>
      <c r="AF19" s="45" t="str">
        <f t="shared" si="56"/>
        <v/>
      </c>
      <c r="AG19" s="45">
        <f>IF($G19="",0,AE19*ADRYr3!$P19)</f>
        <v>0</v>
      </c>
      <c r="AH19" s="45" t="str">
        <f t="shared" si="57"/>
        <v/>
      </c>
      <c r="AI19" s="45" t="str">
        <f>IF($G19="","",$G19*ADRYr3!$Q19*ADRYr3!$U19*(IF(ADRYr3!$AI19=Lookups!$E$114,ADRYr3!$AJ19,IF(ADRYr3!$AK19=Lookups!$E$114,ADRYr3!$AL19,IF(ADRYr3!$AM19=Lookups!$E$114,ADRYr3!$AN19,0)))))</f>
        <v/>
      </c>
      <c r="AJ19" s="45" t="str">
        <f t="shared" si="58"/>
        <v/>
      </c>
      <c r="AK19" s="45">
        <f>IF($G19="",0,AI19*ADRYr3!$P19)</f>
        <v>0</v>
      </c>
      <c r="AL19" s="45" t="str">
        <f t="shared" si="59"/>
        <v/>
      </c>
      <c r="AM19" s="45" t="str">
        <f>IF($G19="","",$G19*ADRYr3!$Q19*ADRYr3!$U19*(IF(ADRYr3!$AI19=Lookups!$E$113,ADRYr3!$AJ19,IF(ADRYr3!$AK19=Lookups!$E$113,ADRYr3!$AL19,IF(ADRYr3!$AM19=Lookups!$E$113,ADRYr3!$AN19,0)))))</f>
        <v/>
      </c>
      <c r="AN19" s="45" t="str">
        <f t="shared" si="60"/>
        <v/>
      </c>
      <c r="AO19" s="45">
        <f>IF($G19="",0,AM19*ADRYr3!$P19)</f>
        <v>0</v>
      </c>
      <c r="AP19" s="45" t="str">
        <f t="shared" si="61"/>
        <v/>
      </c>
      <c r="AQ19" s="45" t="str">
        <f>IF($G19="","",$G19*ADRYr3!$Q19*ADRYr3!$U19*(IF(ADRYr3!$AI19=Lookups!$E$115,ADRYr3!$AJ19,IF(ADRYr3!$AK19=Lookups!$E$115,ADRYr3!$AL19,IF(ADRYr3!$AM19=Lookups!$E$115,ADRYr3!$AN19,0)))))</f>
        <v/>
      </c>
      <c r="AR19" s="45" t="str">
        <f t="shared" si="62"/>
        <v/>
      </c>
      <c r="AS19" s="45" t="str">
        <f>IF($G19="","",AQ19*ADRYr3!$P19)</f>
        <v/>
      </c>
      <c r="AT19" s="45" t="str">
        <f t="shared" si="63"/>
        <v/>
      </c>
      <c r="AU19" s="45" t="str">
        <f>IF($G19="","",$G19*ADRYr3!$Q19*ADRYr3!$U19*(IF(ADRYr3!$AI19=Lookups!$E$116,ADRYr3!$AJ19,IF(ADRYr3!$AK19=Lookups!$E$116,ADRYr3!$AL19,IF(ADRYr3!$AM19=Lookups!$E$116,ADRYr3!$AN19,0)))))</f>
        <v/>
      </c>
      <c r="AV19" s="45" t="str">
        <f t="shared" si="64"/>
        <v/>
      </c>
      <c r="AW19" s="45" t="str">
        <f>IF($G19="","",AU19*ADRYr3!$P19)</f>
        <v/>
      </c>
      <c r="AX19" s="45" t="str">
        <f t="shared" si="65"/>
        <v/>
      </c>
      <c r="AY19" s="45">
        <f t="shared" si="66"/>
        <v>0</v>
      </c>
      <c r="AZ19" s="45">
        <f t="shared" si="67"/>
        <v>0</v>
      </c>
      <c r="BA19" s="101" t="str">
        <f>IF($G19="","",$G19*ADRYr3!$P19*ADRYr3!$Q19*ADRYr3!$U19*ADRYr3!AO19)</f>
        <v/>
      </c>
      <c r="BB19" s="102" t="str">
        <f>IF($G19="","",$G19*ADRYr3!$P19*ADRYr3!$Q19*ADRYr3!$U19*ADRYr3!AP19)</f>
        <v/>
      </c>
      <c r="BC19" s="100" t="str">
        <f t="shared" si="68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31"/>
        <v/>
      </c>
      <c r="BO19" s="31" t="str">
        <f t="shared" si="69"/>
        <v/>
      </c>
      <c r="BP19" s="1129" t="str">
        <f t="shared" si="5"/>
        <v/>
      </c>
      <c r="BQ19" s="28" t="str">
        <f t="shared" si="6"/>
        <v/>
      </c>
      <c r="BR19" s="1129" t="str">
        <f t="shared" si="7"/>
        <v/>
      </c>
      <c r="BS19" s="1129" t="str">
        <f t="shared" si="8"/>
        <v/>
      </c>
      <c r="BT19" s="28" t="str">
        <f t="shared" si="9"/>
        <v/>
      </c>
      <c r="BU19" s="28" t="str">
        <f t="shared" si="9"/>
        <v/>
      </c>
      <c r="BV19" s="28" t="str">
        <f t="shared" si="9"/>
        <v/>
      </c>
      <c r="BW19" s="29" t="str">
        <f t="shared" si="70"/>
        <v/>
      </c>
      <c r="BX19" s="29" t="str">
        <f t="shared" si="71"/>
        <v/>
      </c>
      <c r="BY19" s="28" t="str">
        <f>IF($G19="","",$G19*(IF(ADRYr3!$AI19=BY$4,ADRYr3!$AJ19,IF(ADRYr3!$AK19=BY$4,ADRYr3!$AL19,IF(ADRYr3!$AM19=BY$4,ADRYr3!$AN19,0))))*(INDEX(avoidedcosttbl3,$H19,BY$2)+(($H19-ROUNDDOWN($H19,0))*(INDEX(avoidedcosttbl3,ROUNDUP($H19,0),BY$2)-(INDEX(avoidedcosttbl3,ROUNDDOWN($H19,0),BY$2)))))*ADRYr3!P19*ADRYr3!Q19*ADRYr3!U19)</f>
        <v/>
      </c>
      <c r="BZ19" s="28" t="str">
        <f>IF($G19="","",$G19*(IF(ADRYr3!$AI19=BZ$4,ADRYr3!$AJ19,IF(ADRYr3!$AK19=BZ$4,ADRYr3!$AL19,IF(ADRYr3!$AM19=BZ$4,ADRYr3!$AN19,0))))*(INDEX(avoidedcosttbl3,$H19,BZ$2)+(($H19-ROUNDDOWN($H19,0))*(INDEX(avoidedcosttbl3,ROUNDUP($H19,0),BZ$2)-(INDEX(avoidedcosttbl3,ROUNDDOWN($H19,0),BZ$2)))))*ADRYr3!P19*ADRYr3!Q19*ADRYr3!U19)</f>
        <v/>
      </c>
      <c r="CA19" s="28" t="str">
        <f>IF($G19="","",$G19*(IF(ADRYr3!$AI19=CA$4,ADRYr3!$AJ19,IF(ADRYr3!$AK19=CA$4,ADRYr3!$AL19,IF(ADRYr3!$AM19=CA$4,ADRYr3!$AN19,0))))*(INDEX(avoidedcosttbl3,$H19,CA$2)+(($H19-ROUNDDOWN($H19,0))*(INDEX(avoidedcosttbl3,ROUNDUP($H19,0),CA$2)-(INDEX(avoidedcosttbl3,ROUNDDOWN($H19,0),CA$2)))))*ADRYr3!P19*ADRYr3!Q19*ADRYr3!U19)</f>
        <v/>
      </c>
      <c r="CB19" s="28" t="str">
        <f>IF($G19="","",$G19*(IF(ADRYr3!$AI19=CB$4,ADRYr3!$AJ19,IF(ADRYr3!$AK19=CB$4,ADRYr3!$AL19,IF(ADRYr3!$AM19=CB$4,ADRYr3!$AN19,0))))*(INDEX(avoidedcosttbl3,$H19,CB$2)+(($H19-ROUNDDOWN($H19,0))*(INDEX(avoidedcosttbl3,ROUNDUP($H19,0),CB$2)-(INDEX(avoidedcosttbl3,ROUNDDOWN($H19,0),CB$2)))))*ADRYr3!P19*ADRYr3!Q19*ADRYr3!U19)</f>
        <v/>
      </c>
      <c r="CC19" s="28" t="str">
        <f>IF($G19="","",$G19*(IF(ADRYr3!$AI19=CC$4,ADRYr3!$AJ19,IF(ADRYr3!$AK19=CC$4,ADRYr3!$AL19,IF(ADRYr3!$AM19=CC$4,ADRYr3!$AN19,0))))*(INDEX(avoidedcosttbl3,$H19,CC$2)+(($H19-ROUNDDOWN($H19,0))*(INDEX(avoidedcosttbl3,ROUNDUP($H19,0),CC$2)-(INDEX(avoidedcosttbl3,ROUNDDOWN($H19,0),CC$2)))))*ADRYr3!P19*ADRYr3!Q19*ADRYr3!U19)</f>
        <v/>
      </c>
      <c r="CD19" s="28" t="str">
        <f>IF($G19="","",$G19*(IF(ADRYr3!$AI19=CD$4,ADRYr3!$AJ19,IF(ADRYr3!$AK19=CD$4,ADRYr3!$AL19,IF(ADRYr3!$AM19=CD$4,ADRYr3!$AN19,0))))*(INDEX(avoidedcosttbl3,$H19,CD$2)+(($H19-ROUNDDOWN($H19,0))*(INDEX(avoidedcosttbl3,ROUNDUP($H19,0),CD$2)-(INDEX(avoidedcosttbl3,ROUNDDOWN($H19,0),CD$2)))))*ADRYr3!P19*ADRYr3!Q19*ADRYr3!U19)</f>
        <v/>
      </c>
      <c r="CE19" s="28" t="str">
        <f>IF($G19="","",$G19*(IF(ADRYr3!$AI19=CE$4,ADRYr3!$AJ19,IF(ADRYr3!$AK19=CE$4,ADRYr3!$AL19,IF(ADRYr3!$AM19=CE$4,ADRYr3!$AN19,0))))*(INDEX(avoidedcosttbl3,$H19,CE$2)+(($H19-ROUNDDOWN($H19,0))*(INDEX(avoidedcosttbl3,ROUNDUP($H19,0),CE$2)-(INDEX(avoidedcosttbl3,ROUNDDOWN($H19,0),CE$2)))))*ADRYr3!P19*ADRYr3!Q19*ADRYr3!U19)</f>
        <v/>
      </c>
      <c r="CF19" s="41" t="str">
        <f t="shared" si="72"/>
        <v/>
      </c>
      <c r="CG19" s="30" t="str">
        <f t="shared" si="10"/>
        <v/>
      </c>
      <c r="CH19" s="30" t="str">
        <f>IF($G19="","",$G19*(IF(ADRYr3!$AI19=BY$4,ADRYr3!$AJ19,IF(ADRYr3!$AK19=BY$4,ADRYr3!$AL19,IF(ADRYr3!$AM19=BY$4,ADRYr3!$AN19,0))))*(INDEX(avoidedcosttbl3,$H19,CH$2)+(($H19-ROUNDDOWN($H19,0))*(INDEX(avoidedcosttbl3,ROUNDUP($H19,0),CH$2)-(INDEX(avoidedcosttbl3,ROUNDDOWN($H19,0),CH$2)))))*ADRYr3!P19*ADRYr3!Q19*ADRYr3!U19)</f>
        <v/>
      </c>
      <c r="CI19" s="30" t="str">
        <f>IF($G19="","",$G19*(IF(ADRYr3!$AI19=BZ$4,ADRYr3!$AJ19,IF(ADRYr3!$AK19=BZ$4,ADRYr3!$AL19,IF(ADRYr3!$AM19=BZ$4,ADRYr3!$AN19,0))))*(INDEX(avoidedcosttbl3,$H19,CI$2)+(($H19-ROUNDDOWN($H19,0))*(INDEX(avoidedcosttbl3,ROUNDUP($H19,0),CI$2)-(INDEX(avoidedcosttbl3,ROUNDDOWN($H19,0),CI$2)))))*ADRYr3!P19*ADRYr3!Q19*ADRYr3!U19)</f>
        <v/>
      </c>
      <c r="CJ19" s="30" t="str">
        <f>IF($G19="","",$G19*(IF(ADRYr3!$AI19=CA$4,ADRYr3!$AJ19,IF(ADRYr3!$AK19=CA$4,ADRYr3!$AL19,IF(ADRYr3!$AM19=CA$4,ADRYr3!$AN19,0))))*(INDEX(avoidedcosttbl3,$H19,CJ$2)+(($H19-ROUNDDOWN($H19,0))*(INDEX(avoidedcosttbl3,ROUNDUP($H19,0),CJ$2)-(INDEX(avoidedcosttbl3,ROUNDDOWN($H19,0),CJ$2)))))*ADRYr3!P19*ADRYr3!Q19*ADRYr3!U19)</f>
        <v/>
      </c>
      <c r="CK19" s="30" t="str">
        <f>IF($G19="","",$G19*(IF(ADRYr3!$AI19=CB$4,ADRYr3!$AJ19,IF(ADRYr3!$AK19=CB$4,ADRYr3!$AL19,IF(ADRYr3!$AM19=CB$4,ADRYr3!$AN19,0))))*(INDEX(avoidedcosttbl3,$H19,CK$2)+(($H19-ROUNDDOWN($H19,0))*(INDEX(avoidedcosttbl3,ROUNDUP($H19,0),CK$2)-(INDEX(avoidedcosttbl3,ROUNDDOWN($H19,0),CK$2)))))*ADRYr3!P19*ADRYr3!Q19*ADRYr3!U19)</f>
        <v/>
      </c>
      <c r="CL19" s="30" t="str">
        <f>IF($G19="","",$G19*(IF(ADRYr3!$AI19=CC$4,ADRYr3!$AJ19,IF(ADRYr3!$AK19=CC$4,ADRYr3!$AL19,IF(ADRYr3!$AM19=CC$4,ADRYr3!$AN19,0))))*(INDEX(avoidedcosttbl3,$H19,CL$2)+(($H19-ROUNDDOWN($H19,0))*(INDEX(avoidedcosttbl3,ROUNDUP($H19,0),CL$2)-(INDEX(avoidedcosttbl3,ROUNDDOWN($H19,0),CL$2)))))*ADRYr3!P19*ADRYr3!Q19*ADRYr3!U19)</f>
        <v/>
      </c>
      <c r="CM19" s="30" t="str">
        <f>IF($G19="","",$G19*(IF(ADRYr3!$AI19=CD$4,ADRYr3!$AJ19,IF(ADRYr3!$AK19=CD$4,ADRYr3!$AL19,IF(ADRYr3!$AM19=CD$4,ADRYr3!$AN19,0))))*(INDEX(avoidedcosttbl3,$H19,CM$2)+(($H19-ROUNDDOWN($H19,0))*(INDEX(avoidedcosttbl3,ROUNDUP($H19,0),CM$2)-(INDEX(avoidedcosttbl3,ROUNDDOWN($H19,0),CM$2)))))*ADRYr3!P19*ADRYr3!Q19*ADRYr3!U19)</f>
        <v/>
      </c>
      <c r="CN19" s="30" t="str">
        <f>IF($G19="","",$G19*(IF(ADRYr3!$AI19=CE$4,ADRYr3!$AJ19,IF(ADRYr3!$AK19=CE$4,ADRYr3!$AL19,IF(ADRYr3!$AM19=CE$4,ADRYr3!$AN19,0))))*(INDEX(avoidedcosttbl3,$H19,CN$2)+(($H19-ROUNDDOWN($H19,0))*(INDEX(avoidedcosttbl3,ROUNDUP($H19,0),CN$2)-(INDEX(avoidedcosttbl3,ROUNDDOWN($H19,0),CN$2)))))*ADRYr3!P19*ADRYr3!Q19*ADRYr3!U19)</f>
        <v/>
      </c>
      <c r="CO19" s="220" t="str">
        <f t="shared" si="73"/>
        <v/>
      </c>
      <c r="CP19" s="220" t="str">
        <f t="shared" si="74"/>
        <v/>
      </c>
      <c r="CQ19" s="157" t="str">
        <f>IF($G19="","",$G19*(IF(ADRYr3!$AI19=CQ$4,ADRYr3!$AJ19,IF(ADRYr3!$AK19=CQ$4,ADRYr3!$AL19,IF(ADRYr3!$AM19=CQ$4,ADRYr3!$AN19,0))))*(INDEX(avoidedcosttbl3,$H19,CQ$2)+(($H19-ROUNDDOWN($H19,0))*(INDEX(avoidedcosttbl3,ROUNDUP($H19,0),CQ$2)-(INDEX(avoidedcosttbl3,ROUNDDOWN($H19,0),CQ$2)))))*ADRYr3!$P19*ADRYr3!$Q19*ADRYr3!$U19)</f>
        <v/>
      </c>
      <c r="CR19" s="28" t="str">
        <f>IF($G19="","",G19*(IF(ADRYr3!$AI19=CR$4,ADRYr3!$AJ19,IF(ADRYr3!$AK19=CR$4,ADRYr3!$AL19,IF(ADRYr3!$AM19=CR$4,ADRYr3!$AN19,0))))*(INDEX(avoidedcosttbl3,$H19,CR$2)+(($H19-ROUNDDOWN($H19,0))*(INDEX(avoidedcosttbl3,ROUNDUP($H19,0),CR$2)-(INDEX(avoidedcosttbl3,ROUNDDOWN($H19,0),CR$2)))))*ADRYr3!$P19*ADRYr3!$Q19*ADRYr3!$U19)</f>
        <v/>
      </c>
      <c r="CS19" s="28" t="str">
        <f>IF($G19="","",G19*(IF(ADRYr3!$AI19=CS$4,ADRYr3!$AJ19,IF(ADRYr3!$AK19=CS$4,ADRYr3!$AL19,IF(ADRYr3!$AM19=CS$4,ADRYr3!$AN19,0))))*(INDEX(avoidedcosttbl3,$H19,CS$2)+(($H19-ROUNDDOWN($H19,0))*(INDEX(avoidedcosttbl3,ROUNDUP($H19,0),CS$2)-(INDEX(avoidedcosttbl3,ROUNDDOWN($H19,0),CS$2)))))*ADRYr3!$P19*ADRYr3!$Q19*ADRYr3!$U19)</f>
        <v/>
      </c>
      <c r="CT19" s="28" t="str">
        <f t="shared" si="11"/>
        <v/>
      </c>
      <c r="CU19" s="28" t="str">
        <f>IF($G19="","",G19*(IF(ADRYr3!$AI19=CU$4,ADRYr3!$AJ19,IF(ADRYr3!$AK19=CU$4,ADRYr3!$AL19,IF(ADRYr3!$AM19=CU$4,ADRYr3!$AN19,0))))*(INDEX(avoidedcosttbl3,$H19,CU$2)+(($H19-ROUNDDOWN($H19,0))*(INDEX(avoidedcosttbl3,ROUNDUP($H19,0),CU$2)-(INDEX(avoidedcosttbl3,ROUNDDOWN($H19,0),CU$2)))))*ADRYr3!$P19*ADRYr3!$Q19*ADRYr3!$U19)</f>
        <v/>
      </c>
      <c r="CV19" s="28" t="str">
        <f>IF($G19="","",G19*(IF(ADRYr3!$AI19=CV$4,ADRYr3!$AJ19,IF(ADRYr3!$AK19=CV$4,ADRYr3!$AL19,IF(ADRYr3!$AM19=CV$4,ADRYr3!$AN19,0))))*(INDEX(avoidedcosttbl3,$H19,CV$2)+(($H19-ROUNDDOWN($H19,0))*(INDEX(avoidedcosttbl3,ROUNDUP($H19,0),CV$2)-(INDEX(avoidedcosttbl3,ROUNDDOWN($H19,0),CV$2)))))*ADRYr3!$P19*ADRYr3!$Q19*ADRYr3!$U19)</f>
        <v/>
      </c>
      <c r="CW19" s="28" t="str">
        <f>IF($G19="","",G19*(IF(ADRYr3!$AI19=CW$4,ADRYr3!$AJ19,IF(ADRYr3!$AK19=CW$4,ADRYr3!$AL19,IF(ADRYr3!$AM19=CW$4,ADRYr3!$AN19,0))))*(INDEX(avoidedcosttbl3,$H19,CW$2)+(($H19-ROUNDDOWN($H19,0))*(INDEX(avoidedcosttbl3,ROUNDUP($H19,0),CW$2)-(INDEX(avoidedcosttbl3,ROUNDDOWN($H19,0),CW$2)))))*ADRYr3!$P19*ADRYr3!$Q19*ADRYr3!$U19)</f>
        <v/>
      </c>
      <c r="CX19" s="28" t="str">
        <f>IF($G19="","",G19*(IF(ADRYr3!$AI19=CX$4,ADRYr3!$AJ19,IF(ADRYr3!$AK19=CX$4,ADRYr3!$AL19,IF(ADRYr3!$AM19=CX$4,ADRYr3!$AN19,0))))*(INDEX(avoidedcosttbl3,$H19,CX$2)+(($H19-ROUNDDOWN($H19,0))*(INDEX(avoidedcosttbl3,ROUNDUP($H19,0),CX$2)-(INDEX(avoidedcosttbl3,ROUNDDOWN($H19,0),CX$2)))))*ADRYr3!$P19*ADRYr3!$Q19*ADRYr3!$U19)</f>
        <v/>
      </c>
      <c r="CY19" s="28" t="str">
        <f t="shared" si="75"/>
        <v/>
      </c>
      <c r="CZ19" s="32" t="str">
        <f t="shared" si="76"/>
        <v/>
      </c>
      <c r="DA19" s="84" t="str">
        <f t="shared" si="77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78"/>
        <v/>
      </c>
      <c r="DD19" s="166" t="str">
        <f t="shared" si="79"/>
        <v/>
      </c>
      <c r="DE19" s="82">
        <f t="shared" si="80"/>
        <v>0</v>
      </c>
      <c r="DF19" s="760" t="str">
        <f>IF($G19="","",(1+WntPeakEnergyLL)*(INDEX(avoidedcosttbl3,$H19,DF$2)+(($H19-ROUNDDOWN($H19,0))*(INDEX(avoidedcosttbl3,ROUNDUP($H19,0),DF$2)-(INDEX(avoidedcosttbl3,ROUNDDOWN($H19,0),DF$2)))))*$P19*1000*ADRYr3!Z19)</f>
        <v/>
      </c>
      <c r="DG19" s="760" t="str">
        <f>IF($G19="","",(1+WntOffPeakEnergyLL)*(INDEX(avoidedcosttbl3,$H19,DG$2)+(($H19-ROUNDDOWN($H19,0))*(INDEX(avoidedcosttbl3,ROUNDUP($H19,0),DG$2)-(INDEX(avoidedcosttbl3,ROUNDDOWN($H19,0),DG$2)))))*$P19*1000*ADRYr3!AA19)</f>
        <v/>
      </c>
      <c r="DH19" s="760" t="str">
        <f>IF($G19="","",(1+SumPeakEnergyLL)*(INDEX(avoidedcosttbl3,$H19,DH$2)+(($H19-ROUNDDOWN($H19,0))*(INDEX(avoidedcosttbl3,ROUNDUP($H19,0),DH$2)-(INDEX(avoidedcosttbl3,ROUNDDOWN($H19,0),DH$2)))))*$P19*1000*ADRYr3!AB19)</f>
        <v/>
      </c>
      <c r="DI19" s="760" t="str">
        <f>IF($G19="","",(1+SumOffPeakEnergyLL)*(INDEX(avoidedcosttbl3,$H19,DI$2)+(($H19-ROUNDDOWN($H19,0))*(INDEX(avoidedcosttbl3,ROUNDUP($H19,0),DI$2)-(INDEX(avoidedcosttbl3,ROUNDDOWN($H19,0),DI$2)))))*$P19*1000*ADRYr3!AC19)</f>
        <v/>
      </c>
      <c r="DJ19" s="29" t="str">
        <f t="shared" si="81"/>
        <v/>
      </c>
      <c r="DK19" s="161" t="str">
        <f t="shared" si="45"/>
        <v/>
      </c>
      <c r="DL19" s="1375" t="str">
        <f t="shared" si="46"/>
        <v/>
      </c>
      <c r="DM19" s="1375" t="str">
        <f t="shared" si="47"/>
        <v/>
      </c>
      <c r="DN19" s="43" t="str">
        <f t="shared" si="48"/>
        <v/>
      </c>
      <c r="DO19" s="1131" t="str">
        <f>IF($G19="","",ADRYr3!AQ19)</f>
        <v/>
      </c>
      <c r="DP19" s="1133" t="str">
        <f>IF($G19="","",ADRYr3!AR19)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49"/>
        <v/>
      </c>
      <c r="DU19" s="1135" t="str">
        <f>IF($G19="","",ADRYr3!AS19)</f>
        <v/>
      </c>
      <c r="DV19" s="1136" t="str">
        <f>IF($G19="","",ADRYr3!AT19)</f>
        <v/>
      </c>
      <c r="DW19" s="1344" t="str">
        <f>IF($G19="","",INDEX(AvoidedEnergy!$H$4:$H$10,MATCH($DO19,AvoidedEnergy!$A$4:$A$10,0)))</f>
        <v/>
      </c>
    </row>
    <row r="20" spans="1:127">
      <c r="A20" s="160" t="str">
        <f>IF(ADRYr3!$B20=0,"",ADRYr3!A20)</f>
        <v>B - Low-Income</v>
      </c>
      <c r="B20" s="9" t="str">
        <f>IF(ADRYr3!$B20=0,"",ADRYr3!B20)</f>
        <v>Home Energy Assistance</v>
      </c>
      <c r="C20" s="9" t="str">
        <f>IF(ADRYr3!$B20=0,"",ADRYr3!C20)</f>
        <v>Res Demand Response</v>
      </c>
      <c r="D20" s="9" t="str">
        <f>IF(ADRYr3!$B20=0,"",ADRYr3!D20)</f>
        <v>Storage Daily Dispatch Upfront Incentive (consumption) Summer</v>
      </c>
      <c r="E20" s="9">
        <f>IF(ADRYr3!$B20=0,"",ADRYr3!E20)</f>
        <v>0</v>
      </c>
      <c r="F20" s="11" t="str">
        <f>IF(ADRYr3!$B20=0,"",ADRYr3!F20)</f>
        <v>Behavior</v>
      </c>
      <c r="G20" s="12" t="str">
        <f>IF(ADRYr3!$G20&lt;&gt;0,ADRYr3!G20,"")</f>
        <v/>
      </c>
      <c r="H20" s="1125" t="str">
        <f>IF($G20="","",ROUND(ADRYr3!H20,0))</f>
        <v/>
      </c>
      <c r="I20" s="47" t="str">
        <f>IF($G20="","",ADRYr3!I20*ADRYr3!P20*G20)</f>
        <v/>
      </c>
      <c r="J20" s="47" t="str">
        <f>IF($G20="","",ADRYr3!J20*G20)</f>
        <v/>
      </c>
      <c r="K20" s="47" t="str">
        <f t="shared" si="50"/>
        <v/>
      </c>
      <c r="L20" s="27" t="str">
        <f>IF($G20="","",ADRYr3!V20*G20/1000)</f>
        <v/>
      </c>
      <c r="M20" s="27" t="str">
        <f>IF($G20="","",L20*ADRYr3!$Q20*ADRYr3!$R20)</f>
        <v/>
      </c>
      <c r="N20" s="27" t="str">
        <f t="shared" si="51"/>
        <v/>
      </c>
      <c r="O20" s="27" t="str">
        <f t="shared" si="52"/>
        <v/>
      </c>
      <c r="P20" s="27" t="str">
        <f>IF($G20="","",M20*ADRYr3!P20)</f>
        <v/>
      </c>
      <c r="Q20" s="27" t="str">
        <f t="shared" si="53"/>
        <v/>
      </c>
      <c r="R20" s="27" t="str">
        <f>IF($G20="","",$Q20*ADRYr3!Z20)</f>
        <v/>
      </c>
      <c r="S20" s="27" t="str">
        <f>IF($G20="","",$Q20*ADRYr3!AA20)</f>
        <v/>
      </c>
      <c r="T20" s="27" t="str">
        <f>IF($G20="","",$Q20*ADRYr3!AB20)</f>
        <v/>
      </c>
      <c r="U20" s="27" t="str">
        <f>IF($G20="","",$Q20*ADRYr3!AC20)</f>
        <v/>
      </c>
      <c r="V20" s="27" t="str">
        <f>IF($G20="","",G20*ADRYr3!$AD20*ADRYr3!$P20*ADRYr3!$Q20)</f>
        <v/>
      </c>
      <c r="W20" s="27" t="str">
        <f>IF($G20="","",$G20*ADRYr3!$AD20*ADRYr3!$AF20*ADRYr3!Q20*ADRYr3!$S20)</f>
        <v/>
      </c>
      <c r="X20" s="27" t="str">
        <f>IF($G20="","",$G20*ADRYr3!$AD20*ADRYr3!$AF20*ADRYr3!P20*ADRYr3!Q20*ADRYr3!$S20)</f>
        <v/>
      </c>
      <c r="Y20" s="27" t="str">
        <f>IF($G20="","",$G20*ADRYr3!$AD20*ADRYr3!$AE20*ADRYr3!Q20*ADRYr3!$T20)</f>
        <v/>
      </c>
      <c r="Z20" s="27" t="str">
        <f>IF($G20="","",$G20*ADRYr3!$AD20*ADRYr3!$AE20*ADRYr3!P20*ADRYr3!Q20*ADRYr3!$T20)</f>
        <v/>
      </c>
      <c r="AA20" s="45" t="str">
        <f>IF($G20="","",$G20*ADRYr3!$Q20*ADRYr3!$U20*(IF(IFERROR(SEARCH("NG", ADRYr3!$AI20),0),ADRYr3!$AJ20,0)+IF(IFERROR(SEARCH("NG", ADRYr3!$AK20),0),ADRYr3!$AL20,0)+IF(IFERROR(SEARCH("NG", ADRYr3!$AM20),0),ADRYr3!$AN20,0)))</f>
        <v/>
      </c>
      <c r="AB20" s="45" t="str">
        <f t="shared" si="54"/>
        <v/>
      </c>
      <c r="AC20" s="45">
        <f>IF($G20="",0,AA20*ADRYr3!$P20)</f>
        <v>0</v>
      </c>
      <c r="AD20" s="45" t="str">
        <f t="shared" si="55"/>
        <v/>
      </c>
      <c r="AE20" s="45" t="str">
        <f>IF($G20="","",$G20*ADRYr3!$Q20*ADRYr3!$U20*(IF(IFERROR(SEARCH("Oil", ADRYr3!$AI20), 0),ADRYr3!$AJ20,0)+IF(IFERROR(SEARCH("Oil", ADRYr3!$AK20), 0),ADRYr3!$AL20,0)+IF(IFERROR(SEARCH("Oil", ADRYr3!$AM20), 0),ADRYr3!$AN20,0)))</f>
        <v/>
      </c>
      <c r="AF20" s="45" t="str">
        <f t="shared" si="56"/>
        <v/>
      </c>
      <c r="AG20" s="45">
        <f>IF($G20="",0,AE20*ADRYr3!$P20)</f>
        <v>0</v>
      </c>
      <c r="AH20" s="45" t="str">
        <f t="shared" si="57"/>
        <v/>
      </c>
      <c r="AI20" s="45" t="str">
        <f>IF($G20="","",$G20*ADRYr3!$Q20*ADRYr3!$U20*(IF(ADRYr3!$AI20=Lookups!$E$114,ADRYr3!$AJ20,IF(ADRYr3!$AK20=Lookups!$E$114,ADRYr3!$AL20,IF(ADRYr3!$AM20=Lookups!$E$114,ADRYr3!$AN20,0)))))</f>
        <v/>
      </c>
      <c r="AJ20" s="45" t="str">
        <f t="shared" si="58"/>
        <v/>
      </c>
      <c r="AK20" s="45">
        <f>IF($G20="",0,AI20*ADRYr3!$P20)</f>
        <v>0</v>
      </c>
      <c r="AL20" s="45" t="str">
        <f t="shared" si="59"/>
        <v/>
      </c>
      <c r="AM20" s="45" t="str">
        <f>IF($G20="","",$G20*ADRYr3!$Q20*ADRYr3!$U20*(IF(ADRYr3!$AI20=Lookups!$E$113,ADRYr3!$AJ20,IF(ADRYr3!$AK20=Lookups!$E$113,ADRYr3!$AL20,IF(ADRYr3!$AM20=Lookups!$E$113,ADRYr3!$AN20,0)))))</f>
        <v/>
      </c>
      <c r="AN20" s="45" t="str">
        <f t="shared" si="60"/>
        <v/>
      </c>
      <c r="AO20" s="45">
        <f>IF($G20="",0,AM20*ADRYr3!$P20)</f>
        <v>0</v>
      </c>
      <c r="AP20" s="45" t="str">
        <f t="shared" si="61"/>
        <v/>
      </c>
      <c r="AQ20" s="45" t="str">
        <f>IF($G20="","",$G20*ADRYr3!$Q20*ADRYr3!$U20*(IF(ADRYr3!$AI20=Lookups!$E$115,ADRYr3!$AJ20,IF(ADRYr3!$AK20=Lookups!$E$115,ADRYr3!$AL20,IF(ADRYr3!$AM20=Lookups!$E$115,ADRYr3!$AN20,0)))))</f>
        <v/>
      </c>
      <c r="AR20" s="45" t="str">
        <f t="shared" si="62"/>
        <v/>
      </c>
      <c r="AS20" s="45" t="str">
        <f>IF($G20="","",AQ20*ADRYr3!$P20)</f>
        <v/>
      </c>
      <c r="AT20" s="45" t="str">
        <f t="shared" si="63"/>
        <v/>
      </c>
      <c r="AU20" s="45" t="str">
        <f>IF($G20="","",$G20*ADRYr3!$Q20*ADRYr3!$U20*(IF(ADRYr3!$AI20=Lookups!$E$116,ADRYr3!$AJ20,IF(ADRYr3!$AK20=Lookups!$E$116,ADRYr3!$AL20,IF(ADRYr3!$AM20=Lookups!$E$116,ADRYr3!$AN20,0)))))</f>
        <v/>
      </c>
      <c r="AV20" s="45" t="str">
        <f t="shared" si="64"/>
        <v/>
      </c>
      <c r="AW20" s="45" t="str">
        <f>IF($G20="","",AU20*ADRYr3!$P20)</f>
        <v/>
      </c>
      <c r="AX20" s="45" t="str">
        <f t="shared" si="65"/>
        <v/>
      </c>
      <c r="AY20" s="45">
        <f t="shared" si="66"/>
        <v>0</v>
      </c>
      <c r="AZ20" s="45">
        <f t="shared" si="67"/>
        <v>0</v>
      </c>
      <c r="BA20" s="101" t="str">
        <f>IF($G20="","",$G20*ADRYr3!$P20*ADRYr3!$Q20*ADRYr3!$U20*ADRYr3!AO20)</f>
        <v/>
      </c>
      <c r="BB20" s="102" t="str">
        <f>IF($G20="","",$G20*ADRYr3!$P20*ADRYr3!$Q20*ADRYr3!$U20*ADRYr3!AP20)</f>
        <v/>
      </c>
      <c r="BC20" s="100" t="str">
        <f t="shared" si="68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31"/>
        <v/>
      </c>
      <c r="BO20" s="31" t="str">
        <f t="shared" si="69"/>
        <v/>
      </c>
      <c r="BP20" s="1129" t="str">
        <f t="shared" si="5"/>
        <v/>
      </c>
      <c r="BQ20" s="28" t="str">
        <f t="shared" si="6"/>
        <v/>
      </c>
      <c r="BR20" s="1129" t="str">
        <f t="shared" si="7"/>
        <v/>
      </c>
      <c r="BS20" s="1129" t="str">
        <f t="shared" si="8"/>
        <v/>
      </c>
      <c r="BT20" s="28" t="str">
        <f t="shared" si="9"/>
        <v/>
      </c>
      <c r="BU20" s="28" t="str">
        <f t="shared" si="9"/>
        <v/>
      </c>
      <c r="BV20" s="28" t="str">
        <f t="shared" si="9"/>
        <v/>
      </c>
      <c r="BW20" s="29" t="str">
        <f t="shared" si="70"/>
        <v/>
      </c>
      <c r="BX20" s="29" t="str">
        <f t="shared" si="71"/>
        <v/>
      </c>
      <c r="BY20" s="28" t="str">
        <f>IF($G20="","",$G20*(IF(ADRYr3!$AI20=BY$4,ADRYr3!$AJ20,IF(ADRYr3!$AK20=BY$4,ADRYr3!$AL20,IF(ADRYr3!$AM20=BY$4,ADRYr3!$AN20,0))))*(INDEX(avoidedcosttbl3,$H20,BY$2)+(($H20-ROUNDDOWN($H20,0))*(INDEX(avoidedcosttbl3,ROUNDUP($H20,0),BY$2)-(INDEX(avoidedcosttbl3,ROUNDDOWN($H20,0),BY$2)))))*ADRYr3!P20*ADRYr3!Q20*ADRYr3!U20)</f>
        <v/>
      </c>
      <c r="BZ20" s="28" t="str">
        <f>IF($G20="","",$G20*(IF(ADRYr3!$AI20=BZ$4,ADRYr3!$AJ20,IF(ADRYr3!$AK20=BZ$4,ADRYr3!$AL20,IF(ADRYr3!$AM20=BZ$4,ADRYr3!$AN20,0))))*(INDEX(avoidedcosttbl3,$H20,BZ$2)+(($H20-ROUNDDOWN($H20,0))*(INDEX(avoidedcosttbl3,ROUNDUP($H20,0),BZ$2)-(INDEX(avoidedcosttbl3,ROUNDDOWN($H20,0),BZ$2)))))*ADRYr3!P20*ADRYr3!Q20*ADRYr3!U20)</f>
        <v/>
      </c>
      <c r="CA20" s="28" t="str">
        <f>IF($G20="","",$G20*(IF(ADRYr3!$AI20=CA$4,ADRYr3!$AJ20,IF(ADRYr3!$AK20=CA$4,ADRYr3!$AL20,IF(ADRYr3!$AM20=CA$4,ADRYr3!$AN20,0))))*(INDEX(avoidedcosttbl3,$H20,CA$2)+(($H20-ROUNDDOWN($H20,0))*(INDEX(avoidedcosttbl3,ROUNDUP($H20,0),CA$2)-(INDEX(avoidedcosttbl3,ROUNDDOWN($H20,0),CA$2)))))*ADRYr3!P20*ADRYr3!Q20*ADRYr3!U20)</f>
        <v/>
      </c>
      <c r="CB20" s="28" t="str">
        <f>IF($G20="","",$G20*(IF(ADRYr3!$AI20=CB$4,ADRYr3!$AJ20,IF(ADRYr3!$AK20=CB$4,ADRYr3!$AL20,IF(ADRYr3!$AM20=CB$4,ADRYr3!$AN20,0))))*(INDEX(avoidedcosttbl3,$H20,CB$2)+(($H20-ROUNDDOWN($H20,0))*(INDEX(avoidedcosttbl3,ROUNDUP($H20,0),CB$2)-(INDEX(avoidedcosttbl3,ROUNDDOWN($H20,0),CB$2)))))*ADRYr3!P20*ADRYr3!Q20*ADRYr3!U20)</f>
        <v/>
      </c>
      <c r="CC20" s="28" t="str">
        <f>IF($G20="","",$G20*(IF(ADRYr3!$AI20=CC$4,ADRYr3!$AJ20,IF(ADRYr3!$AK20=CC$4,ADRYr3!$AL20,IF(ADRYr3!$AM20=CC$4,ADRYr3!$AN20,0))))*(INDEX(avoidedcosttbl3,$H20,CC$2)+(($H20-ROUNDDOWN($H20,0))*(INDEX(avoidedcosttbl3,ROUNDUP($H20,0),CC$2)-(INDEX(avoidedcosttbl3,ROUNDDOWN($H20,0),CC$2)))))*ADRYr3!P20*ADRYr3!Q20*ADRYr3!U20)</f>
        <v/>
      </c>
      <c r="CD20" s="28" t="str">
        <f>IF($G20="","",$G20*(IF(ADRYr3!$AI20=CD$4,ADRYr3!$AJ20,IF(ADRYr3!$AK20=CD$4,ADRYr3!$AL20,IF(ADRYr3!$AM20=CD$4,ADRYr3!$AN20,0))))*(INDEX(avoidedcosttbl3,$H20,CD$2)+(($H20-ROUNDDOWN($H20,0))*(INDEX(avoidedcosttbl3,ROUNDUP($H20,0),CD$2)-(INDEX(avoidedcosttbl3,ROUNDDOWN($H20,0),CD$2)))))*ADRYr3!P20*ADRYr3!Q20*ADRYr3!U20)</f>
        <v/>
      </c>
      <c r="CE20" s="28" t="str">
        <f>IF($G20="","",$G20*(IF(ADRYr3!$AI20=CE$4,ADRYr3!$AJ20,IF(ADRYr3!$AK20=CE$4,ADRYr3!$AL20,IF(ADRYr3!$AM20=CE$4,ADRYr3!$AN20,0))))*(INDEX(avoidedcosttbl3,$H20,CE$2)+(($H20-ROUNDDOWN($H20,0))*(INDEX(avoidedcosttbl3,ROUNDUP($H20,0),CE$2)-(INDEX(avoidedcosttbl3,ROUNDDOWN($H20,0),CE$2)))))*ADRYr3!P20*ADRYr3!Q20*ADRYr3!U20)</f>
        <v/>
      </c>
      <c r="CF20" s="41" t="str">
        <f t="shared" si="72"/>
        <v/>
      </c>
      <c r="CG20" s="30" t="str">
        <f t="shared" si="10"/>
        <v/>
      </c>
      <c r="CH20" s="30" t="str">
        <f>IF($G20="","",$G20*(IF(ADRYr3!$AI20=BY$4,ADRYr3!$AJ20,IF(ADRYr3!$AK20=BY$4,ADRYr3!$AL20,IF(ADRYr3!$AM20=BY$4,ADRYr3!$AN20,0))))*(INDEX(avoidedcosttbl3,$H20,CH$2)+(($H20-ROUNDDOWN($H20,0))*(INDEX(avoidedcosttbl3,ROUNDUP($H20,0),CH$2)-(INDEX(avoidedcosttbl3,ROUNDDOWN($H20,0),CH$2)))))*ADRYr3!P20*ADRYr3!Q20*ADRYr3!U20)</f>
        <v/>
      </c>
      <c r="CI20" s="30" t="str">
        <f>IF($G20="","",$G20*(IF(ADRYr3!$AI20=BZ$4,ADRYr3!$AJ20,IF(ADRYr3!$AK20=BZ$4,ADRYr3!$AL20,IF(ADRYr3!$AM20=BZ$4,ADRYr3!$AN20,0))))*(INDEX(avoidedcosttbl3,$H20,CI$2)+(($H20-ROUNDDOWN($H20,0))*(INDEX(avoidedcosttbl3,ROUNDUP($H20,0),CI$2)-(INDEX(avoidedcosttbl3,ROUNDDOWN($H20,0),CI$2)))))*ADRYr3!P20*ADRYr3!Q20*ADRYr3!U20)</f>
        <v/>
      </c>
      <c r="CJ20" s="30" t="str">
        <f>IF($G20="","",$G20*(IF(ADRYr3!$AI20=CA$4,ADRYr3!$AJ20,IF(ADRYr3!$AK20=CA$4,ADRYr3!$AL20,IF(ADRYr3!$AM20=CA$4,ADRYr3!$AN20,0))))*(INDEX(avoidedcosttbl3,$H20,CJ$2)+(($H20-ROUNDDOWN($H20,0))*(INDEX(avoidedcosttbl3,ROUNDUP($H20,0),CJ$2)-(INDEX(avoidedcosttbl3,ROUNDDOWN($H20,0),CJ$2)))))*ADRYr3!P20*ADRYr3!Q20*ADRYr3!U20)</f>
        <v/>
      </c>
      <c r="CK20" s="30" t="str">
        <f>IF($G20="","",$G20*(IF(ADRYr3!$AI20=CB$4,ADRYr3!$AJ20,IF(ADRYr3!$AK20=CB$4,ADRYr3!$AL20,IF(ADRYr3!$AM20=CB$4,ADRYr3!$AN20,0))))*(INDEX(avoidedcosttbl3,$H20,CK$2)+(($H20-ROUNDDOWN($H20,0))*(INDEX(avoidedcosttbl3,ROUNDUP($H20,0),CK$2)-(INDEX(avoidedcosttbl3,ROUNDDOWN($H20,0),CK$2)))))*ADRYr3!P20*ADRYr3!Q20*ADRYr3!U20)</f>
        <v/>
      </c>
      <c r="CL20" s="30" t="str">
        <f>IF($G20="","",$G20*(IF(ADRYr3!$AI20=CC$4,ADRYr3!$AJ20,IF(ADRYr3!$AK20=CC$4,ADRYr3!$AL20,IF(ADRYr3!$AM20=CC$4,ADRYr3!$AN20,0))))*(INDEX(avoidedcosttbl3,$H20,CL$2)+(($H20-ROUNDDOWN($H20,0))*(INDEX(avoidedcosttbl3,ROUNDUP($H20,0),CL$2)-(INDEX(avoidedcosttbl3,ROUNDDOWN($H20,0),CL$2)))))*ADRYr3!P20*ADRYr3!Q20*ADRYr3!U20)</f>
        <v/>
      </c>
      <c r="CM20" s="30" t="str">
        <f>IF($G20="","",$G20*(IF(ADRYr3!$AI20=CD$4,ADRYr3!$AJ20,IF(ADRYr3!$AK20=CD$4,ADRYr3!$AL20,IF(ADRYr3!$AM20=CD$4,ADRYr3!$AN20,0))))*(INDEX(avoidedcosttbl3,$H20,CM$2)+(($H20-ROUNDDOWN($H20,0))*(INDEX(avoidedcosttbl3,ROUNDUP($H20,0),CM$2)-(INDEX(avoidedcosttbl3,ROUNDDOWN($H20,0),CM$2)))))*ADRYr3!P20*ADRYr3!Q20*ADRYr3!U20)</f>
        <v/>
      </c>
      <c r="CN20" s="30" t="str">
        <f>IF($G20="","",$G20*(IF(ADRYr3!$AI20=CE$4,ADRYr3!$AJ20,IF(ADRYr3!$AK20=CE$4,ADRYr3!$AL20,IF(ADRYr3!$AM20=CE$4,ADRYr3!$AN20,0))))*(INDEX(avoidedcosttbl3,$H20,CN$2)+(($H20-ROUNDDOWN($H20,0))*(INDEX(avoidedcosttbl3,ROUNDUP($H20,0),CN$2)-(INDEX(avoidedcosttbl3,ROUNDDOWN($H20,0),CN$2)))))*ADRYr3!P20*ADRYr3!Q20*ADRYr3!U20)</f>
        <v/>
      </c>
      <c r="CO20" s="220" t="str">
        <f t="shared" si="73"/>
        <v/>
      </c>
      <c r="CP20" s="220" t="str">
        <f t="shared" si="74"/>
        <v/>
      </c>
      <c r="CQ20" s="157" t="str">
        <f>IF($G20="","",$G20*(IF(ADRYr3!$AI20=CQ$4,ADRYr3!$AJ20,IF(ADRYr3!$AK20=CQ$4,ADRYr3!$AL20,IF(ADRYr3!$AM20=CQ$4,ADRYr3!$AN20,0))))*(INDEX(avoidedcosttbl3,$H20,CQ$2)+(($H20-ROUNDDOWN($H20,0))*(INDEX(avoidedcosttbl3,ROUNDUP($H20,0),CQ$2)-(INDEX(avoidedcosttbl3,ROUNDDOWN($H20,0),CQ$2)))))*ADRYr3!$P20*ADRYr3!$Q20*ADRYr3!$U20)</f>
        <v/>
      </c>
      <c r="CR20" s="28" t="str">
        <f>IF($G20="","",G20*(IF(ADRYr3!$AI20=CR$4,ADRYr3!$AJ20,IF(ADRYr3!$AK20=CR$4,ADRYr3!$AL20,IF(ADRYr3!$AM20=CR$4,ADRYr3!$AN20,0))))*(INDEX(avoidedcosttbl3,$H20,CR$2)+(($H20-ROUNDDOWN($H20,0))*(INDEX(avoidedcosttbl3,ROUNDUP($H20,0),CR$2)-(INDEX(avoidedcosttbl3,ROUNDDOWN($H20,0),CR$2)))))*ADRYr3!$P20*ADRYr3!$Q20*ADRYr3!$U20)</f>
        <v/>
      </c>
      <c r="CS20" s="28" t="str">
        <f>IF($G20="","",G20*(IF(ADRYr3!$AI20=CS$4,ADRYr3!$AJ20,IF(ADRYr3!$AK20=CS$4,ADRYr3!$AL20,IF(ADRYr3!$AM20=CS$4,ADRYr3!$AN20,0))))*(INDEX(avoidedcosttbl3,$H20,CS$2)+(($H20-ROUNDDOWN($H20,0))*(INDEX(avoidedcosttbl3,ROUNDUP($H20,0),CS$2)-(INDEX(avoidedcosttbl3,ROUNDDOWN($H20,0),CS$2)))))*ADRYr3!$P20*ADRYr3!$Q20*ADRYr3!$U20)</f>
        <v/>
      </c>
      <c r="CT20" s="28" t="str">
        <f t="shared" si="11"/>
        <v/>
      </c>
      <c r="CU20" s="28" t="str">
        <f>IF($G20="","",G20*(IF(ADRYr3!$AI20=CU$4,ADRYr3!$AJ20,IF(ADRYr3!$AK20=CU$4,ADRYr3!$AL20,IF(ADRYr3!$AM20=CU$4,ADRYr3!$AN20,0))))*(INDEX(avoidedcosttbl3,$H20,CU$2)+(($H20-ROUNDDOWN($H20,0))*(INDEX(avoidedcosttbl3,ROUNDUP($H20,0),CU$2)-(INDEX(avoidedcosttbl3,ROUNDDOWN($H20,0),CU$2)))))*ADRYr3!$P20*ADRYr3!$Q20*ADRYr3!$U20)</f>
        <v/>
      </c>
      <c r="CV20" s="28" t="str">
        <f>IF($G20="","",G20*(IF(ADRYr3!$AI20=CV$4,ADRYr3!$AJ20,IF(ADRYr3!$AK20=CV$4,ADRYr3!$AL20,IF(ADRYr3!$AM20=CV$4,ADRYr3!$AN20,0))))*(INDEX(avoidedcosttbl3,$H20,CV$2)+(($H20-ROUNDDOWN($H20,0))*(INDEX(avoidedcosttbl3,ROUNDUP($H20,0),CV$2)-(INDEX(avoidedcosttbl3,ROUNDDOWN($H20,0),CV$2)))))*ADRYr3!$P20*ADRYr3!$Q20*ADRYr3!$U20)</f>
        <v/>
      </c>
      <c r="CW20" s="28" t="str">
        <f>IF($G20="","",G20*(IF(ADRYr3!$AI20=CW$4,ADRYr3!$AJ20,IF(ADRYr3!$AK20=CW$4,ADRYr3!$AL20,IF(ADRYr3!$AM20=CW$4,ADRYr3!$AN20,0))))*(INDEX(avoidedcosttbl3,$H20,CW$2)+(($H20-ROUNDDOWN($H20,0))*(INDEX(avoidedcosttbl3,ROUNDUP($H20,0),CW$2)-(INDEX(avoidedcosttbl3,ROUNDDOWN($H20,0),CW$2)))))*ADRYr3!$P20*ADRYr3!$Q20*ADRYr3!$U20)</f>
        <v/>
      </c>
      <c r="CX20" s="28" t="str">
        <f>IF($G20="","",G20*(IF(ADRYr3!$AI20=CX$4,ADRYr3!$AJ20,IF(ADRYr3!$AK20=CX$4,ADRYr3!$AL20,IF(ADRYr3!$AM20=CX$4,ADRYr3!$AN20,0))))*(INDEX(avoidedcosttbl3,$H20,CX$2)+(($H20-ROUNDDOWN($H20,0))*(INDEX(avoidedcosttbl3,ROUNDUP($H20,0),CX$2)-(INDEX(avoidedcosttbl3,ROUNDDOWN($H20,0),CX$2)))))*ADRYr3!$P20*ADRYr3!$Q20*ADRYr3!$U20)</f>
        <v/>
      </c>
      <c r="CY20" s="28" t="str">
        <f t="shared" si="75"/>
        <v/>
      </c>
      <c r="CZ20" s="32" t="str">
        <f t="shared" si="76"/>
        <v/>
      </c>
      <c r="DA20" s="84" t="str">
        <f t="shared" si="77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78"/>
        <v/>
      </c>
      <c r="DD20" s="166" t="str">
        <f t="shared" si="79"/>
        <v/>
      </c>
      <c r="DE20" s="82">
        <f t="shared" si="80"/>
        <v>0</v>
      </c>
      <c r="DF20" s="760" t="str">
        <f>IF($G20="","",(1+WntPeakEnergyLL)*(INDEX(avoidedcosttbl3,$H20,DF$2)+(($H20-ROUNDDOWN($H20,0))*(INDEX(avoidedcosttbl3,ROUNDUP($H20,0),DF$2)-(INDEX(avoidedcosttbl3,ROUNDDOWN($H20,0),DF$2)))))*$P20*1000*ADRYr3!Z20)</f>
        <v/>
      </c>
      <c r="DG20" s="760" t="str">
        <f>IF($G20="","",(1+WntOffPeakEnergyLL)*(INDEX(avoidedcosttbl3,$H20,DG$2)+(($H20-ROUNDDOWN($H20,0))*(INDEX(avoidedcosttbl3,ROUNDUP($H20,0),DG$2)-(INDEX(avoidedcosttbl3,ROUNDDOWN($H20,0),DG$2)))))*$P20*1000*ADRYr3!AA20)</f>
        <v/>
      </c>
      <c r="DH20" s="760" t="str">
        <f>IF($G20="","",(1+SumPeakEnergyLL)*(INDEX(avoidedcosttbl3,$H20,DH$2)+(($H20-ROUNDDOWN($H20,0))*(INDEX(avoidedcosttbl3,ROUNDUP($H20,0),DH$2)-(INDEX(avoidedcosttbl3,ROUNDDOWN($H20,0),DH$2)))))*$P20*1000*ADRYr3!AB20)</f>
        <v/>
      </c>
      <c r="DI20" s="760" t="str">
        <f>IF($G20="","",(1+SumOffPeakEnergyLL)*(INDEX(avoidedcosttbl3,$H20,DI$2)+(($H20-ROUNDDOWN($H20,0))*(INDEX(avoidedcosttbl3,ROUNDUP($H20,0),DI$2)-(INDEX(avoidedcosttbl3,ROUNDDOWN($H20,0),DI$2)))))*$P20*1000*ADRYr3!AC20)</f>
        <v/>
      </c>
      <c r="DJ20" s="29" t="str">
        <f t="shared" si="81"/>
        <v/>
      </c>
      <c r="DK20" s="161" t="str">
        <f t="shared" si="45"/>
        <v/>
      </c>
      <c r="DL20" s="1375" t="str">
        <f t="shared" si="46"/>
        <v/>
      </c>
      <c r="DM20" s="1375" t="str">
        <f t="shared" si="47"/>
        <v/>
      </c>
      <c r="DN20" s="43" t="str">
        <f t="shared" si="48"/>
        <v/>
      </c>
      <c r="DO20" s="1131" t="str">
        <f>IF($G20="","",ADRYr3!AQ20)</f>
        <v/>
      </c>
      <c r="DP20" s="1133" t="str">
        <f>IF($G20="","",ADRYr3!AR20)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49"/>
        <v/>
      </c>
      <c r="DU20" s="1135" t="str">
        <f>IF($G20="","",ADRYr3!AS20)</f>
        <v/>
      </c>
      <c r="DV20" s="1136" t="str">
        <f>IF($G20="","",ADRYr3!AT20)</f>
        <v/>
      </c>
      <c r="DW20" s="1344" t="str">
        <f>IF($G20="","",INDEX(AvoidedEnergy!$H$4:$H$10,MATCH($DO20,AvoidedEnergy!$A$4:$A$10,0)))</f>
        <v/>
      </c>
    </row>
    <row r="21" spans="1:127">
      <c r="A21" s="160" t="str">
        <f>IF(ADRYr3!$B21=0,"",ADRYr3!A21)</f>
        <v>B - Low-Income</v>
      </c>
      <c r="B21" s="9" t="str">
        <f>IF(ADRYr3!$B21=0,"",ADRYr3!B21)</f>
        <v>Home Energy Assistance</v>
      </c>
      <c r="C21" s="9" t="str">
        <f>IF(ADRYr3!$B21=0,"",ADRYr3!C21)</f>
        <v>Res Demand Response</v>
      </c>
      <c r="D21" s="9" t="str">
        <f>IF(ADRYr3!$B21=0,"",ADRYr3!D21)</f>
        <v>Storage Daily Dispatch Upfront Incentive (savings) Winter</v>
      </c>
      <c r="E21" s="9">
        <f>IF(ADRYr3!$B21=0,"",ADRYr3!E21)</f>
        <v>0</v>
      </c>
      <c r="F21" s="11" t="str">
        <f>IF(ADRYr3!$B21=0,"",ADRYr3!F21)</f>
        <v>Behavior</v>
      </c>
      <c r="G21" s="12" t="str">
        <f>IF(ADRYr3!$G21&lt;&gt;0,ADRYr3!G21,"")</f>
        <v/>
      </c>
      <c r="H21" s="1125" t="str">
        <f>IF($G21="","",ROUND(ADRYr3!H21,0))</f>
        <v/>
      </c>
      <c r="I21" s="47" t="str">
        <f>IF($G21="","",ADRYr3!I21*ADRYr3!P21*G21)</f>
        <v/>
      </c>
      <c r="J21" s="47" t="str">
        <f>IF($G21="","",ADRYr3!J21*G21)</f>
        <v/>
      </c>
      <c r="K21" s="47" t="str">
        <f t="shared" si="50"/>
        <v/>
      </c>
      <c r="L21" s="27" t="str">
        <f>IF($G21="","",ADRYr3!V21*G21/1000)</f>
        <v/>
      </c>
      <c r="M21" s="27" t="str">
        <f>IF($G21="","",L21*ADRYr3!$Q21*ADRYr3!$R21)</f>
        <v/>
      </c>
      <c r="N21" s="27" t="str">
        <f t="shared" si="51"/>
        <v/>
      </c>
      <c r="O21" s="27" t="str">
        <f t="shared" si="52"/>
        <v/>
      </c>
      <c r="P21" s="27" t="str">
        <f>IF($G21="","",M21*ADRYr3!P21)</f>
        <v/>
      </c>
      <c r="Q21" s="27" t="str">
        <f t="shared" si="53"/>
        <v/>
      </c>
      <c r="R21" s="27" t="str">
        <f>IF($G21="","",$Q21*ADRYr3!Z21)</f>
        <v/>
      </c>
      <c r="S21" s="27" t="str">
        <f>IF($G21="","",$Q21*ADRYr3!AA21)</f>
        <v/>
      </c>
      <c r="T21" s="27" t="str">
        <f>IF($G21="","",$Q21*ADRYr3!AB21)</f>
        <v/>
      </c>
      <c r="U21" s="27" t="str">
        <f>IF($G21="","",$Q21*ADRYr3!AC21)</f>
        <v/>
      </c>
      <c r="V21" s="27" t="str">
        <f>IF($G21="","",G21*ADRYr3!$AD21*ADRYr3!$P21*ADRYr3!$Q21)</f>
        <v/>
      </c>
      <c r="W21" s="27" t="str">
        <f>IF($G21="","",$G21*ADRYr3!$AD21*ADRYr3!$AF21*ADRYr3!Q21*ADRYr3!$S21)</f>
        <v/>
      </c>
      <c r="X21" s="27" t="str">
        <f>IF($G21="","",$G21*ADRYr3!$AD21*ADRYr3!$AF21*ADRYr3!P21*ADRYr3!Q21*ADRYr3!$S21)</f>
        <v/>
      </c>
      <c r="Y21" s="27" t="str">
        <f>IF($G21="","",$G21*ADRYr3!$AD21*ADRYr3!$AE21*ADRYr3!Q21*ADRYr3!$T21)</f>
        <v/>
      </c>
      <c r="Z21" s="27" t="str">
        <f>IF($G21="","",$G21*ADRYr3!$AD21*ADRYr3!$AE21*ADRYr3!P21*ADRYr3!Q21*ADRYr3!$T21)</f>
        <v/>
      </c>
      <c r="AA21" s="45" t="str">
        <f>IF($G21="","",$G21*ADRYr3!$Q21*ADRYr3!$U21*(IF(IFERROR(SEARCH("NG", ADRYr3!$AI21),0),ADRYr3!$AJ21,0)+IF(IFERROR(SEARCH("NG", ADRYr3!$AK21),0),ADRYr3!$AL21,0)+IF(IFERROR(SEARCH("NG", ADRYr3!$AM21),0),ADRYr3!$AN21,0)))</f>
        <v/>
      </c>
      <c r="AB21" s="45" t="str">
        <f t="shared" si="54"/>
        <v/>
      </c>
      <c r="AC21" s="45">
        <f>IF($G21="",0,AA21*ADRYr3!$P21)</f>
        <v>0</v>
      </c>
      <c r="AD21" s="45" t="str">
        <f t="shared" si="55"/>
        <v/>
      </c>
      <c r="AE21" s="45" t="str">
        <f>IF($G21="","",$G21*ADRYr3!$Q21*ADRYr3!$U21*(IF(IFERROR(SEARCH("Oil", ADRYr3!$AI21), 0),ADRYr3!$AJ21,0)+IF(IFERROR(SEARCH("Oil", ADRYr3!$AK21), 0),ADRYr3!$AL21,0)+IF(IFERROR(SEARCH("Oil", ADRYr3!$AM21), 0),ADRYr3!$AN21,0)))</f>
        <v/>
      </c>
      <c r="AF21" s="45" t="str">
        <f t="shared" si="56"/>
        <v/>
      </c>
      <c r="AG21" s="45">
        <f>IF($G21="",0,AE21*ADRYr3!$P21)</f>
        <v>0</v>
      </c>
      <c r="AH21" s="45" t="str">
        <f t="shared" si="57"/>
        <v/>
      </c>
      <c r="AI21" s="45" t="str">
        <f>IF($G21="","",$G21*ADRYr3!$Q21*ADRYr3!$U21*(IF(ADRYr3!$AI21=Lookups!$E$114,ADRYr3!$AJ21,IF(ADRYr3!$AK21=Lookups!$E$114,ADRYr3!$AL21,IF(ADRYr3!$AM21=Lookups!$E$114,ADRYr3!$AN21,0)))))</f>
        <v/>
      </c>
      <c r="AJ21" s="45" t="str">
        <f t="shared" si="58"/>
        <v/>
      </c>
      <c r="AK21" s="45">
        <f>IF($G21="",0,AI21*ADRYr3!$P21)</f>
        <v>0</v>
      </c>
      <c r="AL21" s="45" t="str">
        <f t="shared" si="59"/>
        <v/>
      </c>
      <c r="AM21" s="45" t="str">
        <f>IF($G21="","",$G21*ADRYr3!$Q21*ADRYr3!$U21*(IF(ADRYr3!$AI21=Lookups!$E$113,ADRYr3!$AJ21,IF(ADRYr3!$AK21=Lookups!$E$113,ADRYr3!$AL21,IF(ADRYr3!$AM21=Lookups!$E$113,ADRYr3!$AN21,0)))))</f>
        <v/>
      </c>
      <c r="AN21" s="45" t="str">
        <f t="shared" si="60"/>
        <v/>
      </c>
      <c r="AO21" s="45">
        <f>IF($G21="",0,AM21*ADRYr3!$P21)</f>
        <v>0</v>
      </c>
      <c r="AP21" s="45" t="str">
        <f t="shared" si="61"/>
        <v/>
      </c>
      <c r="AQ21" s="45" t="str">
        <f>IF($G21="","",$G21*ADRYr3!$Q21*ADRYr3!$U21*(IF(ADRYr3!$AI21=Lookups!$E$115,ADRYr3!$AJ21,IF(ADRYr3!$AK21=Lookups!$E$115,ADRYr3!$AL21,IF(ADRYr3!$AM21=Lookups!$E$115,ADRYr3!$AN21,0)))))</f>
        <v/>
      </c>
      <c r="AR21" s="45" t="str">
        <f t="shared" si="62"/>
        <v/>
      </c>
      <c r="AS21" s="45" t="str">
        <f>IF($G21="","",AQ21*ADRYr3!$P21)</f>
        <v/>
      </c>
      <c r="AT21" s="45" t="str">
        <f t="shared" si="63"/>
        <v/>
      </c>
      <c r="AU21" s="45" t="str">
        <f>IF($G21="","",$G21*ADRYr3!$Q21*ADRYr3!$U21*(IF(ADRYr3!$AI21=Lookups!$E$116,ADRYr3!$AJ21,IF(ADRYr3!$AK21=Lookups!$E$116,ADRYr3!$AL21,IF(ADRYr3!$AM21=Lookups!$E$116,ADRYr3!$AN21,0)))))</f>
        <v/>
      </c>
      <c r="AV21" s="45" t="str">
        <f t="shared" si="64"/>
        <v/>
      </c>
      <c r="AW21" s="45" t="str">
        <f>IF($G21="","",AU21*ADRYr3!$P21)</f>
        <v/>
      </c>
      <c r="AX21" s="45" t="str">
        <f t="shared" si="65"/>
        <v/>
      </c>
      <c r="AY21" s="45">
        <f t="shared" si="66"/>
        <v>0</v>
      </c>
      <c r="AZ21" s="45">
        <f t="shared" si="67"/>
        <v>0</v>
      </c>
      <c r="BA21" s="101" t="str">
        <f>IF($G21="","",$G21*ADRYr3!$P21*ADRYr3!$Q21*ADRYr3!$U21*ADRYr3!AO21)</f>
        <v/>
      </c>
      <c r="BB21" s="102" t="str">
        <f>IF($G21="","",$G21*ADRYr3!$P21*ADRYr3!$Q21*ADRYr3!$U21*ADRYr3!AP21)</f>
        <v/>
      </c>
      <c r="BC21" s="100" t="str">
        <f t="shared" si="68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31"/>
        <v/>
      </c>
      <c r="BO21" s="31" t="str">
        <f t="shared" si="69"/>
        <v/>
      </c>
      <c r="BP21" s="1129" t="str">
        <f t="shared" si="5"/>
        <v/>
      </c>
      <c r="BQ21" s="28" t="str">
        <f t="shared" si="6"/>
        <v/>
      </c>
      <c r="BR21" s="1129" t="str">
        <f t="shared" si="7"/>
        <v/>
      </c>
      <c r="BS21" s="1129" t="str">
        <f t="shared" si="8"/>
        <v/>
      </c>
      <c r="BT21" s="28" t="str">
        <f t="shared" si="9"/>
        <v/>
      </c>
      <c r="BU21" s="28" t="str">
        <f t="shared" si="9"/>
        <v/>
      </c>
      <c r="BV21" s="28" t="str">
        <f t="shared" si="9"/>
        <v/>
      </c>
      <c r="BW21" s="29" t="str">
        <f t="shared" si="70"/>
        <v/>
      </c>
      <c r="BX21" s="29" t="str">
        <f t="shared" si="71"/>
        <v/>
      </c>
      <c r="BY21" s="28" t="str">
        <f>IF($G21="","",$G21*(IF(ADRYr3!$AI21=BY$4,ADRYr3!$AJ21,IF(ADRYr3!$AK21=BY$4,ADRYr3!$AL21,IF(ADRYr3!$AM21=BY$4,ADRYr3!$AN21,0))))*(INDEX(avoidedcosttbl3,$H21,BY$2)+(($H21-ROUNDDOWN($H21,0))*(INDEX(avoidedcosttbl3,ROUNDUP($H21,0),BY$2)-(INDEX(avoidedcosttbl3,ROUNDDOWN($H21,0),BY$2)))))*ADRYr3!P21*ADRYr3!Q21*ADRYr3!U21)</f>
        <v/>
      </c>
      <c r="BZ21" s="28" t="str">
        <f>IF($G21="","",$G21*(IF(ADRYr3!$AI21=BZ$4,ADRYr3!$AJ21,IF(ADRYr3!$AK21=BZ$4,ADRYr3!$AL21,IF(ADRYr3!$AM21=BZ$4,ADRYr3!$AN21,0))))*(INDEX(avoidedcosttbl3,$H21,BZ$2)+(($H21-ROUNDDOWN($H21,0))*(INDEX(avoidedcosttbl3,ROUNDUP($H21,0),BZ$2)-(INDEX(avoidedcosttbl3,ROUNDDOWN($H21,0),BZ$2)))))*ADRYr3!P21*ADRYr3!Q21*ADRYr3!U21)</f>
        <v/>
      </c>
      <c r="CA21" s="28" t="str">
        <f>IF($G21="","",$G21*(IF(ADRYr3!$AI21=CA$4,ADRYr3!$AJ21,IF(ADRYr3!$AK21=CA$4,ADRYr3!$AL21,IF(ADRYr3!$AM21=CA$4,ADRYr3!$AN21,0))))*(INDEX(avoidedcosttbl3,$H21,CA$2)+(($H21-ROUNDDOWN($H21,0))*(INDEX(avoidedcosttbl3,ROUNDUP($H21,0),CA$2)-(INDEX(avoidedcosttbl3,ROUNDDOWN($H21,0),CA$2)))))*ADRYr3!P21*ADRYr3!Q21*ADRYr3!U21)</f>
        <v/>
      </c>
      <c r="CB21" s="28" t="str">
        <f>IF($G21="","",$G21*(IF(ADRYr3!$AI21=CB$4,ADRYr3!$AJ21,IF(ADRYr3!$AK21=CB$4,ADRYr3!$AL21,IF(ADRYr3!$AM21=CB$4,ADRYr3!$AN21,0))))*(INDEX(avoidedcosttbl3,$H21,CB$2)+(($H21-ROUNDDOWN($H21,0))*(INDEX(avoidedcosttbl3,ROUNDUP($H21,0),CB$2)-(INDEX(avoidedcosttbl3,ROUNDDOWN($H21,0),CB$2)))))*ADRYr3!P21*ADRYr3!Q21*ADRYr3!U21)</f>
        <v/>
      </c>
      <c r="CC21" s="28" t="str">
        <f>IF($G21="","",$G21*(IF(ADRYr3!$AI21=CC$4,ADRYr3!$AJ21,IF(ADRYr3!$AK21=CC$4,ADRYr3!$AL21,IF(ADRYr3!$AM21=CC$4,ADRYr3!$AN21,0))))*(INDEX(avoidedcosttbl3,$H21,CC$2)+(($H21-ROUNDDOWN($H21,0))*(INDEX(avoidedcosttbl3,ROUNDUP($H21,0),CC$2)-(INDEX(avoidedcosttbl3,ROUNDDOWN($H21,0),CC$2)))))*ADRYr3!P21*ADRYr3!Q21*ADRYr3!U21)</f>
        <v/>
      </c>
      <c r="CD21" s="28" t="str">
        <f>IF($G21="","",$G21*(IF(ADRYr3!$AI21=CD$4,ADRYr3!$AJ21,IF(ADRYr3!$AK21=CD$4,ADRYr3!$AL21,IF(ADRYr3!$AM21=CD$4,ADRYr3!$AN21,0))))*(INDEX(avoidedcosttbl3,$H21,CD$2)+(($H21-ROUNDDOWN($H21,0))*(INDEX(avoidedcosttbl3,ROUNDUP($H21,0),CD$2)-(INDEX(avoidedcosttbl3,ROUNDDOWN($H21,0),CD$2)))))*ADRYr3!P21*ADRYr3!Q21*ADRYr3!U21)</f>
        <v/>
      </c>
      <c r="CE21" s="28" t="str">
        <f>IF($G21="","",$G21*(IF(ADRYr3!$AI21=CE$4,ADRYr3!$AJ21,IF(ADRYr3!$AK21=CE$4,ADRYr3!$AL21,IF(ADRYr3!$AM21=CE$4,ADRYr3!$AN21,0))))*(INDEX(avoidedcosttbl3,$H21,CE$2)+(($H21-ROUNDDOWN($H21,0))*(INDEX(avoidedcosttbl3,ROUNDUP($H21,0),CE$2)-(INDEX(avoidedcosttbl3,ROUNDDOWN($H21,0),CE$2)))))*ADRYr3!P21*ADRYr3!Q21*ADRYr3!U21)</f>
        <v/>
      </c>
      <c r="CF21" s="41" t="str">
        <f t="shared" si="72"/>
        <v/>
      </c>
      <c r="CG21" s="30" t="str">
        <f t="shared" si="10"/>
        <v/>
      </c>
      <c r="CH21" s="30" t="str">
        <f>IF($G21="","",$G21*(IF(ADRYr3!$AI21=BY$4,ADRYr3!$AJ21,IF(ADRYr3!$AK21=BY$4,ADRYr3!$AL21,IF(ADRYr3!$AM21=BY$4,ADRYr3!$AN21,0))))*(INDEX(avoidedcosttbl3,$H21,CH$2)+(($H21-ROUNDDOWN($H21,0))*(INDEX(avoidedcosttbl3,ROUNDUP($H21,0),CH$2)-(INDEX(avoidedcosttbl3,ROUNDDOWN($H21,0),CH$2)))))*ADRYr3!P21*ADRYr3!Q21*ADRYr3!U21)</f>
        <v/>
      </c>
      <c r="CI21" s="30" t="str">
        <f>IF($G21="","",$G21*(IF(ADRYr3!$AI21=BZ$4,ADRYr3!$AJ21,IF(ADRYr3!$AK21=BZ$4,ADRYr3!$AL21,IF(ADRYr3!$AM21=BZ$4,ADRYr3!$AN21,0))))*(INDEX(avoidedcosttbl3,$H21,CI$2)+(($H21-ROUNDDOWN($H21,0))*(INDEX(avoidedcosttbl3,ROUNDUP($H21,0),CI$2)-(INDEX(avoidedcosttbl3,ROUNDDOWN($H21,0),CI$2)))))*ADRYr3!P21*ADRYr3!Q21*ADRYr3!U21)</f>
        <v/>
      </c>
      <c r="CJ21" s="30" t="str">
        <f>IF($G21="","",$G21*(IF(ADRYr3!$AI21=CA$4,ADRYr3!$AJ21,IF(ADRYr3!$AK21=CA$4,ADRYr3!$AL21,IF(ADRYr3!$AM21=CA$4,ADRYr3!$AN21,0))))*(INDEX(avoidedcosttbl3,$H21,CJ$2)+(($H21-ROUNDDOWN($H21,0))*(INDEX(avoidedcosttbl3,ROUNDUP($H21,0),CJ$2)-(INDEX(avoidedcosttbl3,ROUNDDOWN($H21,0),CJ$2)))))*ADRYr3!P21*ADRYr3!Q21*ADRYr3!U21)</f>
        <v/>
      </c>
      <c r="CK21" s="30" t="str">
        <f>IF($G21="","",$G21*(IF(ADRYr3!$AI21=CB$4,ADRYr3!$AJ21,IF(ADRYr3!$AK21=CB$4,ADRYr3!$AL21,IF(ADRYr3!$AM21=CB$4,ADRYr3!$AN21,0))))*(INDEX(avoidedcosttbl3,$H21,CK$2)+(($H21-ROUNDDOWN($H21,0))*(INDEX(avoidedcosttbl3,ROUNDUP($H21,0),CK$2)-(INDEX(avoidedcosttbl3,ROUNDDOWN($H21,0),CK$2)))))*ADRYr3!P21*ADRYr3!Q21*ADRYr3!U21)</f>
        <v/>
      </c>
      <c r="CL21" s="30" t="str">
        <f>IF($G21="","",$G21*(IF(ADRYr3!$AI21=CC$4,ADRYr3!$AJ21,IF(ADRYr3!$AK21=CC$4,ADRYr3!$AL21,IF(ADRYr3!$AM21=CC$4,ADRYr3!$AN21,0))))*(INDEX(avoidedcosttbl3,$H21,CL$2)+(($H21-ROUNDDOWN($H21,0))*(INDEX(avoidedcosttbl3,ROUNDUP($H21,0),CL$2)-(INDEX(avoidedcosttbl3,ROUNDDOWN($H21,0),CL$2)))))*ADRYr3!P21*ADRYr3!Q21*ADRYr3!U21)</f>
        <v/>
      </c>
      <c r="CM21" s="30" t="str">
        <f>IF($G21="","",$G21*(IF(ADRYr3!$AI21=CD$4,ADRYr3!$AJ21,IF(ADRYr3!$AK21=CD$4,ADRYr3!$AL21,IF(ADRYr3!$AM21=CD$4,ADRYr3!$AN21,0))))*(INDEX(avoidedcosttbl3,$H21,CM$2)+(($H21-ROUNDDOWN($H21,0))*(INDEX(avoidedcosttbl3,ROUNDUP($H21,0),CM$2)-(INDEX(avoidedcosttbl3,ROUNDDOWN($H21,0),CM$2)))))*ADRYr3!P21*ADRYr3!Q21*ADRYr3!U21)</f>
        <v/>
      </c>
      <c r="CN21" s="30" t="str">
        <f>IF($G21="","",$G21*(IF(ADRYr3!$AI21=CE$4,ADRYr3!$AJ21,IF(ADRYr3!$AK21=CE$4,ADRYr3!$AL21,IF(ADRYr3!$AM21=CE$4,ADRYr3!$AN21,0))))*(INDEX(avoidedcosttbl3,$H21,CN$2)+(($H21-ROUNDDOWN($H21,0))*(INDEX(avoidedcosttbl3,ROUNDUP($H21,0),CN$2)-(INDEX(avoidedcosttbl3,ROUNDDOWN($H21,0),CN$2)))))*ADRYr3!P21*ADRYr3!Q21*ADRYr3!U21)</f>
        <v/>
      </c>
      <c r="CO21" s="220" t="str">
        <f t="shared" si="73"/>
        <v/>
      </c>
      <c r="CP21" s="220" t="str">
        <f t="shared" si="74"/>
        <v/>
      </c>
      <c r="CQ21" s="157" t="str">
        <f>IF($G21="","",$G21*(IF(ADRYr3!$AI21=CQ$4,ADRYr3!$AJ21,IF(ADRYr3!$AK21=CQ$4,ADRYr3!$AL21,IF(ADRYr3!$AM21=CQ$4,ADRYr3!$AN21,0))))*(INDEX(avoidedcosttbl3,$H21,CQ$2)+(($H21-ROUNDDOWN($H21,0))*(INDEX(avoidedcosttbl3,ROUNDUP($H21,0),CQ$2)-(INDEX(avoidedcosttbl3,ROUNDDOWN($H21,0),CQ$2)))))*ADRYr3!$P21*ADRYr3!$Q21*ADRYr3!$U21)</f>
        <v/>
      </c>
      <c r="CR21" s="28" t="str">
        <f>IF($G21="","",G21*(IF(ADRYr3!$AI21=CR$4,ADRYr3!$AJ21,IF(ADRYr3!$AK21=CR$4,ADRYr3!$AL21,IF(ADRYr3!$AM21=CR$4,ADRYr3!$AN21,0))))*(INDEX(avoidedcosttbl3,$H21,CR$2)+(($H21-ROUNDDOWN($H21,0))*(INDEX(avoidedcosttbl3,ROUNDUP($H21,0),CR$2)-(INDEX(avoidedcosttbl3,ROUNDDOWN($H21,0),CR$2)))))*ADRYr3!$P21*ADRYr3!$Q21*ADRYr3!$U21)</f>
        <v/>
      </c>
      <c r="CS21" s="28" t="str">
        <f>IF($G21="","",G21*(IF(ADRYr3!$AI21=CS$4,ADRYr3!$AJ21,IF(ADRYr3!$AK21=CS$4,ADRYr3!$AL21,IF(ADRYr3!$AM21=CS$4,ADRYr3!$AN21,0))))*(INDEX(avoidedcosttbl3,$H21,CS$2)+(($H21-ROUNDDOWN($H21,0))*(INDEX(avoidedcosttbl3,ROUNDUP($H21,0),CS$2)-(INDEX(avoidedcosttbl3,ROUNDDOWN($H21,0),CS$2)))))*ADRYr3!$P21*ADRYr3!$Q21*ADRYr3!$U21)</f>
        <v/>
      </c>
      <c r="CT21" s="28" t="str">
        <f t="shared" si="11"/>
        <v/>
      </c>
      <c r="CU21" s="28" t="str">
        <f>IF($G21="","",G21*(IF(ADRYr3!$AI21=CU$4,ADRYr3!$AJ21,IF(ADRYr3!$AK21=CU$4,ADRYr3!$AL21,IF(ADRYr3!$AM21=CU$4,ADRYr3!$AN21,0))))*(INDEX(avoidedcosttbl3,$H21,CU$2)+(($H21-ROUNDDOWN($H21,0))*(INDEX(avoidedcosttbl3,ROUNDUP($H21,0),CU$2)-(INDEX(avoidedcosttbl3,ROUNDDOWN($H21,0),CU$2)))))*ADRYr3!$P21*ADRYr3!$Q21*ADRYr3!$U21)</f>
        <v/>
      </c>
      <c r="CV21" s="28" t="str">
        <f>IF($G21="","",G21*(IF(ADRYr3!$AI21=CV$4,ADRYr3!$AJ21,IF(ADRYr3!$AK21=CV$4,ADRYr3!$AL21,IF(ADRYr3!$AM21=CV$4,ADRYr3!$AN21,0))))*(INDEX(avoidedcosttbl3,$H21,CV$2)+(($H21-ROUNDDOWN($H21,0))*(INDEX(avoidedcosttbl3,ROUNDUP($H21,0),CV$2)-(INDEX(avoidedcosttbl3,ROUNDDOWN($H21,0),CV$2)))))*ADRYr3!$P21*ADRYr3!$Q21*ADRYr3!$U21)</f>
        <v/>
      </c>
      <c r="CW21" s="28" t="str">
        <f>IF($G21="","",G21*(IF(ADRYr3!$AI21=CW$4,ADRYr3!$AJ21,IF(ADRYr3!$AK21=CW$4,ADRYr3!$AL21,IF(ADRYr3!$AM21=CW$4,ADRYr3!$AN21,0))))*(INDEX(avoidedcosttbl3,$H21,CW$2)+(($H21-ROUNDDOWN($H21,0))*(INDEX(avoidedcosttbl3,ROUNDUP($H21,0),CW$2)-(INDEX(avoidedcosttbl3,ROUNDDOWN($H21,0),CW$2)))))*ADRYr3!$P21*ADRYr3!$Q21*ADRYr3!$U21)</f>
        <v/>
      </c>
      <c r="CX21" s="28" t="str">
        <f>IF($G21="","",G21*(IF(ADRYr3!$AI21=CX$4,ADRYr3!$AJ21,IF(ADRYr3!$AK21=CX$4,ADRYr3!$AL21,IF(ADRYr3!$AM21=CX$4,ADRYr3!$AN21,0))))*(INDEX(avoidedcosttbl3,$H21,CX$2)+(($H21-ROUNDDOWN($H21,0))*(INDEX(avoidedcosttbl3,ROUNDUP($H21,0),CX$2)-(INDEX(avoidedcosttbl3,ROUNDDOWN($H21,0),CX$2)))))*ADRYr3!$P21*ADRYr3!$Q21*ADRYr3!$U21)</f>
        <v/>
      </c>
      <c r="CY21" s="28" t="str">
        <f t="shared" si="75"/>
        <v/>
      </c>
      <c r="CZ21" s="32" t="str">
        <f t="shared" si="76"/>
        <v/>
      </c>
      <c r="DA21" s="84" t="str">
        <f t="shared" si="77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78"/>
        <v/>
      </c>
      <c r="DD21" s="166" t="str">
        <f t="shared" si="79"/>
        <v/>
      </c>
      <c r="DE21" s="82">
        <f t="shared" si="80"/>
        <v>0</v>
      </c>
      <c r="DF21" s="760" t="str">
        <f>IF($G21="","",(1+WntPeakEnergyLL)*(INDEX(avoidedcosttbl3,$H21,DF$2)+(($H21-ROUNDDOWN($H21,0))*(INDEX(avoidedcosttbl3,ROUNDUP($H21,0),DF$2)-(INDEX(avoidedcosttbl3,ROUNDDOWN($H21,0),DF$2)))))*$P21*1000*ADRYr3!Z21)</f>
        <v/>
      </c>
      <c r="DG21" s="760" t="str">
        <f>IF($G21="","",(1+WntOffPeakEnergyLL)*(INDEX(avoidedcosttbl3,$H21,DG$2)+(($H21-ROUNDDOWN($H21,0))*(INDEX(avoidedcosttbl3,ROUNDUP($H21,0),DG$2)-(INDEX(avoidedcosttbl3,ROUNDDOWN($H21,0),DG$2)))))*$P21*1000*ADRYr3!AA21)</f>
        <v/>
      </c>
      <c r="DH21" s="760" t="str">
        <f>IF($G21="","",(1+SumPeakEnergyLL)*(INDEX(avoidedcosttbl3,$H21,DH$2)+(($H21-ROUNDDOWN($H21,0))*(INDEX(avoidedcosttbl3,ROUNDUP($H21,0),DH$2)-(INDEX(avoidedcosttbl3,ROUNDDOWN($H21,0),DH$2)))))*$P21*1000*ADRYr3!AB21)</f>
        <v/>
      </c>
      <c r="DI21" s="760" t="str">
        <f>IF($G21="","",(1+SumOffPeakEnergyLL)*(INDEX(avoidedcosttbl3,$H21,DI$2)+(($H21-ROUNDDOWN($H21,0))*(INDEX(avoidedcosttbl3,ROUNDUP($H21,0),DI$2)-(INDEX(avoidedcosttbl3,ROUNDDOWN($H21,0),DI$2)))))*$P21*1000*ADRYr3!AC21)</f>
        <v/>
      </c>
      <c r="DJ21" s="29" t="str">
        <f t="shared" si="81"/>
        <v/>
      </c>
      <c r="DK21" s="161" t="str">
        <f t="shared" si="45"/>
        <v/>
      </c>
      <c r="DL21" s="1375" t="str">
        <f t="shared" si="46"/>
        <v/>
      </c>
      <c r="DM21" s="1375" t="str">
        <f t="shared" si="47"/>
        <v/>
      </c>
      <c r="DN21" s="43" t="str">
        <f t="shared" si="48"/>
        <v/>
      </c>
      <c r="DO21" s="1131" t="str">
        <f>IF($G21="","",ADRYr3!AQ21)</f>
        <v/>
      </c>
      <c r="DP21" s="1133" t="str">
        <f>IF($G21="","",ADRYr3!AR21)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49"/>
        <v/>
      </c>
      <c r="DU21" s="1135" t="str">
        <f>IF($G21="","",ADRYr3!AS21)</f>
        <v/>
      </c>
      <c r="DV21" s="1136" t="str">
        <f>IF($G21="","",ADRYr3!AT21)</f>
        <v/>
      </c>
      <c r="DW21" s="1344" t="str">
        <f>IF($G21="","",INDEX(AvoidedEnergy!$H$4:$H$10,MATCH($DO21,AvoidedEnergy!$A$4:$A$10,0)))</f>
        <v/>
      </c>
    </row>
    <row r="22" spans="1:127">
      <c r="A22" s="160" t="str">
        <f>IF(ADRYr3!$B22=0,"",ADRYr3!A22)</f>
        <v>B - Low-Income</v>
      </c>
      <c r="B22" s="9" t="str">
        <f>IF(ADRYr3!$B22=0,"",ADRYr3!B22)</f>
        <v>Home Energy Assistance</v>
      </c>
      <c r="C22" s="9" t="str">
        <f>IF(ADRYr3!$B22=0,"",ADRYr3!C22)</f>
        <v>Res Demand Response</v>
      </c>
      <c r="D22" s="9" t="str">
        <f>IF(ADRYr3!$B22=0,"",ADRYr3!D22)</f>
        <v>Storage Daily Dispatch Upfront Incentive (consumption) Winter</v>
      </c>
      <c r="E22" s="9">
        <f>IF(ADRYr3!$B22=0,"",ADRYr3!E22)</f>
        <v>0</v>
      </c>
      <c r="F22" s="11" t="str">
        <f>IF(ADRYr3!$B22=0,"",ADRYr3!F22)</f>
        <v>Behavior</v>
      </c>
      <c r="G22" s="12" t="str">
        <f>IF(ADRYr3!$G22&lt;&gt;0,ADRYr3!G22,"")</f>
        <v/>
      </c>
      <c r="H22" s="1125" t="str">
        <f>IF($G22="","",ROUND(ADRYr3!H22,0))</f>
        <v/>
      </c>
      <c r="I22" s="47" t="str">
        <f>IF($G22="","",ADRYr3!I22*ADRYr3!P22*G22)</f>
        <v/>
      </c>
      <c r="J22" s="47" t="str">
        <f>IF($G22="","",ADRYr3!J22*G22)</f>
        <v/>
      </c>
      <c r="K22" s="47" t="str">
        <f t="shared" si="50"/>
        <v/>
      </c>
      <c r="L22" s="27" t="str">
        <f>IF($G22="","",ADRYr3!V22*G22/1000)</f>
        <v/>
      </c>
      <c r="M22" s="27" t="str">
        <f>IF($G22="","",L22*ADRYr3!$Q22*ADRYr3!$R22)</f>
        <v/>
      </c>
      <c r="N22" s="27" t="str">
        <f t="shared" si="51"/>
        <v/>
      </c>
      <c r="O22" s="27" t="str">
        <f t="shared" si="52"/>
        <v/>
      </c>
      <c r="P22" s="27" t="str">
        <f>IF($G22="","",M22*ADRYr3!P22)</f>
        <v/>
      </c>
      <c r="Q22" s="27" t="str">
        <f t="shared" si="53"/>
        <v/>
      </c>
      <c r="R22" s="27" t="str">
        <f>IF($G22="","",$Q22*ADRYr3!Z22)</f>
        <v/>
      </c>
      <c r="S22" s="27" t="str">
        <f>IF($G22="","",$Q22*ADRYr3!AA22)</f>
        <v/>
      </c>
      <c r="T22" s="27" t="str">
        <f>IF($G22="","",$Q22*ADRYr3!AB22)</f>
        <v/>
      </c>
      <c r="U22" s="27" t="str">
        <f>IF($G22="","",$Q22*ADRYr3!AC22)</f>
        <v/>
      </c>
      <c r="V22" s="27" t="str">
        <f>IF($G22="","",G22*ADRYr3!$AD22*ADRYr3!$P22*ADRYr3!$Q22)</f>
        <v/>
      </c>
      <c r="W22" s="27" t="str">
        <f>IF($G22="","",$G22*ADRYr3!$AD22*ADRYr3!$AF22*ADRYr3!Q22*ADRYr3!$S22)</f>
        <v/>
      </c>
      <c r="X22" s="27" t="str">
        <f>IF($G22="","",$G22*ADRYr3!$AD22*ADRYr3!$AF22*ADRYr3!P22*ADRYr3!Q22*ADRYr3!$S22)</f>
        <v/>
      </c>
      <c r="Y22" s="27" t="str">
        <f>IF($G22="","",$G22*ADRYr3!$AD22*ADRYr3!$AE22*ADRYr3!Q22*ADRYr3!$T22)</f>
        <v/>
      </c>
      <c r="Z22" s="27" t="str">
        <f>IF($G22="","",$G22*ADRYr3!$AD22*ADRYr3!$AE22*ADRYr3!P22*ADRYr3!Q22*ADRYr3!$T22)</f>
        <v/>
      </c>
      <c r="AA22" s="45" t="str">
        <f>IF($G22="","",$G22*ADRYr3!$Q22*ADRYr3!$U22*(IF(IFERROR(SEARCH("NG", ADRYr3!$AI22),0),ADRYr3!$AJ22,0)+IF(IFERROR(SEARCH("NG", ADRYr3!$AK22),0),ADRYr3!$AL22,0)+IF(IFERROR(SEARCH("NG", ADRYr3!$AM22),0),ADRYr3!$AN22,0)))</f>
        <v/>
      </c>
      <c r="AB22" s="45" t="str">
        <f t="shared" si="54"/>
        <v/>
      </c>
      <c r="AC22" s="45">
        <f>IF($G22="",0,AA22*ADRYr3!$P22)</f>
        <v>0</v>
      </c>
      <c r="AD22" s="45" t="str">
        <f t="shared" si="55"/>
        <v/>
      </c>
      <c r="AE22" s="45" t="str">
        <f>IF($G22="","",$G22*ADRYr3!$Q22*ADRYr3!$U22*(IF(IFERROR(SEARCH("Oil", ADRYr3!$AI22), 0),ADRYr3!$AJ22,0)+IF(IFERROR(SEARCH("Oil", ADRYr3!$AK22), 0),ADRYr3!$AL22,0)+IF(IFERROR(SEARCH("Oil", ADRYr3!$AM22), 0),ADRYr3!$AN22,0)))</f>
        <v/>
      </c>
      <c r="AF22" s="45" t="str">
        <f t="shared" si="56"/>
        <v/>
      </c>
      <c r="AG22" s="45">
        <f>IF($G22="",0,AE22*ADRYr3!$P22)</f>
        <v>0</v>
      </c>
      <c r="AH22" s="45" t="str">
        <f t="shared" si="57"/>
        <v/>
      </c>
      <c r="AI22" s="45" t="str">
        <f>IF($G22="","",$G22*ADRYr3!$Q22*ADRYr3!$U22*(IF(ADRYr3!$AI22=Lookups!$E$114,ADRYr3!$AJ22,IF(ADRYr3!$AK22=Lookups!$E$114,ADRYr3!$AL22,IF(ADRYr3!$AM22=Lookups!$E$114,ADRYr3!$AN22,0)))))</f>
        <v/>
      </c>
      <c r="AJ22" s="45" t="str">
        <f t="shared" si="58"/>
        <v/>
      </c>
      <c r="AK22" s="45">
        <f>IF($G22="",0,AI22*ADRYr3!$P22)</f>
        <v>0</v>
      </c>
      <c r="AL22" s="45" t="str">
        <f t="shared" si="59"/>
        <v/>
      </c>
      <c r="AM22" s="45" t="str">
        <f>IF($G22="","",$G22*ADRYr3!$Q22*ADRYr3!$U22*(IF(ADRYr3!$AI22=Lookups!$E$113,ADRYr3!$AJ22,IF(ADRYr3!$AK22=Lookups!$E$113,ADRYr3!$AL22,IF(ADRYr3!$AM22=Lookups!$E$113,ADRYr3!$AN22,0)))))</f>
        <v/>
      </c>
      <c r="AN22" s="45" t="str">
        <f t="shared" si="60"/>
        <v/>
      </c>
      <c r="AO22" s="45">
        <f>IF($G22="",0,AM22*ADRYr3!$P22)</f>
        <v>0</v>
      </c>
      <c r="AP22" s="45" t="str">
        <f t="shared" si="61"/>
        <v/>
      </c>
      <c r="AQ22" s="45" t="str">
        <f>IF($G22="","",$G22*ADRYr3!$Q22*ADRYr3!$U22*(IF(ADRYr3!$AI22=Lookups!$E$115,ADRYr3!$AJ22,IF(ADRYr3!$AK22=Lookups!$E$115,ADRYr3!$AL22,IF(ADRYr3!$AM22=Lookups!$E$115,ADRYr3!$AN22,0)))))</f>
        <v/>
      </c>
      <c r="AR22" s="45" t="str">
        <f t="shared" si="62"/>
        <v/>
      </c>
      <c r="AS22" s="45" t="str">
        <f>IF($G22="","",AQ22*ADRYr3!$P22)</f>
        <v/>
      </c>
      <c r="AT22" s="45" t="str">
        <f t="shared" si="63"/>
        <v/>
      </c>
      <c r="AU22" s="45" t="str">
        <f>IF($G22="","",$G22*ADRYr3!$Q22*ADRYr3!$U22*(IF(ADRYr3!$AI22=Lookups!$E$116,ADRYr3!$AJ22,IF(ADRYr3!$AK22=Lookups!$E$116,ADRYr3!$AL22,IF(ADRYr3!$AM22=Lookups!$E$116,ADRYr3!$AN22,0)))))</f>
        <v/>
      </c>
      <c r="AV22" s="45" t="str">
        <f t="shared" si="64"/>
        <v/>
      </c>
      <c r="AW22" s="45" t="str">
        <f>IF($G22="","",AU22*ADRYr3!$P22)</f>
        <v/>
      </c>
      <c r="AX22" s="45" t="str">
        <f t="shared" si="65"/>
        <v/>
      </c>
      <c r="AY22" s="45">
        <f t="shared" si="66"/>
        <v>0</v>
      </c>
      <c r="AZ22" s="45">
        <f t="shared" si="67"/>
        <v>0</v>
      </c>
      <c r="BA22" s="101" t="str">
        <f>IF($G22="","",$G22*ADRYr3!$P22*ADRYr3!$Q22*ADRYr3!$U22*ADRYr3!AO22)</f>
        <v/>
      </c>
      <c r="BB22" s="102" t="str">
        <f>IF($G22="","",$G22*ADRYr3!$P22*ADRYr3!$Q22*ADRYr3!$U22*ADRYr3!AP22)</f>
        <v/>
      </c>
      <c r="BC22" s="100" t="str">
        <f t="shared" si="68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31"/>
        <v/>
      </c>
      <c r="BO22" s="31" t="str">
        <f t="shared" si="69"/>
        <v/>
      </c>
      <c r="BP22" s="1129" t="str">
        <f t="shared" si="5"/>
        <v/>
      </c>
      <c r="BQ22" s="28" t="str">
        <f t="shared" si="6"/>
        <v/>
      </c>
      <c r="BR22" s="1129" t="str">
        <f t="shared" si="7"/>
        <v/>
      </c>
      <c r="BS22" s="1129" t="str">
        <f t="shared" si="8"/>
        <v/>
      </c>
      <c r="BT22" s="28" t="str">
        <f t="shared" si="9"/>
        <v/>
      </c>
      <c r="BU22" s="28" t="str">
        <f t="shared" si="9"/>
        <v/>
      </c>
      <c r="BV22" s="28" t="str">
        <f t="shared" si="9"/>
        <v/>
      </c>
      <c r="BW22" s="29" t="str">
        <f t="shared" si="70"/>
        <v/>
      </c>
      <c r="BX22" s="29" t="str">
        <f t="shared" si="71"/>
        <v/>
      </c>
      <c r="BY22" s="28" t="str">
        <f>IF($G22="","",$G22*(IF(ADRYr3!$AI22=BY$4,ADRYr3!$AJ22,IF(ADRYr3!$AK22=BY$4,ADRYr3!$AL22,IF(ADRYr3!$AM22=BY$4,ADRYr3!$AN22,0))))*(INDEX(avoidedcosttbl3,$H22,BY$2)+(($H22-ROUNDDOWN($H22,0))*(INDEX(avoidedcosttbl3,ROUNDUP($H22,0),BY$2)-(INDEX(avoidedcosttbl3,ROUNDDOWN($H22,0),BY$2)))))*ADRYr3!P22*ADRYr3!Q22*ADRYr3!U22)</f>
        <v/>
      </c>
      <c r="BZ22" s="28" t="str">
        <f>IF($G22="","",$G22*(IF(ADRYr3!$AI22=BZ$4,ADRYr3!$AJ22,IF(ADRYr3!$AK22=BZ$4,ADRYr3!$AL22,IF(ADRYr3!$AM22=BZ$4,ADRYr3!$AN22,0))))*(INDEX(avoidedcosttbl3,$H22,BZ$2)+(($H22-ROUNDDOWN($H22,0))*(INDEX(avoidedcosttbl3,ROUNDUP($H22,0),BZ$2)-(INDEX(avoidedcosttbl3,ROUNDDOWN($H22,0),BZ$2)))))*ADRYr3!P22*ADRYr3!Q22*ADRYr3!U22)</f>
        <v/>
      </c>
      <c r="CA22" s="28" t="str">
        <f>IF($G22="","",$G22*(IF(ADRYr3!$AI22=CA$4,ADRYr3!$AJ22,IF(ADRYr3!$AK22=CA$4,ADRYr3!$AL22,IF(ADRYr3!$AM22=CA$4,ADRYr3!$AN22,0))))*(INDEX(avoidedcosttbl3,$H22,CA$2)+(($H22-ROUNDDOWN($H22,0))*(INDEX(avoidedcosttbl3,ROUNDUP($H22,0),CA$2)-(INDEX(avoidedcosttbl3,ROUNDDOWN($H22,0),CA$2)))))*ADRYr3!P22*ADRYr3!Q22*ADRYr3!U22)</f>
        <v/>
      </c>
      <c r="CB22" s="28" t="str">
        <f>IF($G22="","",$G22*(IF(ADRYr3!$AI22=CB$4,ADRYr3!$AJ22,IF(ADRYr3!$AK22=CB$4,ADRYr3!$AL22,IF(ADRYr3!$AM22=CB$4,ADRYr3!$AN22,0))))*(INDEX(avoidedcosttbl3,$H22,CB$2)+(($H22-ROUNDDOWN($H22,0))*(INDEX(avoidedcosttbl3,ROUNDUP($H22,0),CB$2)-(INDEX(avoidedcosttbl3,ROUNDDOWN($H22,0),CB$2)))))*ADRYr3!P22*ADRYr3!Q22*ADRYr3!U22)</f>
        <v/>
      </c>
      <c r="CC22" s="28" t="str">
        <f>IF($G22="","",$G22*(IF(ADRYr3!$AI22=CC$4,ADRYr3!$AJ22,IF(ADRYr3!$AK22=CC$4,ADRYr3!$AL22,IF(ADRYr3!$AM22=CC$4,ADRYr3!$AN22,0))))*(INDEX(avoidedcosttbl3,$H22,CC$2)+(($H22-ROUNDDOWN($H22,0))*(INDEX(avoidedcosttbl3,ROUNDUP($H22,0),CC$2)-(INDEX(avoidedcosttbl3,ROUNDDOWN($H22,0),CC$2)))))*ADRYr3!P22*ADRYr3!Q22*ADRYr3!U22)</f>
        <v/>
      </c>
      <c r="CD22" s="28" t="str">
        <f>IF($G22="","",$G22*(IF(ADRYr3!$AI22=CD$4,ADRYr3!$AJ22,IF(ADRYr3!$AK22=CD$4,ADRYr3!$AL22,IF(ADRYr3!$AM22=CD$4,ADRYr3!$AN22,0))))*(INDEX(avoidedcosttbl3,$H22,CD$2)+(($H22-ROUNDDOWN($H22,0))*(INDEX(avoidedcosttbl3,ROUNDUP($H22,0),CD$2)-(INDEX(avoidedcosttbl3,ROUNDDOWN($H22,0),CD$2)))))*ADRYr3!P22*ADRYr3!Q22*ADRYr3!U22)</f>
        <v/>
      </c>
      <c r="CE22" s="28" t="str">
        <f>IF($G22="","",$G22*(IF(ADRYr3!$AI22=CE$4,ADRYr3!$AJ22,IF(ADRYr3!$AK22=CE$4,ADRYr3!$AL22,IF(ADRYr3!$AM22=CE$4,ADRYr3!$AN22,0))))*(INDEX(avoidedcosttbl3,$H22,CE$2)+(($H22-ROUNDDOWN($H22,0))*(INDEX(avoidedcosttbl3,ROUNDUP($H22,0),CE$2)-(INDEX(avoidedcosttbl3,ROUNDDOWN($H22,0),CE$2)))))*ADRYr3!P22*ADRYr3!Q22*ADRYr3!U22)</f>
        <v/>
      </c>
      <c r="CF22" s="41" t="str">
        <f t="shared" si="72"/>
        <v/>
      </c>
      <c r="CG22" s="30" t="str">
        <f t="shared" si="10"/>
        <v/>
      </c>
      <c r="CH22" s="30" t="str">
        <f>IF($G22="","",$G22*(IF(ADRYr3!$AI22=BY$4,ADRYr3!$AJ22,IF(ADRYr3!$AK22=BY$4,ADRYr3!$AL22,IF(ADRYr3!$AM22=BY$4,ADRYr3!$AN22,0))))*(INDEX(avoidedcosttbl3,$H22,CH$2)+(($H22-ROUNDDOWN($H22,0))*(INDEX(avoidedcosttbl3,ROUNDUP($H22,0),CH$2)-(INDEX(avoidedcosttbl3,ROUNDDOWN($H22,0),CH$2)))))*ADRYr3!P22*ADRYr3!Q22*ADRYr3!U22)</f>
        <v/>
      </c>
      <c r="CI22" s="30" t="str">
        <f>IF($G22="","",$G22*(IF(ADRYr3!$AI22=BZ$4,ADRYr3!$AJ22,IF(ADRYr3!$AK22=BZ$4,ADRYr3!$AL22,IF(ADRYr3!$AM22=BZ$4,ADRYr3!$AN22,0))))*(INDEX(avoidedcosttbl3,$H22,CI$2)+(($H22-ROUNDDOWN($H22,0))*(INDEX(avoidedcosttbl3,ROUNDUP($H22,0),CI$2)-(INDEX(avoidedcosttbl3,ROUNDDOWN($H22,0),CI$2)))))*ADRYr3!P22*ADRYr3!Q22*ADRYr3!U22)</f>
        <v/>
      </c>
      <c r="CJ22" s="30" t="str">
        <f>IF($G22="","",$G22*(IF(ADRYr3!$AI22=CA$4,ADRYr3!$AJ22,IF(ADRYr3!$AK22=CA$4,ADRYr3!$AL22,IF(ADRYr3!$AM22=CA$4,ADRYr3!$AN22,0))))*(INDEX(avoidedcosttbl3,$H22,CJ$2)+(($H22-ROUNDDOWN($H22,0))*(INDEX(avoidedcosttbl3,ROUNDUP($H22,0),CJ$2)-(INDEX(avoidedcosttbl3,ROUNDDOWN($H22,0),CJ$2)))))*ADRYr3!P22*ADRYr3!Q22*ADRYr3!U22)</f>
        <v/>
      </c>
      <c r="CK22" s="30" t="str">
        <f>IF($G22="","",$G22*(IF(ADRYr3!$AI22=CB$4,ADRYr3!$AJ22,IF(ADRYr3!$AK22=CB$4,ADRYr3!$AL22,IF(ADRYr3!$AM22=CB$4,ADRYr3!$AN22,0))))*(INDEX(avoidedcosttbl3,$H22,CK$2)+(($H22-ROUNDDOWN($H22,0))*(INDEX(avoidedcosttbl3,ROUNDUP($H22,0),CK$2)-(INDEX(avoidedcosttbl3,ROUNDDOWN($H22,0),CK$2)))))*ADRYr3!P22*ADRYr3!Q22*ADRYr3!U22)</f>
        <v/>
      </c>
      <c r="CL22" s="30" t="str">
        <f>IF($G22="","",$G22*(IF(ADRYr3!$AI22=CC$4,ADRYr3!$AJ22,IF(ADRYr3!$AK22=CC$4,ADRYr3!$AL22,IF(ADRYr3!$AM22=CC$4,ADRYr3!$AN22,0))))*(INDEX(avoidedcosttbl3,$H22,CL$2)+(($H22-ROUNDDOWN($H22,0))*(INDEX(avoidedcosttbl3,ROUNDUP($H22,0),CL$2)-(INDEX(avoidedcosttbl3,ROUNDDOWN($H22,0),CL$2)))))*ADRYr3!P22*ADRYr3!Q22*ADRYr3!U22)</f>
        <v/>
      </c>
      <c r="CM22" s="30" t="str">
        <f>IF($G22="","",$G22*(IF(ADRYr3!$AI22=CD$4,ADRYr3!$AJ22,IF(ADRYr3!$AK22=CD$4,ADRYr3!$AL22,IF(ADRYr3!$AM22=CD$4,ADRYr3!$AN22,0))))*(INDEX(avoidedcosttbl3,$H22,CM$2)+(($H22-ROUNDDOWN($H22,0))*(INDEX(avoidedcosttbl3,ROUNDUP($H22,0),CM$2)-(INDEX(avoidedcosttbl3,ROUNDDOWN($H22,0),CM$2)))))*ADRYr3!P22*ADRYr3!Q22*ADRYr3!U22)</f>
        <v/>
      </c>
      <c r="CN22" s="30" t="str">
        <f>IF($G22="","",$G22*(IF(ADRYr3!$AI22=CE$4,ADRYr3!$AJ22,IF(ADRYr3!$AK22=CE$4,ADRYr3!$AL22,IF(ADRYr3!$AM22=CE$4,ADRYr3!$AN22,0))))*(INDEX(avoidedcosttbl3,$H22,CN$2)+(($H22-ROUNDDOWN($H22,0))*(INDEX(avoidedcosttbl3,ROUNDUP($H22,0),CN$2)-(INDEX(avoidedcosttbl3,ROUNDDOWN($H22,0),CN$2)))))*ADRYr3!P22*ADRYr3!Q22*ADRYr3!U22)</f>
        <v/>
      </c>
      <c r="CO22" s="220" t="str">
        <f t="shared" si="73"/>
        <v/>
      </c>
      <c r="CP22" s="220" t="str">
        <f t="shared" si="74"/>
        <v/>
      </c>
      <c r="CQ22" s="157" t="str">
        <f>IF($G22="","",$G22*(IF(ADRYr3!$AI22=CQ$4,ADRYr3!$AJ22,IF(ADRYr3!$AK22=CQ$4,ADRYr3!$AL22,IF(ADRYr3!$AM22=CQ$4,ADRYr3!$AN22,0))))*(INDEX(avoidedcosttbl3,$H22,CQ$2)+(($H22-ROUNDDOWN($H22,0))*(INDEX(avoidedcosttbl3,ROUNDUP($H22,0),CQ$2)-(INDEX(avoidedcosttbl3,ROUNDDOWN($H22,0),CQ$2)))))*ADRYr3!$P22*ADRYr3!$Q22*ADRYr3!$U22)</f>
        <v/>
      </c>
      <c r="CR22" s="28" t="str">
        <f>IF($G22="","",G22*(IF(ADRYr3!$AI22=CR$4,ADRYr3!$AJ22,IF(ADRYr3!$AK22=CR$4,ADRYr3!$AL22,IF(ADRYr3!$AM22=CR$4,ADRYr3!$AN22,0))))*(INDEX(avoidedcosttbl3,$H22,CR$2)+(($H22-ROUNDDOWN($H22,0))*(INDEX(avoidedcosttbl3,ROUNDUP($H22,0),CR$2)-(INDEX(avoidedcosttbl3,ROUNDDOWN($H22,0),CR$2)))))*ADRYr3!$P22*ADRYr3!$Q22*ADRYr3!$U22)</f>
        <v/>
      </c>
      <c r="CS22" s="28" t="str">
        <f>IF($G22="","",G22*(IF(ADRYr3!$AI22=CS$4,ADRYr3!$AJ22,IF(ADRYr3!$AK22=CS$4,ADRYr3!$AL22,IF(ADRYr3!$AM22=CS$4,ADRYr3!$AN22,0))))*(INDEX(avoidedcosttbl3,$H22,CS$2)+(($H22-ROUNDDOWN($H22,0))*(INDEX(avoidedcosttbl3,ROUNDUP($H22,0),CS$2)-(INDEX(avoidedcosttbl3,ROUNDDOWN($H22,0),CS$2)))))*ADRYr3!$P22*ADRYr3!$Q22*ADRYr3!$U22)</f>
        <v/>
      </c>
      <c r="CT22" s="28" t="str">
        <f t="shared" si="11"/>
        <v/>
      </c>
      <c r="CU22" s="28" t="str">
        <f>IF($G22="","",G22*(IF(ADRYr3!$AI22=CU$4,ADRYr3!$AJ22,IF(ADRYr3!$AK22=CU$4,ADRYr3!$AL22,IF(ADRYr3!$AM22=CU$4,ADRYr3!$AN22,0))))*(INDEX(avoidedcosttbl3,$H22,CU$2)+(($H22-ROUNDDOWN($H22,0))*(INDEX(avoidedcosttbl3,ROUNDUP($H22,0),CU$2)-(INDEX(avoidedcosttbl3,ROUNDDOWN($H22,0),CU$2)))))*ADRYr3!$P22*ADRYr3!$Q22*ADRYr3!$U22)</f>
        <v/>
      </c>
      <c r="CV22" s="28" t="str">
        <f>IF($G22="","",G22*(IF(ADRYr3!$AI22=CV$4,ADRYr3!$AJ22,IF(ADRYr3!$AK22=CV$4,ADRYr3!$AL22,IF(ADRYr3!$AM22=CV$4,ADRYr3!$AN22,0))))*(INDEX(avoidedcosttbl3,$H22,CV$2)+(($H22-ROUNDDOWN($H22,0))*(INDEX(avoidedcosttbl3,ROUNDUP($H22,0),CV$2)-(INDEX(avoidedcosttbl3,ROUNDDOWN($H22,0),CV$2)))))*ADRYr3!$P22*ADRYr3!$Q22*ADRYr3!$U22)</f>
        <v/>
      </c>
      <c r="CW22" s="28" t="str">
        <f>IF($G22="","",G22*(IF(ADRYr3!$AI22=CW$4,ADRYr3!$AJ22,IF(ADRYr3!$AK22=CW$4,ADRYr3!$AL22,IF(ADRYr3!$AM22=CW$4,ADRYr3!$AN22,0))))*(INDEX(avoidedcosttbl3,$H22,CW$2)+(($H22-ROUNDDOWN($H22,0))*(INDEX(avoidedcosttbl3,ROUNDUP($H22,0),CW$2)-(INDEX(avoidedcosttbl3,ROUNDDOWN($H22,0),CW$2)))))*ADRYr3!$P22*ADRYr3!$Q22*ADRYr3!$U22)</f>
        <v/>
      </c>
      <c r="CX22" s="28" t="str">
        <f>IF($G22="","",G22*(IF(ADRYr3!$AI22=CX$4,ADRYr3!$AJ22,IF(ADRYr3!$AK22=CX$4,ADRYr3!$AL22,IF(ADRYr3!$AM22=CX$4,ADRYr3!$AN22,0))))*(INDEX(avoidedcosttbl3,$H22,CX$2)+(($H22-ROUNDDOWN($H22,0))*(INDEX(avoidedcosttbl3,ROUNDUP($H22,0),CX$2)-(INDEX(avoidedcosttbl3,ROUNDDOWN($H22,0),CX$2)))))*ADRYr3!$P22*ADRYr3!$Q22*ADRYr3!$U22)</f>
        <v/>
      </c>
      <c r="CY22" s="28" t="str">
        <f t="shared" si="75"/>
        <v/>
      </c>
      <c r="CZ22" s="32" t="str">
        <f t="shared" si="76"/>
        <v/>
      </c>
      <c r="DA22" s="84" t="str">
        <f t="shared" si="77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78"/>
        <v/>
      </c>
      <c r="DD22" s="166" t="str">
        <f t="shared" si="79"/>
        <v/>
      </c>
      <c r="DE22" s="82">
        <f t="shared" si="80"/>
        <v>0</v>
      </c>
      <c r="DF22" s="760" t="str">
        <f>IF($G22="","",(1+WntPeakEnergyLL)*(INDEX(avoidedcosttbl3,$H22,DF$2)+(($H22-ROUNDDOWN($H22,0))*(INDEX(avoidedcosttbl3,ROUNDUP($H22,0),DF$2)-(INDEX(avoidedcosttbl3,ROUNDDOWN($H22,0),DF$2)))))*$P22*1000*ADRYr3!Z22)</f>
        <v/>
      </c>
      <c r="DG22" s="760" t="str">
        <f>IF($G22="","",(1+WntOffPeakEnergyLL)*(INDEX(avoidedcosttbl3,$H22,DG$2)+(($H22-ROUNDDOWN($H22,0))*(INDEX(avoidedcosttbl3,ROUNDUP($H22,0),DG$2)-(INDEX(avoidedcosttbl3,ROUNDDOWN($H22,0),DG$2)))))*$P22*1000*ADRYr3!AA22)</f>
        <v/>
      </c>
      <c r="DH22" s="760" t="str">
        <f>IF($G22="","",(1+SumPeakEnergyLL)*(INDEX(avoidedcosttbl3,$H22,DH$2)+(($H22-ROUNDDOWN($H22,0))*(INDEX(avoidedcosttbl3,ROUNDUP($H22,0),DH$2)-(INDEX(avoidedcosttbl3,ROUNDDOWN($H22,0),DH$2)))))*$P22*1000*ADRYr3!AB22)</f>
        <v/>
      </c>
      <c r="DI22" s="760" t="str">
        <f>IF($G22="","",(1+SumOffPeakEnergyLL)*(INDEX(avoidedcosttbl3,$H22,DI$2)+(($H22-ROUNDDOWN($H22,0))*(INDEX(avoidedcosttbl3,ROUNDUP($H22,0),DI$2)-(INDEX(avoidedcosttbl3,ROUNDDOWN($H22,0),DI$2)))))*$P22*1000*ADRYr3!AC22)</f>
        <v/>
      </c>
      <c r="DJ22" s="29" t="str">
        <f t="shared" si="81"/>
        <v/>
      </c>
      <c r="DK22" s="161" t="str">
        <f t="shared" si="45"/>
        <v/>
      </c>
      <c r="DL22" s="1375" t="str">
        <f t="shared" si="46"/>
        <v/>
      </c>
      <c r="DM22" s="1375" t="str">
        <f t="shared" si="47"/>
        <v/>
      </c>
      <c r="DN22" s="43" t="str">
        <f t="shared" si="48"/>
        <v/>
      </c>
      <c r="DO22" s="1131" t="str">
        <f>IF($G22="","",ADRYr3!AQ22)</f>
        <v/>
      </c>
      <c r="DP22" s="1133" t="str">
        <f>IF($G22="","",ADRYr3!AR22)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49"/>
        <v/>
      </c>
      <c r="DU22" s="1135" t="str">
        <f>IF($G22="","",ADRYr3!AS22)</f>
        <v/>
      </c>
      <c r="DV22" s="1136" t="str">
        <f>IF($G22="","",ADRYr3!AT22)</f>
        <v/>
      </c>
      <c r="DW22" s="1344" t="str">
        <f>IF($G22="","",INDEX(AvoidedEnergy!$H$4:$H$10,MATCH($DO22,AvoidedEnergy!$A$4:$A$10,0)))</f>
        <v/>
      </c>
    </row>
    <row r="23" spans="1:127">
      <c r="A23" s="160" t="str">
        <f>IF(ADRYr3!$B23=0,"",ADRYr3!A23)</f>
        <v>B - Low-Income</v>
      </c>
      <c r="B23" s="9" t="str">
        <f>IF(ADRYr3!$B23=0,"",ADRYr3!B23)</f>
        <v>Home Energy Assistance</v>
      </c>
      <c r="C23" s="9" t="str">
        <f>IF(ADRYr3!$B23=0,"",ADRYr3!C23)</f>
        <v>Res Demand Response</v>
      </c>
      <c r="D23" s="9" t="str">
        <f>IF(ADRYr3!$B23=0,"",ADRYr3!D23)</f>
        <v>Storage Daily Dispatch P4P (savings) Summer</v>
      </c>
      <c r="E23" s="9">
        <f>IF(ADRYr3!$B23=0,"",ADRYr3!E23)</f>
        <v>0</v>
      </c>
      <c r="F23" s="11" t="str">
        <f>IF(ADRYr3!$B23=0,"",ADRYr3!F23)</f>
        <v>Behavior</v>
      </c>
      <c r="G23" s="12" t="str">
        <f>IF(ADRYr3!$G23&lt;&gt;0,ADRYr3!G23,"")</f>
        <v/>
      </c>
      <c r="H23" s="1125" t="str">
        <f>IF($G23="","",ROUND(ADRYr3!H23,0))</f>
        <v/>
      </c>
      <c r="I23" s="47" t="str">
        <f>IF($G23="","",ADRYr3!I23*ADRYr3!P23*G23)</f>
        <v/>
      </c>
      <c r="J23" s="47" t="str">
        <f>IF($G23="","",ADRYr3!J23*G23)</f>
        <v/>
      </c>
      <c r="K23" s="47" t="str">
        <f t="shared" si="50"/>
        <v/>
      </c>
      <c r="L23" s="27" t="str">
        <f>IF($G23="","",ADRYr3!V23*G23/1000)</f>
        <v/>
      </c>
      <c r="M23" s="27" t="str">
        <f>IF($G23="","",L23*ADRYr3!$Q23*ADRYr3!$R23)</f>
        <v/>
      </c>
      <c r="N23" s="27" t="str">
        <f t="shared" si="51"/>
        <v/>
      </c>
      <c r="O23" s="27" t="str">
        <f t="shared" si="52"/>
        <v/>
      </c>
      <c r="P23" s="27" t="str">
        <f>IF($G23="","",M23*ADRYr3!P23)</f>
        <v/>
      </c>
      <c r="Q23" s="27" t="str">
        <f t="shared" si="53"/>
        <v/>
      </c>
      <c r="R23" s="27" t="str">
        <f>IF($G23="","",$Q23*ADRYr3!Z23)</f>
        <v/>
      </c>
      <c r="S23" s="27" t="str">
        <f>IF($G23="","",$Q23*ADRYr3!AA23)</f>
        <v/>
      </c>
      <c r="T23" s="27" t="str">
        <f>IF($G23="","",$Q23*ADRYr3!AB23)</f>
        <v/>
      </c>
      <c r="U23" s="27" t="str">
        <f>IF($G23="","",$Q23*ADRYr3!AC23)</f>
        <v/>
      </c>
      <c r="V23" s="27" t="str">
        <f>IF($G23="","",G23*ADRYr3!$AD23*ADRYr3!$P23*ADRYr3!$Q23)</f>
        <v/>
      </c>
      <c r="W23" s="27" t="str">
        <f>IF($G23="","",$G23*ADRYr3!$AD23*ADRYr3!$AF23*ADRYr3!Q23*ADRYr3!$S23)</f>
        <v/>
      </c>
      <c r="X23" s="27" t="str">
        <f>IF($G23="","",$G23*ADRYr3!$AD23*ADRYr3!$AF23*ADRYr3!P23*ADRYr3!Q23*ADRYr3!$S23)</f>
        <v/>
      </c>
      <c r="Y23" s="27" t="str">
        <f>IF($G23="","",$G23*ADRYr3!$AD23*ADRYr3!$AE23*ADRYr3!Q23*ADRYr3!$T23)</f>
        <v/>
      </c>
      <c r="Z23" s="27" t="str">
        <f>IF($G23="","",$G23*ADRYr3!$AD23*ADRYr3!$AE23*ADRYr3!P23*ADRYr3!Q23*ADRYr3!$T23)</f>
        <v/>
      </c>
      <c r="AA23" s="45" t="str">
        <f>IF($G23="","",$G23*ADRYr3!$Q23*ADRYr3!$U23*(IF(IFERROR(SEARCH("NG", ADRYr3!$AI23),0),ADRYr3!$AJ23,0)+IF(IFERROR(SEARCH("NG", ADRYr3!$AK23),0),ADRYr3!$AL23,0)+IF(IFERROR(SEARCH("NG", ADRYr3!$AM23),0),ADRYr3!$AN23,0)))</f>
        <v/>
      </c>
      <c r="AB23" s="45" t="str">
        <f t="shared" si="54"/>
        <v/>
      </c>
      <c r="AC23" s="45">
        <f>IF($G23="",0,AA23*ADRYr3!$P23)</f>
        <v>0</v>
      </c>
      <c r="AD23" s="45" t="str">
        <f t="shared" si="55"/>
        <v/>
      </c>
      <c r="AE23" s="45" t="str">
        <f>IF($G23="","",$G23*ADRYr3!$Q23*ADRYr3!$U23*(IF(IFERROR(SEARCH("Oil", ADRYr3!$AI23), 0),ADRYr3!$AJ23,0)+IF(IFERROR(SEARCH("Oil", ADRYr3!$AK23), 0),ADRYr3!$AL23,0)+IF(IFERROR(SEARCH("Oil", ADRYr3!$AM23), 0),ADRYr3!$AN23,0)))</f>
        <v/>
      </c>
      <c r="AF23" s="45" t="str">
        <f t="shared" si="56"/>
        <v/>
      </c>
      <c r="AG23" s="45">
        <f>IF($G23="",0,AE23*ADRYr3!$P23)</f>
        <v>0</v>
      </c>
      <c r="AH23" s="45" t="str">
        <f t="shared" si="57"/>
        <v/>
      </c>
      <c r="AI23" s="45" t="str">
        <f>IF($G23="","",$G23*ADRYr3!$Q23*ADRYr3!$U23*(IF(ADRYr3!$AI23=Lookups!$E$114,ADRYr3!$AJ23,IF(ADRYr3!$AK23=Lookups!$E$114,ADRYr3!$AL23,IF(ADRYr3!$AM23=Lookups!$E$114,ADRYr3!$AN23,0)))))</f>
        <v/>
      </c>
      <c r="AJ23" s="45" t="str">
        <f t="shared" si="58"/>
        <v/>
      </c>
      <c r="AK23" s="45">
        <f>IF($G23="",0,AI23*ADRYr3!$P23)</f>
        <v>0</v>
      </c>
      <c r="AL23" s="45" t="str">
        <f t="shared" si="59"/>
        <v/>
      </c>
      <c r="AM23" s="45" t="str">
        <f>IF($G23="","",$G23*ADRYr3!$Q23*ADRYr3!$U23*(IF(ADRYr3!$AI23=Lookups!$E$113,ADRYr3!$AJ23,IF(ADRYr3!$AK23=Lookups!$E$113,ADRYr3!$AL23,IF(ADRYr3!$AM23=Lookups!$E$113,ADRYr3!$AN23,0)))))</f>
        <v/>
      </c>
      <c r="AN23" s="45" t="str">
        <f t="shared" si="60"/>
        <v/>
      </c>
      <c r="AO23" s="45">
        <f>IF($G23="",0,AM23*ADRYr3!$P23)</f>
        <v>0</v>
      </c>
      <c r="AP23" s="45" t="str">
        <f t="shared" si="61"/>
        <v/>
      </c>
      <c r="AQ23" s="45" t="str">
        <f>IF($G23="","",$G23*ADRYr3!$Q23*ADRYr3!$U23*(IF(ADRYr3!$AI23=Lookups!$E$115,ADRYr3!$AJ23,IF(ADRYr3!$AK23=Lookups!$E$115,ADRYr3!$AL23,IF(ADRYr3!$AM23=Lookups!$E$115,ADRYr3!$AN23,0)))))</f>
        <v/>
      </c>
      <c r="AR23" s="45" t="str">
        <f t="shared" si="62"/>
        <v/>
      </c>
      <c r="AS23" s="45" t="str">
        <f>IF($G23="","",AQ23*ADRYr3!$P23)</f>
        <v/>
      </c>
      <c r="AT23" s="45" t="str">
        <f t="shared" si="63"/>
        <v/>
      </c>
      <c r="AU23" s="45" t="str">
        <f>IF($G23="","",$G23*ADRYr3!$Q23*ADRYr3!$U23*(IF(ADRYr3!$AI23=Lookups!$E$116,ADRYr3!$AJ23,IF(ADRYr3!$AK23=Lookups!$E$116,ADRYr3!$AL23,IF(ADRYr3!$AM23=Lookups!$E$116,ADRYr3!$AN23,0)))))</f>
        <v/>
      </c>
      <c r="AV23" s="45" t="str">
        <f t="shared" si="64"/>
        <v/>
      </c>
      <c r="AW23" s="45" t="str">
        <f>IF($G23="","",AU23*ADRYr3!$P23)</f>
        <v/>
      </c>
      <c r="AX23" s="45" t="str">
        <f t="shared" si="65"/>
        <v/>
      </c>
      <c r="AY23" s="45">
        <f t="shared" si="66"/>
        <v>0</v>
      </c>
      <c r="AZ23" s="45">
        <f t="shared" si="67"/>
        <v>0</v>
      </c>
      <c r="BA23" s="101" t="str">
        <f>IF($G23="","",$G23*ADRYr3!$P23*ADRYr3!$Q23*ADRYr3!$U23*ADRYr3!AO23)</f>
        <v/>
      </c>
      <c r="BB23" s="102" t="str">
        <f>IF($G23="","",$G23*ADRYr3!$P23*ADRYr3!$Q23*ADRYr3!$U23*ADRYr3!AP23)</f>
        <v/>
      </c>
      <c r="BC23" s="100" t="str">
        <f t="shared" si="68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31"/>
        <v/>
      </c>
      <c r="BO23" s="31" t="str">
        <f t="shared" si="69"/>
        <v/>
      </c>
      <c r="BP23" s="1129" t="str">
        <f t="shared" si="5"/>
        <v/>
      </c>
      <c r="BQ23" s="28" t="str">
        <f t="shared" si="6"/>
        <v/>
      </c>
      <c r="BR23" s="1129" t="str">
        <f t="shared" si="7"/>
        <v/>
      </c>
      <c r="BS23" s="1129" t="str">
        <f t="shared" si="8"/>
        <v/>
      </c>
      <c r="BT23" s="28" t="str">
        <f t="shared" si="9"/>
        <v/>
      </c>
      <c r="BU23" s="28" t="str">
        <f t="shared" si="9"/>
        <v/>
      </c>
      <c r="BV23" s="28" t="str">
        <f t="shared" si="9"/>
        <v/>
      </c>
      <c r="BW23" s="29" t="str">
        <f t="shared" si="70"/>
        <v/>
      </c>
      <c r="BX23" s="29" t="str">
        <f t="shared" si="71"/>
        <v/>
      </c>
      <c r="BY23" s="28" t="str">
        <f>IF($G23="","",$G23*(IF(ADRYr3!$AI23=BY$4,ADRYr3!$AJ23,IF(ADRYr3!$AK23=BY$4,ADRYr3!$AL23,IF(ADRYr3!$AM23=BY$4,ADRYr3!$AN23,0))))*(INDEX(avoidedcosttbl3,$H23,BY$2)+(($H23-ROUNDDOWN($H23,0))*(INDEX(avoidedcosttbl3,ROUNDUP($H23,0),BY$2)-(INDEX(avoidedcosttbl3,ROUNDDOWN($H23,0),BY$2)))))*ADRYr3!P23*ADRYr3!Q23*ADRYr3!U23)</f>
        <v/>
      </c>
      <c r="BZ23" s="28" t="str">
        <f>IF($G23="","",$G23*(IF(ADRYr3!$AI23=BZ$4,ADRYr3!$AJ23,IF(ADRYr3!$AK23=BZ$4,ADRYr3!$AL23,IF(ADRYr3!$AM23=BZ$4,ADRYr3!$AN23,0))))*(INDEX(avoidedcosttbl3,$H23,BZ$2)+(($H23-ROUNDDOWN($H23,0))*(INDEX(avoidedcosttbl3,ROUNDUP($H23,0),BZ$2)-(INDEX(avoidedcosttbl3,ROUNDDOWN($H23,0),BZ$2)))))*ADRYr3!P23*ADRYr3!Q23*ADRYr3!U23)</f>
        <v/>
      </c>
      <c r="CA23" s="28" t="str">
        <f>IF($G23="","",$G23*(IF(ADRYr3!$AI23=CA$4,ADRYr3!$AJ23,IF(ADRYr3!$AK23=CA$4,ADRYr3!$AL23,IF(ADRYr3!$AM23=CA$4,ADRYr3!$AN23,0))))*(INDEX(avoidedcosttbl3,$H23,CA$2)+(($H23-ROUNDDOWN($H23,0))*(INDEX(avoidedcosttbl3,ROUNDUP($H23,0),CA$2)-(INDEX(avoidedcosttbl3,ROUNDDOWN($H23,0),CA$2)))))*ADRYr3!P23*ADRYr3!Q23*ADRYr3!U23)</f>
        <v/>
      </c>
      <c r="CB23" s="28" t="str">
        <f>IF($G23="","",$G23*(IF(ADRYr3!$AI23=CB$4,ADRYr3!$AJ23,IF(ADRYr3!$AK23=CB$4,ADRYr3!$AL23,IF(ADRYr3!$AM23=CB$4,ADRYr3!$AN23,0))))*(INDEX(avoidedcosttbl3,$H23,CB$2)+(($H23-ROUNDDOWN($H23,0))*(INDEX(avoidedcosttbl3,ROUNDUP($H23,0),CB$2)-(INDEX(avoidedcosttbl3,ROUNDDOWN($H23,0),CB$2)))))*ADRYr3!P23*ADRYr3!Q23*ADRYr3!U23)</f>
        <v/>
      </c>
      <c r="CC23" s="28" t="str">
        <f>IF($G23="","",$G23*(IF(ADRYr3!$AI23=CC$4,ADRYr3!$AJ23,IF(ADRYr3!$AK23=CC$4,ADRYr3!$AL23,IF(ADRYr3!$AM23=CC$4,ADRYr3!$AN23,0))))*(INDEX(avoidedcosttbl3,$H23,CC$2)+(($H23-ROUNDDOWN($H23,0))*(INDEX(avoidedcosttbl3,ROUNDUP($H23,0),CC$2)-(INDEX(avoidedcosttbl3,ROUNDDOWN($H23,0),CC$2)))))*ADRYr3!P23*ADRYr3!Q23*ADRYr3!U23)</f>
        <v/>
      </c>
      <c r="CD23" s="28" t="str">
        <f>IF($G23="","",$G23*(IF(ADRYr3!$AI23=CD$4,ADRYr3!$AJ23,IF(ADRYr3!$AK23=CD$4,ADRYr3!$AL23,IF(ADRYr3!$AM23=CD$4,ADRYr3!$AN23,0))))*(INDEX(avoidedcosttbl3,$H23,CD$2)+(($H23-ROUNDDOWN($H23,0))*(INDEX(avoidedcosttbl3,ROUNDUP($H23,0),CD$2)-(INDEX(avoidedcosttbl3,ROUNDDOWN($H23,0),CD$2)))))*ADRYr3!P23*ADRYr3!Q23*ADRYr3!U23)</f>
        <v/>
      </c>
      <c r="CE23" s="28" t="str">
        <f>IF($G23="","",$G23*(IF(ADRYr3!$AI23=CE$4,ADRYr3!$AJ23,IF(ADRYr3!$AK23=CE$4,ADRYr3!$AL23,IF(ADRYr3!$AM23=CE$4,ADRYr3!$AN23,0))))*(INDEX(avoidedcosttbl3,$H23,CE$2)+(($H23-ROUNDDOWN($H23,0))*(INDEX(avoidedcosttbl3,ROUNDUP($H23,0),CE$2)-(INDEX(avoidedcosttbl3,ROUNDDOWN($H23,0),CE$2)))))*ADRYr3!P23*ADRYr3!Q23*ADRYr3!U23)</f>
        <v/>
      </c>
      <c r="CF23" s="41" t="str">
        <f t="shared" si="72"/>
        <v/>
      </c>
      <c r="CG23" s="30" t="str">
        <f t="shared" si="10"/>
        <v/>
      </c>
      <c r="CH23" s="30" t="str">
        <f>IF($G23="","",$G23*(IF(ADRYr3!$AI23=BY$4,ADRYr3!$AJ23,IF(ADRYr3!$AK23=BY$4,ADRYr3!$AL23,IF(ADRYr3!$AM23=BY$4,ADRYr3!$AN23,0))))*(INDEX(avoidedcosttbl3,$H23,CH$2)+(($H23-ROUNDDOWN($H23,0))*(INDEX(avoidedcosttbl3,ROUNDUP($H23,0),CH$2)-(INDEX(avoidedcosttbl3,ROUNDDOWN($H23,0),CH$2)))))*ADRYr3!P23*ADRYr3!Q23*ADRYr3!U23)</f>
        <v/>
      </c>
      <c r="CI23" s="30" t="str">
        <f>IF($G23="","",$G23*(IF(ADRYr3!$AI23=BZ$4,ADRYr3!$AJ23,IF(ADRYr3!$AK23=BZ$4,ADRYr3!$AL23,IF(ADRYr3!$AM23=BZ$4,ADRYr3!$AN23,0))))*(INDEX(avoidedcosttbl3,$H23,CI$2)+(($H23-ROUNDDOWN($H23,0))*(INDEX(avoidedcosttbl3,ROUNDUP($H23,0),CI$2)-(INDEX(avoidedcosttbl3,ROUNDDOWN($H23,0),CI$2)))))*ADRYr3!P23*ADRYr3!Q23*ADRYr3!U23)</f>
        <v/>
      </c>
      <c r="CJ23" s="30" t="str">
        <f>IF($G23="","",$G23*(IF(ADRYr3!$AI23=CA$4,ADRYr3!$AJ23,IF(ADRYr3!$AK23=CA$4,ADRYr3!$AL23,IF(ADRYr3!$AM23=CA$4,ADRYr3!$AN23,0))))*(INDEX(avoidedcosttbl3,$H23,CJ$2)+(($H23-ROUNDDOWN($H23,0))*(INDEX(avoidedcosttbl3,ROUNDUP($H23,0),CJ$2)-(INDEX(avoidedcosttbl3,ROUNDDOWN($H23,0),CJ$2)))))*ADRYr3!P23*ADRYr3!Q23*ADRYr3!U23)</f>
        <v/>
      </c>
      <c r="CK23" s="30" t="str">
        <f>IF($G23="","",$G23*(IF(ADRYr3!$AI23=CB$4,ADRYr3!$AJ23,IF(ADRYr3!$AK23=CB$4,ADRYr3!$AL23,IF(ADRYr3!$AM23=CB$4,ADRYr3!$AN23,0))))*(INDEX(avoidedcosttbl3,$H23,CK$2)+(($H23-ROUNDDOWN($H23,0))*(INDEX(avoidedcosttbl3,ROUNDUP($H23,0),CK$2)-(INDEX(avoidedcosttbl3,ROUNDDOWN($H23,0),CK$2)))))*ADRYr3!P23*ADRYr3!Q23*ADRYr3!U23)</f>
        <v/>
      </c>
      <c r="CL23" s="30" t="str">
        <f>IF($G23="","",$G23*(IF(ADRYr3!$AI23=CC$4,ADRYr3!$AJ23,IF(ADRYr3!$AK23=CC$4,ADRYr3!$AL23,IF(ADRYr3!$AM23=CC$4,ADRYr3!$AN23,0))))*(INDEX(avoidedcosttbl3,$H23,CL$2)+(($H23-ROUNDDOWN($H23,0))*(INDEX(avoidedcosttbl3,ROUNDUP($H23,0),CL$2)-(INDEX(avoidedcosttbl3,ROUNDDOWN($H23,0),CL$2)))))*ADRYr3!P23*ADRYr3!Q23*ADRYr3!U23)</f>
        <v/>
      </c>
      <c r="CM23" s="30" t="str">
        <f>IF($G23="","",$G23*(IF(ADRYr3!$AI23=CD$4,ADRYr3!$AJ23,IF(ADRYr3!$AK23=CD$4,ADRYr3!$AL23,IF(ADRYr3!$AM23=CD$4,ADRYr3!$AN23,0))))*(INDEX(avoidedcosttbl3,$H23,CM$2)+(($H23-ROUNDDOWN($H23,0))*(INDEX(avoidedcosttbl3,ROUNDUP($H23,0),CM$2)-(INDEX(avoidedcosttbl3,ROUNDDOWN($H23,0),CM$2)))))*ADRYr3!P23*ADRYr3!Q23*ADRYr3!U23)</f>
        <v/>
      </c>
      <c r="CN23" s="30" t="str">
        <f>IF($G23="","",$G23*(IF(ADRYr3!$AI23=CE$4,ADRYr3!$AJ23,IF(ADRYr3!$AK23=CE$4,ADRYr3!$AL23,IF(ADRYr3!$AM23=CE$4,ADRYr3!$AN23,0))))*(INDEX(avoidedcosttbl3,$H23,CN$2)+(($H23-ROUNDDOWN($H23,0))*(INDEX(avoidedcosttbl3,ROUNDUP($H23,0),CN$2)-(INDEX(avoidedcosttbl3,ROUNDDOWN($H23,0),CN$2)))))*ADRYr3!P23*ADRYr3!Q23*ADRYr3!U23)</f>
        <v/>
      </c>
      <c r="CO23" s="220" t="str">
        <f t="shared" si="73"/>
        <v/>
      </c>
      <c r="CP23" s="220" t="str">
        <f t="shared" si="74"/>
        <v/>
      </c>
      <c r="CQ23" s="157" t="str">
        <f>IF($G23="","",$G23*(IF(ADRYr3!$AI23=CQ$4,ADRYr3!$AJ23,IF(ADRYr3!$AK23=CQ$4,ADRYr3!$AL23,IF(ADRYr3!$AM23=CQ$4,ADRYr3!$AN23,0))))*(INDEX(avoidedcosttbl3,$H23,CQ$2)+(($H23-ROUNDDOWN($H23,0))*(INDEX(avoidedcosttbl3,ROUNDUP($H23,0),CQ$2)-(INDEX(avoidedcosttbl3,ROUNDDOWN($H23,0),CQ$2)))))*ADRYr3!$P23*ADRYr3!$Q23*ADRYr3!$U23)</f>
        <v/>
      </c>
      <c r="CR23" s="28" t="str">
        <f>IF($G23="","",G23*(IF(ADRYr3!$AI23=CR$4,ADRYr3!$AJ23,IF(ADRYr3!$AK23=CR$4,ADRYr3!$AL23,IF(ADRYr3!$AM23=CR$4,ADRYr3!$AN23,0))))*(INDEX(avoidedcosttbl3,$H23,CR$2)+(($H23-ROUNDDOWN($H23,0))*(INDEX(avoidedcosttbl3,ROUNDUP($H23,0),CR$2)-(INDEX(avoidedcosttbl3,ROUNDDOWN($H23,0),CR$2)))))*ADRYr3!$P23*ADRYr3!$Q23*ADRYr3!$U23)</f>
        <v/>
      </c>
      <c r="CS23" s="28" t="str">
        <f>IF($G23="","",G23*(IF(ADRYr3!$AI23=CS$4,ADRYr3!$AJ23,IF(ADRYr3!$AK23=CS$4,ADRYr3!$AL23,IF(ADRYr3!$AM23=CS$4,ADRYr3!$AN23,0))))*(INDEX(avoidedcosttbl3,$H23,CS$2)+(($H23-ROUNDDOWN($H23,0))*(INDEX(avoidedcosttbl3,ROUNDUP($H23,0),CS$2)-(INDEX(avoidedcosttbl3,ROUNDDOWN($H23,0),CS$2)))))*ADRYr3!$P23*ADRYr3!$Q23*ADRYr3!$U23)</f>
        <v/>
      </c>
      <c r="CT23" s="28" t="str">
        <f t="shared" si="11"/>
        <v/>
      </c>
      <c r="CU23" s="28" t="str">
        <f>IF($G23="","",G23*(IF(ADRYr3!$AI23=CU$4,ADRYr3!$AJ23,IF(ADRYr3!$AK23=CU$4,ADRYr3!$AL23,IF(ADRYr3!$AM23=CU$4,ADRYr3!$AN23,0))))*(INDEX(avoidedcosttbl3,$H23,CU$2)+(($H23-ROUNDDOWN($H23,0))*(INDEX(avoidedcosttbl3,ROUNDUP($H23,0),CU$2)-(INDEX(avoidedcosttbl3,ROUNDDOWN($H23,0),CU$2)))))*ADRYr3!$P23*ADRYr3!$Q23*ADRYr3!$U23)</f>
        <v/>
      </c>
      <c r="CV23" s="28" t="str">
        <f>IF($G23="","",G23*(IF(ADRYr3!$AI23=CV$4,ADRYr3!$AJ23,IF(ADRYr3!$AK23=CV$4,ADRYr3!$AL23,IF(ADRYr3!$AM23=CV$4,ADRYr3!$AN23,0))))*(INDEX(avoidedcosttbl3,$H23,CV$2)+(($H23-ROUNDDOWN($H23,0))*(INDEX(avoidedcosttbl3,ROUNDUP($H23,0),CV$2)-(INDEX(avoidedcosttbl3,ROUNDDOWN($H23,0),CV$2)))))*ADRYr3!$P23*ADRYr3!$Q23*ADRYr3!$U23)</f>
        <v/>
      </c>
      <c r="CW23" s="28" t="str">
        <f>IF($G23="","",G23*(IF(ADRYr3!$AI23=CW$4,ADRYr3!$AJ23,IF(ADRYr3!$AK23=CW$4,ADRYr3!$AL23,IF(ADRYr3!$AM23=CW$4,ADRYr3!$AN23,0))))*(INDEX(avoidedcosttbl3,$H23,CW$2)+(($H23-ROUNDDOWN($H23,0))*(INDEX(avoidedcosttbl3,ROUNDUP($H23,0),CW$2)-(INDEX(avoidedcosttbl3,ROUNDDOWN($H23,0),CW$2)))))*ADRYr3!$P23*ADRYr3!$Q23*ADRYr3!$U23)</f>
        <v/>
      </c>
      <c r="CX23" s="28" t="str">
        <f>IF($G23="","",G23*(IF(ADRYr3!$AI23=CX$4,ADRYr3!$AJ23,IF(ADRYr3!$AK23=CX$4,ADRYr3!$AL23,IF(ADRYr3!$AM23=CX$4,ADRYr3!$AN23,0))))*(INDEX(avoidedcosttbl3,$H23,CX$2)+(($H23-ROUNDDOWN($H23,0))*(INDEX(avoidedcosttbl3,ROUNDUP($H23,0),CX$2)-(INDEX(avoidedcosttbl3,ROUNDDOWN($H23,0),CX$2)))))*ADRYr3!$P23*ADRYr3!$Q23*ADRYr3!$U23)</f>
        <v/>
      </c>
      <c r="CY23" s="28" t="str">
        <f t="shared" si="75"/>
        <v/>
      </c>
      <c r="CZ23" s="32" t="str">
        <f t="shared" si="76"/>
        <v/>
      </c>
      <c r="DA23" s="84" t="str">
        <f t="shared" si="77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78"/>
        <v/>
      </c>
      <c r="DD23" s="166" t="str">
        <f t="shared" si="79"/>
        <v/>
      </c>
      <c r="DE23" s="82">
        <f t="shared" si="80"/>
        <v>0</v>
      </c>
      <c r="DF23" s="760" t="str">
        <f>IF($G23="","",(1+WntPeakEnergyLL)*(INDEX(avoidedcosttbl3,$H23,DF$2)+(($H23-ROUNDDOWN($H23,0))*(INDEX(avoidedcosttbl3,ROUNDUP($H23,0),DF$2)-(INDEX(avoidedcosttbl3,ROUNDDOWN($H23,0),DF$2)))))*$P23*1000*ADRYr3!Z23)</f>
        <v/>
      </c>
      <c r="DG23" s="760" t="str">
        <f>IF($G23="","",(1+WntOffPeakEnergyLL)*(INDEX(avoidedcosttbl3,$H23,DG$2)+(($H23-ROUNDDOWN($H23,0))*(INDEX(avoidedcosttbl3,ROUNDUP($H23,0),DG$2)-(INDEX(avoidedcosttbl3,ROUNDDOWN($H23,0),DG$2)))))*$P23*1000*ADRYr3!AA23)</f>
        <v/>
      </c>
      <c r="DH23" s="760" t="str">
        <f>IF($G23="","",(1+SumPeakEnergyLL)*(INDEX(avoidedcosttbl3,$H23,DH$2)+(($H23-ROUNDDOWN($H23,0))*(INDEX(avoidedcosttbl3,ROUNDUP($H23,0),DH$2)-(INDEX(avoidedcosttbl3,ROUNDDOWN($H23,0),DH$2)))))*$P23*1000*ADRYr3!AB23)</f>
        <v/>
      </c>
      <c r="DI23" s="760" t="str">
        <f>IF($G23="","",(1+SumOffPeakEnergyLL)*(INDEX(avoidedcosttbl3,$H23,DI$2)+(($H23-ROUNDDOWN($H23,0))*(INDEX(avoidedcosttbl3,ROUNDUP($H23,0),DI$2)-(INDEX(avoidedcosttbl3,ROUNDDOWN($H23,0),DI$2)))))*$P23*1000*ADRYr3!AC23)</f>
        <v/>
      </c>
      <c r="DJ23" s="29" t="str">
        <f t="shared" si="81"/>
        <v/>
      </c>
      <c r="DK23" s="161" t="str">
        <f t="shared" si="45"/>
        <v/>
      </c>
      <c r="DL23" s="1375" t="str">
        <f t="shared" si="46"/>
        <v/>
      </c>
      <c r="DM23" s="1375" t="str">
        <f t="shared" si="47"/>
        <v/>
      </c>
      <c r="DN23" s="43" t="str">
        <f t="shared" si="48"/>
        <v/>
      </c>
      <c r="DO23" s="1131" t="str">
        <f>IF($G23="","",ADRYr3!AQ23)</f>
        <v/>
      </c>
      <c r="DP23" s="1133" t="str">
        <f>IF($G23="","",ADRYr3!AR23)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49"/>
        <v/>
      </c>
      <c r="DU23" s="1135" t="str">
        <f>IF($G23="","",ADRYr3!AS23)</f>
        <v/>
      </c>
      <c r="DV23" s="1136" t="str">
        <f>IF($G23="","",ADRYr3!AT23)</f>
        <v/>
      </c>
      <c r="DW23" s="1344" t="str">
        <f>IF($G23="","",INDEX(AvoidedEnergy!$H$4:$H$10,MATCH($DO23,AvoidedEnergy!$A$4:$A$10,0)))</f>
        <v/>
      </c>
    </row>
    <row r="24" spans="1:127">
      <c r="A24" s="160" t="str">
        <f>IF(ADRYr3!$B24=0,"",ADRYr3!A24)</f>
        <v>B - Low-Income</v>
      </c>
      <c r="B24" s="9" t="str">
        <f>IF(ADRYr3!$B24=0,"",ADRYr3!B24)</f>
        <v>Home Energy Assistance</v>
      </c>
      <c r="C24" s="9" t="str">
        <f>IF(ADRYr3!$B24=0,"",ADRYr3!C24)</f>
        <v>Res Demand Response</v>
      </c>
      <c r="D24" s="9" t="str">
        <f>IF(ADRYr3!$B24=0,"",ADRYr3!D24)</f>
        <v>Storage Daily Dispatch P4P (consumption) Summer</v>
      </c>
      <c r="E24" s="9">
        <f>IF(ADRYr3!$B24=0,"",ADRYr3!E24)</f>
        <v>0</v>
      </c>
      <c r="F24" s="11" t="str">
        <f>IF(ADRYr3!$B24=0,"",ADRYr3!F24)</f>
        <v>Behavior</v>
      </c>
      <c r="G24" s="12" t="str">
        <f>IF(ADRYr3!$G24&lt;&gt;0,ADRYr3!G24,"")</f>
        <v/>
      </c>
      <c r="H24" s="1125" t="str">
        <f>IF($G24="","",ROUND(ADRYr3!H24,0))</f>
        <v/>
      </c>
      <c r="I24" s="47" t="str">
        <f>IF($G24="","",ADRYr3!I24*ADRYr3!P24*G24)</f>
        <v/>
      </c>
      <c r="J24" s="47" t="str">
        <f>IF($G24="","",ADRYr3!J24*G24)</f>
        <v/>
      </c>
      <c r="K24" s="47" t="str">
        <f t="shared" si="50"/>
        <v/>
      </c>
      <c r="L24" s="27" t="str">
        <f>IF($G24="","",ADRYr3!V24*G24/1000)</f>
        <v/>
      </c>
      <c r="M24" s="27" t="str">
        <f>IF($G24="","",L24*ADRYr3!$Q24*ADRYr3!$R24)</f>
        <v/>
      </c>
      <c r="N24" s="27" t="str">
        <f t="shared" si="51"/>
        <v/>
      </c>
      <c r="O24" s="27" t="str">
        <f t="shared" si="52"/>
        <v/>
      </c>
      <c r="P24" s="27" t="str">
        <f>IF($G24="","",M24*ADRYr3!P24)</f>
        <v/>
      </c>
      <c r="Q24" s="27" t="str">
        <f t="shared" si="53"/>
        <v/>
      </c>
      <c r="R24" s="27" t="str">
        <f>IF($G24="","",$Q24*ADRYr3!Z24)</f>
        <v/>
      </c>
      <c r="S24" s="27" t="str">
        <f>IF($G24="","",$Q24*ADRYr3!AA24)</f>
        <v/>
      </c>
      <c r="T24" s="27" t="str">
        <f>IF($G24="","",$Q24*ADRYr3!AB24)</f>
        <v/>
      </c>
      <c r="U24" s="27" t="str">
        <f>IF($G24="","",$Q24*ADRYr3!AC24)</f>
        <v/>
      </c>
      <c r="V24" s="27" t="str">
        <f>IF($G24="","",G24*ADRYr3!$AD24*ADRYr3!$P24*ADRYr3!$Q24)</f>
        <v/>
      </c>
      <c r="W24" s="27" t="str">
        <f>IF($G24="","",$G24*ADRYr3!$AD24*ADRYr3!$AF24*ADRYr3!Q24*ADRYr3!$S24)</f>
        <v/>
      </c>
      <c r="X24" s="27" t="str">
        <f>IF($G24="","",$G24*ADRYr3!$AD24*ADRYr3!$AF24*ADRYr3!P24*ADRYr3!Q24*ADRYr3!$S24)</f>
        <v/>
      </c>
      <c r="Y24" s="27" t="str">
        <f>IF($G24="","",$G24*ADRYr3!$AD24*ADRYr3!$AE24*ADRYr3!Q24*ADRYr3!$T24)</f>
        <v/>
      </c>
      <c r="Z24" s="27" t="str">
        <f>IF($G24="","",$G24*ADRYr3!$AD24*ADRYr3!$AE24*ADRYr3!P24*ADRYr3!Q24*ADRYr3!$T24)</f>
        <v/>
      </c>
      <c r="AA24" s="45" t="str">
        <f>IF($G24="","",$G24*ADRYr3!$Q24*ADRYr3!$U24*(IF(IFERROR(SEARCH("NG", ADRYr3!$AI24),0),ADRYr3!$AJ24,0)+IF(IFERROR(SEARCH("NG", ADRYr3!$AK24),0),ADRYr3!$AL24,0)+IF(IFERROR(SEARCH("NG", ADRYr3!$AM24),0),ADRYr3!$AN24,0)))</f>
        <v/>
      </c>
      <c r="AB24" s="45" t="str">
        <f t="shared" si="54"/>
        <v/>
      </c>
      <c r="AC24" s="45">
        <f>IF($G24="",0,AA24*ADRYr3!$P24)</f>
        <v>0</v>
      </c>
      <c r="AD24" s="45" t="str">
        <f t="shared" si="55"/>
        <v/>
      </c>
      <c r="AE24" s="45" t="str">
        <f>IF($G24="","",$G24*ADRYr3!$Q24*ADRYr3!$U24*(IF(IFERROR(SEARCH("Oil", ADRYr3!$AI24), 0),ADRYr3!$AJ24,0)+IF(IFERROR(SEARCH("Oil", ADRYr3!$AK24), 0),ADRYr3!$AL24,0)+IF(IFERROR(SEARCH("Oil", ADRYr3!$AM24), 0),ADRYr3!$AN24,0)))</f>
        <v/>
      </c>
      <c r="AF24" s="45" t="str">
        <f t="shared" si="56"/>
        <v/>
      </c>
      <c r="AG24" s="45">
        <f>IF($G24="",0,AE24*ADRYr3!$P24)</f>
        <v>0</v>
      </c>
      <c r="AH24" s="45" t="str">
        <f t="shared" si="57"/>
        <v/>
      </c>
      <c r="AI24" s="45" t="str">
        <f>IF($G24="","",$G24*ADRYr3!$Q24*ADRYr3!$U24*(IF(ADRYr3!$AI24=Lookups!$E$114,ADRYr3!$AJ24,IF(ADRYr3!$AK24=Lookups!$E$114,ADRYr3!$AL24,IF(ADRYr3!$AM24=Lookups!$E$114,ADRYr3!$AN24,0)))))</f>
        <v/>
      </c>
      <c r="AJ24" s="45" t="str">
        <f t="shared" si="58"/>
        <v/>
      </c>
      <c r="AK24" s="45">
        <f>IF($G24="",0,AI24*ADRYr3!$P24)</f>
        <v>0</v>
      </c>
      <c r="AL24" s="45" t="str">
        <f t="shared" si="59"/>
        <v/>
      </c>
      <c r="AM24" s="45" t="str">
        <f>IF($G24="","",$G24*ADRYr3!$Q24*ADRYr3!$U24*(IF(ADRYr3!$AI24=Lookups!$E$113,ADRYr3!$AJ24,IF(ADRYr3!$AK24=Lookups!$E$113,ADRYr3!$AL24,IF(ADRYr3!$AM24=Lookups!$E$113,ADRYr3!$AN24,0)))))</f>
        <v/>
      </c>
      <c r="AN24" s="45" t="str">
        <f t="shared" si="60"/>
        <v/>
      </c>
      <c r="AO24" s="45">
        <f>IF($G24="",0,AM24*ADRYr3!$P24)</f>
        <v>0</v>
      </c>
      <c r="AP24" s="45" t="str">
        <f t="shared" si="61"/>
        <v/>
      </c>
      <c r="AQ24" s="45" t="str">
        <f>IF($G24="","",$G24*ADRYr3!$Q24*ADRYr3!$U24*(IF(ADRYr3!$AI24=Lookups!$E$115,ADRYr3!$AJ24,IF(ADRYr3!$AK24=Lookups!$E$115,ADRYr3!$AL24,IF(ADRYr3!$AM24=Lookups!$E$115,ADRYr3!$AN24,0)))))</f>
        <v/>
      </c>
      <c r="AR24" s="45" t="str">
        <f t="shared" si="62"/>
        <v/>
      </c>
      <c r="AS24" s="45" t="str">
        <f>IF($G24="","",AQ24*ADRYr3!$P24)</f>
        <v/>
      </c>
      <c r="AT24" s="45" t="str">
        <f t="shared" si="63"/>
        <v/>
      </c>
      <c r="AU24" s="45" t="str">
        <f>IF($G24="","",$G24*ADRYr3!$Q24*ADRYr3!$U24*(IF(ADRYr3!$AI24=Lookups!$E$116,ADRYr3!$AJ24,IF(ADRYr3!$AK24=Lookups!$E$116,ADRYr3!$AL24,IF(ADRYr3!$AM24=Lookups!$E$116,ADRYr3!$AN24,0)))))</f>
        <v/>
      </c>
      <c r="AV24" s="45" t="str">
        <f t="shared" si="64"/>
        <v/>
      </c>
      <c r="AW24" s="45" t="str">
        <f>IF($G24="","",AU24*ADRYr3!$P24)</f>
        <v/>
      </c>
      <c r="AX24" s="45" t="str">
        <f t="shared" si="65"/>
        <v/>
      </c>
      <c r="AY24" s="45">
        <f t="shared" si="66"/>
        <v>0</v>
      </c>
      <c r="AZ24" s="45">
        <f t="shared" si="67"/>
        <v>0</v>
      </c>
      <c r="BA24" s="101" t="str">
        <f>IF($G24="","",$G24*ADRYr3!$P24*ADRYr3!$Q24*ADRYr3!$U24*ADRYr3!AO24)</f>
        <v/>
      </c>
      <c r="BB24" s="102" t="str">
        <f>IF($G24="","",$G24*ADRYr3!$P24*ADRYr3!$Q24*ADRYr3!$U24*ADRYr3!AP24)</f>
        <v/>
      </c>
      <c r="BC24" s="100" t="str">
        <f t="shared" si="68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31"/>
        <v/>
      </c>
      <c r="BO24" s="31" t="str">
        <f t="shared" si="69"/>
        <v/>
      </c>
      <c r="BP24" s="1129" t="str">
        <f t="shared" si="5"/>
        <v/>
      </c>
      <c r="BQ24" s="28" t="str">
        <f t="shared" si="6"/>
        <v/>
      </c>
      <c r="BR24" s="1129" t="str">
        <f t="shared" si="7"/>
        <v/>
      </c>
      <c r="BS24" s="1129" t="str">
        <f t="shared" si="8"/>
        <v/>
      </c>
      <c r="BT24" s="28" t="str">
        <f t="shared" si="9"/>
        <v/>
      </c>
      <c r="BU24" s="28" t="str">
        <f t="shared" si="9"/>
        <v/>
      </c>
      <c r="BV24" s="28" t="str">
        <f t="shared" si="9"/>
        <v/>
      </c>
      <c r="BW24" s="29" t="str">
        <f t="shared" si="70"/>
        <v/>
      </c>
      <c r="BX24" s="29" t="str">
        <f t="shared" si="71"/>
        <v/>
      </c>
      <c r="BY24" s="28" t="str">
        <f>IF($G24="","",$G24*(IF(ADRYr3!$AI24=BY$4,ADRYr3!$AJ24,IF(ADRYr3!$AK24=BY$4,ADRYr3!$AL24,IF(ADRYr3!$AM24=BY$4,ADRYr3!$AN24,0))))*(INDEX(avoidedcosttbl3,$H24,BY$2)+(($H24-ROUNDDOWN($H24,0))*(INDEX(avoidedcosttbl3,ROUNDUP($H24,0),BY$2)-(INDEX(avoidedcosttbl3,ROUNDDOWN($H24,0),BY$2)))))*ADRYr3!P24*ADRYr3!Q24*ADRYr3!U24)</f>
        <v/>
      </c>
      <c r="BZ24" s="28" t="str">
        <f>IF($G24="","",$G24*(IF(ADRYr3!$AI24=BZ$4,ADRYr3!$AJ24,IF(ADRYr3!$AK24=BZ$4,ADRYr3!$AL24,IF(ADRYr3!$AM24=BZ$4,ADRYr3!$AN24,0))))*(INDEX(avoidedcosttbl3,$H24,BZ$2)+(($H24-ROUNDDOWN($H24,0))*(INDEX(avoidedcosttbl3,ROUNDUP($H24,0),BZ$2)-(INDEX(avoidedcosttbl3,ROUNDDOWN($H24,0),BZ$2)))))*ADRYr3!P24*ADRYr3!Q24*ADRYr3!U24)</f>
        <v/>
      </c>
      <c r="CA24" s="28" t="str">
        <f>IF($G24="","",$G24*(IF(ADRYr3!$AI24=CA$4,ADRYr3!$AJ24,IF(ADRYr3!$AK24=CA$4,ADRYr3!$AL24,IF(ADRYr3!$AM24=CA$4,ADRYr3!$AN24,0))))*(INDEX(avoidedcosttbl3,$H24,CA$2)+(($H24-ROUNDDOWN($H24,0))*(INDEX(avoidedcosttbl3,ROUNDUP($H24,0),CA$2)-(INDEX(avoidedcosttbl3,ROUNDDOWN($H24,0),CA$2)))))*ADRYr3!P24*ADRYr3!Q24*ADRYr3!U24)</f>
        <v/>
      </c>
      <c r="CB24" s="28" t="str">
        <f>IF($G24="","",$G24*(IF(ADRYr3!$AI24=CB$4,ADRYr3!$AJ24,IF(ADRYr3!$AK24=CB$4,ADRYr3!$AL24,IF(ADRYr3!$AM24=CB$4,ADRYr3!$AN24,0))))*(INDEX(avoidedcosttbl3,$H24,CB$2)+(($H24-ROUNDDOWN($H24,0))*(INDEX(avoidedcosttbl3,ROUNDUP($H24,0),CB$2)-(INDEX(avoidedcosttbl3,ROUNDDOWN($H24,0),CB$2)))))*ADRYr3!P24*ADRYr3!Q24*ADRYr3!U24)</f>
        <v/>
      </c>
      <c r="CC24" s="28" t="str">
        <f>IF($G24="","",$G24*(IF(ADRYr3!$AI24=CC$4,ADRYr3!$AJ24,IF(ADRYr3!$AK24=CC$4,ADRYr3!$AL24,IF(ADRYr3!$AM24=CC$4,ADRYr3!$AN24,0))))*(INDEX(avoidedcosttbl3,$H24,CC$2)+(($H24-ROUNDDOWN($H24,0))*(INDEX(avoidedcosttbl3,ROUNDUP($H24,0),CC$2)-(INDEX(avoidedcosttbl3,ROUNDDOWN($H24,0),CC$2)))))*ADRYr3!P24*ADRYr3!Q24*ADRYr3!U24)</f>
        <v/>
      </c>
      <c r="CD24" s="28" t="str">
        <f>IF($G24="","",$G24*(IF(ADRYr3!$AI24=CD$4,ADRYr3!$AJ24,IF(ADRYr3!$AK24=CD$4,ADRYr3!$AL24,IF(ADRYr3!$AM24=CD$4,ADRYr3!$AN24,0))))*(INDEX(avoidedcosttbl3,$H24,CD$2)+(($H24-ROUNDDOWN($H24,0))*(INDEX(avoidedcosttbl3,ROUNDUP($H24,0),CD$2)-(INDEX(avoidedcosttbl3,ROUNDDOWN($H24,0),CD$2)))))*ADRYr3!P24*ADRYr3!Q24*ADRYr3!U24)</f>
        <v/>
      </c>
      <c r="CE24" s="28" t="str">
        <f>IF($G24="","",$G24*(IF(ADRYr3!$AI24=CE$4,ADRYr3!$AJ24,IF(ADRYr3!$AK24=CE$4,ADRYr3!$AL24,IF(ADRYr3!$AM24=CE$4,ADRYr3!$AN24,0))))*(INDEX(avoidedcosttbl3,$H24,CE$2)+(($H24-ROUNDDOWN($H24,0))*(INDEX(avoidedcosttbl3,ROUNDUP($H24,0),CE$2)-(INDEX(avoidedcosttbl3,ROUNDDOWN($H24,0),CE$2)))))*ADRYr3!P24*ADRYr3!Q24*ADRYr3!U24)</f>
        <v/>
      </c>
      <c r="CF24" s="41" t="str">
        <f t="shared" si="72"/>
        <v/>
      </c>
      <c r="CG24" s="30" t="str">
        <f t="shared" si="10"/>
        <v/>
      </c>
      <c r="CH24" s="30" t="str">
        <f>IF($G24="","",$G24*(IF(ADRYr3!$AI24=BY$4,ADRYr3!$AJ24,IF(ADRYr3!$AK24=BY$4,ADRYr3!$AL24,IF(ADRYr3!$AM24=BY$4,ADRYr3!$AN24,0))))*(INDEX(avoidedcosttbl3,$H24,CH$2)+(($H24-ROUNDDOWN($H24,0))*(INDEX(avoidedcosttbl3,ROUNDUP($H24,0),CH$2)-(INDEX(avoidedcosttbl3,ROUNDDOWN($H24,0),CH$2)))))*ADRYr3!P24*ADRYr3!Q24*ADRYr3!U24)</f>
        <v/>
      </c>
      <c r="CI24" s="30" t="str">
        <f>IF($G24="","",$G24*(IF(ADRYr3!$AI24=BZ$4,ADRYr3!$AJ24,IF(ADRYr3!$AK24=BZ$4,ADRYr3!$AL24,IF(ADRYr3!$AM24=BZ$4,ADRYr3!$AN24,0))))*(INDEX(avoidedcosttbl3,$H24,CI$2)+(($H24-ROUNDDOWN($H24,0))*(INDEX(avoidedcosttbl3,ROUNDUP($H24,0),CI$2)-(INDEX(avoidedcosttbl3,ROUNDDOWN($H24,0),CI$2)))))*ADRYr3!P24*ADRYr3!Q24*ADRYr3!U24)</f>
        <v/>
      </c>
      <c r="CJ24" s="30" t="str">
        <f>IF($G24="","",$G24*(IF(ADRYr3!$AI24=CA$4,ADRYr3!$AJ24,IF(ADRYr3!$AK24=CA$4,ADRYr3!$AL24,IF(ADRYr3!$AM24=CA$4,ADRYr3!$AN24,0))))*(INDEX(avoidedcosttbl3,$H24,CJ$2)+(($H24-ROUNDDOWN($H24,0))*(INDEX(avoidedcosttbl3,ROUNDUP($H24,0),CJ$2)-(INDEX(avoidedcosttbl3,ROUNDDOWN($H24,0),CJ$2)))))*ADRYr3!P24*ADRYr3!Q24*ADRYr3!U24)</f>
        <v/>
      </c>
      <c r="CK24" s="30" t="str">
        <f>IF($G24="","",$G24*(IF(ADRYr3!$AI24=CB$4,ADRYr3!$AJ24,IF(ADRYr3!$AK24=CB$4,ADRYr3!$AL24,IF(ADRYr3!$AM24=CB$4,ADRYr3!$AN24,0))))*(INDEX(avoidedcosttbl3,$H24,CK$2)+(($H24-ROUNDDOWN($H24,0))*(INDEX(avoidedcosttbl3,ROUNDUP($H24,0),CK$2)-(INDEX(avoidedcosttbl3,ROUNDDOWN($H24,0),CK$2)))))*ADRYr3!P24*ADRYr3!Q24*ADRYr3!U24)</f>
        <v/>
      </c>
      <c r="CL24" s="30" t="str">
        <f>IF($G24="","",$G24*(IF(ADRYr3!$AI24=CC$4,ADRYr3!$AJ24,IF(ADRYr3!$AK24=CC$4,ADRYr3!$AL24,IF(ADRYr3!$AM24=CC$4,ADRYr3!$AN24,0))))*(INDEX(avoidedcosttbl3,$H24,CL$2)+(($H24-ROUNDDOWN($H24,0))*(INDEX(avoidedcosttbl3,ROUNDUP($H24,0),CL$2)-(INDEX(avoidedcosttbl3,ROUNDDOWN($H24,0),CL$2)))))*ADRYr3!P24*ADRYr3!Q24*ADRYr3!U24)</f>
        <v/>
      </c>
      <c r="CM24" s="30" t="str">
        <f>IF($G24="","",$G24*(IF(ADRYr3!$AI24=CD$4,ADRYr3!$AJ24,IF(ADRYr3!$AK24=CD$4,ADRYr3!$AL24,IF(ADRYr3!$AM24=CD$4,ADRYr3!$AN24,0))))*(INDEX(avoidedcosttbl3,$H24,CM$2)+(($H24-ROUNDDOWN($H24,0))*(INDEX(avoidedcosttbl3,ROUNDUP($H24,0),CM$2)-(INDEX(avoidedcosttbl3,ROUNDDOWN($H24,0),CM$2)))))*ADRYr3!P24*ADRYr3!Q24*ADRYr3!U24)</f>
        <v/>
      </c>
      <c r="CN24" s="30" t="str">
        <f>IF($G24="","",$G24*(IF(ADRYr3!$AI24=CE$4,ADRYr3!$AJ24,IF(ADRYr3!$AK24=CE$4,ADRYr3!$AL24,IF(ADRYr3!$AM24=CE$4,ADRYr3!$AN24,0))))*(INDEX(avoidedcosttbl3,$H24,CN$2)+(($H24-ROUNDDOWN($H24,0))*(INDEX(avoidedcosttbl3,ROUNDUP($H24,0),CN$2)-(INDEX(avoidedcosttbl3,ROUNDDOWN($H24,0),CN$2)))))*ADRYr3!P24*ADRYr3!Q24*ADRYr3!U24)</f>
        <v/>
      </c>
      <c r="CO24" s="220" t="str">
        <f t="shared" si="73"/>
        <v/>
      </c>
      <c r="CP24" s="220" t="str">
        <f t="shared" si="74"/>
        <v/>
      </c>
      <c r="CQ24" s="157" t="str">
        <f>IF($G24="","",$G24*(IF(ADRYr3!$AI24=CQ$4,ADRYr3!$AJ24,IF(ADRYr3!$AK24=CQ$4,ADRYr3!$AL24,IF(ADRYr3!$AM24=CQ$4,ADRYr3!$AN24,0))))*(INDEX(avoidedcosttbl3,$H24,CQ$2)+(($H24-ROUNDDOWN($H24,0))*(INDEX(avoidedcosttbl3,ROUNDUP($H24,0),CQ$2)-(INDEX(avoidedcosttbl3,ROUNDDOWN($H24,0),CQ$2)))))*ADRYr3!$P24*ADRYr3!$Q24*ADRYr3!$U24)</f>
        <v/>
      </c>
      <c r="CR24" s="28" t="str">
        <f>IF($G24="","",G24*(IF(ADRYr3!$AI24=CR$4,ADRYr3!$AJ24,IF(ADRYr3!$AK24=CR$4,ADRYr3!$AL24,IF(ADRYr3!$AM24=CR$4,ADRYr3!$AN24,0))))*(INDEX(avoidedcosttbl3,$H24,CR$2)+(($H24-ROUNDDOWN($H24,0))*(INDEX(avoidedcosttbl3,ROUNDUP($H24,0),CR$2)-(INDEX(avoidedcosttbl3,ROUNDDOWN($H24,0),CR$2)))))*ADRYr3!$P24*ADRYr3!$Q24*ADRYr3!$U24)</f>
        <v/>
      </c>
      <c r="CS24" s="28" t="str">
        <f>IF($G24="","",G24*(IF(ADRYr3!$AI24=CS$4,ADRYr3!$AJ24,IF(ADRYr3!$AK24=CS$4,ADRYr3!$AL24,IF(ADRYr3!$AM24=CS$4,ADRYr3!$AN24,0))))*(INDEX(avoidedcosttbl3,$H24,CS$2)+(($H24-ROUNDDOWN($H24,0))*(INDEX(avoidedcosttbl3,ROUNDUP($H24,0),CS$2)-(INDEX(avoidedcosttbl3,ROUNDDOWN($H24,0),CS$2)))))*ADRYr3!$P24*ADRYr3!$Q24*ADRYr3!$U24)</f>
        <v/>
      </c>
      <c r="CT24" s="28" t="str">
        <f t="shared" si="11"/>
        <v/>
      </c>
      <c r="CU24" s="28" t="str">
        <f>IF($G24="","",G24*(IF(ADRYr3!$AI24=CU$4,ADRYr3!$AJ24,IF(ADRYr3!$AK24=CU$4,ADRYr3!$AL24,IF(ADRYr3!$AM24=CU$4,ADRYr3!$AN24,0))))*(INDEX(avoidedcosttbl3,$H24,CU$2)+(($H24-ROUNDDOWN($H24,0))*(INDEX(avoidedcosttbl3,ROUNDUP($H24,0),CU$2)-(INDEX(avoidedcosttbl3,ROUNDDOWN($H24,0),CU$2)))))*ADRYr3!$P24*ADRYr3!$Q24*ADRYr3!$U24)</f>
        <v/>
      </c>
      <c r="CV24" s="28" t="str">
        <f>IF($G24="","",G24*(IF(ADRYr3!$AI24=CV$4,ADRYr3!$AJ24,IF(ADRYr3!$AK24=CV$4,ADRYr3!$AL24,IF(ADRYr3!$AM24=CV$4,ADRYr3!$AN24,0))))*(INDEX(avoidedcosttbl3,$H24,CV$2)+(($H24-ROUNDDOWN($H24,0))*(INDEX(avoidedcosttbl3,ROUNDUP($H24,0),CV$2)-(INDEX(avoidedcosttbl3,ROUNDDOWN($H24,0),CV$2)))))*ADRYr3!$P24*ADRYr3!$Q24*ADRYr3!$U24)</f>
        <v/>
      </c>
      <c r="CW24" s="28" t="str">
        <f>IF($G24="","",G24*(IF(ADRYr3!$AI24=CW$4,ADRYr3!$AJ24,IF(ADRYr3!$AK24=CW$4,ADRYr3!$AL24,IF(ADRYr3!$AM24=CW$4,ADRYr3!$AN24,0))))*(INDEX(avoidedcosttbl3,$H24,CW$2)+(($H24-ROUNDDOWN($H24,0))*(INDEX(avoidedcosttbl3,ROUNDUP($H24,0),CW$2)-(INDEX(avoidedcosttbl3,ROUNDDOWN($H24,0),CW$2)))))*ADRYr3!$P24*ADRYr3!$Q24*ADRYr3!$U24)</f>
        <v/>
      </c>
      <c r="CX24" s="28" t="str">
        <f>IF($G24="","",G24*(IF(ADRYr3!$AI24=CX$4,ADRYr3!$AJ24,IF(ADRYr3!$AK24=CX$4,ADRYr3!$AL24,IF(ADRYr3!$AM24=CX$4,ADRYr3!$AN24,0))))*(INDEX(avoidedcosttbl3,$H24,CX$2)+(($H24-ROUNDDOWN($H24,0))*(INDEX(avoidedcosttbl3,ROUNDUP($H24,0),CX$2)-(INDEX(avoidedcosttbl3,ROUNDDOWN($H24,0),CX$2)))))*ADRYr3!$P24*ADRYr3!$Q24*ADRYr3!$U24)</f>
        <v/>
      </c>
      <c r="CY24" s="28" t="str">
        <f t="shared" si="75"/>
        <v/>
      </c>
      <c r="CZ24" s="32" t="str">
        <f t="shared" si="76"/>
        <v/>
      </c>
      <c r="DA24" s="84" t="str">
        <f t="shared" si="77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78"/>
        <v/>
      </c>
      <c r="DD24" s="166" t="str">
        <f t="shared" si="79"/>
        <v/>
      </c>
      <c r="DE24" s="82">
        <f t="shared" si="80"/>
        <v>0</v>
      </c>
      <c r="DF24" s="760" t="str">
        <f>IF($G24="","",(1+WntPeakEnergyLL)*(INDEX(avoidedcosttbl3,$H24,DF$2)+(($H24-ROUNDDOWN($H24,0))*(INDEX(avoidedcosttbl3,ROUNDUP($H24,0),DF$2)-(INDEX(avoidedcosttbl3,ROUNDDOWN($H24,0),DF$2)))))*$P24*1000*ADRYr3!Z24)</f>
        <v/>
      </c>
      <c r="DG24" s="760" t="str">
        <f>IF($G24="","",(1+WntOffPeakEnergyLL)*(INDEX(avoidedcosttbl3,$H24,DG$2)+(($H24-ROUNDDOWN($H24,0))*(INDEX(avoidedcosttbl3,ROUNDUP($H24,0),DG$2)-(INDEX(avoidedcosttbl3,ROUNDDOWN($H24,0),DG$2)))))*$P24*1000*ADRYr3!AA24)</f>
        <v/>
      </c>
      <c r="DH24" s="760" t="str">
        <f>IF($G24="","",(1+SumPeakEnergyLL)*(INDEX(avoidedcosttbl3,$H24,DH$2)+(($H24-ROUNDDOWN($H24,0))*(INDEX(avoidedcosttbl3,ROUNDUP($H24,0),DH$2)-(INDEX(avoidedcosttbl3,ROUNDDOWN($H24,0),DH$2)))))*$P24*1000*ADRYr3!AB24)</f>
        <v/>
      </c>
      <c r="DI24" s="760" t="str">
        <f>IF($G24="","",(1+SumOffPeakEnergyLL)*(INDEX(avoidedcosttbl3,$H24,DI$2)+(($H24-ROUNDDOWN($H24,0))*(INDEX(avoidedcosttbl3,ROUNDUP($H24,0),DI$2)-(INDEX(avoidedcosttbl3,ROUNDDOWN($H24,0),DI$2)))))*$P24*1000*ADRYr3!AC24)</f>
        <v/>
      </c>
      <c r="DJ24" s="29" t="str">
        <f t="shared" si="81"/>
        <v/>
      </c>
      <c r="DK24" s="161" t="str">
        <f t="shared" si="45"/>
        <v/>
      </c>
      <c r="DL24" s="1375" t="str">
        <f t="shared" si="46"/>
        <v/>
      </c>
      <c r="DM24" s="1375" t="str">
        <f t="shared" si="47"/>
        <v/>
      </c>
      <c r="DN24" s="43" t="str">
        <f t="shared" si="48"/>
        <v/>
      </c>
      <c r="DO24" s="1131" t="str">
        <f>IF($G24="","",ADRYr3!AQ24)</f>
        <v/>
      </c>
      <c r="DP24" s="1133" t="str">
        <f>IF($G24="","",ADRYr3!AR24)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49"/>
        <v/>
      </c>
      <c r="DU24" s="1135" t="str">
        <f>IF($G24="","",ADRYr3!AS24)</f>
        <v/>
      </c>
      <c r="DV24" s="1136" t="str">
        <f>IF($G24="","",ADRYr3!AT24)</f>
        <v/>
      </c>
      <c r="DW24" s="1344" t="str">
        <f>IF($G24="","",INDEX(AvoidedEnergy!$H$4:$H$10,MATCH($DO24,AvoidedEnergy!$A$4:$A$10,0)))</f>
        <v/>
      </c>
    </row>
    <row r="25" spans="1:127">
      <c r="A25" s="160" t="str">
        <f>IF(ADRYr3!$B25=0,"",ADRYr3!A25)</f>
        <v>B - Low-Income</v>
      </c>
      <c r="B25" s="9" t="str">
        <f>IF(ADRYr3!$B25=0,"",ADRYr3!B25)</f>
        <v>Home Energy Assistance</v>
      </c>
      <c r="C25" s="9" t="str">
        <f>IF(ADRYr3!$B25=0,"",ADRYr3!C25)</f>
        <v>Res Demand Response</v>
      </c>
      <c r="D25" s="9" t="str">
        <f>IF(ADRYr3!$B25=0,"",ADRYr3!D25)</f>
        <v>Storage Targeted Dispatch P4P (savings) Winter</v>
      </c>
      <c r="E25" s="9">
        <f>IF(ADRYr3!$B25=0,"",ADRYr3!E25)</f>
        <v>0</v>
      </c>
      <c r="F25" s="11" t="str">
        <f>IF(ADRYr3!$B25=0,"",ADRYr3!F25)</f>
        <v>Behavior</v>
      </c>
      <c r="G25" s="12" t="str">
        <f>IF(ADRYr3!$G25&lt;&gt;0,ADRYr3!G25,"")</f>
        <v/>
      </c>
      <c r="H25" s="1125" t="str">
        <f>IF($G25="","",ROUND(ADRYr3!H25,0))</f>
        <v/>
      </c>
      <c r="I25" s="47" t="str">
        <f>IF($G25="","",ADRYr3!I25*ADRYr3!P25*G25)</f>
        <v/>
      </c>
      <c r="J25" s="47" t="str">
        <f>IF($G25="","",ADRYr3!J25*G25)</f>
        <v/>
      </c>
      <c r="K25" s="47" t="str">
        <f t="shared" si="50"/>
        <v/>
      </c>
      <c r="L25" s="27" t="str">
        <f>IF($G25="","",ADRYr3!V25*G25/1000)</f>
        <v/>
      </c>
      <c r="M25" s="27" t="str">
        <f>IF($G25="","",L25*ADRYr3!$Q25*ADRYr3!$R25)</f>
        <v/>
      </c>
      <c r="N25" s="27" t="str">
        <f t="shared" si="51"/>
        <v/>
      </c>
      <c r="O25" s="27" t="str">
        <f t="shared" si="52"/>
        <v/>
      </c>
      <c r="P25" s="27" t="str">
        <f>IF($G25="","",M25*ADRYr3!P25)</f>
        <v/>
      </c>
      <c r="Q25" s="27" t="str">
        <f t="shared" si="53"/>
        <v/>
      </c>
      <c r="R25" s="27" t="str">
        <f>IF($G25="","",$Q25*ADRYr3!Z25)</f>
        <v/>
      </c>
      <c r="S25" s="27" t="str">
        <f>IF($G25="","",$Q25*ADRYr3!AA25)</f>
        <v/>
      </c>
      <c r="T25" s="27" t="str">
        <f>IF($G25="","",$Q25*ADRYr3!AB25)</f>
        <v/>
      </c>
      <c r="U25" s="27" t="str">
        <f>IF($G25="","",$Q25*ADRYr3!AC25)</f>
        <v/>
      </c>
      <c r="V25" s="27" t="str">
        <f>IF($G25="","",G25*ADRYr3!$AD25*ADRYr3!$P25*ADRYr3!$Q25)</f>
        <v/>
      </c>
      <c r="W25" s="27" t="str">
        <f>IF($G25="","",$G25*ADRYr3!$AD25*ADRYr3!$AF25*ADRYr3!Q25*ADRYr3!$S25)</f>
        <v/>
      </c>
      <c r="X25" s="27" t="str">
        <f>IF($G25="","",$G25*ADRYr3!$AD25*ADRYr3!$AF25*ADRYr3!P25*ADRYr3!Q25*ADRYr3!$S25)</f>
        <v/>
      </c>
      <c r="Y25" s="27" t="str">
        <f>IF($G25="","",$G25*ADRYr3!$AD25*ADRYr3!$AE25*ADRYr3!Q25*ADRYr3!$T25)</f>
        <v/>
      </c>
      <c r="Z25" s="27" t="str">
        <f>IF($G25="","",$G25*ADRYr3!$AD25*ADRYr3!$AE25*ADRYr3!P25*ADRYr3!Q25*ADRYr3!$T25)</f>
        <v/>
      </c>
      <c r="AA25" s="45" t="str">
        <f>IF($G25="","",$G25*ADRYr3!$Q25*ADRYr3!$U25*(IF(IFERROR(SEARCH("NG", ADRYr3!$AI25),0),ADRYr3!$AJ25,0)+IF(IFERROR(SEARCH("NG", ADRYr3!$AK25),0),ADRYr3!$AL25,0)+IF(IFERROR(SEARCH("NG", ADRYr3!$AM25),0),ADRYr3!$AN25,0)))</f>
        <v/>
      </c>
      <c r="AB25" s="45" t="str">
        <f t="shared" si="54"/>
        <v/>
      </c>
      <c r="AC25" s="45">
        <f>IF($G25="",0,AA25*ADRYr3!$P25)</f>
        <v>0</v>
      </c>
      <c r="AD25" s="45" t="str">
        <f t="shared" si="55"/>
        <v/>
      </c>
      <c r="AE25" s="45" t="str">
        <f>IF($G25="","",$G25*ADRYr3!$Q25*ADRYr3!$U25*(IF(IFERROR(SEARCH("Oil", ADRYr3!$AI25), 0),ADRYr3!$AJ25,0)+IF(IFERROR(SEARCH("Oil", ADRYr3!$AK25), 0),ADRYr3!$AL25,0)+IF(IFERROR(SEARCH("Oil", ADRYr3!$AM25), 0),ADRYr3!$AN25,0)))</f>
        <v/>
      </c>
      <c r="AF25" s="45" t="str">
        <f t="shared" si="56"/>
        <v/>
      </c>
      <c r="AG25" s="45">
        <f>IF($G25="",0,AE25*ADRYr3!$P25)</f>
        <v>0</v>
      </c>
      <c r="AH25" s="45" t="str">
        <f t="shared" si="57"/>
        <v/>
      </c>
      <c r="AI25" s="45" t="str">
        <f>IF($G25="","",$G25*ADRYr3!$Q25*ADRYr3!$U25*(IF(ADRYr3!$AI25=Lookups!$E$114,ADRYr3!$AJ25,IF(ADRYr3!$AK25=Lookups!$E$114,ADRYr3!$AL25,IF(ADRYr3!$AM25=Lookups!$E$114,ADRYr3!$AN25,0)))))</f>
        <v/>
      </c>
      <c r="AJ25" s="45" t="str">
        <f t="shared" si="58"/>
        <v/>
      </c>
      <c r="AK25" s="45">
        <f>IF($G25="",0,AI25*ADRYr3!$P25)</f>
        <v>0</v>
      </c>
      <c r="AL25" s="45" t="str">
        <f t="shared" si="59"/>
        <v/>
      </c>
      <c r="AM25" s="45" t="str">
        <f>IF($G25="","",$G25*ADRYr3!$Q25*ADRYr3!$U25*(IF(ADRYr3!$AI25=Lookups!$E$113,ADRYr3!$AJ25,IF(ADRYr3!$AK25=Lookups!$E$113,ADRYr3!$AL25,IF(ADRYr3!$AM25=Lookups!$E$113,ADRYr3!$AN25,0)))))</f>
        <v/>
      </c>
      <c r="AN25" s="45" t="str">
        <f t="shared" si="60"/>
        <v/>
      </c>
      <c r="AO25" s="45">
        <f>IF($G25="",0,AM25*ADRYr3!$P25)</f>
        <v>0</v>
      </c>
      <c r="AP25" s="45" t="str">
        <f t="shared" si="61"/>
        <v/>
      </c>
      <c r="AQ25" s="45" t="str">
        <f>IF($G25="","",$G25*ADRYr3!$Q25*ADRYr3!$U25*(IF(ADRYr3!$AI25=Lookups!$E$115,ADRYr3!$AJ25,IF(ADRYr3!$AK25=Lookups!$E$115,ADRYr3!$AL25,IF(ADRYr3!$AM25=Lookups!$E$115,ADRYr3!$AN25,0)))))</f>
        <v/>
      </c>
      <c r="AR25" s="45" t="str">
        <f t="shared" si="62"/>
        <v/>
      </c>
      <c r="AS25" s="45" t="str">
        <f>IF($G25="","",AQ25*ADRYr3!$P25)</f>
        <v/>
      </c>
      <c r="AT25" s="45" t="str">
        <f t="shared" si="63"/>
        <v/>
      </c>
      <c r="AU25" s="45" t="str">
        <f>IF($G25="","",$G25*ADRYr3!$Q25*ADRYr3!$U25*(IF(ADRYr3!$AI25=Lookups!$E$116,ADRYr3!$AJ25,IF(ADRYr3!$AK25=Lookups!$E$116,ADRYr3!$AL25,IF(ADRYr3!$AM25=Lookups!$E$116,ADRYr3!$AN25,0)))))</f>
        <v/>
      </c>
      <c r="AV25" s="45" t="str">
        <f t="shared" si="64"/>
        <v/>
      </c>
      <c r="AW25" s="45" t="str">
        <f>IF($G25="","",AU25*ADRYr3!$P25)</f>
        <v/>
      </c>
      <c r="AX25" s="45" t="str">
        <f t="shared" si="65"/>
        <v/>
      </c>
      <c r="AY25" s="45">
        <f t="shared" si="66"/>
        <v>0</v>
      </c>
      <c r="AZ25" s="45">
        <f t="shared" si="67"/>
        <v>0</v>
      </c>
      <c r="BA25" s="101" t="str">
        <f>IF($G25="","",$G25*ADRYr3!$P25*ADRYr3!$Q25*ADRYr3!$U25*ADRYr3!AO25)</f>
        <v/>
      </c>
      <c r="BB25" s="102" t="str">
        <f>IF($G25="","",$G25*ADRYr3!$P25*ADRYr3!$Q25*ADRYr3!$U25*ADRYr3!AP25)</f>
        <v/>
      </c>
      <c r="BC25" s="100" t="str">
        <f t="shared" si="68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31"/>
        <v/>
      </c>
      <c r="BO25" s="31" t="str">
        <f t="shared" si="69"/>
        <v/>
      </c>
      <c r="BP25" s="1129" t="str">
        <f t="shared" si="5"/>
        <v/>
      </c>
      <c r="BQ25" s="28" t="str">
        <f t="shared" si="6"/>
        <v/>
      </c>
      <c r="BR25" s="1129" t="str">
        <f t="shared" si="7"/>
        <v/>
      </c>
      <c r="BS25" s="1129" t="str">
        <f t="shared" si="8"/>
        <v/>
      </c>
      <c r="BT25" s="28" t="str">
        <f t="shared" ref="BT25:BV50" si="82">IF($G25="","",(INDEX(avoidedcosttbl3,$H25,BT$2)+(($H25-ROUNDDOWN($H25,0))*(INDEX(avoidedcosttbl3,ROUNDUP($H25,0),BT$2)-(INDEX(avoidedcosttbl3,ROUNDDOWN($H25,0),BT$2)))))*$Z25)</f>
        <v/>
      </c>
      <c r="BU25" s="28" t="str">
        <f t="shared" si="82"/>
        <v/>
      </c>
      <c r="BV25" s="28" t="str">
        <f t="shared" si="82"/>
        <v/>
      </c>
      <c r="BW25" s="29" t="str">
        <f t="shared" si="70"/>
        <v/>
      </c>
      <c r="BX25" s="29" t="str">
        <f t="shared" si="71"/>
        <v/>
      </c>
      <c r="BY25" s="28" t="str">
        <f>IF($G25="","",$G25*(IF(ADRYr3!$AI25=BY$4,ADRYr3!$AJ25,IF(ADRYr3!$AK25=BY$4,ADRYr3!$AL25,IF(ADRYr3!$AM25=BY$4,ADRYr3!$AN25,0))))*(INDEX(avoidedcosttbl3,$H25,BY$2)+(($H25-ROUNDDOWN($H25,0))*(INDEX(avoidedcosttbl3,ROUNDUP($H25,0),BY$2)-(INDEX(avoidedcosttbl3,ROUNDDOWN($H25,0),BY$2)))))*ADRYr3!P25*ADRYr3!Q25*ADRYr3!U25)</f>
        <v/>
      </c>
      <c r="BZ25" s="28" t="str">
        <f>IF($G25="","",$G25*(IF(ADRYr3!$AI25=BZ$4,ADRYr3!$AJ25,IF(ADRYr3!$AK25=BZ$4,ADRYr3!$AL25,IF(ADRYr3!$AM25=BZ$4,ADRYr3!$AN25,0))))*(INDEX(avoidedcosttbl3,$H25,BZ$2)+(($H25-ROUNDDOWN($H25,0))*(INDEX(avoidedcosttbl3,ROUNDUP($H25,0),BZ$2)-(INDEX(avoidedcosttbl3,ROUNDDOWN($H25,0),BZ$2)))))*ADRYr3!P25*ADRYr3!Q25*ADRYr3!U25)</f>
        <v/>
      </c>
      <c r="CA25" s="28" t="str">
        <f>IF($G25="","",$G25*(IF(ADRYr3!$AI25=CA$4,ADRYr3!$AJ25,IF(ADRYr3!$AK25=CA$4,ADRYr3!$AL25,IF(ADRYr3!$AM25=CA$4,ADRYr3!$AN25,0))))*(INDEX(avoidedcosttbl3,$H25,CA$2)+(($H25-ROUNDDOWN($H25,0))*(INDEX(avoidedcosttbl3,ROUNDUP($H25,0),CA$2)-(INDEX(avoidedcosttbl3,ROUNDDOWN($H25,0),CA$2)))))*ADRYr3!P25*ADRYr3!Q25*ADRYr3!U25)</f>
        <v/>
      </c>
      <c r="CB25" s="28" t="str">
        <f>IF($G25="","",$G25*(IF(ADRYr3!$AI25=CB$4,ADRYr3!$AJ25,IF(ADRYr3!$AK25=CB$4,ADRYr3!$AL25,IF(ADRYr3!$AM25=CB$4,ADRYr3!$AN25,0))))*(INDEX(avoidedcosttbl3,$H25,CB$2)+(($H25-ROUNDDOWN($H25,0))*(INDEX(avoidedcosttbl3,ROUNDUP($H25,0),CB$2)-(INDEX(avoidedcosttbl3,ROUNDDOWN($H25,0),CB$2)))))*ADRYr3!P25*ADRYr3!Q25*ADRYr3!U25)</f>
        <v/>
      </c>
      <c r="CC25" s="28" t="str">
        <f>IF($G25="","",$G25*(IF(ADRYr3!$AI25=CC$4,ADRYr3!$AJ25,IF(ADRYr3!$AK25=CC$4,ADRYr3!$AL25,IF(ADRYr3!$AM25=CC$4,ADRYr3!$AN25,0))))*(INDEX(avoidedcosttbl3,$H25,CC$2)+(($H25-ROUNDDOWN($H25,0))*(INDEX(avoidedcosttbl3,ROUNDUP($H25,0),CC$2)-(INDEX(avoidedcosttbl3,ROUNDDOWN($H25,0),CC$2)))))*ADRYr3!P25*ADRYr3!Q25*ADRYr3!U25)</f>
        <v/>
      </c>
      <c r="CD25" s="28" t="str">
        <f>IF($G25="","",$G25*(IF(ADRYr3!$AI25=CD$4,ADRYr3!$AJ25,IF(ADRYr3!$AK25=CD$4,ADRYr3!$AL25,IF(ADRYr3!$AM25=CD$4,ADRYr3!$AN25,0))))*(INDEX(avoidedcosttbl3,$H25,CD$2)+(($H25-ROUNDDOWN($H25,0))*(INDEX(avoidedcosttbl3,ROUNDUP($H25,0),CD$2)-(INDEX(avoidedcosttbl3,ROUNDDOWN($H25,0),CD$2)))))*ADRYr3!P25*ADRYr3!Q25*ADRYr3!U25)</f>
        <v/>
      </c>
      <c r="CE25" s="28" t="str">
        <f>IF($G25="","",$G25*(IF(ADRYr3!$AI25=CE$4,ADRYr3!$AJ25,IF(ADRYr3!$AK25=CE$4,ADRYr3!$AL25,IF(ADRYr3!$AM25=CE$4,ADRYr3!$AN25,0))))*(INDEX(avoidedcosttbl3,$H25,CE$2)+(($H25-ROUNDDOWN($H25,0))*(INDEX(avoidedcosttbl3,ROUNDUP($H25,0),CE$2)-(INDEX(avoidedcosttbl3,ROUNDDOWN($H25,0),CE$2)))))*ADRYr3!P25*ADRYr3!Q25*ADRYr3!U25)</f>
        <v/>
      </c>
      <c r="CF25" s="41" t="str">
        <f t="shared" si="72"/>
        <v/>
      </c>
      <c r="CG25" s="30" t="str">
        <f t="shared" si="10"/>
        <v/>
      </c>
      <c r="CH25" s="30" t="str">
        <f>IF($G25="","",$G25*(IF(ADRYr3!$AI25=BY$4,ADRYr3!$AJ25,IF(ADRYr3!$AK25=BY$4,ADRYr3!$AL25,IF(ADRYr3!$AM25=BY$4,ADRYr3!$AN25,0))))*(INDEX(avoidedcosttbl3,$H25,CH$2)+(($H25-ROUNDDOWN($H25,0))*(INDEX(avoidedcosttbl3,ROUNDUP($H25,0),CH$2)-(INDEX(avoidedcosttbl3,ROUNDDOWN($H25,0),CH$2)))))*ADRYr3!P25*ADRYr3!Q25*ADRYr3!U25)</f>
        <v/>
      </c>
      <c r="CI25" s="30" t="str">
        <f>IF($G25="","",$G25*(IF(ADRYr3!$AI25=BZ$4,ADRYr3!$AJ25,IF(ADRYr3!$AK25=BZ$4,ADRYr3!$AL25,IF(ADRYr3!$AM25=BZ$4,ADRYr3!$AN25,0))))*(INDEX(avoidedcosttbl3,$H25,CI$2)+(($H25-ROUNDDOWN($H25,0))*(INDEX(avoidedcosttbl3,ROUNDUP($H25,0),CI$2)-(INDEX(avoidedcosttbl3,ROUNDDOWN($H25,0),CI$2)))))*ADRYr3!P25*ADRYr3!Q25*ADRYr3!U25)</f>
        <v/>
      </c>
      <c r="CJ25" s="30" t="str">
        <f>IF($G25="","",$G25*(IF(ADRYr3!$AI25=CA$4,ADRYr3!$AJ25,IF(ADRYr3!$AK25=CA$4,ADRYr3!$AL25,IF(ADRYr3!$AM25=CA$4,ADRYr3!$AN25,0))))*(INDEX(avoidedcosttbl3,$H25,CJ$2)+(($H25-ROUNDDOWN($H25,0))*(INDEX(avoidedcosttbl3,ROUNDUP($H25,0),CJ$2)-(INDEX(avoidedcosttbl3,ROUNDDOWN($H25,0),CJ$2)))))*ADRYr3!P25*ADRYr3!Q25*ADRYr3!U25)</f>
        <v/>
      </c>
      <c r="CK25" s="30" t="str">
        <f>IF($G25="","",$G25*(IF(ADRYr3!$AI25=CB$4,ADRYr3!$AJ25,IF(ADRYr3!$AK25=CB$4,ADRYr3!$AL25,IF(ADRYr3!$AM25=CB$4,ADRYr3!$AN25,0))))*(INDEX(avoidedcosttbl3,$H25,CK$2)+(($H25-ROUNDDOWN($H25,0))*(INDEX(avoidedcosttbl3,ROUNDUP($H25,0),CK$2)-(INDEX(avoidedcosttbl3,ROUNDDOWN($H25,0),CK$2)))))*ADRYr3!P25*ADRYr3!Q25*ADRYr3!U25)</f>
        <v/>
      </c>
      <c r="CL25" s="30" t="str">
        <f>IF($G25="","",$G25*(IF(ADRYr3!$AI25=CC$4,ADRYr3!$AJ25,IF(ADRYr3!$AK25=CC$4,ADRYr3!$AL25,IF(ADRYr3!$AM25=CC$4,ADRYr3!$AN25,0))))*(INDEX(avoidedcosttbl3,$H25,CL$2)+(($H25-ROUNDDOWN($H25,0))*(INDEX(avoidedcosttbl3,ROUNDUP($H25,0),CL$2)-(INDEX(avoidedcosttbl3,ROUNDDOWN($H25,0),CL$2)))))*ADRYr3!P25*ADRYr3!Q25*ADRYr3!U25)</f>
        <v/>
      </c>
      <c r="CM25" s="30" t="str">
        <f>IF($G25="","",$G25*(IF(ADRYr3!$AI25=CD$4,ADRYr3!$AJ25,IF(ADRYr3!$AK25=CD$4,ADRYr3!$AL25,IF(ADRYr3!$AM25=CD$4,ADRYr3!$AN25,0))))*(INDEX(avoidedcosttbl3,$H25,CM$2)+(($H25-ROUNDDOWN($H25,0))*(INDEX(avoidedcosttbl3,ROUNDUP($H25,0),CM$2)-(INDEX(avoidedcosttbl3,ROUNDDOWN($H25,0),CM$2)))))*ADRYr3!P25*ADRYr3!Q25*ADRYr3!U25)</f>
        <v/>
      </c>
      <c r="CN25" s="30" t="str">
        <f>IF($G25="","",$G25*(IF(ADRYr3!$AI25=CE$4,ADRYr3!$AJ25,IF(ADRYr3!$AK25=CE$4,ADRYr3!$AL25,IF(ADRYr3!$AM25=CE$4,ADRYr3!$AN25,0))))*(INDEX(avoidedcosttbl3,$H25,CN$2)+(($H25-ROUNDDOWN($H25,0))*(INDEX(avoidedcosttbl3,ROUNDUP($H25,0),CN$2)-(INDEX(avoidedcosttbl3,ROUNDDOWN($H25,0),CN$2)))))*ADRYr3!P25*ADRYr3!Q25*ADRYr3!U25)</f>
        <v/>
      </c>
      <c r="CO25" s="220" t="str">
        <f t="shared" si="73"/>
        <v/>
      </c>
      <c r="CP25" s="220" t="str">
        <f t="shared" si="74"/>
        <v/>
      </c>
      <c r="CQ25" s="157" t="str">
        <f>IF($G25="","",$G25*(IF(ADRYr3!$AI25=CQ$4,ADRYr3!$AJ25,IF(ADRYr3!$AK25=CQ$4,ADRYr3!$AL25,IF(ADRYr3!$AM25=CQ$4,ADRYr3!$AN25,0))))*(INDEX(avoidedcosttbl3,$H25,CQ$2)+(($H25-ROUNDDOWN($H25,0))*(INDEX(avoidedcosttbl3,ROUNDUP($H25,0),CQ$2)-(INDEX(avoidedcosttbl3,ROUNDDOWN($H25,0),CQ$2)))))*ADRYr3!$P25*ADRYr3!$Q25*ADRYr3!$U25)</f>
        <v/>
      </c>
      <c r="CR25" s="28" t="str">
        <f>IF($G25="","",G25*(IF(ADRYr3!$AI25=CR$4,ADRYr3!$AJ25,IF(ADRYr3!$AK25=CR$4,ADRYr3!$AL25,IF(ADRYr3!$AM25=CR$4,ADRYr3!$AN25,0))))*(INDEX(avoidedcosttbl3,$H25,CR$2)+(($H25-ROUNDDOWN($H25,0))*(INDEX(avoidedcosttbl3,ROUNDUP($H25,0),CR$2)-(INDEX(avoidedcosttbl3,ROUNDDOWN($H25,0),CR$2)))))*ADRYr3!$P25*ADRYr3!$Q25*ADRYr3!$U25)</f>
        <v/>
      </c>
      <c r="CS25" s="28" t="str">
        <f>IF($G25="","",G25*(IF(ADRYr3!$AI25=CS$4,ADRYr3!$AJ25,IF(ADRYr3!$AK25=CS$4,ADRYr3!$AL25,IF(ADRYr3!$AM25=CS$4,ADRYr3!$AN25,0))))*(INDEX(avoidedcosttbl3,$H25,CS$2)+(($H25-ROUNDDOWN($H25,0))*(INDEX(avoidedcosttbl3,ROUNDUP($H25,0),CS$2)-(INDEX(avoidedcosttbl3,ROUNDDOWN($H25,0),CS$2)))))*ADRYr3!$P25*ADRYr3!$Q25*ADRYr3!$U25)</f>
        <v/>
      </c>
      <c r="CT25" s="28" t="str">
        <f t="shared" si="11"/>
        <v/>
      </c>
      <c r="CU25" s="28" t="str">
        <f>IF($G25="","",G25*(IF(ADRYr3!$AI25=CU$4,ADRYr3!$AJ25,IF(ADRYr3!$AK25=CU$4,ADRYr3!$AL25,IF(ADRYr3!$AM25=CU$4,ADRYr3!$AN25,0))))*(INDEX(avoidedcosttbl3,$H25,CU$2)+(($H25-ROUNDDOWN($H25,0))*(INDEX(avoidedcosttbl3,ROUNDUP($H25,0),CU$2)-(INDEX(avoidedcosttbl3,ROUNDDOWN($H25,0),CU$2)))))*ADRYr3!$P25*ADRYr3!$Q25*ADRYr3!$U25)</f>
        <v/>
      </c>
      <c r="CV25" s="28" t="str">
        <f>IF($G25="","",G25*(IF(ADRYr3!$AI25=CV$4,ADRYr3!$AJ25,IF(ADRYr3!$AK25=CV$4,ADRYr3!$AL25,IF(ADRYr3!$AM25=CV$4,ADRYr3!$AN25,0))))*(INDEX(avoidedcosttbl3,$H25,CV$2)+(($H25-ROUNDDOWN($H25,0))*(INDEX(avoidedcosttbl3,ROUNDUP($H25,0),CV$2)-(INDEX(avoidedcosttbl3,ROUNDDOWN($H25,0),CV$2)))))*ADRYr3!$P25*ADRYr3!$Q25*ADRYr3!$U25)</f>
        <v/>
      </c>
      <c r="CW25" s="28" t="str">
        <f>IF($G25="","",G25*(IF(ADRYr3!$AI25=CW$4,ADRYr3!$AJ25,IF(ADRYr3!$AK25=CW$4,ADRYr3!$AL25,IF(ADRYr3!$AM25=CW$4,ADRYr3!$AN25,0))))*(INDEX(avoidedcosttbl3,$H25,CW$2)+(($H25-ROUNDDOWN($H25,0))*(INDEX(avoidedcosttbl3,ROUNDUP($H25,0),CW$2)-(INDEX(avoidedcosttbl3,ROUNDDOWN($H25,0),CW$2)))))*ADRYr3!$P25*ADRYr3!$Q25*ADRYr3!$U25)</f>
        <v/>
      </c>
      <c r="CX25" s="28" t="str">
        <f>IF($G25="","",G25*(IF(ADRYr3!$AI25=CX$4,ADRYr3!$AJ25,IF(ADRYr3!$AK25=CX$4,ADRYr3!$AL25,IF(ADRYr3!$AM25=CX$4,ADRYr3!$AN25,0))))*(INDEX(avoidedcosttbl3,$H25,CX$2)+(($H25-ROUNDDOWN($H25,0))*(INDEX(avoidedcosttbl3,ROUNDUP($H25,0),CX$2)-(INDEX(avoidedcosttbl3,ROUNDDOWN($H25,0),CX$2)))))*ADRYr3!$P25*ADRYr3!$Q25*ADRYr3!$U25)</f>
        <v/>
      </c>
      <c r="CY25" s="28" t="str">
        <f t="shared" si="75"/>
        <v/>
      </c>
      <c r="CZ25" s="32" t="str">
        <f t="shared" si="76"/>
        <v/>
      </c>
      <c r="DA25" s="84" t="str">
        <f t="shared" si="77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78"/>
        <v/>
      </c>
      <c r="DD25" s="166" t="str">
        <f t="shared" si="79"/>
        <v/>
      </c>
      <c r="DE25" s="82">
        <f t="shared" si="80"/>
        <v>0</v>
      </c>
      <c r="DF25" s="760" t="str">
        <f>IF($G25="","",(1+WntPeakEnergyLL)*(INDEX(avoidedcosttbl3,$H25,DF$2)+(($H25-ROUNDDOWN($H25,0))*(INDEX(avoidedcosttbl3,ROUNDUP($H25,0),DF$2)-(INDEX(avoidedcosttbl3,ROUNDDOWN($H25,0),DF$2)))))*$P25*1000*ADRYr3!Z25)</f>
        <v/>
      </c>
      <c r="DG25" s="760" t="str">
        <f>IF($G25="","",(1+WntOffPeakEnergyLL)*(INDEX(avoidedcosttbl3,$H25,DG$2)+(($H25-ROUNDDOWN($H25,0))*(INDEX(avoidedcosttbl3,ROUNDUP($H25,0),DG$2)-(INDEX(avoidedcosttbl3,ROUNDDOWN($H25,0),DG$2)))))*$P25*1000*ADRYr3!AA25)</f>
        <v/>
      </c>
      <c r="DH25" s="760" t="str">
        <f>IF($G25="","",(1+SumPeakEnergyLL)*(INDEX(avoidedcosttbl3,$H25,DH$2)+(($H25-ROUNDDOWN($H25,0))*(INDEX(avoidedcosttbl3,ROUNDUP($H25,0),DH$2)-(INDEX(avoidedcosttbl3,ROUNDDOWN($H25,0),DH$2)))))*$P25*1000*ADRYr3!AB25)</f>
        <v/>
      </c>
      <c r="DI25" s="760" t="str">
        <f>IF($G25="","",(1+SumOffPeakEnergyLL)*(INDEX(avoidedcosttbl3,$H25,DI$2)+(($H25-ROUNDDOWN($H25,0))*(INDEX(avoidedcosttbl3,ROUNDUP($H25,0),DI$2)-(INDEX(avoidedcosttbl3,ROUNDDOWN($H25,0),DI$2)))))*$P25*1000*ADRYr3!AC25)</f>
        <v/>
      </c>
      <c r="DJ25" s="29" t="str">
        <f t="shared" si="81"/>
        <v/>
      </c>
      <c r="DK25" s="161" t="str">
        <f t="shared" si="45"/>
        <v/>
      </c>
      <c r="DL25" s="1375" t="str">
        <f t="shared" si="46"/>
        <v/>
      </c>
      <c r="DM25" s="1375" t="str">
        <f t="shared" si="47"/>
        <v/>
      </c>
      <c r="DN25" s="43" t="str">
        <f t="shared" si="48"/>
        <v/>
      </c>
      <c r="DO25" s="1131" t="str">
        <f>IF($G25="","",ADRYr3!AQ25)</f>
        <v/>
      </c>
      <c r="DP25" s="1133" t="str">
        <f>IF($G25="","",ADRYr3!AR25)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49"/>
        <v/>
      </c>
      <c r="DU25" s="1135" t="str">
        <f>IF($G25="","",ADRYr3!AS25)</f>
        <v/>
      </c>
      <c r="DV25" s="1136" t="str">
        <f>IF($G25="","",ADRYr3!AT25)</f>
        <v/>
      </c>
      <c r="DW25" s="1344" t="str">
        <f>IF($G25="","",INDEX(AvoidedEnergy!$H$4:$H$10,MATCH($DO25,AvoidedEnergy!$A$4:$A$10,0)))</f>
        <v/>
      </c>
    </row>
    <row r="26" spans="1:127">
      <c r="A26" s="160" t="str">
        <f>IF(ADRYr3!$B26=0,"",ADRYr3!A26)</f>
        <v>B - Low-Income</v>
      </c>
      <c r="B26" s="9" t="str">
        <f>IF(ADRYr3!$B26=0,"",ADRYr3!B26)</f>
        <v>Home Energy Assistance</v>
      </c>
      <c r="C26" s="9" t="str">
        <f>IF(ADRYr3!$B26=0,"",ADRYr3!C26)</f>
        <v>Res Demand Response</v>
      </c>
      <c r="D26" s="9" t="str">
        <f>IF(ADRYr3!$B26=0,"",ADRYr3!D26)</f>
        <v>Storage Targeted Dispatch P4P (consumption) Winter</v>
      </c>
      <c r="E26" s="9">
        <f>IF(ADRYr3!$B26=0,"",ADRYr3!E26)</f>
        <v>0</v>
      </c>
      <c r="F26" s="11" t="str">
        <f>IF(ADRYr3!$B26=0,"",ADRYr3!F26)</f>
        <v>Behavior</v>
      </c>
      <c r="G26" s="12" t="str">
        <f>IF(ADRYr3!$G26&lt;&gt;0,ADRYr3!G26,"")</f>
        <v/>
      </c>
      <c r="H26" s="1125" t="str">
        <f>IF($G26="","",ROUND(ADRYr3!H26,0))</f>
        <v/>
      </c>
      <c r="I26" s="47" t="str">
        <f>IF($G26="","",ADRYr3!I26*ADRYr3!P26*G26)</f>
        <v/>
      </c>
      <c r="J26" s="47" t="str">
        <f>IF($G26="","",ADRYr3!J26*G26)</f>
        <v/>
      </c>
      <c r="K26" s="47" t="str">
        <f t="shared" si="50"/>
        <v/>
      </c>
      <c r="L26" s="27" t="str">
        <f>IF($G26="","",ADRYr3!V26*G26/1000)</f>
        <v/>
      </c>
      <c r="M26" s="27" t="str">
        <f>IF($G26="","",L26*ADRYr3!$Q26*ADRYr3!$R26)</f>
        <v/>
      </c>
      <c r="N26" s="27" t="str">
        <f t="shared" si="51"/>
        <v/>
      </c>
      <c r="O26" s="27" t="str">
        <f t="shared" si="52"/>
        <v/>
      </c>
      <c r="P26" s="27" t="str">
        <f>IF($G26="","",M26*ADRYr3!P26)</f>
        <v/>
      </c>
      <c r="Q26" s="27" t="str">
        <f t="shared" si="53"/>
        <v/>
      </c>
      <c r="R26" s="27" t="str">
        <f>IF($G26="","",$Q26*ADRYr3!Z26)</f>
        <v/>
      </c>
      <c r="S26" s="27" t="str">
        <f>IF($G26="","",$Q26*ADRYr3!AA26)</f>
        <v/>
      </c>
      <c r="T26" s="27" t="str">
        <f>IF($G26="","",$Q26*ADRYr3!AB26)</f>
        <v/>
      </c>
      <c r="U26" s="27" t="str">
        <f>IF($G26="","",$Q26*ADRYr3!AC26)</f>
        <v/>
      </c>
      <c r="V26" s="27" t="str">
        <f>IF($G26="","",G26*ADRYr3!$AD26*ADRYr3!$P26*ADRYr3!$Q26)</f>
        <v/>
      </c>
      <c r="W26" s="27" t="str">
        <f>IF($G26="","",$G26*ADRYr3!$AD26*ADRYr3!$AF26*ADRYr3!Q26*ADRYr3!$S26)</f>
        <v/>
      </c>
      <c r="X26" s="27" t="str">
        <f>IF($G26="","",$G26*ADRYr3!$AD26*ADRYr3!$AF26*ADRYr3!P26*ADRYr3!Q26*ADRYr3!$S26)</f>
        <v/>
      </c>
      <c r="Y26" s="27" t="str">
        <f>IF($G26="","",$G26*ADRYr3!$AD26*ADRYr3!$AE26*ADRYr3!Q26*ADRYr3!$T26)</f>
        <v/>
      </c>
      <c r="Z26" s="27" t="str">
        <f>IF($G26="","",$G26*ADRYr3!$AD26*ADRYr3!$AE26*ADRYr3!P26*ADRYr3!Q26*ADRYr3!$T26)</f>
        <v/>
      </c>
      <c r="AA26" s="45" t="str">
        <f>IF($G26="","",$G26*ADRYr3!$Q26*ADRYr3!$U26*(IF(IFERROR(SEARCH("NG", ADRYr3!$AI26),0),ADRYr3!$AJ26,0)+IF(IFERROR(SEARCH("NG", ADRYr3!$AK26),0),ADRYr3!$AL26,0)+IF(IFERROR(SEARCH("NG", ADRYr3!$AM26),0),ADRYr3!$AN26,0)))</f>
        <v/>
      </c>
      <c r="AB26" s="45" t="str">
        <f t="shared" si="54"/>
        <v/>
      </c>
      <c r="AC26" s="45">
        <f>IF($G26="",0,AA26*ADRYr3!$P26)</f>
        <v>0</v>
      </c>
      <c r="AD26" s="45" t="str">
        <f t="shared" si="55"/>
        <v/>
      </c>
      <c r="AE26" s="45" t="str">
        <f>IF($G26="","",$G26*ADRYr3!$Q26*ADRYr3!$U26*(IF(IFERROR(SEARCH("Oil", ADRYr3!$AI26), 0),ADRYr3!$AJ26,0)+IF(IFERROR(SEARCH("Oil", ADRYr3!$AK26), 0),ADRYr3!$AL26,0)+IF(IFERROR(SEARCH("Oil", ADRYr3!$AM26), 0),ADRYr3!$AN26,0)))</f>
        <v/>
      </c>
      <c r="AF26" s="45" t="str">
        <f t="shared" si="56"/>
        <v/>
      </c>
      <c r="AG26" s="45">
        <f>IF($G26="",0,AE26*ADRYr3!$P26)</f>
        <v>0</v>
      </c>
      <c r="AH26" s="45" t="str">
        <f t="shared" si="57"/>
        <v/>
      </c>
      <c r="AI26" s="45" t="str">
        <f>IF($G26="","",$G26*ADRYr3!$Q26*ADRYr3!$U26*(IF(ADRYr3!$AI26=Lookups!$E$114,ADRYr3!$AJ26,IF(ADRYr3!$AK26=Lookups!$E$114,ADRYr3!$AL26,IF(ADRYr3!$AM26=Lookups!$E$114,ADRYr3!$AN26,0)))))</f>
        <v/>
      </c>
      <c r="AJ26" s="45" t="str">
        <f t="shared" si="58"/>
        <v/>
      </c>
      <c r="AK26" s="45">
        <f>IF($G26="",0,AI26*ADRYr3!$P26)</f>
        <v>0</v>
      </c>
      <c r="AL26" s="45" t="str">
        <f t="shared" si="59"/>
        <v/>
      </c>
      <c r="AM26" s="45" t="str">
        <f>IF($G26="","",$G26*ADRYr3!$Q26*ADRYr3!$U26*(IF(ADRYr3!$AI26=Lookups!$E$113,ADRYr3!$AJ26,IF(ADRYr3!$AK26=Lookups!$E$113,ADRYr3!$AL26,IF(ADRYr3!$AM26=Lookups!$E$113,ADRYr3!$AN26,0)))))</f>
        <v/>
      </c>
      <c r="AN26" s="45" t="str">
        <f t="shared" si="60"/>
        <v/>
      </c>
      <c r="AO26" s="45">
        <f>IF($G26="",0,AM26*ADRYr3!$P26)</f>
        <v>0</v>
      </c>
      <c r="AP26" s="45" t="str">
        <f t="shared" si="61"/>
        <v/>
      </c>
      <c r="AQ26" s="45" t="str">
        <f>IF($G26="","",$G26*ADRYr3!$Q26*ADRYr3!$U26*(IF(ADRYr3!$AI26=Lookups!$E$115,ADRYr3!$AJ26,IF(ADRYr3!$AK26=Lookups!$E$115,ADRYr3!$AL26,IF(ADRYr3!$AM26=Lookups!$E$115,ADRYr3!$AN26,0)))))</f>
        <v/>
      </c>
      <c r="AR26" s="45" t="str">
        <f t="shared" si="62"/>
        <v/>
      </c>
      <c r="AS26" s="45" t="str">
        <f>IF($G26="","",AQ26*ADRYr3!$P26)</f>
        <v/>
      </c>
      <c r="AT26" s="45" t="str">
        <f t="shared" si="63"/>
        <v/>
      </c>
      <c r="AU26" s="45" t="str">
        <f>IF($G26="","",$G26*ADRYr3!$Q26*ADRYr3!$U26*(IF(ADRYr3!$AI26=Lookups!$E$116,ADRYr3!$AJ26,IF(ADRYr3!$AK26=Lookups!$E$116,ADRYr3!$AL26,IF(ADRYr3!$AM26=Lookups!$E$116,ADRYr3!$AN26,0)))))</f>
        <v/>
      </c>
      <c r="AV26" s="45" t="str">
        <f t="shared" si="64"/>
        <v/>
      </c>
      <c r="AW26" s="45" t="str">
        <f>IF($G26="","",AU26*ADRYr3!$P26)</f>
        <v/>
      </c>
      <c r="AX26" s="45" t="str">
        <f t="shared" si="65"/>
        <v/>
      </c>
      <c r="AY26" s="45">
        <f t="shared" si="66"/>
        <v>0</v>
      </c>
      <c r="AZ26" s="45">
        <f t="shared" si="67"/>
        <v>0</v>
      </c>
      <c r="BA26" s="101" t="str">
        <f>IF($G26="","",$G26*ADRYr3!$P26*ADRYr3!$Q26*ADRYr3!$U26*ADRYr3!AO26)</f>
        <v/>
      </c>
      <c r="BB26" s="102" t="str">
        <f>IF($G26="","",$G26*ADRYr3!$P26*ADRYr3!$Q26*ADRYr3!$U26*ADRYr3!AP26)</f>
        <v/>
      </c>
      <c r="BC26" s="100" t="str">
        <f t="shared" si="68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31"/>
        <v/>
      </c>
      <c r="BO26" s="31" t="str">
        <f t="shared" si="69"/>
        <v/>
      </c>
      <c r="BP26" s="1129" t="str">
        <f t="shared" si="5"/>
        <v/>
      </c>
      <c r="BQ26" s="28" t="str">
        <f t="shared" si="6"/>
        <v/>
      </c>
      <c r="BR26" s="1129" t="str">
        <f t="shared" si="7"/>
        <v/>
      </c>
      <c r="BS26" s="1129" t="str">
        <f t="shared" si="8"/>
        <v/>
      </c>
      <c r="BT26" s="28" t="str">
        <f t="shared" si="82"/>
        <v/>
      </c>
      <c r="BU26" s="28" t="str">
        <f t="shared" si="82"/>
        <v/>
      </c>
      <c r="BV26" s="28" t="str">
        <f t="shared" si="82"/>
        <v/>
      </c>
      <c r="BW26" s="29" t="str">
        <f t="shared" si="70"/>
        <v/>
      </c>
      <c r="BX26" s="29" t="str">
        <f t="shared" si="71"/>
        <v/>
      </c>
      <c r="BY26" s="28" t="str">
        <f>IF($G26="","",$G26*(IF(ADRYr3!$AI26=BY$4,ADRYr3!$AJ26,IF(ADRYr3!$AK26=BY$4,ADRYr3!$AL26,IF(ADRYr3!$AM26=BY$4,ADRYr3!$AN26,0))))*(INDEX(avoidedcosttbl3,$H26,BY$2)+(($H26-ROUNDDOWN($H26,0))*(INDEX(avoidedcosttbl3,ROUNDUP($H26,0),BY$2)-(INDEX(avoidedcosttbl3,ROUNDDOWN($H26,0),BY$2)))))*ADRYr3!P26*ADRYr3!Q26*ADRYr3!U26)</f>
        <v/>
      </c>
      <c r="BZ26" s="28" t="str">
        <f>IF($G26="","",$G26*(IF(ADRYr3!$AI26=BZ$4,ADRYr3!$AJ26,IF(ADRYr3!$AK26=BZ$4,ADRYr3!$AL26,IF(ADRYr3!$AM26=BZ$4,ADRYr3!$AN26,0))))*(INDEX(avoidedcosttbl3,$H26,BZ$2)+(($H26-ROUNDDOWN($H26,0))*(INDEX(avoidedcosttbl3,ROUNDUP($H26,0),BZ$2)-(INDEX(avoidedcosttbl3,ROUNDDOWN($H26,0),BZ$2)))))*ADRYr3!P26*ADRYr3!Q26*ADRYr3!U26)</f>
        <v/>
      </c>
      <c r="CA26" s="28" t="str">
        <f>IF($G26="","",$G26*(IF(ADRYr3!$AI26=CA$4,ADRYr3!$AJ26,IF(ADRYr3!$AK26=CA$4,ADRYr3!$AL26,IF(ADRYr3!$AM26=CA$4,ADRYr3!$AN26,0))))*(INDEX(avoidedcosttbl3,$H26,CA$2)+(($H26-ROUNDDOWN($H26,0))*(INDEX(avoidedcosttbl3,ROUNDUP($H26,0),CA$2)-(INDEX(avoidedcosttbl3,ROUNDDOWN($H26,0),CA$2)))))*ADRYr3!P26*ADRYr3!Q26*ADRYr3!U26)</f>
        <v/>
      </c>
      <c r="CB26" s="28" t="str">
        <f>IF($G26="","",$G26*(IF(ADRYr3!$AI26=CB$4,ADRYr3!$AJ26,IF(ADRYr3!$AK26=CB$4,ADRYr3!$AL26,IF(ADRYr3!$AM26=CB$4,ADRYr3!$AN26,0))))*(INDEX(avoidedcosttbl3,$H26,CB$2)+(($H26-ROUNDDOWN($H26,0))*(INDEX(avoidedcosttbl3,ROUNDUP($H26,0),CB$2)-(INDEX(avoidedcosttbl3,ROUNDDOWN($H26,0),CB$2)))))*ADRYr3!P26*ADRYr3!Q26*ADRYr3!U26)</f>
        <v/>
      </c>
      <c r="CC26" s="28" t="str">
        <f>IF($G26="","",$G26*(IF(ADRYr3!$AI26=CC$4,ADRYr3!$AJ26,IF(ADRYr3!$AK26=CC$4,ADRYr3!$AL26,IF(ADRYr3!$AM26=CC$4,ADRYr3!$AN26,0))))*(INDEX(avoidedcosttbl3,$H26,CC$2)+(($H26-ROUNDDOWN($H26,0))*(INDEX(avoidedcosttbl3,ROUNDUP($H26,0),CC$2)-(INDEX(avoidedcosttbl3,ROUNDDOWN($H26,0),CC$2)))))*ADRYr3!P26*ADRYr3!Q26*ADRYr3!U26)</f>
        <v/>
      </c>
      <c r="CD26" s="28" t="str">
        <f>IF($G26="","",$G26*(IF(ADRYr3!$AI26=CD$4,ADRYr3!$AJ26,IF(ADRYr3!$AK26=CD$4,ADRYr3!$AL26,IF(ADRYr3!$AM26=CD$4,ADRYr3!$AN26,0))))*(INDEX(avoidedcosttbl3,$H26,CD$2)+(($H26-ROUNDDOWN($H26,0))*(INDEX(avoidedcosttbl3,ROUNDUP($H26,0),CD$2)-(INDEX(avoidedcosttbl3,ROUNDDOWN($H26,0),CD$2)))))*ADRYr3!P26*ADRYr3!Q26*ADRYr3!U26)</f>
        <v/>
      </c>
      <c r="CE26" s="28" t="str">
        <f>IF($G26="","",$G26*(IF(ADRYr3!$AI26=CE$4,ADRYr3!$AJ26,IF(ADRYr3!$AK26=CE$4,ADRYr3!$AL26,IF(ADRYr3!$AM26=CE$4,ADRYr3!$AN26,0))))*(INDEX(avoidedcosttbl3,$H26,CE$2)+(($H26-ROUNDDOWN($H26,0))*(INDEX(avoidedcosttbl3,ROUNDUP($H26,0),CE$2)-(INDEX(avoidedcosttbl3,ROUNDDOWN($H26,0),CE$2)))))*ADRYr3!P26*ADRYr3!Q26*ADRYr3!U26)</f>
        <v/>
      </c>
      <c r="CF26" s="41" t="str">
        <f t="shared" si="72"/>
        <v/>
      </c>
      <c r="CG26" s="30" t="str">
        <f t="shared" si="10"/>
        <v/>
      </c>
      <c r="CH26" s="30" t="str">
        <f>IF($G26="","",$G26*(IF(ADRYr3!$AI26=BY$4,ADRYr3!$AJ26,IF(ADRYr3!$AK26=BY$4,ADRYr3!$AL26,IF(ADRYr3!$AM26=BY$4,ADRYr3!$AN26,0))))*(INDEX(avoidedcosttbl3,$H26,CH$2)+(($H26-ROUNDDOWN($H26,0))*(INDEX(avoidedcosttbl3,ROUNDUP($H26,0),CH$2)-(INDEX(avoidedcosttbl3,ROUNDDOWN($H26,0),CH$2)))))*ADRYr3!P26*ADRYr3!Q26*ADRYr3!U26)</f>
        <v/>
      </c>
      <c r="CI26" s="30" t="str">
        <f>IF($G26="","",$G26*(IF(ADRYr3!$AI26=BZ$4,ADRYr3!$AJ26,IF(ADRYr3!$AK26=BZ$4,ADRYr3!$AL26,IF(ADRYr3!$AM26=BZ$4,ADRYr3!$AN26,0))))*(INDEX(avoidedcosttbl3,$H26,CI$2)+(($H26-ROUNDDOWN($H26,0))*(INDEX(avoidedcosttbl3,ROUNDUP($H26,0),CI$2)-(INDEX(avoidedcosttbl3,ROUNDDOWN($H26,0),CI$2)))))*ADRYr3!P26*ADRYr3!Q26*ADRYr3!U26)</f>
        <v/>
      </c>
      <c r="CJ26" s="30" t="str">
        <f>IF($G26="","",$G26*(IF(ADRYr3!$AI26=CA$4,ADRYr3!$AJ26,IF(ADRYr3!$AK26=CA$4,ADRYr3!$AL26,IF(ADRYr3!$AM26=CA$4,ADRYr3!$AN26,0))))*(INDEX(avoidedcosttbl3,$H26,CJ$2)+(($H26-ROUNDDOWN($H26,0))*(INDEX(avoidedcosttbl3,ROUNDUP($H26,0),CJ$2)-(INDEX(avoidedcosttbl3,ROUNDDOWN($H26,0),CJ$2)))))*ADRYr3!P26*ADRYr3!Q26*ADRYr3!U26)</f>
        <v/>
      </c>
      <c r="CK26" s="30" t="str">
        <f>IF($G26="","",$G26*(IF(ADRYr3!$AI26=CB$4,ADRYr3!$AJ26,IF(ADRYr3!$AK26=CB$4,ADRYr3!$AL26,IF(ADRYr3!$AM26=CB$4,ADRYr3!$AN26,0))))*(INDEX(avoidedcosttbl3,$H26,CK$2)+(($H26-ROUNDDOWN($H26,0))*(INDEX(avoidedcosttbl3,ROUNDUP($H26,0),CK$2)-(INDEX(avoidedcosttbl3,ROUNDDOWN($H26,0),CK$2)))))*ADRYr3!P26*ADRYr3!Q26*ADRYr3!U26)</f>
        <v/>
      </c>
      <c r="CL26" s="30" t="str">
        <f>IF($G26="","",$G26*(IF(ADRYr3!$AI26=CC$4,ADRYr3!$AJ26,IF(ADRYr3!$AK26=CC$4,ADRYr3!$AL26,IF(ADRYr3!$AM26=CC$4,ADRYr3!$AN26,0))))*(INDEX(avoidedcosttbl3,$H26,CL$2)+(($H26-ROUNDDOWN($H26,0))*(INDEX(avoidedcosttbl3,ROUNDUP($H26,0),CL$2)-(INDEX(avoidedcosttbl3,ROUNDDOWN($H26,0),CL$2)))))*ADRYr3!P26*ADRYr3!Q26*ADRYr3!U26)</f>
        <v/>
      </c>
      <c r="CM26" s="30" t="str">
        <f>IF($G26="","",$G26*(IF(ADRYr3!$AI26=CD$4,ADRYr3!$AJ26,IF(ADRYr3!$AK26=CD$4,ADRYr3!$AL26,IF(ADRYr3!$AM26=CD$4,ADRYr3!$AN26,0))))*(INDEX(avoidedcosttbl3,$H26,CM$2)+(($H26-ROUNDDOWN($H26,0))*(INDEX(avoidedcosttbl3,ROUNDUP($H26,0),CM$2)-(INDEX(avoidedcosttbl3,ROUNDDOWN($H26,0),CM$2)))))*ADRYr3!P26*ADRYr3!Q26*ADRYr3!U26)</f>
        <v/>
      </c>
      <c r="CN26" s="30" t="str">
        <f>IF($G26="","",$G26*(IF(ADRYr3!$AI26=CE$4,ADRYr3!$AJ26,IF(ADRYr3!$AK26=CE$4,ADRYr3!$AL26,IF(ADRYr3!$AM26=CE$4,ADRYr3!$AN26,0))))*(INDEX(avoidedcosttbl3,$H26,CN$2)+(($H26-ROUNDDOWN($H26,0))*(INDEX(avoidedcosttbl3,ROUNDUP($H26,0),CN$2)-(INDEX(avoidedcosttbl3,ROUNDDOWN($H26,0),CN$2)))))*ADRYr3!P26*ADRYr3!Q26*ADRYr3!U26)</f>
        <v/>
      </c>
      <c r="CO26" s="220" t="str">
        <f t="shared" si="73"/>
        <v/>
      </c>
      <c r="CP26" s="220" t="str">
        <f t="shared" si="74"/>
        <v/>
      </c>
      <c r="CQ26" s="157" t="str">
        <f>IF($G26="","",$G26*(IF(ADRYr3!$AI26=CQ$4,ADRYr3!$AJ26,IF(ADRYr3!$AK26=CQ$4,ADRYr3!$AL26,IF(ADRYr3!$AM26=CQ$4,ADRYr3!$AN26,0))))*(INDEX(avoidedcosttbl3,$H26,CQ$2)+(($H26-ROUNDDOWN($H26,0))*(INDEX(avoidedcosttbl3,ROUNDUP($H26,0),CQ$2)-(INDEX(avoidedcosttbl3,ROUNDDOWN($H26,0),CQ$2)))))*ADRYr3!$P26*ADRYr3!$Q26*ADRYr3!$U26)</f>
        <v/>
      </c>
      <c r="CR26" s="28" t="str">
        <f>IF($G26="","",G26*(IF(ADRYr3!$AI26=CR$4,ADRYr3!$AJ26,IF(ADRYr3!$AK26=CR$4,ADRYr3!$AL26,IF(ADRYr3!$AM26=CR$4,ADRYr3!$AN26,0))))*(INDEX(avoidedcosttbl3,$H26,CR$2)+(($H26-ROUNDDOWN($H26,0))*(INDEX(avoidedcosttbl3,ROUNDUP($H26,0),CR$2)-(INDEX(avoidedcosttbl3,ROUNDDOWN($H26,0),CR$2)))))*ADRYr3!$P26*ADRYr3!$Q26*ADRYr3!$U26)</f>
        <v/>
      </c>
      <c r="CS26" s="28" t="str">
        <f>IF($G26="","",G26*(IF(ADRYr3!$AI26=CS$4,ADRYr3!$AJ26,IF(ADRYr3!$AK26=CS$4,ADRYr3!$AL26,IF(ADRYr3!$AM26=CS$4,ADRYr3!$AN26,0))))*(INDEX(avoidedcosttbl3,$H26,CS$2)+(($H26-ROUNDDOWN($H26,0))*(INDEX(avoidedcosttbl3,ROUNDUP($H26,0),CS$2)-(INDEX(avoidedcosttbl3,ROUNDDOWN($H26,0),CS$2)))))*ADRYr3!$P26*ADRYr3!$Q26*ADRYr3!$U26)</f>
        <v/>
      </c>
      <c r="CT26" s="28" t="str">
        <f t="shared" si="11"/>
        <v/>
      </c>
      <c r="CU26" s="28" t="str">
        <f>IF($G26="","",G26*(IF(ADRYr3!$AI26=CU$4,ADRYr3!$AJ26,IF(ADRYr3!$AK26=CU$4,ADRYr3!$AL26,IF(ADRYr3!$AM26=CU$4,ADRYr3!$AN26,0))))*(INDEX(avoidedcosttbl3,$H26,CU$2)+(($H26-ROUNDDOWN($H26,0))*(INDEX(avoidedcosttbl3,ROUNDUP($H26,0),CU$2)-(INDEX(avoidedcosttbl3,ROUNDDOWN($H26,0),CU$2)))))*ADRYr3!$P26*ADRYr3!$Q26*ADRYr3!$U26)</f>
        <v/>
      </c>
      <c r="CV26" s="28" t="str">
        <f>IF($G26="","",G26*(IF(ADRYr3!$AI26=CV$4,ADRYr3!$AJ26,IF(ADRYr3!$AK26=CV$4,ADRYr3!$AL26,IF(ADRYr3!$AM26=CV$4,ADRYr3!$AN26,0))))*(INDEX(avoidedcosttbl3,$H26,CV$2)+(($H26-ROUNDDOWN($H26,0))*(INDEX(avoidedcosttbl3,ROUNDUP($H26,0),CV$2)-(INDEX(avoidedcosttbl3,ROUNDDOWN($H26,0),CV$2)))))*ADRYr3!$P26*ADRYr3!$Q26*ADRYr3!$U26)</f>
        <v/>
      </c>
      <c r="CW26" s="28" t="str">
        <f>IF($G26="","",G26*(IF(ADRYr3!$AI26=CW$4,ADRYr3!$AJ26,IF(ADRYr3!$AK26=CW$4,ADRYr3!$AL26,IF(ADRYr3!$AM26=CW$4,ADRYr3!$AN26,0))))*(INDEX(avoidedcosttbl3,$H26,CW$2)+(($H26-ROUNDDOWN($H26,0))*(INDEX(avoidedcosttbl3,ROUNDUP($H26,0),CW$2)-(INDEX(avoidedcosttbl3,ROUNDDOWN($H26,0),CW$2)))))*ADRYr3!$P26*ADRYr3!$Q26*ADRYr3!$U26)</f>
        <v/>
      </c>
      <c r="CX26" s="28" t="str">
        <f>IF($G26="","",G26*(IF(ADRYr3!$AI26=CX$4,ADRYr3!$AJ26,IF(ADRYr3!$AK26=CX$4,ADRYr3!$AL26,IF(ADRYr3!$AM26=CX$4,ADRYr3!$AN26,0))))*(INDEX(avoidedcosttbl3,$H26,CX$2)+(($H26-ROUNDDOWN($H26,0))*(INDEX(avoidedcosttbl3,ROUNDUP($H26,0),CX$2)-(INDEX(avoidedcosttbl3,ROUNDDOWN($H26,0),CX$2)))))*ADRYr3!$P26*ADRYr3!$Q26*ADRYr3!$U26)</f>
        <v/>
      </c>
      <c r="CY26" s="28" t="str">
        <f t="shared" si="75"/>
        <v/>
      </c>
      <c r="CZ26" s="32" t="str">
        <f t="shared" si="76"/>
        <v/>
      </c>
      <c r="DA26" s="84" t="str">
        <f t="shared" si="77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78"/>
        <v/>
      </c>
      <c r="DD26" s="166" t="str">
        <f t="shared" si="79"/>
        <v/>
      </c>
      <c r="DE26" s="82">
        <f t="shared" si="80"/>
        <v>0</v>
      </c>
      <c r="DF26" s="760" t="str">
        <f>IF($G26="","",(1+WntPeakEnergyLL)*(INDEX(avoidedcosttbl3,$H26,DF$2)+(($H26-ROUNDDOWN($H26,0))*(INDEX(avoidedcosttbl3,ROUNDUP($H26,0),DF$2)-(INDEX(avoidedcosttbl3,ROUNDDOWN($H26,0),DF$2)))))*$P26*1000*ADRYr3!Z26)</f>
        <v/>
      </c>
      <c r="DG26" s="760" t="str">
        <f>IF($G26="","",(1+WntOffPeakEnergyLL)*(INDEX(avoidedcosttbl3,$H26,DG$2)+(($H26-ROUNDDOWN($H26,0))*(INDEX(avoidedcosttbl3,ROUNDUP($H26,0),DG$2)-(INDEX(avoidedcosttbl3,ROUNDDOWN($H26,0),DG$2)))))*$P26*1000*ADRYr3!AA26)</f>
        <v/>
      </c>
      <c r="DH26" s="760" t="str">
        <f>IF($G26="","",(1+SumPeakEnergyLL)*(INDEX(avoidedcosttbl3,$H26,DH$2)+(($H26-ROUNDDOWN($H26,0))*(INDEX(avoidedcosttbl3,ROUNDUP($H26,0),DH$2)-(INDEX(avoidedcosttbl3,ROUNDDOWN($H26,0),DH$2)))))*$P26*1000*ADRYr3!AB26)</f>
        <v/>
      </c>
      <c r="DI26" s="760" t="str">
        <f>IF($G26="","",(1+SumOffPeakEnergyLL)*(INDEX(avoidedcosttbl3,$H26,DI$2)+(($H26-ROUNDDOWN($H26,0))*(INDEX(avoidedcosttbl3,ROUNDUP($H26,0),DI$2)-(INDEX(avoidedcosttbl3,ROUNDDOWN($H26,0),DI$2)))))*$P26*1000*ADRYr3!AC26)</f>
        <v/>
      </c>
      <c r="DJ26" s="29" t="str">
        <f t="shared" si="81"/>
        <v/>
      </c>
      <c r="DK26" s="161" t="str">
        <f t="shared" si="45"/>
        <v/>
      </c>
      <c r="DL26" s="1375" t="str">
        <f t="shared" si="46"/>
        <v/>
      </c>
      <c r="DM26" s="1375" t="str">
        <f t="shared" si="47"/>
        <v/>
      </c>
      <c r="DN26" s="43" t="str">
        <f t="shared" si="48"/>
        <v/>
      </c>
      <c r="DO26" s="1131" t="str">
        <f>IF($G26="","",ADRYr3!AQ26)</f>
        <v/>
      </c>
      <c r="DP26" s="1133" t="str">
        <f>IF($G26="","",ADRYr3!AR26)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49"/>
        <v/>
      </c>
      <c r="DU26" s="1135" t="str">
        <f>IF($G26="","",ADRYr3!AS26)</f>
        <v/>
      </c>
      <c r="DV26" s="1136" t="str">
        <f>IF($G26="","",ADRYr3!AT26)</f>
        <v/>
      </c>
      <c r="DW26" s="1344" t="str">
        <f>IF($G26="","",INDEX(AvoidedEnergy!$H$4:$H$10,MATCH($DO26,AvoidedEnergy!$A$4:$A$10,0)))</f>
        <v/>
      </c>
    </row>
    <row r="27" spans="1:127">
      <c r="A27" s="160" t="str">
        <f>IF(ADRYr3!$B27=0,"",ADRYr3!A27)</f>
        <v>B - Low-Income</v>
      </c>
      <c r="B27" s="9" t="str">
        <f>IF(ADRYr3!$B27=0,"",ADRYr3!B27)</f>
        <v>Home Energy Assistance</v>
      </c>
      <c r="C27" s="9" t="str">
        <f>IF(ADRYr3!$B27=0,"",ADRYr3!C27)</f>
        <v>Res Demand Response</v>
      </c>
      <c r="D27" s="9" t="str">
        <f>IF(ADRYr3!$B27=0,"",ADRYr3!D27)</f>
        <v>EV Load Management Summer</v>
      </c>
      <c r="E27" s="9">
        <f>IF(ADRYr3!$B27=0,"",ADRYr3!E27)</f>
        <v>0</v>
      </c>
      <c r="F27" s="11" t="str">
        <f>IF(ADRYr3!$B27=0,"",ADRYr3!F27)</f>
        <v>Behavior</v>
      </c>
      <c r="G27" s="12" t="str">
        <f>IF(ADRYr3!$G27&lt;&gt;0,ADRYr3!G27,"")</f>
        <v/>
      </c>
      <c r="H27" s="1125" t="str">
        <f>IF($G27="","",ROUND(ADRYr3!H27,0))</f>
        <v/>
      </c>
      <c r="I27" s="47" t="str">
        <f>IF($G27="","",ADRYr3!I27*ADRYr3!P27*G27)</f>
        <v/>
      </c>
      <c r="J27" s="47" t="str">
        <f>IF($G27="","",ADRYr3!J27*G27)</f>
        <v/>
      </c>
      <c r="K27" s="47" t="str">
        <f t="shared" si="50"/>
        <v/>
      </c>
      <c r="L27" s="27" t="str">
        <f>IF($G27="","",ADRYr3!V27*G27/1000)</f>
        <v/>
      </c>
      <c r="M27" s="27" t="str">
        <f>IF($G27="","",L27*ADRYr3!$Q27*ADRYr3!$R27)</f>
        <v/>
      </c>
      <c r="N27" s="27" t="str">
        <f t="shared" si="51"/>
        <v/>
      </c>
      <c r="O27" s="27" t="str">
        <f t="shared" si="52"/>
        <v/>
      </c>
      <c r="P27" s="27" t="str">
        <f>IF($G27="","",M27*ADRYr3!P27)</f>
        <v/>
      </c>
      <c r="Q27" s="27" t="str">
        <f t="shared" si="53"/>
        <v/>
      </c>
      <c r="R27" s="27" t="str">
        <f>IF($G27="","",$Q27*ADRYr3!Z27)</f>
        <v/>
      </c>
      <c r="S27" s="27" t="str">
        <f>IF($G27="","",$Q27*ADRYr3!AA27)</f>
        <v/>
      </c>
      <c r="T27" s="27" t="str">
        <f>IF($G27="","",$Q27*ADRYr3!AB27)</f>
        <v/>
      </c>
      <c r="U27" s="27" t="str">
        <f>IF($G27="","",$Q27*ADRYr3!AC27)</f>
        <v/>
      </c>
      <c r="V27" s="27" t="str">
        <f>IF($G27="","",G27*ADRYr3!$AD27*ADRYr3!$P27*ADRYr3!$Q27)</f>
        <v/>
      </c>
      <c r="W27" s="27" t="str">
        <f>IF($G27="","",$G27*ADRYr3!$AD27*ADRYr3!$AF27*ADRYr3!Q27*ADRYr3!$S27)</f>
        <v/>
      </c>
      <c r="X27" s="27" t="str">
        <f>IF($G27="","",$G27*ADRYr3!$AD27*ADRYr3!$AF27*ADRYr3!P27*ADRYr3!Q27*ADRYr3!$S27)</f>
        <v/>
      </c>
      <c r="Y27" s="27" t="str">
        <f>IF($G27="","",$G27*ADRYr3!$AD27*ADRYr3!$AE27*ADRYr3!Q27*ADRYr3!$T27)</f>
        <v/>
      </c>
      <c r="Z27" s="27" t="str">
        <f>IF($G27="","",$G27*ADRYr3!$AD27*ADRYr3!$AE27*ADRYr3!P27*ADRYr3!Q27*ADRYr3!$T27)</f>
        <v/>
      </c>
      <c r="AA27" s="45" t="str">
        <f>IF($G27="","",$G27*ADRYr3!$Q27*ADRYr3!$U27*(IF(IFERROR(SEARCH("NG", ADRYr3!$AI27),0),ADRYr3!$AJ27,0)+IF(IFERROR(SEARCH("NG", ADRYr3!$AK27),0),ADRYr3!$AL27,0)+IF(IFERROR(SEARCH("NG", ADRYr3!$AM27),0),ADRYr3!$AN27,0)))</f>
        <v/>
      </c>
      <c r="AB27" s="45" t="str">
        <f t="shared" si="54"/>
        <v/>
      </c>
      <c r="AC27" s="45">
        <f>IF($G27="",0,AA27*ADRYr3!$P27)</f>
        <v>0</v>
      </c>
      <c r="AD27" s="45" t="str">
        <f t="shared" si="55"/>
        <v/>
      </c>
      <c r="AE27" s="45" t="str">
        <f>IF($G27="","",$G27*ADRYr3!$Q27*ADRYr3!$U27*(IF(IFERROR(SEARCH("Oil", ADRYr3!$AI27), 0),ADRYr3!$AJ27,0)+IF(IFERROR(SEARCH("Oil", ADRYr3!$AK27), 0),ADRYr3!$AL27,0)+IF(IFERROR(SEARCH("Oil", ADRYr3!$AM27), 0),ADRYr3!$AN27,0)))</f>
        <v/>
      </c>
      <c r="AF27" s="45" t="str">
        <f t="shared" si="56"/>
        <v/>
      </c>
      <c r="AG27" s="45">
        <f>IF($G27="",0,AE27*ADRYr3!$P27)</f>
        <v>0</v>
      </c>
      <c r="AH27" s="45" t="str">
        <f t="shared" si="57"/>
        <v/>
      </c>
      <c r="AI27" s="45" t="str">
        <f>IF($G27="","",$G27*ADRYr3!$Q27*ADRYr3!$U27*(IF(ADRYr3!$AI27=Lookups!$E$114,ADRYr3!$AJ27,IF(ADRYr3!$AK27=Lookups!$E$114,ADRYr3!$AL27,IF(ADRYr3!$AM27=Lookups!$E$114,ADRYr3!$AN27,0)))))</f>
        <v/>
      </c>
      <c r="AJ27" s="45" t="str">
        <f t="shared" si="58"/>
        <v/>
      </c>
      <c r="AK27" s="45">
        <f>IF($G27="",0,AI27*ADRYr3!$P27)</f>
        <v>0</v>
      </c>
      <c r="AL27" s="45" t="str">
        <f t="shared" si="59"/>
        <v/>
      </c>
      <c r="AM27" s="45" t="str">
        <f>IF($G27="","",$G27*ADRYr3!$Q27*ADRYr3!$U27*(IF(ADRYr3!$AI27=Lookups!$E$113,ADRYr3!$AJ27,IF(ADRYr3!$AK27=Lookups!$E$113,ADRYr3!$AL27,IF(ADRYr3!$AM27=Lookups!$E$113,ADRYr3!$AN27,0)))))</f>
        <v/>
      </c>
      <c r="AN27" s="45" t="str">
        <f t="shared" si="60"/>
        <v/>
      </c>
      <c r="AO27" s="45">
        <f>IF($G27="",0,AM27*ADRYr3!$P27)</f>
        <v>0</v>
      </c>
      <c r="AP27" s="45" t="str">
        <f t="shared" si="61"/>
        <v/>
      </c>
      <c r="AQ27" s="45" t="str">
        <f>IF($G27="","",$G27*ADRYr3!$Q27*ADRYr3!$U27*(IF(ADRYr3!$AI27=Lookups!$E$115,ADRYr3!$AJ27,IF(ADRYr3!$AK27=Lookups!$E$115,ADRYr3!$AL27,IF(ADRYr3!$AM27=Lookups!$E$115,ADRYr3!$AN27,0)))))</f>
        <v/>
      </c>
      <c r="AR27" s="45" t="str">
        <f t="shared" si="62"/>
        <v/>
      </c>
      <c r="AS27" s="45" t="str">
        <f>IF($G27="","",AQ27*ADRYr3!$P27)</f>
        <v/>
      </c>
      <c r="AT27" s="45" t="str">
        <f t="shared" si="63"/>
        <v/>
      </c>
      <c r="AU27" s="45" t="str">
        <f>IF($G27="","",$G27*ADRYr3!$Q27*ADRYr3!$U27*(IF(ADRYr3!$AI27=Lookups!$E$116,ADRYr3!$AJ27,IF(ADRYr3!$AK27=Lookups!$E$116,ADRYr3!$AL27,IF(ADRYr3!$AM27=Lookups!$E$116,ADRYr3!$AN27,0)))))</f>
        <v/>
      </c>
      <c r="AV27" s="45" t="str">
        <f t="shared" si="64"/>
        <v/>
      </c>
      <c r="AW27" s="45" t="str">
        <f>IF($G27="","",AU27*ADRYr3!$P27)</f>
        <v/>
      </c>
      <c r="AX27" s="45" t="str">
        <f t="shared" si="65"/>
        <v/>
      </c>
      <c r="AY27" s="45">
        <f t="shared" si="66"/>
        <v>0</v>
      </c>
      <c r="AZ27" s="45">
        <f t="shared" si="67"/>
        <v>0</v>
      </c>
      <c r="BA27" s="101" t="str">
        <f>IF($G27="","",$G27*ADRYr3!$P27*ADRYr3!$Q27*ADRYr3!$U27*ADRYr3!AO27)</f>
        <v/>
      </c>
      <c r="BB27" s="102" t="str">
        <f>IF($G27="","",$G27*ADRYr3!$P27*ADRYr3!$Q27*ADRYr3!$U27*ADRYr3!AP27)</f>
        <v/>
      </c>
      <c r="BC27" s="100" t="str">
        <f t="shared" si="68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31"/>
        <v/>
      </c>
      <c r="BO27" s="31" t="str">
        <f t="shared" si="69"/>
        <v/>
      </c>
      <c r="BP27" s="1129" t="str">
        <f t="shared" si="5"/>
        <v/>
      </c>
      <c r="BQ27" s="28" t="str">
        <f t="shared" si="6"/>
        <v/>
      </c>
      <c r="BR27" s="1129" t="str">
        <f t="shared" si="7"/>
        <v/>
      </c>
      <c r="BS27" s="1129" t="str">
        <f t="shared" si="8"/>
        <v/>
      </c>
      <c r="BT27" s="28" t="str">
        <f t="shared" si="82"/>
        <v/>
      </c>
      <c r="BU27" s="28" t="str">
        <f t="shared" si="82"/>
        <v/>
      </c>
      <c r="BV27" s="28" t="str">
        <f t="shared" si="82"/>
        <v/>
      </c>
      <c r="BW27" s="29" t="str">
        <f t="shared" si="70"/>
        <v/>
      </c>
      <c r="BX27" s="29" t="str">
        <f t="shared" si="71"/>
        <v/>
      </c>
      <c r="BY27" s="28" t="str">
        <f>IF($G27="","",$G27*(IF(ADRYr3!$AI27=BY$4,ADRYr3!$AJ27,IF(ADRYr3!$AK27=BY$4,ADRYr3!$AL27,IF(ADRYr3!$AM27=BY$4,ADRYr3!$AN27,0))))*(INDEX(avoidedcosttbl3,$H27,BY$2)+(($H27-ROUNDDOWN($H27,0))*(INDEX(avoidedcosttbl3,ROUNDUP($H27,0),BY$2)-(INDEX(avoidedcosttbl3,ROUNDDOWN($H27,0),BY$2)))))*ADRYr3!P27*ADRYr3!Q27*ADRYr3!U27)</f>
        <v/>
      </c>
      <c r="BZ27" s="28" t="str">
        <f>IF($G27="","",$G27*(IF(ADRYr3!$AI27=BZ$4,ADRYr3!$AJ27,IF(ADRYr3!$AK27=BZ$4,ADRYr3!$AL27,IF(ADRYr3!$AM27=BZ$4,ADRYr3!$AN27,0))))*(INDEX(avoidedcosttbl3,$H27,BZ$2)+(($H27-ROUNDDOWN($H27,0))*(INDEX(avoidedcosttbl3,ROUNDUP($H27,0),BZ$2)-(INDEX(avoidedcosttbl3,ROUNDDOWN($H27,0),BZ$2)))))*ADRYr3!P27*ADRYr3!Q27*ADRYr3!U27)</f>
        <v/>
      </c>
      <c r="CA27" s="28" t="str">
        <f>IF($G27="","",$G27*(IF(ADRYr3!$AI27=CA$4,ADRYr3!$AJ27,IF(ADRYr3!$AK27=CA$4,ADRYr3!$AL27,IF(ADRYr3!$AM27=CA$4,ADRYr3!$AN27,0))))*(INDEX(avoidedcosttbl3,$H27,CA$2)+(($H27-ROUNDDOWN($H27,0))*(INDEX(avoidedcosttbl3,ROUNDUP($H27,0),CA$2)-(INDEX(avoidedcosttbl3,ROUNDDOWN($H27,0),CA$2)))))*ADRYr3!P27*ADRYr3!Q27*ADRYr3!U27)</f>
        <v/>
      </c>
      <c r="CB27" s="28" t="str">
        <f>IF($G27="","",$G27*(IF(ADRYr3!$AI27=CB$4,ADRYr3!$AJ27,IF(ADRYr3!$AK27=CB$4,ADRYr3!$AL27,IF(ADRYr3!$AM27=CB$4,ADRYr3!$AN27,0))))*(INDEX(avoidedcosttbl3,$H27,CB$2)+(($H27-ROUNDDOWN($H27,0))*(INDEX(avoidedcosttbl3,ROUNDUP($H27,0),CB$2)-(INDEX(avoidedcosttbl3,ROUNDDOWN($H27,0),CB$2)))))*ADRYr3!P27*ADRYr3!Q27*ADRYr3!U27)</f>
        <v/>
      </c>
      <c r="CC27" s="28" t="str">
        <f>IF($G27="","",$G27*(IF(ADRYr3!$AI27=CC$4,ADRYr3!$AJ27,IF(ADRYr3!$AK27=CC$4,ADRYr3!$AL27,IF(ADRYr3!$AM27=CC$4,ADRYr3!$AN27,0))))*(INDEX(avoidedcosttbl3,$H27,CC$2)+(($H27-ROUNDDOWN($H27,0))*(INDEX(avoidedcosttbl3,ROUNDUP($H27,0),CC$2)-(INDEX(avoidedcosttbl3,ROUNDDOWN($H27,0),CC$2)))))*ADRYr3!P27*ADRYr3!Q27*ADRYr3!U27)</f>
        <v/>
      </c>
      <c r="CD27" s="28" t="str">
        <f>IF($G27="","",$G27*(IF(ADRYr3!$AI27=CD$4,ADRYr3!$AJ27,IF(ADRYr3!$AK27=CD$4,ADRYr3!$AL27,IF(ADRYr3!$AM27=CD$4,ADRYr3!$AN27,0))))*(INDEX(avoidedcosttbl3,$H27,CD$2)+(($H27-ROUNDDOWN($H27,0))*(INDEX(avoidedcosttbl3,ROUNDUP($H27,0),CD$2)-(INDEX(avoidedcosttbl3,ROUNDDOWN($H27,0),CD$2)))))*ADRYr3!P27*ADRYr3!Q27*ADRYr3!U27)</f>
        <v/>
      </c>
      <c r="CE27" s="28" t="str">
        <f>IF($G27="","",$G27*(IF(ADRYr3!$AI27=CE$4,ADRYr3!$AJ27,IF(ADRYr3!$AK27=CE$4,ADRYr3!$AL27,IF(ADRYr3!$AM27=CE$4,ADRYr3!$AN27,0))))*(INDEX(avoidedcosttbl3,$H27,CE$2)+(($H27-ROUNDDOWN($H27,0))*(INDEX(avoidedcosttbl3,ROUNDUP($H27,0),CE$2)-(INDEX(avoidedcosttbl3,ROUNDDOWN($H27,0),CE$2)))))*ADRYr3!P27*ADRYr3!Q27*ADRYr3!U27)</f>
        <v/>
      </c>
      <c r="CF27" s="41" t="str">
        <f t="shared" si="72"/>
        <v/>
      </c>
      <c r="CG27" s="30" t="str">
        <f t="shared" si="10"/>
        <v/>
      </c>
      <c r="CH27" s="30" t="str">
        <f>IF($G27="","",$G27*(IF(ADRYr3!$AI27=BY$4,ADRYr3!$AJ27,IF(ADRYr3!$AK27=BY$4,ADRYr3!$AL27,IF(ADRYr3!$AM27=BY$4,ADRYr3!$AN27,0))))*(INDEX(avoidedcosttbl3,$H27,CH$2)+(($H27-ROUNDDOWN($H27,0))*(INDEX(avoidedcosttbl3,ROUNDUP($H27,0),CH$2)-(INDEX(avoidedcosttbl3,ROUNDDOWN($H27,0),CH$2)))))*ADRYr3!P27*ADRYr3!Q27*ADRYr3!U27)</f>
        <v/>
      </c>
      <c r="CI27" s="30" t="str">
        <f>IF($G27="","",$G27*(IF(ADRYr3!$AI27=BZ$4,ADRYr3!$AJ27,IF(ADRYr3!$AK27=BZ$4,ADRYr3!$AL27,IF(ADRYr3!$AM27=BZ$4,ADRYr3!$AN27,0))))*(INDEX(avoidedcosttbl3,$H27,CI$2)+(($H27-ROUNDDOWN($H27,0))*(INDEX(avoidedcosttbl3,ROUNDUP($H27,0),CI$2)-(INDEX(avoidedcosttbl3,ROUNDDOWN($H27,0),CI$2)))))*ADRYr3!P27*ADRYr3!Q27*ADRYr3!U27)</f>
        <v/>
      </c>
      <c r="CJ27" s="30" t="str">
        <f>IF($G27="","",$G27*(IF(ADRYr3!$AI27=CA$4,ADRYr3!$AJ27,IF(ADRYr3!$AK27=CA$4,ADRYr3!$AL27,IF(ADRYr3!$AM27=CA$4,ADRYr3!$AN27,0))))*(INDEX(avoidedcosttbl3,$H27,CJ$2)+(($H27-ROUNDDOWN($H27,0))*(INDEX(avoidedcosttbl3,ROUNDUP($H27,0),CJ$2)-(INDEX(avoidedcosttbl3,ROUNDDOWN($H27,0),CJ$2)))))*ADRYr3!P27*ADRYr3!Q27*ADRYr3!U27)</f>
        <v/>
      </c>
      <c r="CK27" s="30" t="str">
        <f>IF($G27="","",$G27*(IF(ADRYr3!$AI27=CB$4,ADRYr3!$AJ27,IF(ADRYr3!$AK27=CB$4,ADRYr3!$AL27,IF(ADRYr3!$AM27=CB$4,ADRYr3!$AN27,0))))*(INDEX(avoidedcosttbl3,$H27,CK$2)+(($H27-ROUNDDOWN($H27,0))*(INDEX(avoidedcosttbl3,ROUNDUP($H27,0),CK$2)-(INDEX(avoidedcosttbl3,ROUNDDOWN($H27,0),CK$2)))))*ADRYr3!P27*ADRYr3!Q27*ADRYr3!U27)</f>
        <v/>
      </c>
      <c r="CL27" s="30" t="str">
        <f>IF($G27="","",$G27*(IF(ADRYr3!$AI27=CC$4,ADRYr3!$AJ27,IF(ADRYr3!$AK27=CC$4,ADRYr3!$AL27,IF(ADRYr3!$AM27=CC$4,ADRYr3!$AN27,0))))*(INDEX(avoidedcosttbl3,$H27,CL$2)+(($H27-ROUNDDOWN($H27,0))*(INDEX(avoidedcosttbl3,ROUNDUP($H27,0),CL$2)-(INDEX(avoidedcosttbl3,ROUNDDOWN($H27,0),CL$2)))))*ADRYr3!P27*ADRYr3!Q27*ADRYr3!U27)</f>
        <v/>
      </c>
      <c r="CM27" s="30" t="str">
        <f>IF($G27="","",$G27*(IF(ADRYr3!$AI27=CD$4,ADRYr3!$AJ27,IF(ADRYr3!$AK27=CD$4,ADRYr3!$AL27,IF(ADRYr3!$AM27=CD$4,ADRYr3!$AN27,0))))*(INDEX(avoidedcosttbl3,$H27,CM$2)+(($H27-ROUNDDOWN($H27,0))*(INDEX(avoidedcosttbl3,ROUNDUP($H27,0),CM$2)-(INDEX(avoidedcosttbl3,ROUNDDOWN($H27,0),CM$2)))))*ADRYr3!P27*ADRYr3!Q27*ADRYr3!U27)</f>
        <v/>
      </c>
      <c r="CN27" s="30" t="str">
        <f>IF($G27="","",$G27*(IF(ADRYr3!$AI27=CE$4,ADRYr3!$AJ27,IF(ADRYr3!$AK27=CE$4,ADRYr3!$AL27,IF(ADRYr3!$AM27=CE$4,ADRYr3!$AN27,0))))*(INDEX(avoidedcosttbl3,$H27,CN$2)+(($H27-ROUNDDOWN($H27,0))*(INDEX(avoidedcosttbl3,ROUNDUP($H27,0),CN$2)-(INDEX(avoidedcosttbl3,ROUNDDOWN($H27,0),CN$2)))))*ADRYr3!P27*ADRYr3!Q27*ADRYr3!U27)</f>
        <v/>
      </c>
      <c r="CO27" s="220" t="str">
        <f t="shared" si="73"/>
        <v/>
      </c>
      <c r="CP27" s="220" t="str">
        <f t="shared" si="74"/>
        <v/>
      </c>
      <c r="CQ27" s="157" t="str">
        <f>IF($G27="","",$G27*(IF(ADRYr3!$AI27=CQ$4,ADRYr3!$AJ27,IF(ADRYr3!$AK27=CQ$4,ADRYr3!$AL27,IF(ADRYr3!$AM27=CQ$4,ADRYr3!$AN27,0))))*(INDEX(avoidedcosttbl3,$H27,CQ$2)+(($H27-ROUNDDOWN($H27,0))*(INDEX(avoidedcosttbl3,ROUNDUP($H27,0),CQ$2)-(INDEX(avoidedcosttbl3,ROUNDDOWN($H27,0),CQ$2)))))*ADRYr3!$P27*ADRYr3!$Q27*ADRYr3!$U27)</f>
        <v/>
      </c>
      <c r="CR27" s="28" t="str">
        <f>IF($G27="","",G27*(IF(ADRYr3!$AI27=CR$4,ADRYr3!$AJ27,IF(ADRYr3!$AK27=CR$4,ADRYr3!$AL27,IF(ADRYr3!$AM27=CR$4,ADRYr3!$AN27,0))))*(INDEX(avoidedcosttbl3,$H27,CR$2)+(($H27-ROUNDDOWN($H27,0))*(INDEX(avoidedcosttbl3,ROUNDUP($H27,0),CR$2)-(INDEX(avoidedcosttbl3,ROUNDDOWN($H27,0),CR$2)))))*ADRYr3!$P27*ADRYr3!$Q27*ADRYr3!$U27)</f>
        <v/>
      </c>
      <c r="CS27" s="28" t="str">
        <f>IF($G27="","",G27*(IF(ADRYr3!$AI27=CS$4,ADRYr3!$AJ27,IF(ADRYr3!$AK27=CS$4,ADRYr3!$AL27,IF(ADRYr3!$AM27=CS$4,ADRYr3!$AN27,0))))*(INDEX(avoidedcosttbl3,$H27,CS$2)+(($H27-ROUNDDOWN($H27,0))*(INDEX(avoidedcosttbl3,ROUNDUP($H27,0),CS$2)-(INDEX(avoidedcosttbl3,ROUNDDOWN($H27,0),CS$2)))))*ADRYr3!$P27*ADRYr3!$Q27*ADRYr3!$U27)</f>
        <v/>
      </c>
      <c r="CT27" s="28" t="str">
        <f t="shared" si="11"/>
        <v/>
      </c>
      <c r="CU27" s="28" t="str">
        <f>IF($G27="","",G27*(IF(ADRYr3!$AI27=CU$4,ADRYr3!$AJ27,IF(ADRYr3!$AK27=CU$4,ADRYr3!$AL27,IF(ADRYr3!$AM27=CU$4,ADRYr3!$AN27,0))))*(INDEX(avoidedcosttbl3,$H27,CU$2)+(($H27-ROUNDDOWN($H27,0))*(INDEX(avoidedcosttbl3,ROUNDUP($H27,0),CU$2)-(INDEX(avoidedcosttbl3,ROUNDDOWN($H27,0),CU$2)))))*ADRYr3!$P27*ADRYr3!$Q27*ADRYr3!$U27)</f>
        <v/>
      </c>
      <c r="CV27" s="28" t="str">
        <f>IF($G27="","",G27*(IF(ADRYr3!$AI27=CV$4,ADRYr3!$AJ27,IF(ADRYr3!$AK27=CV$4,ADRYr3!$AL27,IF(ADRYr3!$AM27=CV$4,ADRYr3!$AN27,0))))*(INDEX(avoidedcosttbl3,$H27,CV$2)+(($H27-ROUNDDOWN($H27,0))*(INDEX(avoidedcosttbl3,ROUNDUP($H27,0),CV$2)-(INDEX(avoidedcosttbl3,ROUNDDOWN($H27,0),CV$2)))))*ADRYr3!$P27*ADRYr3!$Q27*ADRYr3!$U27)</f>
        <v/>
      </c>
      <c r="CW27" s="28" t="str">
        <f>IF($G27="","",G27*(IF(ADRYr3!$AI27=CW$4,ADRYr3!$AJ27,IF(ADRYr3!$AK27=CW$4,ADRYr3!$AL27,IF(ADRYr3!$AM27=CW$4,ADRYr3!$AN27,0))))*(INDEX(avoidedcosttbl3,$H27,CW$2)+(($H27-ROUNDDOWN($H27,0))*(INDEX(avoidedcosttbl3,ROUNDUP($H27,0),CW$2)-(INDEX(avoidedcosttbl3,ROUNDDOWN($H27,0),CW$2)))))*ADRYr3!$P27*ADRYr3!$Q27*ADRYr3!$U27)</f>
        <v/>
      </c>
      <c r="CX27" s="28" t="str">
        <f>IF($G27="","",G27*(IF(ADRYr3!$AI27=CX$4,ADRYr3!$AJ27,IF(ADRYr3!$AK27=CX$4,ADRYr3!$AL27,IF(ADRYr3!$AM27=CX$4,ADRYr3!$AN27,0))))*(INDEX(avoidedcosttbl3,$H27,CX$2)+(($H27-ROUNDDOWN($H27,0))*(INDEX(avoidedcosttbl3,ROUNDUP($H27,0),CX$2)-(INDEX(avoidedcosttbl3,ROUNDDOWN($H27,0),CX$2)))))*ADRYr3!$P27*ADRYr3!$Q27*ADRYr3!$U27)</f>
        <v/>
      </c>
      <c r="CY27" s="28" t="str">
        <f t="shared" si="75"/>
        <v/>
      </c>
      <c r="CZ27" s="32" t="str">
        <f t="shared" si="76"/>
        <v/>
      </c>
      <c r="DA27" s="84" t="str">
        <f t="shared" si="77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78"/>
        <v/>
      </c>
      <c r="DD27" s="166" t="str">
        <f t="shared" si="79"/>
        <v/>
      </c>
      <c r="DE27" s="82">
        <f t="shared" si="80"/>
        <v>0</v>
      </c>
      <c r="DF27" s="760" t="str">
        <f>IF($G27="","",(1+WntPeakEnergyLL)*(INDEX(avoidedcosttbl3,$H27,DF$2)+(($H27-ROUNDDOWN($H27,0))*(INDEX(avoidedcosttbl3,ROUNDUP($H27,0),DF$2)-(INDEX(avoidedcosttbl3,ROUNDDOWN($H27,0),DF$2)))))*$P27*1000*ADRYr3!Z27)</f>
        <v/>
      </c>
      <c r="DG27" s="760" t="str">
        <f>IF($G27="","",(1+WntOffPeakEnergyLL)*(INDEX(avoidedcosttbl3,$H27,DG$2)+(($H27-ROUNDDOWN($H27,0))*(INDEX(avoidedcosttbl3,ROUNDUP($H27,0),DG$2)-(INDEX(avoidedcosttbl3,ROUNDDOWN($H27,0),DG$2)))))*$P27*1000*ADRYr3!AA27)</f>
        <v/>
      </c>
      <c r="DH27" s="760" t="str">
        <f>IF($G27="","",(1+SumPeakEnergyLL)*(INDEX(avoidedcosttbl3,$H27,DH$2)+(($H27-ROUNDDOWN($H27,0))*(INDEX(avoidedcosttbl3,ROUNDUP($H27,0),DH$2)-(INDEX(avoidedcosttbl3,ROUNDDOWN($H27,0),DH$2)))))*$P27*1000*ADRYr3!AB27)</f>
        <v/>
      </c>
      <c r="DI27" s="760" t="str">
        <f>IF($G27="","",(1+SumOffPeakEnergyLL)*(INDEX(avoidedcosttbl3,$H27,DI$2)+(($H27-ROUNDDOWN($H27,0))*(INDEX(avoidedcosttbl3,ROUNDUP($H27,0),DI$2)-(INDEX(avoidedcosttbl3,ROUNDDOWN($H27,0),DI$2)))))*$P27*1000*ADRYr3!AC27)</f>
        <v/>
      </c>
      <c r="DJ27" s="29" t="str">
        <f t="shared" si="81"/>
        <v/>
      </c>
      <c r="DK27" s="161" t="str">
        <f t="shared" si="45"/>
        <v/>
      </c>
      <c r="DL27" s="1375" t="str">
        <f t="shared" si="46"/>
        <v/>
      </c>
      <c r="DM27" s="1375" t="str">
        <f t="shared" si="47"/>
        <v/>
      </c>
      <c r="DN27" s="43" t="str">
        <f t="shared" si="48"/>
        <v/>
      </c>
      <c r="DO27" s="1131" t="str">
        <f>IF($G27="","",ADRYr3!AQ27)</f>
        <v/>
      </c>
      <c r="DP27" s="1133" t="str">
        <f>IF($G27="","",ADRYr3!AR27)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49"/>
        <v/>
      </c>
      <c r="DU27" s="1135" t="str">
        <f>IF($G27="","",ADRYr3!AS27)</f>
        <v/>
      </c>
      <c r="DV27" s="1136" t="str">
        <f>IF($G27="","",ADRYr3!AT27)</f>
        <v/>
      </c>
      <c r="DW27" s="1344" t="str">
        <f>IF($G27="","",INDEX(AvoidedEnergy!$H$4:$H$10,MATCH($DO27,AvoidedEnergy!$A$4:$A$10,0)))</f>
        <v/>
      </c>
    </row>
    <row r="28" spans="1:127">
      <c r="A28" s="160" t="str">
        <f>IF(ADRYr3!$B28=0,"",ADRYr3!A28)</f>
        <v>B - Low-Income</v>
      </c>
      <c r="B28" s="9" t="str">
        <f>IF(ADRYr3!$B28=0,"",ADRYr3!B28)</f>
        <v>Home Energy Assistance</v>
      </c>
      <c r="C28" s="9" t="str">
        <f>IF(ADRYr3!$B28=0,"",ADRYr3!C28)</f>
        <v>Res Demand Response</v>
      </c>
      <c r="D28" s="9" t="str">
        <f>IF(ADRYr3!$B28=0,"",ADRYr3!D28)</f>
        <v>EV Load Management Winter</v>
      </c>
      <c r="E28" s="9">
        <f>IF(ADRYr3!$B28=0,"",ADRYr3!E28)</f>
        <v>0</v>
      </c>
      <c r="F28" s="11" t="str">
        <f>IF(ADRYr3!$B28=0,"",ADRYr3!F28)</f>
        <v>Behavior</v>
      </c>
      <c r="G28" s="12" t="str">
        <f>IF(ADRYr3!$G28&lt;&gt;0,ADRYr3!G28,"")</f>
        <v/>
      </c>
      <c r="H28" s="1125" t="str">
        <f>IF($G28="","",ROUND(ADRYr3!H28,0))</f>
        <v/>
      </c>
      <c r="I28" s="47" t="str">
        <f>IF($G28="","",ADRYr3!I28*ADRYr3!P28*G28)</f>
        <v/>
      </c>
      <c r="J28" s="47" t="str">
        <f>IF($G28="","",ADRYr3!J28*G28)</f>
        <v/>
      </c>
      <c r="K28" s="47" t="str">
        <f t="shared" si="50"/>
        <v/>
      </c>
      <c r="L28" s="27" t="str">
        <f>IF($G28="","",ADRYr3!V28*G28/1000)</f>
        <v/>
      </c>
      <c r="M28" s="27" t="str">
        <f>IF($G28="","",L28*ADRYr3!$Q28*ADRYr3!$R28)</f>
        <v/>
      </c>
      <c r="N28" s="27" t="str">
        <f t="shared" si="51"/>
        <v/>
      </c>
      <c r="O28" s="27" t="str">
        <f t="shared" si="52"/>
        <v/>
      </c>
      <c r="P28" s="27" t="str">
        <f>IF($G28="","",M28*ADRYr3!P28)</f>
        <v/>
      </c>
      <c r="Q28" s="27" t="str">
        <f t="shared" si="53"/>
        <v/>
      </c>
      <c r="R28" s="27" t="str">
        <f>IF($G28="","",$Q28*ADRYr3!Z28)</f>
        <v/>
      </c>
      <c r="S28" s="27" t="str">
        <f>IF($G28="","",$Q28*ADRYr3!AA28)</f>
        <v/>
      </c>
      <c r="T28" s="27" t="str">
        <f>IF($G28="","",$Q28*ADRYr3!AB28)</f>
        <v/>
      </c>
      <c r="U28" s="27" t="str">
        <f>IF($G28="","",$Q28*ADRYr3!AC28)</f>
        <v/>
      </c>
      <c r="V28" s="27" t="str">
        <f>IF($G28="","",G28*ADRYr3!$AD28*ADRYr3!$P28*ADRYr3!$Q28)</f>
        <v/>
      </c>
      <c r="W28" s="27" t="str">
        <f>IF($G28="","",$G28*ADRYr3!$AD28*ADRYr3!$AF28*ADRYr3!Q28*ADRYr3!$S28)</f>
        <v/>
      </c>
      <c r="X28" s="27" t="str">
        <f>IF($G28="","",$G28*ADRYr3!$AD28*ADRYr3!$AF28*ADRYr3!P28*ADRYr3!Q28*ADRYr3!$S28)</f>
        <v/>
      </c>
      <c r="Y28" s="27" t="str">
        <f>IF($G28="","",$G28*ADRYr3!$AD28*ADRYr3!$AE28*ADRYr3!Q28*ADRYr3!$T28)</f>
        <v/>
      </c>
      <c r="Z28" s="27" t="str">
        <f>IF($G28="","",$G28*ADRYr3!$AD28*ADRYr3!$AE28*ADRYr3!P28*ADRYr3!Q28*ADRYr3!$T28)</f>
        <v/>
      </c>
      <c r="AA28" s="45" t="str">
        <f>IF($G28="","",$G28*ADRYr3!$Q28*ADRYr3!$U28*(IF(IFERROR(SEARCH("NG", ADRYr3!$AI28),0),ADRYr3!$AJ28,0)+IF(IFERROR(SEARCH("NG", ADRYr3!$AK28),0),ADRYr3!$AL28,0)+IF(IFERROR(SEARCH("NG", ADRYr3!$AM28),0),ADRYr3!$AN28,0)))</f>
        <v/>
      </c>
      <c r="AB28" s="45" t="str">
        <f t="shared" si="54"/>
        <v/>
      </c>
      <c r="AC28" s="45">
        <f>IF($G28="",0,AA28*ADRYr3!$P28)</f>
        <v>0</v>
      </c>
      <c r="AD28" s="45" t="str">
        <f t="shared" si="55"/>
        <v/>
      </c>
      <c r="AE28" s="45" t="str">
        <f>IF($G28="","",$G28*ADRYr3!$Q28*ADRYr3!$U28*(IF(IFERROR(SEARCH("Oil", ADRYr3!$AI28), 0),ADRYr3!$AJ28,0)+IF(IFERROR(SEARCH("Oil", ADRYr3!$AK28), 0),ADRYr3!$AL28,0)+IF(IFERROR(SEARCH("Oil", ADRYr3!$AM28), 0),ADRYr3!$AN28,0)))</f>
        <v/>
      </c>
      <c r="AF28" s="45" t="str">
        <f t="shared" si="56"/>
        <v/>
      </c>
      <c r="AG28" s="45">
        <f>IF($G28="",0,AE28*ADRYr3!$P28)</f>
        <v>0</v>
      </c>
      <c r="AH28" s="45" t="str">
        <f t="shared" si="57"/>
        <v/>
      </c>
      <c r="AI28" s="45" t="str">
        <f>IF($G28="","",$G28*ADRYr3!$Q28*ADRYr3!$U28*(IF(ADRYr3!$AI28=Lookups!$E$114,ADRYr3!$AJ28,IF(ADRYr3!$AK28=Lookups!$E$114,ADRYr3!$AL28,IF(ADRYr3!$AM28=Lookups!$E$114,ADRYr3!$AN28,0)))))</f>
        <v/>
      </c>
      <c r="AJ28" s="45" t="str">
        <f t="shared" si="58"/>
        <v/>
      </c>
      <c r="AK28" s="45">
        <f>IF($G28="",0,AI28*ADRYr3!$P28)</f>
        <v>0</v>
      </c>
      <c r="AL28" s="45" t="str">
        <f t="shared" si="59"/>
        <v/>
      </c>
      <c r="AM28" s="45" t="str">
        <f>IF($G28="","",$G28*ADRYr3!$Q28*ADRYr3!$U28*(IF(ADRYr3!$AI28=Lookups!$E$113,ADRYr3!$AJ28,IF(ADRYr3!$AK28=Lookups!$E$113,ADRYr3!$AL28,IF(ADRYr3!$AM28=Lookups!$E$113,ADRYr3!$AN28,0)))))</f>
        <v/>
      </c>
      <c r="AN28" s="45" t="str">
        <f t="shared" si="60"/>
        <v/>
      </c>
      <c r="AO28" s="45">
        <f>IF($G28="",0,AM28*ADRYr3!$P28)</f>
        <v>0</v>
      </c>
      <c r="AP28" s="45" t="str">
        <f t="shared" si="61"/>
        <v/>
      </c>
      <c r="AQ28" s="45" t="str">
        <f>IF($G28="","",$G28*ADRYr3!$Q28*ADRYr3!$U28*(IF(ADRYr3!$AI28=Lookups!$E$115,ADRYr3!$AJ28,IF(ADRYr3!$AK28=Lookups!$E$115,ADRYr3!$AL28,IF(ADRYr3!$AM28=Lookups!$E$115,ADRYr3!$AN28,0)))))</f>
        <v/>
      </c>
      <c r="AR28" s="45" t="str">
        <f t="shared" si="62"/>
        <v/>
      </c>
      <c r="AS28" s="45" t="str">
        <f>IF($G28="","",AQ28*ADRYr3!$P28)</f>
        <v/>
      </c>
      <c r="AT28" s="45" t="str">
        <f t="shared" si="63"/>
        <v/>
      </c>
      <c r="AU28" s="45" t="str">
        <f>IF($G28="","",$G28*ADRYr3!$Q28*ADRYr3!$U28*(IF(ADRYr3!$AI28=Lookups!$E$116,ADRYr3!$AJ28,IF(ADRYr3!$AK28=Lookups!$E$116,ADRYr3!$AL28,IF(ADRYr3!$AM28=Lookups!$E$116,ADRYr3!$AN28,0)))))</f>
        <v/>
      </c>
      <c r="AV28" s="45" t="str">
        <f t="shared" si="64"/>
        <v/>
      </c>
      <c r="AW28" s="45" t="str">
        <f>IF($G28="","",AU28*ADRYr3!$P28)</f>
        <v/>
      </c>
      <c r="AX28" s="45" t="str">
        <f t="shared" si="65"/>
        <v/>
      </c>
      <c r="AY28" s="45">
        <f t="shared" si="66"/>
        <v>0</v>
      </c>
      <c r="AZ28" s="45">
        <f t="shared" si="67"/>
        <v>0</v>
      </c>
      <c r="BA28" s="101" t="str">
        <f>IF($G28="","",$G28*ADRYr3!$P28*ADRYr3!$Q28*ADRYr3!$U28*ADRYr3!AO28)</f>
        <v/>
      </c>
      <c r="BB28" s="102" t="str">
        <f>IF($G28="","",$G28*ADRYr3!$P28*ADRYr3!$Q28*ADRYr3!$U28*ADRYr3!AP28)</f>
        <v/>
      </c>
      <c r="BC28" s="100" t="str">
        <f t="shared" si="68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31"/>
        <v/>
      </c>
      <c r="BO28" s="31" t="str">
        <f t="shared" si="69"/>
        <v/>
      </c>
      <c r="BP28" s="1129" t="str">
        <f t="shared" si="5"/>
        <v/>
      </c>
      <c r="BQ28" s="28" t="str">
        <f t="shared" si="6"/>
        <v/>
      </c>
      <c r="BR28" s="1129" t="str">
        <f t="shared" si="7"/>
        <v/>
      </c>
      <c r="BS28" s="1129" t="str">
        <f t="shared" si="8"/>
        <v/>
      </c>
      <c r="BT28" s="28" t="str">
        <f t="shared" si="82"/>
        <v/>
      </c>
      <c r="BU28" s="28" t="str">
        <f t="shared" si="82"/>
        <v/>
      </c>
      <c r="BV28" s="28" t="str">
        <f t="shared" si="82"/>
        <v/>
      </c>
      <c r="BW28" s="29" t="str">
        <f t="shared" si="70"/>
        <v/>
      </c>
      <c r="BX28" s="29" t="str">
        <f t="shared" si="71"/>
        <v/>
      </c>
      <c r="BY28" s="28" t="str">
        <f>IF($G28="","",$G28*(IF(ADRYr3!$AI28=BY$4,ADRYr3!$AJ28,IF(ADRYr3!$AK28=BY$4,ADRYr3!$AL28,IF(ADRYr3!$AM28=BY$4,ADRYr3!$AN28,0))))*(INDEX(avoidedcosttbl3,$H28,BY$2)+(($H28-ROUNDDOWN($H28,0))*(INDEX(avoidedcosttbl3,ROUNDUP($H28,0),BY$2)-(INDEX(avoidedcosttbl3,ROUNDDOWN($H28,0),BY$2)))))*ADRYr3!P28*ADRYr3!Q28*ADRYr3!U28)</f>
        <v/>
      </c>
      <c r="BZ28" s="28" t="str">
        <f>IF($G28="","",$G28*(IF(ADRYr3!$AI28=BZ$4,ADRYr3!$AJ28,IF(ADRYr3!$AK28=BZ$4,ADRYr3!$AL28,IF(ADRYr3!$AM28=BZ$4,ADRYr3!$AN28,0))))*(INDEX(avoidedcosttbl3,$H28,BZ$2)+(($H28-ROUNDDOWN($H28,0))*(INDEX(avoidedcosttbl3,ROUNDUP($H28,0),BZ$2)-(INDEX(avoidedcosttbl3,ROUNDDOWN($H28,0),BZ$2)))))*ADRYr3!P28*ADRYr3!Q28*ADRYr3!U28)</f>
        <v/>
      </c>
      <c r="CA28" s="28" t="str">
        <f>IF($G28="","",$G28*(IF(ADRYr3!$AI28=CA$4,ADRYr3!$AJ28,IF(ADRYr3!$AK28=CA$4,ADRYr3!$AL28,IF(ADRYr3!$AM28=CA$4,ADRYr3!$AN28,0))))*(INDEX(avoidedcosttbl3,$H28,CA$2)+(($H28-ROUNDDOWN($H28,0))*(INDEX(avoidedcosttbl3,ROUNDUP($H28,0),CA$2)-(INDEX(avoidedcosttbl3,ROUNDDOWN($H28,0),CA$2)))))*ADRYr3!P28*ADRYr3!Q28*ADRYr3!U28)</f>
        <v/>
      </c>
      <c r="CB28" s="28" t="str">
        <f>IF($G28="","",$G28*(IF(ADRYr3!$AI28=CB$4,ADRYr3!$AJ28,IF(ADRYr3!$AK28=CB$4,ADRYr3!$AL28,IF(ADRYr3!$AM28=CB$4,ADRYr3!$AN28,0))))*(INDEX(avoidedcosttbl3,$H28,CB$2)+(($H28-ROUNDDOWN($H28,0))*(INDEX(avoidedcosttbl3,ROUNDUP($H28,0),CB$2)-(INDEX(avoidedcosttbl3,ROUNDDOWN($H28,0),CB$2)))))*ADRYr3!P28*ADRYr3!Q28*ADRYr3!U28)</f>
        <v/>
      </c>
      <c r="CC28" s="28" t="str">
        <f>IF($G28="","",$G28*(IF(ADRYr3!$AI28=CC$4,ADRYr3!$AJ28,IF(ADRYr3!$AK28=CC$4,ADRYr3!$AL28,IF(ADRYr3!$AM28=CC$4,ADRYr3!$AN28,0))))*(INDEX(avoidedcosttbl3,$H28,CC$2)+(($H28-ROUNDDOWN($H28,0))*(INDEX(avoidedcosttbl3,ROUNDUP($H28,0),CC$2)-(INDEX(avoidedcosttbl3,ROUNDDOWN($H28,0),CC$2)))))*ADRYr3!P28*ADRYr3!Q28*ADRYr3!U28)</f>
        <v/>
      </c>
      <c r="CD28" s="28" t="str">
        <f>IF($G28="","",$G28*(IF(ADRYr3!$AI28=CD$4,ADRYr3!$AJ28,IF(ADRYr3!$AK28=CD$4,ADRYr3!$AL28,IF(ADRYr3!$AM28=CD$4,ADRYr3!$AN28,0))))*(INDEX(avoidedcosttbl3,$H28,CD$2)+(($H28-ROUNDDOWN($H28,0))*(INDEX(avoidedcosttbl3,ROUNDUP($H28,0),CD$2)-(INDEX(avoidedcosttbl3,ROUNDDOWN($H28,0),CD$2)))))*ADRYr3!P28*ADRYr3!Q28*ADRYr3!U28)</f>
        <v/>
      </c>
      <c r="CE28" s="28" t="str">
        <f>IF($G28="","",$G28*(IF(ADRYr3!$AI28=CE$4,ADRYr3!$AJ28,IF(ADRYr3!$AK28=CE$4,ADRYr3!$AL28,IF(ADRYr3!$AM28=CE$4,ADRYr3!$AN28,0))))*(INDEX(avoidedcosttbl3,$H28,CE$2)+(($H28-ROUNDDOWN($H28,0))*(INDEX(avoidedcosttbl3,ROUNDUP($H28,0),CE$2)-(INDEX(avoidedcosttbl3,ROUNDDOWN($H28,0),CE$2)))))*ADRYr3!P28*ADRYr3!Q28*ADRYr3!U28)</f>
        <v/>
      </c>
      <c r="CF28" s="41" t="str">
        <f t="shared" si="72"/>
        <v/>
      </c>
      <c r="CG28" s="30" t="str">
        <f t="shared" si="10"/>
        <v/>
      </c>
      <c r="CH28" s="30" t="str">
        <f>IF($G28="","",$G28*(IF(ADRYr3!$AI28=BY$4,ADRYr3!$AJ28,IF(ADRYr3!$AK28=BY$4,ADRYr3!$AL28,IF(ADRYr3!$AM28=BY$4,ADRYr3!$AN28,0))))*(INDEX(avoidedcosttbl3,$H28,CH$2)+(($H28-ROUNDDOWN($H28,0))*(INDEX(avoidedcosttbl3,ROUNDUP($H28,0),CH$2)-(INDEX(avoidedcosttbl3,ROUNDDOWN($H28,0),CH$2)))))*ADRYr3!P28*ADRYr3!Q28*ADRYr3!U28)</f>
        <v/>
      </c>
      <c r="CI28" s="30" t="str">
        <f>IF($G28="","",$G28*(IF(ADRYr3!$AI28=BZ$4,ADRYr3!$AJ28,IF(ADRYr3!$AK28=BZ$4,ADRYr3!$AL28,IF(ADRYr3!$AM28=BZ$4,ADRYr3!$AN28,0))))*(INDEX(avoidedcosttbl3,$H28,CI$2)+(($H28-ROUNDDOWN($H28,0))*(INDEX(avoidedcosttbl3,ROUNDUP($H28,0),CI$2)-(INDEX(avoidedcosttbl3,ROUNDDOWN($H28,0),CI$2)))))*ADRYr3!P28*ADRYr3!Q28*ADRYr3!U28)</f>
        <v/>
      </c>
      <c r="CJ28" s="30" t="str">
        <f>IF($G28="","",$G28*(IF(ADRYr3!$AI28=CA$4,ADRYr3!$AJ28,IF(ADRYr3!$AK28=CA$4,ADRYr3!$AL28,IF(ADRYr3!$AM28=CA$4,ADRYr3!$AN28,0))))*(INDEX(avoidedcosttbl3,$H28,CJ$2)+(($H28-ROUNDDOWN($H28,0))*(INDEX(avoidedcosttbl3,ROUNDUP($H28,0),CJ$2)-(INDEX(avoidedcosttbl3,ROUNDDOWN($H28,0),CJ$2)))))*ADRYr3!P28*ADRYr3!Q28*ADRYr3!U28)</f>
        <v/>
      </c>
      <c r="CK28" s="30" t="str">
        <f>IF($G28="","",$G28*(IF(ADRYr3!$AI28=CB$4,ADRYr3!$AJ28,IF(ADRYr3!$AK28=CB$4,ADRYr3!$AL28,IF(ADRYr3!$AM28=CB$4,ADRYr3!$AN28,0))))*(INDEX(avoidedcosttbl3,$H28,CK$2)+(($H28-ROUNDDOWN($H28,0))*(INDEX(avoidedcosttbl3,ROUNDUP($H28,0),CK$2)-(INDEX(avoidedcosttbl3,ROUNDDOWN($H28,0),CK$2)))))*ADRYr3!P28*ADRYr3!Q28*ADRYr3!U28)</f>
        <v/>
      </c>
      <c r="CL28" s="30" t="str">
        <f>IF($G28="","",$G28*(IF(ADRYr3!$AI28=CC$4,ADRYr3!$AJ28,IF(ADRYr3!$AK28=CC$4,ADRYr3!$AL28,IF(ADRYr3!$AM28=CC$4,ADRYr3!$AN28,0))))*(INDEX(avoidedcosttbl3,$H28,CL$2)+(($H28-ROUNDDOWN($H28,0))*(INDEX(avoidedcosttbl3,ROUNDUP($H28,0),CL$2)-(INDEX(avoidedcosttbl3,ROUNDDOWN($H28,0),CL$2)))))*ADRYr3!P28*ADRYr3!Q28*ADRYr3!U28)</f>
        <v/>
      </c>
      <c r="CM28" s="30" t="str">
        <f>IF($G28="","",$G28*(IF(ADRYr3!$AI28=CD$4,ADRYr3!$AJ28,IF(ADRYr3!$AK28=CD$4,ADRYr3!$AL28,IF(ADRYr3!$AM28=CD$4,ADRYr3!$AN28,0))))*(INDEX(avoidedcosttbl3,$H28,CM$2)+(($H28-ROUNDDOWN($H28,0))*(INDEX(avoidedcosttbl3,ROUNDUP($H28,0),CM$2)-(INDEX(avoidedcosttbl3,ROUNDDOWN($H28,0),CM$2)))))*ADRYr3!P28*ADRYr3!Q28*ADRYr3!U28)</f>
        <v/>
      </c>
      <c r="CN28" s="30" t="str">
        <f>IF($G28="","",$G28*(IF(ADRYr3!$AI28=CE$4,ADRYr3!$AJ28,IF(ADRYr3!$AK28=CE$4,ADRYr3!$AL28,IF(ADRYr3!$AM28=CE$4,ADRYr3!$AN28,0))))*(INDEX(avoidedcosttbl3,$H28,CN$2)+(($H28-ROUNDDOWN($H28,0))*(INDEX(avoidedcosttbl3,ROUNDUP($H28,0),CN$2)-(INDEX(avoidedcosttbl3,ROUNDDOWN($H28,0),CN$2)))))*ADRYr3!P28*ADRYr3!Q28*ADRYr3!U28)</f>
        <v/>
      </c>
      <c r="CO28" s="220" t="str">
        <f t="shared" si="73"/>
        <v/>
      </c>
      <c r="CP28" s="220" t="str">
        <f t="shared" si="74"/>
        <v/>
      </c>
      <c r="CQ28" s="157" t="str">
        <f>IF($G28="","",$G28*(IF(ADRYr3!$AI28=CQ$4,ADRYr3!$AJ28,IF(ADRYr3!$AK28=CQ$4,ADRYr3!$AL28,IF(ADRYr3!$AM28=CQ$4,ADRYr3!$AN28,0))))*(INDEX(avoidedcosttbl3,$H28,CQ$2)+(($H28-ROUNDDOWN($H28,0))*(INDEX(avoidedcosttbl3,ROUNDUP($H28,0),CQ$2)-(INDEX(avoidedcosttbl3,ROUNDDOWN($H28,0),CQ$2)))))*ADRYr3!$P28*ADRYr3!$Q28*ADRYr3!$U28)</f>
        <v/>
      </c>
      <c r="CR28" s="28" t="str">
        <f>IF($G28="","",G28*(IF(ADRYr3!$AI28=CR$4,ADRYr3!$AJ28,IF(ADRYr3!$AK28=CR$4,ADRYr3!$AL28,IF(ADRYr3!$AM28=CR$4,ADRYr3!$AN28,0))))*(INDEX(avoidedcosttbl3,$H28,CR$2)+(($H28-ROUNDDOWN($H28,0))*(INDEX(avoidedcosttbl3,ROUNDUP($H28,0),CR$2)-(INDEX(avoidedcosttbl3,ROUNDDOWN($H28,0),CR$2)))))*ADRYr3!$P28*ADRYr3!$Q28*ADRYr3!$U28)</f>
        <v/>
      </c>
      <c r="CS28" s="28" t="str">
        <f>IF($G28="","",G28*(IF(ADRYr3!$AI28=CS$4,ADRYr3!$AJ28,IF(ADRYr3!$AK28=CS$4,ADRYr3!$AL28,IF(ADRYr3!$AM28=CS$4,ADRYr3!$AN28,0))))*(INDEX(avoidedcosttbl3,$H28,CS$2)+(($H28-ROUNDDOWN($H28,0))*(INDEX(avoidedcosttbl3,ROUNDUP($H28,0),CS$2)-(INDEX(avoidedcosttbl3,ROUNDDOWN($H28,0),CS$2)))))*ADRYr3!$P28*ADRYr3!$Q28*ADRYr3!$U28)</f>
        <v/>
      </c>
      <c r="CT28" s="28" t="str">
        <f t="shared" si="11"/>
        <v/>
      </c>
      <c r="CU28" s="28" t="str">
        <f>IF($G28="","",G28*(IF(ADRYr3!$AI28=CU$4,ADRYr3!$AJ28,IF(ADRYr3!$AK28=CU$4,ADRYr3!$AL28,IF(ADRYr3!$AM28=CU$4,ADRYr3!$AN28,0))))*(INDEX(avoidedcosttbl3,$H28,CU$2)+(($H28-ROUNDDOWN($H28,0))*(INDEX(avoidedcosttbl3,ROUNDUP($H28,0),CU$2)-(INDEX(avoidedcosttbl3,ROUNDDOWN($H28,0),CU$2)))))*ADRYr3!$P28*ADRYr3!$Q28*ADRYr3!$U28)</f>
        <v/>
      </c>
      <c r="CV28" s="28" t="str">
        <f>IF($G28="","",G28*(IF(ADRYr3!$AI28=CV$4,ADRYr3!$AJ28,IF(ADRYr3!$AK28=CV$4,ADRYr3!$AL28,IF(ADRYr3!$AM28=CV$4,ADRYr3!$AN28,0))))*(INDEX(avoidedcosttbl3,$H28,CV$2)+(($H28-ROUNDDOWN($H28,0))*(INDEX(avoidedcosttbl3,ROUNDUP($H28,0),CV$2)-(INDEX(avoidedcosttbl3,ROUNDDOWN($H28,0),CV$2)))))*ADRYr3!$P28*ADRYr3!$Q28*ADRYr3!$U28)</f>
        <v/>
      </c>
      <c r="CW28" s="28" t="str">
        <f>IF($G28="","",G28*(IF(ADRYr3!$AI28=CW$4,ADRYr3!$AJ28,IF(ADRYr3!$AK28=CW$4,ADRYr3!$AL28,IF(ADRYr3!$AM28=CW$4,ADRYr3!$AN28,0))))*(INDEX(avoidedcosttbl3,$H28,CW$2)+(($H28-ROUNDDOWN($H28,0))*(INDEX(avoidedcosttbl3,ROUNDUP($H28,0),CW$2)-(INDEX(avoidedcosttbl3,ROUNDDOWN($H28,0),CW$2)))))*ADRYr3!$P28*ADRYr3!$Q28*ADRYr3!$U28)</f>
        <v/>
      </c>
      <c r="CX28" s="28" t="str">
        <f>IF($G28="","",G28*(IF(ADRYr3!$AI28=CX$4,ADRYr3!$AJ28,IF(ADRYr3!$AK28=CX$4,ADRYr3!$AL28,IF(ADRYr3!$AM28=CX$4,ADRYr3!$AN28,0))))*(INDEX(avoidedcosttbl3,$H28,CX$2)+(($H28-ROUNDDOWN($H28,0))*(INDEX(avoidedcosttbl3,ROUNDUP($H28,0),CX$2)-(INDEX(avoidedcosttbl3,ROUNDDOWN($H28,0),CX$2)))))*ADRYr3!$P28*ADRYr3!$Q28*ADRYr3!$U28)</f>
        <v/>
      </c>
      <c r="CY28" s="28" t="str">
        <f t="shared" si="75"/>
        <v/>
      </c>
      <c r="CZ28" s="32" t="str">
        <f t="shared" si="76"/>
        <v/>
      </c>
      <c r="DA28" s="84" t="str">
        <f t="shared" si="77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78"/>
        <v/>
      </c>
      <c r="DD28" s="166" t="str">
        <f t="shared" si="79"/>
        <v/>
      </c>
      <c r="DE28" s="82">
        <f t="shared" si="80"/>
        <v>0</v>
      </c>
      <c r="DF28" s="760" t="str">
        <f>IF($G28="","",(1+WntPeakEnergyLL)*(INDEX(avoidedcosttbl3,$H28,DF$2)+(($H28-ROUNDDOWN($H28,0))*(INDEX(avoidedcosttbl3,ROUNDUP($H28,0),DF$2)-(INDEX(avoidedcosttbl3,ROUNDDOWN($H28,0),DF$2)))))*$P28*1000*ADRYr3!Z28)</f>
        <v/>
      </c>
      <c r="DG28" s="760" t="str">
        <f>IF($G28="","",(1+WntOffPeakEnergyLL)*(INDEX(avoidedcosttbl3,$H28,DG$2)+(($H28-ROUNDDOWN($H28,0))*(INDEX(avoidedcosttbl3,ROUNDUP($H28,0),DG$2)-(INDEX(avoidedcosttbl3,ROUNDDOWN($H28,0),DG$2)))))*$P28*1000*ADRYr3!AA28)</f>
        <v/>
      </c>
      <c r="DH28" s="760" t="str">
        <f>IF($G28="","",(1+SumPeakEnergyLL)*(INDEX(avoidedcosttbl3,$H28,DH$2)+(($H28-ROUNDDOWN($H28,0))*(INDEX(avoidedcosttbl3,ROUNDUP($H28,0),DH$2)-(INDEX(avoidedcosttbl3,ROUNDDOWN($H28,0),DH$2)))))*$P28*1000*ADRYr3!AB28)</f>
        <v/>
      </c>
      <c r="DI28" s="760" t="str">
        <f>IF($G28="","",(1+SumOffPeakEnergyLL)*(INDEX(avoidedcosttbl3,$H28,DI$2)+(($H28-ROUNDDOWN($H28,0))*(INDEX(avoidedcosttbl3,ROUNDUP($H28,0),DI$2)-(INDEX(avoidedcosttbl3,ROUNDDOWN($H28,0),DI$2)))))*$P28*1000*ADRYr3!AC28)</f>
        <v/>
      </c>
      <c r="DJ28" s="29" t="str">
        <f t="shared" si="81"/>
        <v/>
      </c>
      <c r="DK28" s="161" t="str">
        <f t="shared" si="45"/>
        <v/>
      </c>
      <c r="DL28" s="1375" t="str">
        <f t="shared" si="46"/>
        <v/>
      </c>
      <c r="DM28" s="1375" t="str">
        <f t="shared" si="47"/>
        <v/>
      </c>
      <c r="DN28" s="43" t="str">
        <f t="shared" si="48"/>
        <v/>
      </c>
      <c r="DO28" s="1131" t="str">
        <f>IF($G28="","",ADRYr3!AQ28)</f>
        <v/>
      </c>
      <c r="DP28" s="1133" t="str">
        <f>IF($G28="","",ADRYr3!AR28)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49"/>
        <v/>
      </c>
      <c r="DU28" s="1135" t="str">
        <f>IF($G28="","",ADRYr3!AS28)</f>
        <v/>
      </c>
      <c r="DV28" s="1136" t="str">
        <f>IF($G28="","",ADRYr3!AT28)</f>
        <v/>
      </c>
      <c r="DW28" s="1344" t="str">
        <f>IF($G28="","",INDEX(AvoidedEnergy!$H$4:$H$10,MATCH($DO28,AvoidedEnergy!$A$4:$A$10,0)))</f>
        <v/>
      </c>
    </row>
    <row r="29" spans="1:127">
      <c r="A29" s="160" t="str">
        <f>IF(ADRYr3!$B29=0,"",ADRYr3!A29)</f>
        <v>C - Commercial &amp; Industrial</v>
      </c>
      <c r="B29" s="9" t="str">
        <f>IF(ADRYr3!$B29=0,"",ADRYr3!B29)</f>
        <v>C5 - C&amp;I Active Demand Response</v>
      </c>
      <c r="C29" s="9" t="str">
        <f>IF(ADRYr3!$B29=0,"",ADRYr3!C29)</f>
        <v>C5a - C&amp;I Active Demand Response</v>
      </c>
      <c r="D29" s="9" t="str">
        <f>IF(ADRYr3!$B29=0,"",ADRYr3!D29)</f>
        <v>Load Curtailment Targeted Dispatch P4P Summer</v>
      </c>
      <c r="E29" s="9" t="str">
        <f>IF(ADRYr3!$B29=0,"",ADRYr3!E29)</f>
        <v>E21C5a001</v>
      </c>
      <c r="F29" s="11" t="str">
        <f>IF(ADRYr3!$B29=0,"",ADRYr3!F29)</f>
        <v>Behavior</v>
      </c>
      <c r="G29" s="12">
        <f>IF(ADRYr3!$G29&lt;&gt;0,ADRYr3!G29,"")</f>
        <v>26</v>
      </c>
      <c r="H29" s="1125">
        <f>IF($G29="","",ROUND(ADRYr3!H29,0))</f>
        <v>1</v>
      </c>
      <c r="I29" s="47">
        <f>IF($G29="","",ADRYr3!I29*ADRYr3!P29*G29)</f>
        <v>113750</v>
      </c>
      <c r="J29" s="47">
        <f>IF($G29="","",ADRYr3!J29*G29)</f>
        <v>113750</v>
      </c>
      <c r="K29" s="47">
        <f t="shared" si="50"/>
        <v>0</v>
      </c>
      <c r="L29" s="27">
        <f>IF($G29="","",ADRYr3!V29*G29/1000)</f>
        <v>0</v>
      </c>
      <c r="M29" s="27">
        <f>IF($G29="","",L29*ADRYr3!$Q29*ADRYr3!$R29)</f>
        <v>0</v>
      </c>
      <c r="N29" s="27">
        <f t="shared" si="51"/>
        <v>0</v>
      </c>
      <c r="O29" s="27">
        <f t="shared" si="52"/>
        <v>0</v>
      </c>
      <c r="P29" s="27">
        <f>IF($G29="","",M29*ADRYr3!P29)</f>
        <v>0</v>
      </c>
      <c r="Q29" s="27">
        <f t="shared" si="53"/>
        <v>0</v>
      </c>
      <c r="R29" s="27">
        <f>IF($G29="","",$Q29*ADRYr3!Z29)</f>
        <v>0</v>
      </c>
      <c r="S29" s="27">
        <f>IF($G29="","",$Q29*ADRYr3!AA29)</f>
        <v>0</v>
      </c>
      <c r="T29" s="27">
        <f>IF($G29="","",$Q29*ADRYr3!AB29)</f>
        <v>0</v>
      </c>
      <c r="U29" s="27">
        <f>IF($G29="","",$Q29*ADRYr3!AC29)</f>
        <v>0</v>
      </c>
      <c r="V29" s="27">
        <f>IF($G29="","",G29*ADRYr3!$AD29*ADRYr3!$P29*ADRYr3!$Q29)</f>
        <v>2600</v>
      </c>
      <c r="W29" s="27">
        <f>IF($G29="","",$G29*ADRYr3!$AD29*ADRYr3!$AF29*ADRYr3!Q29*ADRYr3!$S29)</f>
        <v>0</v>
      </c>
      <c r="X29" s="27">
        <f>IF($G29="","",$G29*ADRYr3!$AD29*ADRYr3!$AF29*ADRYr3!P29*ADRYr3!Q29*ADRYr3!$S29)</f>
        <v>0</v>
      </c>
      <c r="Y29" s="27">
        <f>IF($G29="","",$G29*ADRYr3!$AD29*ADRYr3!$AE29*ADRYr3!Q29*ADRYr3!$T29)</f>
        <v>2600</v>
      </c>
      <c r="Z29" s="27">
        <f>IF($G29="","",$G29*ADRYr3!$AD29*ADRYr3!$AE29*ADRYr3!P29*ADRYr3!Q29*ADRYr3!$T29)</f>
        <v>2600</v>
      </c>
      <c r="AA29" s="45">
        <f>IF($G29="","",$G29*ADRYr3!$Q29*ADRYr3!$U29*(IF(IFERROR(SEARCH("NG", ADRYr3!$AI29),0),ADRYr3!$AJ29,0)+IF(IFERROR(SEARCH("NG", ADRYr3!$AK29),0),ADRYr3!$AL29,0)+IF(IFERROR(SEARCH("NG", ADRYr3!$AM29),0),ADRYr3!$AN29,0)))</f>
        <v>0</v>
      </c>
      <c r="AB29" s="45">
        <f t="shared" si="54"/>
        <v>0</v>
      </c>
      <c r="AC29" s="45">
        <f>IF($G29="",0,AA29*ADRYr3!$P29)</f>
        <v>0</v>
      </c>
      <c r="AD29" s="45">
        <f t="shared" si="55"/>
        <v>0</v>
      </c>
      <c r="AE29" s="45">
        <f>IF($G29="","",$G29*ADRYr3!$Q29*ADRYr3!$U29*(IF(IFERROR(SEARCH("Oil", ADRYr3!$AI29), 0),ADRYr3!$AJ29,0)+IF(IFERROR(SEARCH("Oil", ADRYr3!$AK29), 0),ADRYr3!$AL29,0)+IF(IFERROR(SEARCH("Oil", ADRYr3!$AM29), 0),ADRYr3!$AN29,0)))</f>
        <v>0</v>
      </c>
      <c r="AF29" s="45">
        <f t="shared" si="56"/>
        <v>0</v>
      </c>
      <c r="AG29" s="45">
        <f>IF($G29="",0,AE29*ADRYr3!$P29)</f>
        <v>0</v>
      </c>
      <c r="AH29" s="45">
        <f t="shared" si="57"/>
        <v>0</v>
      </c>
      <c r="AI29" s="45">
        <f>IF($G29="","",$G29*ADRYr3!$Q29*ADRYr3!$U29*(IF(ADRYr3!$AI29=Lookups!$E$114,ADRYr3!$AJ29,IF(ADRYr3!$AK29=Lookups!$E$114,ADRYr3!$AL29,IF(ADRYr3!$AM29=Lookups!$E$114,ADRYr3!$AN29,0)))))</f>
        <v>0</v>
      </c>
      <c r="AJ29" s="45">
        <f t="shared" si="58"/>
        <v>0</v>
      </c>
      <c r="AK29" s="45">
        <f>IF($G29="",0,AI29*ADRYr3!$P29)</f>
        <v>0</v>
      </c>
      <c r="AL29" s="45">
        <f t="shared" si="59"/>
        <v>0</v>
      </c>
      <c r="AM29" s="45">
        <f>IF($G29="","",$G29*ADRYr3!$Q29*ADRYr3!$U29*(IF(ADRYr3!$AI29=Lookups!$E$113,ADRYr3!$AJ29,IF(ADRYr3!$AK29=Lookups!$E$113,ADRYr3!$AL29,IF(ADRYr3!$AM29=Lookups!$E$113,ADRYr3!$AN29,0)))))</f>
        <v>0</v>
      </c>
      <c r="AN29" s="45">
        <f t="shared" si="60"/>
        <v>0</v>
      </c>
      <c r="AO29" s="45">
        <f>IF($G29="",0,AM29*ADRYr3!$P29)</f>
        <v>0</v>
      </c>
      <c r="AP29" s="45">
        <f t="shared" si="61"/>
        <v>0</v>
      </c>
      <c r="AQ29" s="45">
        <f>IF($G29="","",$G29*ADRYr3!$Q29*ADRYr3!$U29*(IF(ADRYr3!$AI29=Lookups!$E$115,ADRYr3!$AJ29,IF(ADRYr3!$AK29=Lookups!$E$115,ADRYr3!$AL29,IF(ADRYr3!$AM29=Lookups!$E$115,ADRYr3!$AN29,0)))))</f>
        <v>0</v>
      </c>
      <c r="AR29" s="45">
        <f t="shared" si="62"/>
        <v>0</v>
      </c>
      <c r="AS29" s="45">
        <f>IF($G29="","",AQ29*ADRYr3!$P29)</f>
        <v>0</v>
      </c>
      <c r="AT29" s="45">
        <f t="shared" si="63"/>
        <v>0</v>
      </c>
      <c r="AU29" s="45">
        <f>IF($G29="","",$G29*ADRYr3!$Q29*ADRYr3!$U29*(IF(ADRYr3!$AI29=Lookups!$E$116,ADRYr3!$AJ29,IF(ADRYr3!$AK29=Lookups!$E$116,ADRYr3!$AL29,IF(ADRYr3!$AM29=Lookups!$E$116,ADRYr3!$AN29,0)))))</f>
        <v>0</v>
      </c>
      <c r="AV29" s="45">
        <f t="shared" si="64"/>
        <v>0</v>
      </c>
      <c r="AW29" s="45">
        <f>IF($G29="","",AU29*ADRYr3!$P29)</f>
        <v>0</v>
      </c>
      <c r="AX29" s="45">
        <f t="shared" si="65"/>
        <v>0</v>
      </c>
      <c r="AY29" s="45">
        <f t="shared" si="66"/>
        <v>0</v>
      </c>
      <c r="AZ29" s="45">
        <f t="shared" si="67"/>
        <v>0</v>
      </c>
      <c r="BA29" s="101">
        <f>IF($G29="","",$G29*ADRYr3!$P29*ADRYr3!$Q29*ADRYr3!$U29*ADRYr3!AO29)</f>
        <v>0</v>
      </c>
      <c r="BB29" s="102">
        <f>IF($G29="","",$G29*ADRYr3!$P29*ADRYr3!$Q29*ADRYr3!$U29*ADRYr3!AP29)</f>
        <v>0</v>
      </c>
      <c r="BC29" s="100">
        <f t="shared" si="68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31"/>
        <v>0</v>
      </c>
      <c r="BO29" s="31">
        <f t="shared" si="69"/>
        <v>0</v>
      </c>
      <c r="BP29" s="1129">
        <f t="shared" si="5"/>
        <v>29559.236583499158</v>
      </c>
      <c r="BQ29" s="28">
        <f t="shared" si="6"/>
        <v>0</v>
      </c>
      <c r="BR29" s="1129">
        <f t="shared" si="7"/>
        <v>62431.218745736558</v>
      </c>
      <c r="BS29" s="1129">
        <f t="shared" si="8"/>
        <v>0</v>
      </c>
      <c r="BT29" s="28">
        <f t="shared" si="82"/>
        <v>265462.74285133008</v>
      </c>
      <c r="BU29" s="28">
        <f t="shared" si="82"/>
        <v>0</v>
      </c>
      <c r="BV29" s="28">
        <f t="shared" si="82"/>
        <v>229967.38002332608</v>
      </c>
      <c r="BW29" s="29">
        <f t="shared" si="70"/>
        <v>587420.57820389187</v>
      </c>
      <c r="BX29" s="29">
        <f t="shared" si="71"/>
        <v>587420.57820389187</v>
      </c>
      <c r="BY29" s="28">
        <f>IF($G29="","",$G29*(IF(ADRYr3!$AI29=BY$4,ADRYr3!$AJ29,IF(ADRYr3!$AK29=BY$4,ADRYr3!$AL29,IF(ADRYr3!$AM29=BY$4,ADRYr3!$AN29,0))))*(INDEX(avoidedcosttbl3,$H29,BY$2)+(($H29-ROUNDDOWN($H29,0))*(INDEX(avoidedcosttbl3,ROUNDUP($H29,0),BY$2)-(INDEX(avoidedcosttbl3,ROUNDDOWN($H29,0),BY$2)))))*ADRYr3!P29*ADRYr3!Q29*ADRYr3!U29)</f>
        <v>0</v>
      </c>
      <c r="BZ29" s="28">
        <f>IF($G29="","",$G29*(IF(ADRYr3!$AI29=BZ$4,ADRYr3!$AJ29,IF(ADRYr3!$AK29=BZ$4,ADRYr3!$AL29,IF(ADRYr3!$AM29=BZ$4,ADRYr3!$AN29,0))))*(INDEX(avoidedcosttbl3,$H29,BZ$2)+(($H29-ROUNDDOWN($H29,0))*(INDEX(avoidedcosttbl3,ROUNDUP($H29,0),BZ$2)-(INDEX(avoidedcosttbl3,ROUNDDOWN($H29,0),BZ$2)))))*ADRYr3!P29*ADRYr3!Q29*ADRYr3!U29)</f>
        <v>0</v>
      </c>
      <c r="CA29" s="28">
        <f>IF($G29="","",$G29*(IF(ADRYr3!$AI29=CA$4,ADRYr3!$AJ29,IF(ADRYr3!$AK29=CA$4,ADRYr3!$AL29,IF(ADRYr3!$AM29=CA$4,ADRYr3!$AN29,0))))*(INDEX(avoidedcosttbl3,$H29,CA$2)+(($H29-ROUNDDOWN($H29,0))*(INDEX(avoidedcosttbl3,ROUNDUP($H29,0),CA$2)-(INDEX(avoidedcosttbl3,ROUNDDOWN($H29,0),CA$2)))))*ADRYr3!P29*ADRYr3!Q29*ADRYr3!U29)</f>
        <v>0</v>
      </c>
      <c r="CB29" s="28">
        <f>IF($G29="","",$G29*(IF(ADRYr3!$AI29=CB$4,ADRYr3!$AJ29,IF(ADRYr3!$AK29=CB$4,ADRYr3!$AL29,IF(ADRYr3!$AM29=CB$4,ADRYr3!$AN29,0))))*(INDEX(avoidedcosttbl3,$H29,CB$2)+(($H29-ROUNDDOWN($H29,0))*(INDEX(avoidedcosttbl3,ROUNDUP($H29,0),CB$2)-(INDEX(avoidedcosttbl3,ROUNDDOWN($H29,0),CB$2)))))*ADRYr3!P29*ADRYr3!Q29*ADRYr3!U29)</f>
        <v>0</v>
      </c>
      <c r="CC29" s="28">
        <f>IF($G29="","",$G29*(IF(ADRYr3!$AI29=CC$4,ADRYr3!$AJ29,IF(ADRYr3!$AK29=CC$4,ADRYr3!$AL29,IF(ADRYr3!$AM29=CC$4,ADRYr3!$AN29,0))))*(INDEX(avoidedcosttbl3,$H29,CC$2)+(($H29-ROUNDDOWN($H29,0))*(INDEX(avoidedcosttbl3,ROUNDUP($H29,0),CC$2)-(INDEX(avoidedcosttbl3,ROUNDDOWN($H29,0),CC$2)))))*ADRYr3!P29*ADRYr3!Q29*ADRYr3!U29)</f>
        <v>0</v>
      </c>
      <c r="CD29" s="28">
        <f>IF($G29="","",$G29*(IF(ADRYr3!$AI29=CD$4,ADRYr3!$AJ29,IF(ADRYr3!$AK29=CD$4,ADRYr3!$AL29,IF(ADRYr3!$AM29=CD$4,ADRYr3!$AN29,0))))*(INDEX(avoidedcosttbl3,$H29,CD$2)+(($H29-ROUNDDOWN($H29,0))*(INDEX(avoidedcosttbl3,ROUNDUP($H29,0),CD$2)-(INDEX(avoidedcosttbl3,ROUNDDOWN($H29,0),CD$2)))))*ADRYr3!P29*ADRYr3!Q29*ADRYr3!U29)</f>
        <v>0</v>
      </c>
      <c r="CE29" s="28">
        <f>IF($G29="","",$G29*(IF(ADRYr3!$AI29=CE$4,ADRYr3!$AJ29,IF(ADRYr3!$AK29=CE$4,ADRYr3!$AL29,IF(ADRYr3!$AM29=CE$4,ADRYr3!$AN29,0))))*(INDEX(avoidedcosttbl3,$H29,CE$2)+(($H29-ROUNDDOWN($H29,0))*(INDEX(avoidedcosttbl3,ROUNDUP($H29,0),CE$2)-(INDEX(avoidedcosttbl3,ROUNDDOWN($H29,0),CE$2)))))*ADRYr3!P29*ADRYr3!Q29*ADRYr3!U29)</f>
        <v>0</v>
      </c>
      <c r="CF29" s="41">
        <f t="shared" si="72"/>
        <v>0</v>
      </c>
      <c r="CG29" s="30">
        <f t="shared" si="10"/>
        <v>0</v>
      </c>
      <c r="CH29" s="30">
        <f>IF($G29="","",$G29*(IF(ADRYr3!$AI29=BY$4,ADRYr3!$AJ29,IF(ADRYr3!$AK29=BY$4,ADRYr3!$AL29,IF(ADRYr3!$AM29=BY$4,ADRYr3!$AN29,0))))*(INDEX(avoidedcosttbl3,$H29,CH$2)+(($H29-ROUNDDOWN($H29,0))*(INDEX(avoidedcosttbl3,ROUNDUP($H29,0),CH$2)-(INDEX(avoidedcosttbl3,ROUNDDOWN($H29,0),CH$2)))))*ADRYr3!P29*ADRYr3!Q29*ADRYr3!U29)</f>
        <v>0</v>
      </c>
      <c r="CI29" s="30">
        <f>IF($G29="","",$G29*(IF(ADRYr3!$AI29=BZ$4,ADRYr3!$AJ29,IF(ADRYr3!$AK29=BZ$4,ADRYr3!$AL29,IF(ADRYr3!$AM29=BZ$4,ADRYr3!$AN29,0))))*(INDEX(avoidedcosttbl3,$H29,CI$2)+(($H29-ROUNDDOWN($H29,0))*(INDEX(avoidedcosttbl3,ROUNDUP($H29,0),CI$2)-(INDEX(avoidedcosttbl3,ROUNDDOWN($H29,0),CI$2)))))*ADRYr3!P29*ADRYr3!Q29*ADRYr3!U29)</f>
        <v>0</v>
      </c>
      <c r="CJ29" s="30">
        <f>IF($G29="","",$G29*(IF(ADRYr3!$AI29=CA$4,ADRYr3!$AJ29,IF(ADRYr3!$AK29=CA$4,ADRYr3!$AL29,IF(ADRYr3!$AM29=CA$4,ADRYr3!$AN29,0))))*(INDEX(avoidedcosttbl3,$H29,CJ$2)+(($H29-ROUNDDOWN($H29,0))*(INDEX(avoidedcosttbl3,ROUNDUP($H29,0),CJ$2)-(INDEX(avoidedcosttbl3,ROUNDDOWN($H29,0),CJ$2)))))*ADRYr3!P29*ADRYr3!Q29*ADRYr3!U29)</f>
        <v>0</v>
      </c>
      <c r="CK29" s="30">
        <f>IF($G29="","",$G29*(IF(ADRYr3!$AI29=CB$4,ADRYr3!$AJ29,IF(ADRYr3!$AK29=CB$4,ADRYr3!$AL29,IF(ADRYr3!$AM29=CB$4,ADRYr3!$AN29,0))))*(INDEX(avoidedcosttbl3,$H29,CK$2)+(($H29-ROUNDDOWN($H29,0))*(INDEX(avoidedcosttbl3,ROUNDUP($H29,0),CK$2)-(INDEX(avoidedcosttbl3,ROUNDDOWN($H29,0),CK$2)))))*ADRYr3!P29*ADRYr3!Q29*ADRYr3!U29)</f>
        <v>0</v>
      </c>
      <c r="CL29" s="30">
        <f>IF($G29="","",$G29*(IF(ADRYr3!$AI29=CC$4,ADRYr3!$AJ29,IF(ADRYr3!$AK29=CC$4,ADRYr3!$AL29,IF(ADRYr3!$AM29=CC$4,ADRYr3!$AN29,0))))*(INDEX(avoidedcosttbl3,$H29,CL$2)+(($H29-ROUNDDOWN($H29,0))*(INDEX(avoidedcosttbl3,ROUNDUP($H29,0),CL$2)-(INDEX(avoidedcosttbl3,ROUNDDOWN($H29,0),CL$2)))))*ADRYr3!P29*ADRYr3!Q29*ADRYr3!U29)</f>
        <v>0</v>
      </c>
      <c r="CM29" s="30">
        <f>IF($G29="","",$G29*(IF(ADRYr3!$AI29=CD$4,ADRYr3!$AJ29,IF(ADRYr3!$AK29=CD$4,ADRYr3!$AL29,IF(ADRYr3!$AM29=CD$4,ADRYr3!$AN29,0))))*(INDEX(avoidedcosttbl3,$H29,CM$2)+(($H29-ROUNDDOWN($H29,0))*(INDEX(avoidedcosttbl3,ROUNDUP($H29,0),CM$2)-(INDEX(avoidedcosttbl3,ROUNDDOWN($H29,0),CM$2)))))*ADRYr3!P29*ADRYr3!Q29*ADRYr3!U29)</f>
        <v>0</v>
      </c>
      <c r="CN29" s="30">
        <f>IF($G29="","",$G29*(IF(ADRYr3!$AI29=CE$4,ADRYr3!$AJ29,IF(ADRYr3!$AK29=CE$4,ADRYr3!$AL29,IF(ADRYr3!$AM29=CE$4,ADRYr3!$AN29,0))))*(INDEX(avoidedcosttbl3,$H29,CN$2)+(($H29-ROUNDDOWN($H29,0))*(INDEX(avoidedcosttbl3,ROUNDUP($H29,0),CN$2)-(INDEX(avoidedcosttbl3,ROUNDDOWN($H29,0),CN$2)))))*ADRYr3!P29*ADRYr3!Q29*ADRYr3!U29)</f>
        <v>0</v>
      </c>
      <c r="CO29" s="220">
        <f t="shared" si="73"/>
        <v>0</v>
      </c>
      <c r="CP29" s="220">
        <f t="shared" si="74"/>
        <v>0</v>
      </c>
      <c r="CQ29" s="157">
        <f>IF($G29="","",$G29*(IF(ADRYr3!$AI29=CQ$4,ADRYr3!$AJ29,IF(ADRYr3!$AK29=CQ$4,ADRYr3!$AL29,IF(ADRYr3!$AM29=CQ$4,ADRYr3!$AN29,0))))*(INDEX(avoidedcosttbl3,$H29,CQ$2)+(($H29-ROUNDDOWN($H29,0))*(INDEX(avoidedcosttbl3,ROUNDUP($H29,0),CQ$2)-(INDEX(avoidedcosttbl3,ROUNDDOWN($H29,0),CQ$2)))))*ADRYr3!$P29*ADRYr3!$Q29*ADRYr3!$U29)</f>
        <v>0</v>
      </c>
      <c r="CR29" s="28">
        <f>IF($G29="","",G29*(IF(ADRYr3!$AI29=CR$4,ADRYr3!$AJ29,IF(ADRYr3!$AK29=CR$4,ADRYr3!$AL29,IF(ADRYr3!$AM29=CR$4,ADRYr3!$AN29,0))))*(INDEX(avoidedcosttbl3,$H29,CR$2)+(($H29-ROUNDDOWN($H29,0))*(INDEX(avoidedcosttbl3,ROUNDUP($H29,0),CR$2)-(INDEX(avoidedcosttbl3,ROUNDDOWN($H29,0),CR$2)))))*ADRYr3!$P29*ADRYr3!$Q29*ADRYr3!$U29)</f>
        <v>0</v>
      </c>
      <c r="CS29" s="28">
        <f>IF($G29="","",G29*(IF(ADRYr3!$AI29=CS$4,ADRYr3!$AJ29,IF(ADRYr3!$AK29=CS$4,ADRYr3!$AL29,IF(ADRYr3!$AM29=CS$4,ADRYr3!$AN29,0))))*(INDEX(avoidedcosttbl3,$H29,CS$2)+(($H29-ROUNDDOWN($H29,0))*(INDEX(avoidedcosttbl3,ROUNDUP($H29,0),CS$2)-(INDEX(avoidedcosttbl3,ROUNDDOWN($H29,0),CS$2)))))*ADRYr3!$P29*ADRYr3!$Q29*ADRYr3!$U29)</f>
        <v>0</v>
      </c>
      <c r="CT29" s="28">
        <f t="shared" si="11"/>
        <v>0</v>
      </c>
      <c r="CU29" s="28">
        <f>IF($G29="","",G29*(IF(ADRYr3!$AI29=CU$4,ADRYr3!$AJ29,IF(ADRYr3!$AK29=CU$4,ADRYr3!$AL29,IF(ADRYr3!$AM29=CU$4,ADRYr3!$AN29,0))))*(INDEX(avoidedcosttbl3,$H29,CU$2)+(($H29-ROUNDDOWN($H29,0))*(INDEX(avoidedcosttbl3,ROUNDUP($H29,0),CU$2)-(INDEX(avoidedcosttbl3,ROUNDDOWN($H29,0),CU$2)))))*ADRYr3!$P29*ADRYr3!$Q29*ADRYr3!$U29)</f>
        <v>0</v>
      </c>
      <c r="CV29" s="28">
        <f>IF($G29="","",G29*(IF(ADRYr3!$AI29=CV$4,ADRYr3!$AJ29,IF(ADRYr3!$AK29=CV$4,ADRYr3!$AL29,IF(ADRYr3!$AM29=CV$4,ADRYr3!$AN29,0))))*(INDEX(avoidedcosttbl3,$H29,CV$2)+(($H29-ROUNDDOWN($H29,0))*(INDEX(avoidedcosttbl3,ROUNDUP($H29,0),CV$2)-(INDEX(avoidedcosttbl3,ROUNDDOWN($H29,0),CV$2)))))*ADRYr3!$P29*ADRYr3!$Q29*ADRYr3!$U29)</f>
        <v>0</v>
      </c>
      <c r="CW29" s="28">
        <f>IF($G29="","",G29*(IF(ADRYr3!$AI29=CW$4,ADRYr3!$AJ29,IF(ADRYr3!$AK29=CW$4,ADRYr3!$AL29,IF(ADRYr3!$AM29=CW$4,ADRYr3!$AN29,0))))*(INDEX(avoidedcosttbl3,$H29,CW$2)+(($H29-ROUNDDOWN($H29,0))*(INDEX(avoidedcosttbl3,ROUNDUP($H29,0),CW$2)-(INDEX(avoidedcosttbl3,ROUNDDOWN($H29,0),CW$2)))))*ADRYr3!$P29*ADRYr3!$Q29*ADRYr3!$U29)</f>
        <v>0</v>
      </c>
      <c r="CX29" s="28">
        <f>IF($G29="","",G29*(IF(ADRYr3!$AI29=CX$4,ADRYr3!$AJ29,IF(ADRYr3!$AK29=CX$4,ADRYr3!$AL29,IF(ADRYr3!$AM29=CX$4,ADRYr3!$AN29,0))))*(INDEX(avoidedcosttbl3,$H29,CX$2)+(($H29-ROUNDDOWN($H29,0))*(INDEX(avoidedcosttbl3,ROUNDUP($H29,0),CX$2)-(INDEX(avoidedcosttbl3,ROUNDDOWN($H29,0),CX$2)))))*ADRYr3!$P29*ADRYr3!$Q29*ADRYr3!$U29)</f>
        <v>0</v>
      </c>
      <c r="CY29" s="28">
        <f t="shared" si="75"/>
        <v>0</v>
      </c>
      <c r="CZ29" s="32">
        <f t="shared" si="76"/>
        <v>0</v>
      </c>
      <c r="DA29" s="84">
        <f t="shared" si="77"/>
        <v>0</v>
      </c>
      <c r="DB29" s="81">
        <f>IF(NEIadder="Yes",IF($G29="","",INDEX(Lookups!$G$68:$G$70,MATCH($A29,Lookups!$E$68:$E$70,0))*(SUM(CP29:CX29,BX29))),"")</f>
        <v>58742.057820389193</v>
      </c>
      <c r="DC29" s="263" t="str">
        <f t="shared" si="78"/>
        <v/>
      </c>
      <c r="DD29" s="166">
        <f t="shared" si="79"/>
        <v>0</v>
      </c>
      <c r="DE29" s="82">
        <f t="shared" si="80"/>
        <v>58742.057820389193</v>
      </c>
      <c r="DF29" s="760">
        <f>IF($G29="","",(1+WntPeakEnergyLL)*(INDEX(avoidedcosttbl3,$H29,DF$2)+(($H29-ROUNDDOWN($H29,0))*(INDEX(avoidedcosttbl3,ROUNDUP($H29,0),DF$2)-(INDEX(avoidedcosttbl3,ROUNDDOWN($H29,0),DF$2)))))*$P29*1000*ADRYr3!Z29)</f>
        <v>0</v>
      </c>
      <c r="DG29" s="760">
        <f>IF($G29="","",(1+WntOffPeakEnergyLL)*(INDEX(avoidedcosttbl3,$H29,DG$2)+(($H29-ROUNDDOWN($H29,0))*(INDEX(avoidedcosttbl3,ROUNDUP($H29,0),DG$2)-(INDEX(avoidedcosttbl3,ROUNDDOWN($H29,0),DG$2)))))*$P29*1000*ADRYr3!AA29)</f>
        <v>0</v>
      </c>
      <c r="DH29" s="760">
        <f>IF($G29="","",(1+SumPeakEnergyLL)*(INDEX(avoidedcosttbl3,$H29,DH$2)+(($H29-ROUNDDOWN($H29,0))*(INDEX(avoidedcosttbl3,ROUNDUP($H29,0),DH$2)-(INDEX(avoidedcosttbl3,ROUNDDOWN($H29,0),DH$2)))))*$P29*1000*ADRYr3!AB29)</f>
        <v>0</v>
      </c>
      <c r="DI29" s="760">
        <f>IF($G29="","",(1+SumOffPeakEnergyLL)*(INDEX(avoidedcosttbl3,$H29,DI$2)+(($H29-ROUNDDOWN($H29,0))*(INDEX(avoidedcosttbl3,ROUNDUP($H29,0),DI$2)-(INDEX(avoidedcosttbl3,ROUNDDOWN($H29,0),DI$2)))))*$P29*1000*ADRYr3!AC29)</f>
        <v>0</v>
      </c>
      <c r="DJ29" s="29">
        <f t="shared" si="81"/>
        <v>0</v>
      </c>
      <c r="DK29" s="161">
        <f t="shared" si="45"/>
        <v>646162.63602428103</v>
      </c>
      <c r="DL29" s="1375">
        <f t="shared" si="46"/>
        <v>587420.57820389187</v>
      </c>
      <c r="DM29" s="1375">
        <f t="shared" si="47"/>
        <v>587420.57820389187</v>
      </c>
      <c r="DN29" s="43">
        <f t="shared" si="48"/>
        <v>646162.63602428103</v>
      </c>
      <c r="DO29" s="1131" t="str">
        <f>IF($G29="","",ADRYr3!AQ29)</f>
        <v>Top 20 All Hours</v>
      </c>
      <c r="DP29" s="1133" t="str">
        <f>IF($G29="","",ADRYr3!AR29)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49"/>
        <v>2023-Top 20 All Hours-1</v>
      </c>
      <c r="DU29" s="1135" t="str">
        <f>IF($G29="","",ADRYr3!AS29)</f>
        <v>No</v>
      </c>
      <c r="DV29" s="1136">
        <f>IF($G29="","",ADRYr3!AT29)</f>
        <v>0.1</v>
      </c>
      <c r="DW29" s="1344">
        <f>IF($G29="","",INDEX(AvoidedEnergy!$H$4:$H$10,MATCH($DO29,AvoidedEnergy!$A$4:$A$10,0)))</f>
        <v>0.08</v>
      </c>
    </row>
    <row r="30" spans="1:127">
      <c r="A30" s="160" t="str">
        <f>IF(ADRYr3!$B30=0,"",ADRYr3!A30)</f>
        <v>C - Commercial &amp; Industrial</v>
      </c>
      <c r="B30" s="9" t="str">
        <f>IF(ADRYr3!$B30=0,"",ADRYr3!B30)</f>
        <v>C5 - C&amp;I Active Demand Response</v>
      </c>
      <c r="C30" s="9" t="str">
        <f>IF(ADRYr3!$B30=0,"",ADRYr3!C30)</f>
        <v>C5a - C&amp;I Active Demand Response</v>
      </c>
      <c r="D30" s="9" t="str">
        <f>IF(ADRYr3!$B30=0,"",ADRYr3!D30)</f>
        <v>Load Curtailment Targeted Dispatch P4P Winter</v>
      </c>
      <c r="E30" s="9">
        <f>IF(ADRYr3!$B30=0,"",ADRYr3!E30)</f>
        <v>0</v>
      </c>
      <c r="F30" s="11" t="str">
        <f>IF(ADRYr3!$B30=0,"",ADRYr3!F30)</f>
        <v>Behavior</v>
      </c>
      <c r="G30" s="12" t="str">
        <f>IF(ADRYr3!$G30&lt;&gt;0,ADRYr3!G30,"")</f>
        <v/>
      </c>
      <c r="H30" s="1125" t="str">
        <f>IF($G30="","",ROUND(ADRYr3!H30,0))</f>
        <v/>
      </c>
      <c r="I30" s="47" t="str">
        <f>IF($G30="","",ADRYr3!I30*ADRYr3!P30*G30)</f>
        <v/>
      </c>
      <c r="J30" s="47" t="str">
        <f>IF($G30="","",ADRYr3!J30*G30)</f>
        <v/>
      </c>
      <c r="K30" s="47" t="str">
        <f t="shared" si="50"/>
        <v/>
      </c>
      <c r="L30" s="27" t="str">
        <f>IF($G30="","",ADRYr3!V30*G30/1000)</f>
        <v/>
      </c>
      <c r="M30" s="27" t="str">
        <f>IF($G30="","",L30*ADRYr3!$Q30*ADRYr3!$R30)</f>
        <v/>
      </c>
      <c r="N30" s="27" t="str">
        <f t="shared" si="51"/>
        <v/>
      </c>
      <c r="O30" s="27" t="str">
        <f t="shared" si="52"/>
        <v/>
      </c>
      <c r="P30" s="27" t="str">
        <f>IF($G30="","",M30*ADRYr3!P30)</f>
        <v/>
      </c>
      <c r="Q30" s="27" t="str">
        <f t="shared" si="53"/>
        <v/>
      </c>
      <c r="R30" s="27" t="str">
        <f>IF($G30="","",$Q30*ADRYr3!Z30)</f>
        <v/>
      </c>
      <c r="S30" s="27" t="str">
        <f>IF($G30="","",$Q30*ADRYr3!AA30)</f>
        <v/>
      </c>
      <c r="T30" s="27" t="str">
        <f>IF($G30="","",$Q30*ADRYr3!AB30)</f>
        <v/>
      </c>
      <c r="U30" s="27" t="str">
        <f>IF($G30="","",$Q30*ADRYr3!AC30)</f>
        <v/>
      </c>
      <c r="V30" s="27" t="str">
        <f>IF($G30="","",G30*ADRYr3!$AD30*ADRYr3!$P30*ADRYr3!$Q30)</f>
        <v/>
      </c>
      <c r="W30" s="27" t="str">
        <f>IF($G30="","",$G30*ADRYr3!$AD30*ADRYr3!$AF30*ADRYr3!Q30*ADRYr3!$S30)</f>
        <v/>
      </c>
      <c r="X30" s="27" t="str">
        <f>IF($G30="","",$G30*ADRYr3!$AD30*ADRYr3!$AF30*ADRYr3!P30*ADRYr3!Q30*ADRYr3!$S30)</f>
        <v/>
      </c>
      <c r="Y30" s="27" t="str">
        <f>IF($G30="","",$G30*ADRYr3!$AD30*ADRYr3!$AE30*ADRYr3!Q30*ADRYr3!$T30)</f>
        <v/>
      </c>
      <c r="Z30" s="27" t="str">
        <f>IF($G30="","",$G30*ADRYr3!$AD30*ADRYr3!$AE30*ADRYr3!P30*ADRYr3!Q30*ADRYr3!$T30)</f>
        <v/>
      </c>
      <c r="AA30" s="45" t="str">
        <f>IF($G30="","",$G30*ADRYr3!$Q30*ADRYr3!$U30*(IF(IFERROR(SEARCH("NG", ADRYr3!$AI30),0),ADRYr3!$AJ30,0)+IF(IFERROR(SEARCH("NG", ADRYr3!$AK30),0),ADRYr3!$AL30,0)+IF(IFERROR(SEARCH("NG", ADRYr3!$AM30),0),ADRYr3!$AN30,0)))</f>
        <v/>
      </c>
      <c r="AB30" s="45" t="str">
        <f t="shared" si="54"/>
        <v/>
      </c>
      <c r="AC30" s="45">
        <f>IF($G30="",0,AA30*ADRYr3!$P30)</f>
        <v>0</v>
      </c>
      <c r="AD30" s="45" t="str">
        <f t="shared" si="55"/>
        <v/>
      </c>
      <c r="AE30" s="45" t="str">
        <f>IF($G30="","",$G30*ADRYr3!$Q30*ADRYr3!$U30*(IF(IFERROR(SEARCH("Oil", ADRYr3!$AI30), 0),ADRYr3!$AJ30,0)+IF(IFERROR(SEARCH("Oil", ADRYr3!$AK30), 0),ADRYr3!$AL30,0)+IF(IFERROR(SEARCH("Oil", ADRYr3!$AM30), 0),ADRYr3!$AN30,0)))</f>
        <v/>
      </c>
      <c r="AF30" s="45" t="str">
        <f t="shared" si="56"/>
        <v/>
      </c>
      <c r="AG30" s="45">
        <f>IF($G30="",0,AE30*ADRYr3!$P30)</f>
        <v>0</v>
      </c>
      <c r="AH30" s="45" t="str">
        <f t="shared" si="57"/>
        <v/>
      </c>
      <c r="AI30" s="45" t="str">
        <f>IF($G30="","",$G30*ADRYr3!$Q30*ADRYr3!$U30*(IF(ADRYr3!$AI30=Lookups!$E$114,ADRYr3!$AJ30,IF(ADRYr3!$AK30=Lookups!$E$114,ADRYr3!$AL30,IF(ADRYr3!$AM30=Lookups!$E$114,ADRYr3!$AN30,0)))))</f>
        <v/>
      </c>
      <c r="AJ30" s="45" t="str">
        <f t="shared" si="58"/>
        <v/>
      </c>
      <c r="AK30" s="45">
        <f>IF($G30="",0,AI30*ADRYr3!$P30)</f>
        <v>0</v>
      </c>
      <c r="AL30" s="45" t="str">
        <f t="shared" si="59"/>
        <v/>
      </c>
      <c r="AM30" s="45" t="str">
        <f>IF($G30="","",$G30*ADRYr3!$Q30*ADRYr3!$U30*(IF(ADRYr3!$AI30=Lookups!$E$113,ADRYr3!$AJ30,IF(ADRYr3!$AK30=Lookups!$E$113,ADRYr3!$AL30,IF(ADRYr3!$AM30=Lookups!$E$113,ADRYr3!$AN30,0)))))</f>
        <v/>
      </c>
      <c r="AN30" s="45" t="str">
        <f t="shared" si="60"/>
        <v/>
      </c>
      <c r="AO30" s="45">
        <f>IF($G30="",0,AM30*ADRYr3!$P30)</f>
        <v>0</v>
      </c>
      <c r="AP30" s="45" t="str">
        <f t="shared" si="61"/>
        <v/>
      </c>
      <c r="AQ30" s="45" t="str">
        <f>IF($G30="","",$G30*ADRYr3!$Q30*ADRYr3!$U30*(IF(ADRYr3!$AI30=Lookups!$E$115,ADRYr3!$AJ30,IF(ADRYr3!$AK30=Lookups!$E$115,ADRYr3!$AL30,IF(ADRYr3!$AM30=Lookups!$E$115,ADRYr3!$AN30,0)))))</f>
        <v/>
      </c>
      <c r="AR30" s="45" t="str">
        <f t="shared" si="62"/>
        <v/>
      </c>
      <c r="AS30" s="45" t="str">
        <f>IF($G30="","",AQ30*ADRYr3!$P30)</f>
        <v/>
      </c>
      <c r="AT30" s="45" t="str">
        <f t="shared" si="63"/>
        <v/>
      </c>
      <c r="AU30" s="45" t="str">
        <f>IF($G30="","",$G30*ADRYr3!$Q30*ADRYr3!$U30*(IF(ADRYr3!$AI30=Lookups!$E$116,ADRYr3!$AJ30,IF(ADRYr3!$AK30=Lookups!$E$116,ADRYr3!$AL30,IF(ADRYr3!$AM30=Lookups!$E$116,ADRYr3!$AN30,0)))))</f>
        <v/>
      </c>
      <c r="AV30" s="45" t="str">
        <f t="shared" si="64"/>
        <v/>
      </c>
      <c r="AW30" s="45" t="str">
        <f>IF($G30="","",AU30*ADRYr3!$P30)</f>
        <v/>
      </c>
      <c r="AX30" s="45" t="str">
        <f t="shared" si="65"/>
        <v/>
      </c>
      <c r="AY30" s="45">
        <f t="shared" si="66"/>
        <v>0</v>
      </c>
      <c r="AZ30" s="45">
        <f t="shared" si="67"/>
        <v>0</v>
      </c>
      <c r="BA30" s="101" t="str">
        <f>IF($G30="","",$G30*ADRYr3!$P30*ADRYr3!$Q30*ADRYr3!$U30*ADRYr3!AO30)</f>
        <v/>
      </c>
      <c r="BB30" s="102" t="str">
        <f>IF($G30="","",$G30*ADRYr3!$P30*ADRYr3!$Q30*ADRYr3!$U30*ADRYr3!AP30)</f>
        <v/>
      </c>
      <c r="BC30" s="100" t="str">
        <f t="shared" si="68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31"/>
        <v/>
      </c>
      <c r="BO30" s="31" t="str">
        <f t="shared" si="69"/>
        <v/>
      </c>
      <c r="BP30" s="1129" t="str">
        <f t="shared" si="5"/>
        <v/>
      </c>
      <c r="BQ30" s="28" t="str">
        <f t="shared" si="6"/>
        <v/>
      </c>
      <c r="BR30" s="1129" t="str">
        <f t="shared" si="7"/>
        <v/>
      </c>
      <c r="BS30" s="1129" t="str">
        <f t="shared" si="8"/>
        <v/>
      </c>
      <c r="BT30" s="28" t="str">
        <f t="shared" si="82"/>
        <v/>
      </c>
      <c r="BU30" s="28" t="str">
        <f t="shared" si="82"/>
        <v/>
      </c>
      <c r="BV30" s="28" t="str">
        <f t="shared" si="82"/>
        <v/>
      </c>
      <c r="BW30" s="29" t="str">
        <f t="shared" si="70"/>
        <v/>
      </c>
      <c r="BX30" s="29" t="str">
        <f t="shared" si="71"/>
        <v/>
      </c>
      <c r="BY30" s="28" t="str">
        <f>IF($G30="","",$G30*(IF(ADRYr3!$AI30=BY$4,ADRYr3!$AJ30,IF(ADRYr3!$AK30=BY$4,ADRYr3!$AL30,IF(ADRYr3!$AM30=BY$4,ADRYr3!$AN30,0))))*(INDEX(avoidedcosttbl3,$H30,BY$2)+(($H30-ROUNDDOWN($H30,0))*(INDEX(avoidedcosttbl3,ROUNDUP($H30,0),BY$2)-(INDEX(avoidedcosttbl3,ROUNDDOWN($H30,0),BY$2)))))*ADRYr3!P30*ADRYr3!Q30*ADRYr3!U30)</f>
        <v/>
      </c>
      <c r="BZ30" s="28" t="str">
        <f>IF($G30="","",$G30*(IF(ADRYr3!$AI30=BZ$4,ADRYr3!$AJ30,IF(ADRYr3!$AK30=BZ$4,ADRYr3!$AL30,IF(ADRYr3!$AM30=BZ$4,ADRYr3!$AN30,0))))*(INDEX(avoidedcosttbl3,$H30,BZ$2)+(($H30-ROUNDDOWN($H30,0))*(INDEX(avoidedcosttbl3,ROUNDUP($H30,0),BZ$2)-(INDEX(avoidedcosttbl3,ROUNDDOWN($H30,0),BZ$2)))))*ADRYr3!P30*ADRYr3!Q30*ADRYr3!U30)</f>
        <v/>
      </c>
      <c r="CA30" s="28" t="str">
        <f>IF($G30="","",$G30*(IF(ADRYr3!$AI30=CA$4,ADRYr3!$AJ30,IF(ADRYr3!$AK30=CA$4,ADRYr3!$AL30,IF(ADRYr3!$AM30=CA$4,ADRYr3!$AN30,0))))*(INDEX(avoidedcosttbl3,$H30,CA$2)+(($H30-ROUNDDOWN($H30,0))*(INDEX(avoidedcosttbl3,ROUNDUP($H30,0),CA$2)-(INDEX(avoidedcosttbl3,ROUNDDOWN($H30,0),CA$2)))))*ADRYr3!P30*ADRYr3!Q30*ADRYr3!U30)</f>
        <v/>
      </c>
      <c r="CB30" s="28" t="str">
        <f>IF($G30="","",$G30*(IF(ADRYr3!$AI30=CB$4,ADRYr3!$AJ30,IF(ADRYr3!$AK30=CB$4,ADRYr3!$AL30,IF(ADRYr3!$AM30=CB$4,ADRYr3!$AN30,0))))*(INDEX(avoidedcosttbl3,$H30,CB$2)+(($H30-ROUNDDOWN($H30,0))*(INDEX(avoidedcosttbl3,ROUNDUP($H30,0),CB$2)-(INDEX(avoidedcosttbl3,ROUNDDOWN($H30,0),CB$2)))))*ADRYr3!P30*ADRYr3!Q30*ADRYr3!U30)</f>
        <v/>
      </c>
      <c r="CC30" s="28" t="str">
        <f>IF($G30="","",$G30*(IF(ADRYr3!$AI30=CC$4,ADRYr3!$AJ30,IF(ADRYr3!$AK30=CC$4,ADRYr3!$AL30,IF(ADRYr3!$AM30=CC$4,ADRYr3!$AN30,0))))*(INDEX(avoidedcosttbl3,$H30,CC$2)+(($H30-ROUNDDOWN($H30,0))*(INDEX(avoidedcosttbl3,ROUNDUP($H30,0),CC$2)-(INDEX(avoidedcosttbl3,ROUNDDOWN($H30,0),CC$2)))))*ADRYr3!P30*ADRYr3!Q30*ADRYr3!U30)</f>
        <v/>
      </c>
      <c r="CD30" s="28" t="str">
        <f>IF($G30="","",$G30*(IF(ADRYr3!$AI30=CD$4,ADRYr3!$AJ30,IF(ADRYr3!$AK30=CD$4,ADRYr3!$AL30,IF(ADRYr3!$AM30=CD$4,ADRYr3!$AN30,0))))*(INDEX(avoidedcosttbl3,$H30,CD$2)+(($H30-ROUNDDOWN($H30,0))*(INDEX(avoidedcosttbl3,ROUNDUP($H30,0),CD$2)-(INDEX(avoidedcosttbl3,ROUNDDOWN($H30,0),CD$2)))))*ADRYr3!P30*ADRYr3!Q30*ADRYr3!U30)</f>
        <v/>
      </c>
      <c r="CE30" s="28" t="str">
        <f>IF($G30="","",$G30*(IF(ADRYr3!$AI30=CE$4,ADRYr3!$AJ30,IF(ADRYr3!$AK30=CE$4,ADRYr3!$AL30,IF(ADRYr3!$AM30=CE$4,ADRYr3!$AN30,0))))*(INDEX(avoidedcosttbl3,$H30,CE$2)+(($H30-ROUNDDOWN($H30,0))*(INDEX(avoidedcosttbl3,ROUNDUP($H30,0),CE$2)-(INDEX(avoidedcosttbl3,ROUNDDOWN($H30,0),CE$2)))))*ADRYr3!P30*ADRYr3!Q30*ADRYr3!U30)</f>
        <v/>
      </c>
      <c r="CF30" s="41" t="str">
        <f t="shared" si="72"/>
        <v/>
      </c>
      <c r="CG30" s="30" t="str">
        <f t="shared" si="10"/>
        <v/>
      </c>
      <c r="CH30" s="30" t="str">
        <f>IF($G30="","",$G30*(IF(ADRYr3!$AI30=BY$4,ADRYr3!$AJ30,IF(ADRYr3!$AK30=BY$4,ADRYr3!$AL30,IF(ADRYr3!$AM30=BY$4,ADRYr3!$AN30,0))))*(INDEX(avoidedcosttbl3,$H30,CH$2)+(($H30-ROUNDDOWN($H30,0))*(INDEX(avoidedcosttbl3,ROUNDUP($H30,0),CH$2)-(INDEX(avoidedcosttbl3,ROUNDDOWN($H30,0),CH$2)))))*ADRYr3!P30*ADRYr3!Q30*ADRYr3!U30)</f>
        <v/>
      </c>
      <c r="CI30" s="30" t="str">
        <f>IF($G30="","",$G30*(IF(ADRYr3!$AI30=BZ$4,ADRYr3!$AJ30,IF(ADRYr3!$AK30=BZ$4,ADRYr3!$AL30,IF(ADRYr3!$AM30=BZ$4,ADRYr3!$AN30,0))))*(INDEX(avoidedcosttbl3,$H30,CI$2)+(($H30-ROUNDDOWN($H30,0))*(INDEX(avoidedcosttbl3,ROUNDUP($H30,0),CI$2)-(INDEX(avoidedcosttbl3,ROUNDDOWN($H30,0),CI$2)))))*ADRYr3!P30*ADRYr3!Q30*ADRYr3!U30)</f>
        <v/>
      </c>
      <c r="CJ30" s="30" t="str">
        <f>IF($G30="","",$G30*(IF(ADRYr3!$AI30=CA$4,ADRYr3!$AJ30,IF(ADRYr3!$AK30=CA$4,ADRYr3!$AL30,IF(ADRYr3!$AM30=CA$4,ADRYr3!$AN30,0))))*(INDEX(avoidedcosttbl3,$H30,CJ$2)+(($H30-ROUNDDOWN($H30,0))*(INDEX(avoidedcosttbl3,ROUNDUP($H30,0),CJ$2)-(INDEX(avoidedcosttbl3,ROUNDDOWN($H30,0),CJ$2)))))*ADRYr3!P30*ADRYr3!Q30*ADRYr3!U30)</f>
        <v/>
      </c>
      <c r="CK30" s="30" t="str">
        <f>IF($G30="","",$G30*(IF(ADRYr3!$AI30=CB$4,ADRYr3!$AJ30,IF(ADRYr3!$AK30=CB$4,ADRYr3!$AL30,IF(ADRYr3!$AM30=CB$4,ADRYr3!$AN30,0))))*(INDEX(avoidedcosttbl3,$H30,CK$2)+(($H30-ROUNDDOWN($H30,0))*(INDEX(avoidedcosttbl3,ROUNDUP($H30,0),CK$2)-(INDEX(avoidedcosttbl3,ROUNDDOWN($H30,0),CK$2)))))*ADRYr3!P30*ADRYr3!Q30*ADRYr3!U30)</f>
        <v/>
      </c>
      <c r="CL30" s="30" t="str">
        <f>IF($G30="","",$G30*(IF(ADRYr3!$AI30=CC$4,ADRYr3!$AJ30,IF(ADRYr3!$AK30=CC$4,ADRYr3!$AL30,IF(ADRYr3!$AM30=CC$4,ADRYr3!$AN30,0))))*(INDEX(avoidedcosttbl3,$H30,CL$2)+(($H30-ROUNDDOWN($H30,0))*(INDEX(avoidedcosttbl3,ROUNDUP($H30,0),CL$2)-(INDEX(avoidedcosttbl3,ROUNDDOWN($H30,0),CL$2)))))*ADRYr3!P30*ADRYr3!Q30*ADRYr3!U30)</f>
        <v/>
      </c>
      <c r="CM30" s="30" t="str">
        <f>IF($G30="","",$G30*(IF(ADRYr3!$AI30=CD$4,ADRYr3!$AJ30,IF(ADRYr3!$AK30=CD$4,ADRYr3!$AL30,IF(ADRYr3!$AM30=CD$4,ADRYr3!$AN30,0))))*(INDEX(avoidedcosttbl3,$H30,CM$2)+(($H30-ROUNDDOWN($H30,0))*(INDEX(avoidedcosttbl3,ROUNDUP($H30,0),CM$2)-(INDEX(avoidedcosttbl3,ROUNDDOWN($H30,0),CM$2)))))*ADRYr3!P30*ADRYr3!Q30*ADRYr3!U30)</f>
        <v/>
      </c>
      <c r="CN30" s="30" t="str">
        <f>IF($G30="","",$G30*(IF(ADRYr3!$AI30=CE$4,ADRYr3!$AJ30,IF(ADRYr3!$AK30=CE$4,ADRYr3!$AL30,IF(ADRYr3!$AM30=CE$4,ADRYr3!$AN30,0))))*(INDEX(avoidedcosttbl3,$H30,CN$2)+(($H30-ROUNDDOWN($H30,0))*(INDEX(avoidedcosttbl3,ROUNDUP($H30,0),CN$2)-(INDEX(avoidedcosttbl3,ROUNDDOWN($H30,0),CN$2)))))*ADRYr3!P30*ADRYr3!Q30*ADRYr3!U30)</f>
        <v/>
      </c>
      <c r="CO30" s="220" t="str">
        <f t="shared" si="73"/>
        <v/>
      </c>
      <c r="CP30" s="220" t="str">
        <f t="shared" si="74"/>
        <v/>
      </c>
      <c r="CQ30" s="157" t="str">
        <f>IF($G30="","",$G30*(IF(ADRYr3!$AI30=CQ$4,ADRYr3!$AJ30,IF(ADRYr3!$AK30=CQ$4,ADRYr3!$AL30,IF(ADRYr3!$AM30=CQ$4,ADRYr3!$AN30,0))))*(INDEX(avoidedcosttbl3,$H30,CQ$2)+(($H30-ROUNDDOWN($H30,0))*(INDEX(avoidedcosttbl3,ROUNDUP($H30,0),CQ$2)-(INDEX(avoidedcosttbl3,ROUNDDOWN($H30,0),CQ$2)))))*ADRYr3!$P30*ADRYr3!$Q30*ADRYr3!$U30)</f>
        <v/>
      </c>
      <c r="CR30" s="28" t="str">
        <f>IF($G30="","",G30*(IF(ADRYr3!$AI30=CR$4,ADRYr3!$AJ30,IF(ADRYr3!$AK30=CR$4,ADRYr3!$AL30,IF(ADRYr3!$AM30=CR$4,ADRYr3!$AN30,0))))*(INDEX(avoidedcosttbl3,$H30,CR$2)+(($H30-ROUNDDOWN($H30,0))*(INDEX(avoidedcosttbl3,ROUNDUP($H30,0),CR$2)-(INDEX(avoidedcosttbl3,ROUNDDOWN($H30,0),CR$2)))))*ADRYr3!$P30*ADRYr3!$Q30*ADRYr3!$U30)</f>
        <v/>
      </c>
      <c r="CS30" s="28" t="str">
        <f>IF($G30="","",G30*(IF(ADRYr3!$AI30=CS$4,ADRYr3!$AJ30,IF(ADRYr3!$AK30=CS$4,ADRYr3!$AL30,IF(ADRYr3!$AM30=CS$4,ADRYr3!$AN30,0))))*(INDEX(avoidedcosttbl3,$H30,CS$2)+(($H30-ROUNDDOWN($H30,0))*(INDEX(avoidedcosttbl3,ROUNDUP($H30,0),CS$2)-(INDEX(avoidedcosttbl3,ROUNDDOWN($H30,0),CS$2)))))*ADRYr3!$P30*ADRYr3!$Q30*ADRYr3!$U30)</f>
        <v/>
      </c>
      <c r="CT30" s="28" t="str">
        <f t="shared" si="11"/>
        <v/>
      </c>
      <c r="CU30" s="28" t="str">
        <f>IF($G30="","",G30*(IF(ADRYr3!$AI30=CU$4,ADRYr3!$AJ30,IF(ADRYr3!$AK30=CU$4,ADRYr3!$AL30,IF(ADRYr3!$AM30=CU$4,ADRYr3!$AN30,0))))*(INDEX(avoidedcosttbl3,$H30,CU$2)+(($H30-ROUNDDOWN($H30,0))*(INDEX(avoidedcosttbl3,ROUNDUP($H30,0),CU$2)-(INDEX(avoidedcosttbl3,ROUNDDOWN($H30,0),CU$2)))))*ADRYr3!$P30*ADRYr3!$Q30*ADRYr3!$U30)</f>
        <v/>
      </c>
      <c r="CV30" s="28" t="str">
        <f>IF($G30="","",G30*(IF(ADRYr3!$AI30=CV$4,ADRYr3!$AJ30,IF(ADRYr3!$AK30=CV$4,ADRYr3!$AL30,IF(ADRYr3!$AM30=CV$4,ADRYr3!$AN30,0))))*(INDEX(avoidedcosttbl3,$H30,CV$2)+(($H30-ROUNDDOWN($H30,0))*(INDEX(avoidedcosttbl3,ROUNDUP($H30,0),CV$2)-(INDEX(avoidedcosttbl3,ROUNDDOWN($H30,0),CV$2)))))*ADRYr3!$P30*ADRYr3!$Q30*ADRYr3!$U30)</f>
        <v/>
      </c>
      <c r="CW30" s="28" t="str">
        <f>IF($G30="","",G30*(IF(ADRYr3!$AI30=CW$4,ADRYr3!$AJ30,IF(ADRYr3!$AK30=CW$4,ADRYr3!$AL30,IF(ADRYr3!$AM30=CW$4,ADRYr3!$AN30,0))))*(INDEX(avoidedcosttbl3,$H30,CW$2)+(($H30-ROUNDDOWN($H30,0))*(INDEX(avoidedcosttbl3,ROUNDUP($H30,0),CW$2)-(INDEX(avoidedcosttbl3,ROUNDDOWN($H30,0),CW$2)))))*ADRYr3!$P30*ADRYr3!$Q30*ADRYr3!$U30)</f>
        <v/>
      </c>
      <c r="CX30" s="28" t="str">
        <f>IF($G30="","",G30*(IF(ADRYr3!$AI30=CX$4,ADRYr3!$AJ30,IF(ADRYr3!$AK30=CX$4,ADRYr3!$AL30,IF(ADRYr3!$AM30=CX$4,ADRYr3!$AN30,0))))*(INDEX(avoidedcosttbl3,$H30,CX$2)+(($H30-ROUNDDOWN($H30,0))*(INDEX(avoidedcosttbl3,ROUNDUP($H30,0),CX$2)-(INDEX(avoidedcosttbl3,ROUNDDOWN($H30,0),CX$2)))))*ADRYr3!$P30*ADRYr3!$Q30*ADRYr3!$U30)</f>
        <v/>
      </c>
      <c r="CY30" s="28" t="str">
        <f t="shared" si="75"/>
        <v/>
      </c>
      <c r="CZ30" s="32" t="str">
        <f t="shared" si="76"/>
        <v/>
      </c>
      <c r="DA30" s="84" t="str">
        <f t="shared" si="77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78"/>
        <v/>
      </c>
      <c r="DD30" s="166" t="str">
        <f t="shared" si="79"/>
        <v/>
      </c>
      <c r="DE30" s="82">
        <f t="shared" si="80"/>
        <v>0</v>
      </c>
      <c r="DF30" s="760" t="str">
        <f>IF($G30="","",(1+WntPeakEnergyLL)*(INDEX(avoidedcosttbl3,$H30,DF$2)+(($H30-ROUNDDOWN($H30,0))*(INDEX(avoidedcosttbl3,ROUNDUP($H30,0),DF$2)-(INDEX(avoidedcosttbl3,ROUNDDOWN($H30,0),DF$2)))))*$P30*1000*ADRYr3!Z30)</f>
        <v/>
      </c>
      <c r="DG30" s="760" t="str">
        <f>IF($G30="","",(1+WntOffPeakEnergyLL)*(INDEX(avoidedcosttbl3,$H30,DG$2)+(($H30-ROUNDDOWN($H30,0))*(INDEX(avoidedcosttbl3,ROUNDUP($H30,0),DG$2)-(INDEX(avoidedcosttbl3,ROUNDDOWN($H30,0),DG$2)))))*$P30*1000*ADRYr3!AA30)</f>
        <v/>
      </c>
      <c r="DH30" s="760" t="str">
        <f>IF($G30="","",(1+SumPeakEnergyLL)*(INDEX(avoidedcosttbl3,$H30,DH$2)+(($H30-ROUNDDOWN($H30,0))*(INDEX(avoidedcosttbl3,ROUNDUP($H30,0),DH$2)-(INDEX(avoidedcosttbl3,ROUNDDOWN($H30,0),DH$2)))))*$P30*1000*ADRYr3!AB30)</f>
        <v/>
      </c>
      <c r="DI30" s="760" t="str">
        <f>IF($G30="","",(1+SumOffPeakEnergyLL)*(INDEX(avoidedcosttbl3,$H30,DI$2)+(($H30-ROUNDDOWN($H30,0))*(INDEX(avoidedcosttbl3,ROUNDUP($H30,0),DI$2)-(INDEX(avoidedcosttbl3,ROUNDDOWN($H30,0),DI$2)))))*$P30*1000*ADRYr3!AC30)</f>
        <v/>
      </c>
      <c r="DJ30" s="29" t="str">
        <f t="shared" si="81"/>
        <v/>
      </c>
      <c r="DK30" s="161" t="str">
        <f t="shared" si="45"/>
        <v/>
      </c>
      <c r="DL30" s="1375" t="str">
        <f t="shared" si="46"/>
        <v/>
      </c>
      <c r="DM30" s="1375" t="str">
        <f t="shared" si="47"/>
        <v/>
      </c>
      <c r="DN30" s="43" t="str">
        <f t="shared" si="48"/>
        <v/>
      </c>
      <c r="DO30" s="1131" t="str">
        <f>IF($G30="","",ADRYr3!AQ30)</f>
        <v/>
      </c>
      <c r="DP30" s="1133" t="str">
        <f>IF($G30="","",ADRYr3!AR30)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49"/>
        <v/>
      </c>
      <c r="DU30" s="1135" t="str">
        <f>IF($G30="","",ADRYr3!AS30)</f>
        <v/>
      </c>
      <c r="DV30" s="1136" t="str">
        <f>IF($G30="","",ADRYr3!AT30)</f>
        <v/>
      </c>
      <c r="DW30" s="1344" t="str">
        <f>IF($G30="","",INDEX(AvoidedEnergy!$H$4:$H$10,MATCH($DO30,AvoidedEnergy!$A$4:$A$10,0)))</f>
        <v/>
      </c>
    </row>
    <row r="31" spans="1:127">
      <c r="A31" s="160" t="str">
        <f>IF(ADRYr3!$B31=0,"",ADRYr3!A31)</f>
        <v>C - Commercial &amp; Industrial</v>
      </c>
      <c r="B31" s="9" t="str">
        <f>IF(ADRYr3!$B31=0,"",ADRYr3!B31)</f>
        <v>C5 - C&amp;I Active Demand Response</v>
      </c>
      <c r="C31" s="9" t="str">
        <f>IF(ADRYr3!$B31=0,"",ADRYr3!C31)</f>
        <v>C5a - C&amp;I Active Demand Response</v>
      </c>
      <c r="D31" s="9" t="str">
        <f>IF(ADRYr3!$B31=0,"",ADRYr3!D31)</f>
        <v>Storage Daily Dispatch Upfront Incentive (savings) Summer</v>
      </c>
      <c r="E31" s="9">
        <f>IF(ADRYr3!$B31=0,"",ADRYr3!E31)</f>
        <v>0</v>
      </c>
      <c r="F31" s="11" t="str">
        <f>IF(ADRYr3!$B31=0,"",ADRYr3!F31)</f>
        <v>Behavior</v>
      </c>
      <c r="G31" s="12" t="str">
        <f>IF(ADRYr3!$G31&lt;&gt;0,ADRYr3!G31,"")</f>
        <v/>
      </c>
      <c r="H31" s="1125" t="str">
        <f>IF($G31="","",ROUND(ADRYr3!H31,0))</f>
        <v/>
      </c>
      <c r="I31" s="47" t="str">
        <f>IF($G31="","",ADRYr3!I31*ADRYr3!P31*G31)</f>
        <v/>
      </c>
      <c r="J31" s="47" t="str">
        <f>IF($G31="","",ADRYr3!J31*G31)</f>
        <v/>
      </c>
      <c r="K31" s="47" t="str">
        <f t="shared" si="50"/>
        <v/>
      </c>
      <c r="L31" s="27" t="str">
        <f>IF($G31="","",ADRYr3!V31*G31/1000)</f>
        <v/>
      </c>
      <c r="M31" s="27" t="str">
        <f>IF($G31="","",L31*ADRYr3!$Q31*ADRYr3!$R31)</f>
        <v/>
      </c>
      <c r="N31" s="27" t="str">
        <f t="shared" si="51"/>
        <v/>
      </c>
      <c r="O31" s="27" t="str">
        <f t="shared" si="52"/>
        <v/>
      </c>
      <c r="P31" s="27" t="str">
        <f>IF($G31="","",M31*ADRYr3!P31)</f>
        <v/>
      </c>
      <c r="Q31" s="27" t="str">
        <f t="shared" si="53"/>
        <v/>
      </c>
      <c r="R31" s="27" t="str">
        <f>IF($G31="","",$Q31*ADRYr3!Z31)</f>
        <v/>
      </c>
      <c r="S31" s="27" t="str">
        <f>IF($G31="","",$Q31*ADRYr3!AA31)</f>
        <v/>
      </c>
      <c r="T31" s="27" t="str">
        <f>IF($G31="","",$Q31*ADRYr3!AB31)</f>
        <v/>
      </c>
      <c r="U31" s="27" t="str">
        <f>IF($G31="","",$Q31*ADRYr3!AC31)</f>
        <v/>
      </c>
      <c r="V31" s="27" t="str">
        <f>IF($G31="","",G31*ADRYr3!$AD31*ADRYr3!$P31*ADRYr3!$Q31)</f>
        <v/>
      </c>
      <c r="W31" s="27" t="str">
        <f>IF($G31="","",$G31*ADRYr3!$AD31*ADRYr3!$AF31*ADRYr3!Q31*ADRYr3!$S31)</f>
        <v/>
      </c>
      <c r="X31" s="27" t="str">
        <f>IF($G31="","",$G31*ADRYr3!$AD31*ADRYr3!$AF31*ADRYr3!P31*ADRYr3!Q31*ADRYr3!$S31)</f>
        <v/>
      </c>
      <c r="Y31" s="27" t="str">
        <f>IF($G31="","",$G31*ADRYr3!$AD31*ADRYr3!$AE31*ADRYr3!Q31*ADRYr3!$T31)</f>
        <v/>
      </c>
      <c r="Z31" s="27" t="str">
        <f>IF($G31="","",$G31*ADRYr3!$AD31*ADRYr3!$AE31*ADRYr3!P31*ADRYr3!Q31*ADRYr3!$T31)</f>
        <v/>
      </c>
      <c r="AA31" s="45" t="str">
        <f>IF($G31="","",$G31*ADRYr3!$Q31*ADRYr3!$U31*(IF(IFERROR(SEARCH("NG", ADRYr3!$AI31),0),ADRYr3!$AJ31,0)+IF(IFERROR(SEARCH("NG", ADRYr3!$AK31),0),ADRYr3!$AL31,0)+IF(IFERROR(SEARCH("NG", ADRYr3!$AM31),0),ADRYr3!$AN31,0)))</f>
        <v/>
      </c>
      <c r="AB31" s="45" t="str">
        <f t="shared" si="54"/>
        <v/>
      </c>
      <c r="AC31" s="45">
        <f>IF($G31="",0,AA31*ADRYr3!$P31)</f>
        <v>0</v>
      </c>
      <c r="AD31" s="45" t="str">
        <f t="shared" si="55"/>
        <v/>
      </c>
      <c r="AE31" s="45" t="str">
        <f>IF($G31="","",$G31*ADRYr3!$Q31*ADRYr3!$U31*(IF(IFERROR(SEARCH("Oil", ADRYr3!$AI31), 0),ADRYr3!$AJ31,0)+IF(IFERROR(SEARCH("Oil", ADRYr3!$AK31), 0),ADRYr3!$AL31,0)+IF(IFERROR(SEARCH("Oil", ADRYr3!$AM31), 0),ADRYr3!$AN31,0)))</f>
        <v/>
      </c>
      <c r="AF31" s="45" t="str">
        <f t="shared" si="56"/>
        <v/>
      </c>
      <c r="AG31" s="45">
        <f>IF($G31="",0,AE31*ADRYr3!$P31)</f>
        <v>0</v>
      </c>
      <c r="AH31" s="45" t="str">
        <f t="shared" si="57"/>
        <v/>
      </c>
      <c r="AI31" s="45" t="str">
        <f>IF($G31="","",$G31*ADRYr3!$Q31*ADRYr3!$U31*(IF(ADRYr3!$AI31=Lookups!$E$114,ADRYr3!$AJ31,IF(ADRYr3!$AK31=Lookups!$E$114,ADRYr3!$AL31,IF(ADRYr3!$AM31=Lookups!$E$114,ADRYr3!$AN31,0)))))</f>
        <v/>
      </c>
      <c r="AJ31" s="45" t="str">
        <f t="shared" si="58"/>
        <v/>
      </c>
      <c r="AK31" s="45">
        <f>IF($G31="",0,AI31*ADRYr3!$P31)</f>
        <v>0</v>
      </c>
      <c r="AL31" s="45" t="str">
        <f t="shared" si="59"/>
        <v/>
      </c>
      <c r="AM31" s="45" t="str">
        <f>IF($G31="","",$G31*ADRYr3!$Q31*ADRYr3!$U31*(IF(ADRYr3!$AI31=Lookups!$E$113,ADRYr3!$AJ31,IF(ADRYr3!$AK31=Lookups!$E$113,ADRYr3!$AL31,IF(ADRYr3!$AM31=Lookups!$E$113,ADRYr3!$AN31,0)))))</f>
        <v/>
      </c>
      <c r="AN31" s="45" t="str">
        <f t="shared" si="60"/>
        <v/>
      </c>
      <c r="AO31" s="45">
        <f>IF($G31="",0,AM31*ADRYr3!$P31)</f>
        <v>0</v>
      </c>
      <c r="AP31" s="45" t="str">
        <f t="shared" si="61"/>
        <v/>
      </c>
      <c r="AQ31" s="45" t="str">
        <f>IF($G31="","",$G31*ADRYr3!$Q31*ADRYr3!$U31*(IF(ADRYr3!$AI31=Lookups!$E$115,ADRYr3!$AJ31,IF(ADRYr3!$AK31=Lookups!$E$115,ADRYr3!$AL31,IF(ADRYr3!$AM31=Lookups!$E$115,ADRYr3!$AN31,0)))))</f>
        <v/>
      </c>
      <c r="AR31" s="45" t="str">
        <f t="shared" si="62"/>
        <v/>
      </c>
      <c r="AS31" s="45" t="str">
        <f>IF($G31="","",AQ31*ADRYr3!$P31)</f>
        <v/>
      </c>
      <c r="AT31" s="45" t="str">
        <f t="shared" si="63"/>
        <v/>
      </c>
      <c r="AU31" s="45" t="str">
        <f>IF($G31="","",$G31*ADRYr3!$Q31*ADRYr3!$U31*(IF(ADRYr3!$AI31=Lookups!$E$116,ADRYr3!$AJ31,IF(ADRYr3!$AK31=Lookups!$E$116,ADRYr3!$AL31,IF(ADRYr3!$AM31=Lookups!$E$116,ADRYr3!$AN31,0)))))</f>
        <v/>
      </c>
      <c r="AV31" s="45" t="str">
        <f t="shared" si="64"/>
        <v/>
      </c>
      <c r="AW31" s="45" t="str">
        <f>IF($G31="","",AU31*ADRYr3!$P31)</f>
        <v/>
      </c>
      <c r="AX31" s="45" t="str">
        <f t="shared" si="65"/>
        <v/>
      </c>
      <c r="AY31" s="45">
        <f t="shared" si="66"/>
        <v>0</v>
      </c>
      <c r="AZ31" s="45">
        <f t="shared" si="67"/>
        <v>0</v>
      </c>
      <c r="BA31" s="101" t="str">
        <f>IF($G31="","",$G31*ADRYr3!$P31*ADRYr3!$Q31*ADRYr3!$U31*ADRYr3!AO31)</f>
        <v/>
      </c>
      <c r="BB31" s="102" t="str">
        <f>IF($G31="","",$G31*ADRYr3!$P31*ADRYr3!$Q31*ADRYr3!$U31*ADRYr3!AP31)</f>
        <v/>
      </c>
      <c r="BC31" s="100" t="str">
        <f t="shared" si="68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31"/>
        <v/>
      </c>
      <c r="BO31" s="31" t="str">
        <f t="shared" si="69"/>
        <v/>
      </c>
      <c r="BP31" s="1129" t="str">
        <f t="shared" si="5"/>
        <v/>
      </c>
      <c r="BQ31" s="28" t="str">
        <f t="shared" si="6"/>
        <v/>
      </c>
      <c r="BR31" s="1129" t="str">
        <f t="shared" si="7"/>
        <v/>
      </c>
      <c r="BS31" s="1129" t="str">
        <f t="shared" si="8"/>
        <v/>
      </c>
      <c r="BT31" s="28" t="str">
        <f t="shared" si="82"/>
        <v/>
      </c>
      <c r="BU31" s="28" t="str">
        <f t="shared" si="82"/>
        <v/>
      </c>
      <c r="BV31" s="28" t="str">
        <f t="shared" si="82"/>
        <v/>
      </c>
      <c r="BW31" s="29" t="str">
        <f t="shared" si="70"/>
        <v/>
      </c>
      <c r="BX31" s="29" t="str">
        <f t="shared" si="71"/>
        <v/>
      </c>
      <c r="BY31" s="28" t="str">
        <f>IF($G31="","",$G31*(IF(ADRYr3!$AI31=BY$4,ADRYr3!$AJ31,IF(ADRYr3!$AK31=BY$4,ADRYr3!$AL31,IF(ADRYr3!$AM31=BY$4,ADRYr3!$AN31,0))))*(INDEX(avoidedcosttbl3,$H31,BY$2)+(($H31-ROUNDDOWN($H31,0))*(INDEX(avoidedcosttbl3,ROUNDUP($H31,0),BY$2)-(INDEX(avoidedcosttbl3,ROUNDDOWN($H31,0),BY$2)))))*ADRYr3!P31*ADRYr3!Q31*ADRYr3!U31)</f>
        <v/>
      </c>
      <c r="BZ31" s="28" t="str">
        <f>IF($G31="","",$G31*(IF(ADRYr3!$AI31=BZ$4,ADRYr3!$AJ31,IF(ADRYr3!$AK31=BZ$4,ADRYr3!$AL31,IF(ADRYr3!$AM31=BZ$4,ADRYr3!$AN31,0))))*(INDEX(avoidedcosttbl3,$H31,BZ$2)+(($H31-ROUNDDOWN($H31,0))*(INDEX(avoidedcosttbl3,ROUNDUP($H31,0),BZ$2)-(INDEX(avoidedcosttbl3,ROUNDDOWN($H31,0),BZ$2)))))*ADRYr3!P31*ADRYr3!Q31*ADRYr3!U31)</f>
        <v/>
      </c>
      <c r="CA31" s="28" t="str">
        <f>IF($G31="","",$G31*(IF(ADRYr3!$AI31=CA$4,ADRYr3!$AJ31,IF(ADRYr3!$AK31=CA$4,ADRYr3!$AL31,IF(ADRYr3!$AM31=CA$4,ADRYr3!$AN31,0))))*(INDEX(avoidedcosttbl3,$H31,CA$2)+(($H31-ROUNDDOWN($H31,0))*(INDEX(avoidedcosttbl3,ROUNDUP($H31,0),CA$2)-(INDEX(avoidedcosttbl3,ROUNDDOWN($H31,0),CA$2)))))*ADRYr3!P31*ADRYr3!Q31*ADRYr3!U31)</f>
        <v/>
      </c>
      <c r="CB31" s="28" t="str">
        <f>IF($G31="","",$G31*(IF(ADRYr3!$AI31=CB$4,ADRYr3!$AJ31,IF(ADRYr3!$AK31=CB$4,ADRYr3!$AL31,IF(ADRYr3!$AM31=CB$4,ADRYr3!$AN31,0))))*(INDEX(avoidedcosttbl3,$H31,CB$2)+(($H31-ROUNDDOWN($H31,0))*(INDEX(avoidedcosttbl3,ROUNDUP($H31,0),CB$2)-(INDEX(avoidedcosttbl3,ROUNDDOWN($H31,0),CB$2)))))*ADRYr3!P31*ADRYr3!Q31*ADRYr3!U31)</f>
        <v/>
      </c>
      <c r="CC31" s="28" t="str">
        <f>IF($G31="","",$G31*(IF(ADRYr3!$AI31=CC$4,ADRYr3!$AJ31,IF(ADRYr3!$AK31=CC$4,ADRYr3!$AL31,IF(ADRYr3!$AM31=CC$4,ADRYr3!$AN31,0))))*(INDEX(avoidedcosttbl3,$H31,CC$2)+(($H31-ROUNDDOWN($H31,0))*(INDEX(avoidedcosttbl3,ROUNDUP($H31,0),CC$2)-(INDEX(avoidedcosttbl3,ROUNDDOWN($H31,0),CC$2)))))*ADRYr3!P31*ADRYr3!Q31*ADRYr3!U31)</f>
        <v/>
      </c>
      <c r="CD31" s="28" t="str">
        <f>IF($G31="","",$G31*(IF(ADRYr3!$AI31=CD$4,ADRYr3!$AJ31,IF(ADRYr3!$AK31=CD$4,ADRYr3!$AL31,IF(ADRYr3!$AM31=CD$4,ADRYr3!$AN31,0))))*(INDEX(avoidedcosttbl3,$H31,CD$2)+(($H31-ROUNDDOWN($H31,0))*(INDEX(avoidedcosttbl3,ROUNDUP($H31,0),CD$2)-(INDEX(avoidedcosttbl3,ROUNDDOWN($H31,0),CD$2)))))*ADRYr3!P31*ADRYr3!Q31*ADRYr3!U31)</f>
        <v/>
      </c>
      <c r="CE31" s="28" t="str">
        <f>IF($G31="","",$G31*(IF(ADRYr3!$AI31=CE$4,ADRYr3!$AJ31,IF(ADRYr3!$AK31=CE$4,ADRYr3!$AL31,IF(ADRYr3!$AM31=CE$4,ADRYr3!$AN31,0))))*(INDEX(avoidedcosttbl3,$H31,CE$2)+(($H31-ROUNDDOWN($H31,0))*(INDEX(avoidedcosttbl3,ROUNDUP($H31,0),CE$2)-(INDEX(avoidedcosttbl3,ROUNDDOWN($H31,0),CE$2)))))*ADRYr3!P31*ADRYr3!Q31*ADRYr3!U31)</f>
        <v/>
      </c>
      <c r="CF31" s="41" t="str">
        <f t="shared" si="72"/>
        <v/>
      </c>
      <c r="CG31" s="30" t="str">
        <f t="shared" si="10"/>
        <v/>
      </c>
      <c r="CH31" s="30" t="str">
        <f>IF($G31="","",$G31*(IF(ADRYr3!$AI31=BY$4,ADRYr3!$AJ31,IF(ADRYr3!$AK31=BY$4,ADRYr3!$AL31,IF(ADRYr3!$AM31=BY$4,ADRYr3!$AN31,0))))*(INDEX(avoidedcosttbl3,$H31,CH$2)+(($H31-ROUNDDOWN($H31,0))*(INDEX(avoidedcosttbl3,ROUNDUP($H31,0),CH$2)-(INDEX(avoidedcosttbl3,ROUNDDOWN($H31,0),CH$2)))))*ADRYr3!P31*ADRYr3!Q31*ADRYr3!U31)</f>
        <v/>
      </c>
      <c r="CI31" s="30" t="str">
        <f>IF($G31="","",$G31*(IF(ADRYr3!$AI31=BZ$4,ADRYr3!$AJ31,IF(ADRYr3!$AK31=BZ$4,ADRYr3!$AL31,IF(ADRYr3!$AM31=BZ$4,ADRYr3!$AN31,0))))*(INDEX(avoidedcosttbl3,$H31,CI$2)+(($H31-ROUNDDOWN($H31,0))*(INDEX(avoidedcosttbl3,ROUNDUP($H31,0),CI$2)-(INDEX(avoidedcosttbl3,ROUNDDOWN($H31,0),CI$2)))))*ADRYr3!P31*ADRYr3!Q31*ADRYr3!U31)</f>
        <v/>
      </c>
      <c r="CJ31" s="30" t="str">
        <f>IF($G31="","",$G31*(IF(ADRYr3!$AI31=CA$4,ADRYr3!$AJ31,IF(ADRYr3!$AK31=CA$4,ADRYr3!$AL31,IF(ADRYr3!$AM31=CA$4,ADRYr3!$AN31,0))))*(INDEX(avoidedcosttbl3,$H31,CJ$2)+(($H31-ROUNDDOWN($H31,0))*(INDEX(avoidedcosttbl3,ROUNDUP($H31,0),CJ$2)-(INDEX(avoidedcosttbl3,ROUNDDOWN($H31,0),CJ$2)))))*ADRYr3!P31*ADRYr3!Q31*ADRYr3!U31)</f>
        <v/>
      </c>
      <c r="CK31" s="30" t="str">
        <f>IF($G31="","",$G31*(IF(ADRYr3!$AI31=CB$4,ADRYr3!$AJ31,IF(ADRYr3!$AK31=CB$4,ADRYr3!$AL31,IF(ADRYr3!$AM31=CB$4,ADRYr3!$AN31,0))))*(INDEX(avoidedcosttbl3,$H31,CK$2)+(($H31-ROUNDDOWN($H31,0))*(INDEX(avoidedcosttbl3,ROUNDUP($H31,0),CK$2)-(INDEX(avoidedcosttbl3,ROUNDDOWN($H31,0),CK$2)))))*ADRYr3!P31*ADRYr3!Q31*ADRYr3!U31)</f>
        <v/>
      </c>
      <c r="CL31" s="30" t="str">
        <f>IF($G31="","",$G31*(IF(ADRYr3!$AI31=CC$4,ADRYr3!$AJ31,IF(ADRYr3!$AK31=CC$4,ADRYr3!$AL31,IF(ADRYr3!$AM31=CC$4,ADRYr3!$AN31,0))))*(INDEX(avoidedcosttbl3,$H31,CL$2)+(($H31-ROUNDDOWN($H31,0))*(INDEX(avoidedcosttbl3,ROUNDUP($H31,0),CL$2)-(INDEX(avoidedcosttbl3,ROUNDDOWN($H31,0),CL$2)))))*ADRYr3!P31*ADRYr3!Q31*ADRYr3!U31)</f>
        <v/>
      </c>
      <c r="CM31" s="30" t="str">
        <f>IF($G31="","",$G31*(IF(ADRYr3!$AI31=CD$4,ADRYr3!$AJ31,IF(ADRYr3!$AK31=CD$4,ADRYr3!$AL31,IF(ADRYr3!$AM31=CD$4,ADRYr3!$AN31,0))))*(INDEX(avoidedcosttbl3,$H31,CM$2)+(($H31-ROUNDDOWN($H31,0))*(INDEX(avoidedcosttbl3,ROUNDUP($H31,0),CM$2)-(INDEX(avoidedcosttbl3,ROUNDDOWN($H31,0),CM$2)))))*ADRYr3!P31*ADRYr3!Q31*ADRYr3!U31)</f>
        <v/>
      </c>
      <c r="CN31" s="30" t="str">
        <f>IF($G31="","",$G31*(IF(ADRYr3!$AI31=CE$4,ADRYr3!$AJ31,IF(ADRYr3!$AK31=CE$4,ADRYr3!$AL31,IF(ADRYr3!$AM31=CE$4,ADRYr3!$AN31,0))))*(INDEX(avoidedcosttbl3,$H31,CN$2)+(($H31-ROUNDDOWN($H31,0))*(INDEX(avoidedcosttbl3,ROUNDUP($H31,0),CN$2)-(INDEX(avoidedcosttbl3,ROUNDDOWN($H31,0),CN$2)))))*ADRYr3!P31*ADRYr3!Q31*ADRYr3!U31)</f>
        <v/>
      </c>
      <c r="CO31" s="220" t="str">
        <f t="shared" si="73"/>
        <v/>
      </c>
      <c r="CP31" s="220" t="str">
        <f t="shared" si="74"/>
        <v/>
      </c>
      <c r="CQ31" s="157" t="str">
        <f>IF($G31="","",$G31*(IF(ADRYr3!$AI31=CQ$4,ADRYr3!$AJ31,IF(ADRYr3!$AK31=CQ$4,ADRYr3!$AL31,IF(ADRYr3!$AM31=CQ$4,ADRYr3!$AN31,0))))*(INDEX(avoidedcosttbl3,$H31,CQ$2)+(($H31-ROUNDDOWN($H31,0))*(INDEX(avoidedcosttbl3,ROUNDUP($H31,0),CQ$2)-(INDEX(avoidedcosttbl3,ROUNDDOWN($H31,0),CQ$2)))))*ADRYr3!$P31*ADRYr3!$Q31*ADRYr3!$U31)</f>
        <v/>
      </c>
      <c r="CR31" s="28" t="str">
        <f>IF($G31="","",G31*(IF(ADRYr3!$AI31=CR$4,ADRYr3!$AJ31,IF(ADRYr3!$AK31=CR$4,ADRYr3!$AL31,IF(ADRYr3!$AM31=CR$4,ADRYr3!$AN31,0))))*(INDEX(avoidedcosttbl3,$H31,CR$2)+(($H31-ROUNDDOWN($H31,0))*(INDEX(avoidedcosttbl3,ROUNDUP($H31,0),CR$2)-(INDEX(avoidedcosttbl3,ROUNDDOWN($H31,0),CR$2)))))*ADRYr3!$P31*ADRYr3!$Q31*ADRYr3!$U31)</f>
        <v/>
      </c>
      <c r="CS31" s="28" t="str">
        <f>IF($G31="","",G31*(IF(ADRYr3!$AI31=CS$4,ADRYr3!$AJ31,IF(ADRYr3!$AK31=CS$4,ADRYr3!$AL31,IF(ADRYr3!$AM31=CS$4,ADRYr3!$AN31,0))))*(INDEX(avoidedcosttbl3,$H31,CS$2)+(($H31-ROUNDDOWN($H31,0))*(INDEX(avoidedcosttbl3,ROUNDUP($H31,0),CS$2)-(INDEX(avoidedcosttbl3,ROUNDDOWN($H31,0),CS$2)))))*ADRYr3!$P31*ADRYr3!$Q31*ADRYr3!$U31)</f>
        <v/>
      </c>
      <c r="CT31" s="28" t="str">
        <f t="shared" si="11"/>
        <v/>
      </c>
      <c r="CU31" s="28" t="str">
        <f>IF($G31="","",G31*(IF(ADRYr3!$AI31=CU$4,ADRYr3!$AJ31,IF(ADRYr3!$AK31=CU$4,ADRYr3!$AL31,IF(ADRYr3!$AM31=CU$4,ADRYr3!$AN31,0))))*(INDEX(avoidedcosttbl3,$H31,CU$2)+(($H31-ROUNDDOWN($H31,0))*(INDEX(avoidedcosttbl3,ROUNDUP($H31,0),CU$2)-(INDEX(avoidedcosttbl3,ROUNDDOWN($H31,0),CU$2)))))*ADRYr3!$P31*ADRYr3!$Q31*ADRYr3!$U31)</f>
        <v/>
      </c>
      <c r="CV31" s="28" t="str">
        <f>IF($G31="","",G31*(IF(ADRYr3!$AI31=CV$4,ADRYr3!$AJ31,IF(ADRYr3!$AK31=CV$4,ADRYr3!$AL31,IF(ADRYr3!$AM31=CV$4,ADRYr3!$AN31,0))))*(INDEX(avoidedcosttbl3,$H31,CV$2)+(($H31-ROUNDDOWN($H31,0))*(INDEX(avoidedcosttbl3,ROUNDUP($H31,0),CV$2)-(INDEX(avoidedcosttbl3,ROUNDDOWN($H31,0),CV$2)))))*ADRYr3!$P31*ADRYr3!$Q31*ADRYr3!$U31)</f>
        <v/>
      </c>
      <c r="CW31" s="28" t="str">
        <f>IF($G31="","",G31*(IF(ADRYr3!$AI31=CW$4,ADRYr3!$AJ31,IF(ADRYr3!$AK31=CW$4,ADRYr3!$AL31,IF(ADRYr3!$AM31=CW$4,ADRYr3!$AN31,0))))*(INDEX(avoidedcosttbl3,$H31,CW$2)+(($H31-ROUNDDOWN($H31,0))*(INDEX(avoidedcosttbl3,ROUNDUP($H31,0),CW$2)-(INDEX(avoidedcosttbl3,ROUNDDOWN($H31,0),CW$2)))))*ADRYr3!$P31*ADRYr3!$Q31*ADRYr3!$U31)</f>
        <v/>
      </c>
      <c r="CX31" s="28" t="str">
        <f>IF($G31="","",G31*(IF(ADRYr3!$AI31=CX$4,ADRYr3!$AJ31,IF(ADRYr3!$AK31=CX$4,ADRYr3!$AL31,IF(ADRYr3!$AM31=CX$4,ADRYr3!$AN31,0))))*(INDEX(avoidedcosttbl3,$H31,CX$2)+(($H31-ROUNDDOWN($H31,0))*(INDEX(avoidedcosttbl3,ROUNDUP($H31,0),CX$2)-(INDEX(avoidedcosttbl3,ROUNDDOWN($H31,0),CX$2)))))*ADRYr3!$P31*ADRYr3!$Q31*ADRYr3!$U31)</f>
        <v/>
      </c>
      <c r="CY31" s="28" t="str">
        <f t="shared" si="75"/>
        <v/>
      </c>
      <c r="CZ31" s="32" t="str">
        <f t="shared" si="76"/>
        <v/>
      </c>
      <c r="DA31" s="84" t="str">
        <f t="shared" si="77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78"/>
        <v/>
      </c>
      <c r="DD31" s="166" t="str">
        <f t="shared" si="79"/>
        <v/>
      </c>
      <c r="DE31" s="82">
        <f t="shared" si="80"/>
        <v>0</v>
      </c>
      <c r="DF31" s="760" t="str">
        <f>IF($G31="","",(1+WntPeakEnergyLL)*(INDEX(avoidedcosttbl3,$H31,DF$2)+(($H31-ROUNDDOWN($H31,0))*(INDEX(avoidedcosttbl3,ROUNDUP($H31,0),DF$2)-(INDEX(avoidedcosttbl3,ROUNDDOWN($H31,0),DF$2)))))*$P31*1000*ADRYr3!Z31)</f>
        <v/>
      </c>
      <c r="DG31" s="760" t="str">
        <f>IF($G31="","",(1+WntOffPeakEnergyLL)*(INDEX(avoidedcosttbl3,$H31,DG$2)+(($H31-ROUNDDOWN($H31,0))*(INDEX(avoidedcosttbl3,ROUNDUP($H31,0),DG$2)-(INDEX(avoidedcosttbl3,ROUNDDOWN($H31,0),DG$2)))))*$P31*1000*ADRYr3!AA31)</f>
        <v/>
      </c>
      <c r="DH31" s="760" t="str">
        <f>IF($G31="","",(1+SumPeakEnergyLL)*(INDEX(avoidedcosttbl3,$H31,DH$2)+(($H31-ROUNDDOWN($H31,0))*(INDEX(avoidedcosttbl3,ROUNDUP($H31,0),DH$2)-(INDEX(avoidedcosttbl3,ROUNDDOWN($H31,0),DH$2)))))*$P31*1000*ADRYr3!AB31)</f>
        <v/>
      </c>
      <c r="DI31" s="760" t="str">
        <f>IF($G31="","",(1+SumOffPeakEnergyLL)*(INDEX(avoidedcosttbl3,$H31,DI$2)+(($H31-ROUNDDOWN($H31,0))*(INDEX(avoidedcosttbl3,ROUNDUP($H31,0),DI$2)-(INDEX(avoidedcosttbl3,ROUNDDOWN($H31,0),DI$2)))))*$P31*1000*ADRYr3!AC31)</f>
        <v/>
      </c>
      <c r="DJ31" s="29" t="str">
        <f t="shared" si="81"/>
        <v/>
      </c>
      <c r="DK31" s="161" t="str">
        <f t="shared" si="45"/>
        <v/>
      </c>
      <c r="DL31" s="1375" t="str">
        <f t="shared" si="46"/>
        <v/>
      </c>
      <c r="DM31" s="1375" t="str">
        <f t="shared" si="47"/>
        <v/>
      </c>
      <c r="DN31" s="43" t="str">
        <f t="shared" si="48"/>
        <v/>
      </c>
      <c r="DO31" s="1131" t="str">
        <f>IF($G31="","",ADRYr3!AQ31)</f>
        <v/>
      </c>
      <c r="DP31" s="1133" t="str">
        <f>IF($G31="","",ADRYr3!AR31)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49"/>
        <v/>
      </c>
      <c r="DU31" s="1135" t="str">
        <f>IF($G31="","",ADRYr3!AS31)</f>
        <v/>
      </c>
      <c r="DV31" s="1136" t="str">
        <f>IF($G31="","",ADRYr3!AT31)</f>
        <v/>
      </c>
      <c r="DW31" s="1344" t="str">
        <f>IF($G31="","",INDEX(AvoidedEnergy!$H$4:$H$10,MATCH($DO31,AvoidedEnergy!$A$4:$A$10,0)))</f>
        <v/>
      </c>
    </row>
    <row r="32" spans="1:127">
      <c r="A32" s="160" t="str">
        <f>IF(ADRYr3!$B32=0,"",ADRYr3!A32)</f>
        <v>C - Commercial &amp; Industrial</v>
      </c>
      <c r="B32" s="9" t="str">
        <f>IF(ADRYr3!$B32=0,"",ADRYr3!B32)</f>
        <v>C5 - C&amp;I Active Demand Response</v>
      </c>
      <c r="C32" s="9" t="str">
        <f>IF(ADRYr3!$B32=0,"",ADRYr3!C32)</f>
        <v>C5a - C&amp;I Active Demand Response</v>
      </c>
      <c r="D32" s="9" t="str">
        <f>IF(ADRYr3!$B32=0,"",ADRYr3!D32)</f>
        <v>Storage Daily Dispatch Upfront Incentive (consumption) Summer</v>
      </c>
      <c r="E32" s="9">
        <f>IF(ADRYr3!$B32=0,"",ADRYr3!E32)</f>
        <v>0</v>
      </c>
      <c r="F32" s="11" t="str">
        <f>IF(ADRYr3!$B32=0,"",ADRYr3!F32)</f>
        <v>Behavior</v>
      </c>
      <c r="G32" s="12" t="str">
        <f>IF(ADRYr3!$G32&lt;&gt;0,ADRYr3!G32,"")</f>
        <v/>
      </c>
      <c r="H32" s="1125" t="str">
        <f>IF($G32="","",ROUND(ADRYr3!H32,0))</f>
        <v/>
      </c>
      <c r="I32" s="47" t="str">
        <f>IF($G32="","",ADRYr3!I32*ADRYr3!P32*G32)</f>
        <v/>
      </c>
      <c r="J32" s="47" t="str">
        <f>IF($G32="","",ADRYr3!J32*G32)</f>
        <v/>
      </c>
      <c r="K32" s="47" t="str">
        <f t="shared" si="50"/>
        <v/>
      </c>
      <c r="L32" s="27" t="str">
        <f>IF($G32="","",ADRYr3!V32*G32/1000)</f>
        <v/>
      </c>
      <c r="M32" s="27" t="str">
        <f>IF($G32="","",L32*ADRYr3!$Q32*ADRYr3!$R32)</f>
        <v/>
      </c>
      <c r="N32" s="27" t="str">
        <f t="shared" si="51"/>
        <v/>
      </c>
      <c r="O32" s="27" t="str">
        <f t="shared" si="52"/>
        <v/>
      </c>
      <c r="P32" s="27" t="str">
        <f>IF($G32="","",M32*ADRYr3!P32)</f>
        <v/>
      </c>
      <c r="Q32" s="27" t="str">
        <f t="shared" si="53"/>
        <v/>
      </c>
      <c r="R32" s="27" t="str">
        <f>IF($G32="","",$Q32*ADRYr3!Z32)</f>
        <v/>
      </c>
      <c r="S32" s="27" t="str">
        <f>IF($G32="","",$Q32*ADRYr3!AA32)</f>
        <v/>
      </c>
      <c r="T32" s="27" t="str">
        <f>IF($G32="","",$Q32*ADRYr3!AB32)</f>
        <v/>
      </c>
      <c r="U32" s="27" t="str">
        <f>IF($G32="","",$Q32*ADRYr3!AC32)</f>
        <v/>
      </c>
      <c r="V32" s="27" t="str">
        <f>IF($G32="","",G32*ADRYr3!$AD32*ADRYr3!$P32*ADRYr3!$Q32)</f>
        <v/>
      </c>
      <c r="W32" s="27" t="str">
        <f>IF($G32="","",$G32*ADRYr3!$AD32*ADRYr3!$AF32*ADRYr3!Q32*ADRYr3!$S32)</f>
        <v/>
      </c>
      <c r="X32" s="27" t="str">
        <f>IF($G32="","",$G32*ADRYr3!$AD32*ADRYr3!$AF32*ADRYr3!P32*ADRYr3!Q32*ADRYr3!$S32)</f>
        <v/>
      </c>
      <c r="Y32" s="27" t="str">
        <f>IF($G32="","",$G32*ADRYr3!$AD32*ADRYr3!$AE32*ADRYr3!Q32*ADRYr3!$T32)</f>
        <v/>
      </c>
      <c r="Z32" s="27" t="str">
        <f>IF($G32="","",$G32*ADRYr3!$AD32*ADRYr3!$AE32*ADRYr3!P32*ADRYr3!Q32*ADRYr3!$T32)</f>
        <v/>
      </c>
      <c r="AA32" s="45" t="str">
        <f>IF($G32="","",$G32*ADRYr3!$Q32*ADRYr3!$U32*(IF(IFERROR(SEARCH("NG", ADRYr3!$AI32),0),ADRYr3!$AJ32,0)+IF(IFERROR(SEARCH("NG", ADRYr3!$AK32),0),ADRYr3!$AL32,0)+IF(IFERROR(SEARCH("NG", ADRYr3!$AM32),0),ADRYr3!$AN32,0)))</f>
        <v/>
      </c>
      <c r="AB32" s="45" t="str">
        <f t="shared" si="54"/>
        <v/>
      </c>
      <c r="AC32" s="45">
        <f>IF($G32="",0,AA32*ADRYr3!$P32)</f>
        <v>0</v>
      </c>
      <c r="AD32" s="45" t="str">
        <f t="shared" si="55"/>
        <v/>
      </c>
      <c r="AE32" s="45" t="str">
        <f>IF($G32="","",$G32*ADRYr3!$Q32*ADRYr3!$U32*(IF(IFERROR(SEARCH("Oil", ADRYr3!$AI32), 0),ADRYr3!$AJ32,0)+IF(IFERROR(SEARCH("Oil", ADRYr3!$AK32), 0),ADRYr3!$AL32,0)+IF(IFERROR(SEARCH("Oil", ADRYr3!$AM32), 0),ADRYr3!$AN32,0)))</f>
        <v/>
      </c>
      <c r="AF32" s="45" t="str">
        <f t="shared" si="56"/>
        <v/>
      </c>
      <c r="AG32" s="45">
        <f>IF($G32="",0,AE32*ADRYr3!$P32)</f>
        <v>0</v>
      </c>
      <c r="AH32" s="45" t="str">
        <f t="shared" si="57"/>
        <v/>
      </c>
      <c r="AI32" s="45" t="str">
        <f>IF($G32="","",$G32*ADRYr3!$Q32*ADRYr3!$U32*(IF(ADRYr3!$AI32=Lookups!$E$114,ADRYr3!$AJ32,IF(ADRYr3!$AK32=Lookups!$E$114,ADRYr3!$AL32,IF(ADRYr3!$AM32=Lookups!$E$114,ADRYr3!$AN32,0)))))</f>
        <v/>
      </c>
      <c r="AJ32" s="45" t="str">
        <f t="shared" si="58"/>
        <v/>
      </c>
      <c r="AK32" s="45">
        <f>IF($G32="",0,AI32*ADRYr3!$P32)</f>
        <v>0</v>
      </c>
      <c r="AL32" s="45" t="str">
        <f t="shared" si="59"/>
        <v/>
      </c>
      <c r="AM32" s="45" t="str">
        <f>IF($G32="","",$G32*ADRYr3!$Q32*ADRYr3!$U32*(IF(ADRYr3!$AI32=Lookups!$E$113,ADRYr3!$AJ32,IF(ADRYr3!$AK32=Lookups!$E$113,ADRYr3!$AL32,IF(ADRYr3!$AM32=Lookups!$E$113,ADRYr3!$AN32,0)))))</f>
        <v/>
      </c>
      <c r="AN32" s="45" t="str">
        <f t="shared" si="60"/>
        <v/>
      </c>
      <c r="AO32" s="45">
        <f>IF($G32="",0,AM32*ADRYr3!$P32)</f>
        <v>0</v>
      </c>
      <c r="AP32" s="45" t="str">
        <f t="shared" si="61"/>
        <v/>
      </c>
      <c r="AQ32" s="45" t="str">
        <f>IF($G32="","",$G32*ADRYr3!$Q32*ADRYr3!$U32*(IF(ADRYr3!$AI32=Lookups!$E$115,ADRYr3!$AJ32,IF(ADRYr3!$AK32=Lookups!$E$115,ADRYr3!$AL32,IF(ADRYr3!$AM32=Lookups!$E$115,ADRYr3!$AN32,0)))))</f>
        <v/>
      </c>
      <c r="AR32" s="45" t="str">
        <f t="shared" si="62"/>
        <v/>
      </c>
      <c r="AS32" s="45" t="str">
        <f>IF($G32="","",AQ32*ADRYr3!$P32)</f>
        <v/>
      </c>
      <c r="AT32" s="45" t="str">
        <f t="shared" si="63"/>
        <v/>
      </c>
      <c r="AU32" s="45" t="str">
        <f>IF($G32="","",$G32*ADRYr3!$Q32*ADRYr3!$U32*(IF(ADRYr3!$AI32=Lookups!$E$116,ADRYr3!$AJ32,IF(ADRYr3!$AK32=Lookups!$E$116,ADRYr3!$AL32,IF(ADRYr3!$AM32=Lookups!$E$116,ADRYr3!$AN32,0)))))</f>
        <v/>
      </c>
      <c r="AV32" s="45" t="str">
        <f t="shared" si="64"/>
        <v/>
      </c>
      <c r="AW32" s="45" t="str">
        <f>IF($G32="","",AU32*ADRYr3!$P32)</f>
        <v/>
      </c>
      <c r="AX32" s="45" t="str">
        <f t="shared" si="65"/>
        <v/>
      </c>
      <c r="AY32" s="45">
        <f t="shared" si="66"/>
        <v>0</v>
      </c>
      <c r="AZ32" s="45">
        <f t="shared" si="67"/>
        <v>0</v>
      </c>
      <c r="BA32" s="101" t="str">
        <f>IF($G32="","",$G32*ADRYr3!$P32*ADRYr3!$Q32*ADRYr3!$U32*ADRYr3!AO32)</f>
        <v/>
      </c>
      <c r="BB32" s="102" t="str">
        <f>IF($G32="","",$G32*ADRYr3!$P32*ADRYr3!$Q32*ADRYr3!$U32*ADRYr3!AP32)</f>
        <v/>
      </c>
      <c r="BC32" s="100" t="str">
        <f t="shared" si="68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31"/>
        <v/>
      </c>
      <c r="BO32" s="31" t="str">
        <f t="shared" si="69"/>
        <v/>
      </c>
      <c r="BP32" s="1129" t="str">
        <f t="shared" si="5"/>
        <v/>
      </c>
      <c r="BQ32" s="28" t="str">
        <f t="shared" si="6"/>
        <v/>
      </c>
      <c r="BR32" s="1129" t="str">
        <f t="shared" si="7"/>
        <v/>
      </c>
      <c r="BS32" s="1129" t="str">
        <f t="shared" si="8"/>
        <v/>
      </c>
      <c r="BT32" s="28" t="str">
        <f t="shared" si="82"/>
        <v/>
      </c>
      <c r="BU32" s="28" t="str">
        <f t="shared" si="82"/>
        <v/>
      </c>
      <c r="BV32" s="28" t="str">
        <f t="shared" si="82"/>
        <v/>
      </c>
      <c r="BW32" s="29" t="str">
        <f t="shared" si="70"/>
        <v/>
      </c>
      <c r="BX32" s="29" t="str">
        <f t="shared" si="71"/>
        <v/>
      </c>
      <c r="BY32" s="28" t="str">
        <f>IF($G32="","",$G32*(IF(ADRYr3!$AI32=BY$4,ADRYr3!$AJ32,IF(ADRYr3!$AK32=BY$4,ADRYr3!$AL32,IF(ADRYr3!$AM32=BY$4,ADRYr3!$AN32,0))))*(INDEX(avoidedcosttbl3,$H32,BY$2)+(($H32-ROUNDDOWN($H32,0))*(INDEX(avoidedcosttbl3,ROUNDUP($H32,0),BY$2)-(INDEX(avoidedcosttbl3,ROUNDDOWN($H32,0),BY$2)))))*ADRYr3!P32*ADRYr3!Q32*ADRYr3!U32)</f>
        <v/>
      </c>
      <c r="BZ32" s="28" t="str">
        <f>IF($G32="","",$G32*(IF(ADRYr3!$AI32=BZ$4,ADRYr3!$AJ32,IF(ADRYr3!$AK32=BZ$4,ADRYr3!$AL32,IF(ADRYr3!$AM32=BZ$4,ADRYr3!$AN32,0))))*(INDEX(avoidedcosttbl3,$H32,BZ$2)+(($H32-ROUNDDOWN($H32,0))*(INDEX(avoidedcosttbl3,ROUNDUP($H32,0),BZ$2)-(INDEX(avoidedcosttbl3,ROUNDDOWN($H32,0),BZ$2)))))*ADRYr3!P32*ADRYr3!Q32*ADRYr3!U32)</f>
        <v/>
      </c>
      <c r="CA32" s="28" t="str">
        <f>IF($G32="","",$G32*(IF(ADRYr3!$AI32=CA$4,ADRYr3!$AJ32,IF(ADRYr3!$AK32=CA$4,ADRYr3!$AL32,IF(ADRYr3!$AM32=CA$4,ADRYr3!$AN32,0))))*(INDEX(avoidedcosttbl3,$H32,CA$2)+(($H32-ROUNDDOWN($H32,0))*(INDEX(avoidedcosttbl3,ROUNDUP($H32,0),CA$2)-(INDEX(avoidedcosttbl3,ROUNDDOWN($H32,0),CA$2)))))*ADRYr3!P32*ADRYr3!Q32*ADRYr3!U32)</f>
        <v/>
      </c>
      <c r="CB32" s="28" t="str">
        <f>IF($G32="","",$G32*(IF(ADRYr3!$AI32=CB$4,ADRYr3!$AJ32,IF(ADRYr3!$AK32=CB$4,ADRYr3!$AL32,IF(ADRYr3!$AM32=CB$4,ADRYr3!$AN32,0))))*(INDEX(avoidedcosttbl3,$H32,CB$2)+(($H32-ROUNDDOWN($H32,0))*(INDEX(avoidedcosttbl3,ROUNDUP($H32,0),CB$2)-(INDEX(avoidedcosttbl3,ROUNDDOWN($H32,0),CB$2)))))*ADRYr3!P32*ADRYr3!Q32*ADRYr3!U32)</f>
        <v/>
      </c>
      <c r="CC32" s="28" t="str">
        <f>IF($G32="","",$G32*(IF(ADRYr3!$AI32=CC$4,ADRYr3!$AJ32,IF(ADRYr3!$AK32=CC$4,ADRYr3!$AL32,IF(ADRYr3!$AM32=CC$4,ADRYr3!$AN32,0))))*(INDEX(avoidedcosttbl3,$H32,CC$2)+(($H32-ROUNDDOWN($H32,0))*(INDEX(avoidedcosttbl3,ROUNDUP($H32,0),CC$2)-(INDEX(avoidedcosttbl3,ROUNDDOWN($H32,0),CC$2)))))*ADRYr3!P32*ADRYr3!Q32*ADRYr3!U32)</f>
        <v/>
      </c>
      <c r="CD32" s="28" t="str">
        <f>IF($G32="","",$G32*(IF(ADRYr3!$AI32=CD$4,ADRYr3!$AJ32,IF(ADRYr3!$AK32=CD$4,ADRYr3!$AL32,IF(ADRYr3!$AM32=CD$4,ADRYr3!$AN32,0))))*(INDEX(avoidedcosttbl3,$H32,CD$2)+(($H32-ROUNDDOWN($H32,0))*(INDEX(avoidedcosttbl3,ROUNDUP($H32,0),CD$2)-(INDEX(avoidedcosttbl3,ROUNDDOWN($H32,0),CD$2)))))*ADRYr3!P32*ADRYr3!Q32*ADRYr3!U32)</f>
        <v/>
      </c>
      <c r="CE32" s="28" t="str">
        <f>IF($G32="","",$G32*(IF(ADRYr3!$AI32=CE$4,ADRYr3!$AJ32,IF(ADRYr3!$AK32=CE$4,ADRYr3!$AL32,IF(ADRYr3!$AM32=CE$4,ADRYr3!$AN32,0))))*(INDEX(avoidedcosttbl3,$H32,CE$2)+(($H32-ROUNDDOWN($H32,0))*(INDEX(avoidedcosttbl3,ROUNDUP($H32,0),CE$2)-(INDEX(avoidedcosttbl3,ROUNDDOWN($H32,0),CE$2)))))*ADRYr3!P32*ADRYr3!Q32*ADRYr3!U32)</f>
        <v/>
      </c>
      <c r="CF32" s="41" t="str">
        <f t="shared" si="72"/>
        <v/>
      </c>
      <c r="CG32" s="30" t="str">
        <f t="shared" si="10"/>
        <v/>
      </c>
      <c r="CH32" s="30" t="str">
        <f>IF($G32="","",$G32*(IF(ADRYr3!$AI32=BY$4,ADRYr3!$AJ32,IF(ADRYr3!$AK32=BY$4,ADRYr3!$AL32,IF(ADRYr3!$AM32=BY$4,ADRYr3!$AN32,0))))*(INDEX(avoidedcosttbl3,$H32,CH$2)+(($H32-ROUNDDOWN($H32,0))*(INDEX(avoidedcosttbl3,ROUNDUP($H32,0),CH$2)-(INDEX(avoidedcosttbl3,ROUNDDOWN($H32,0),CH$2)))))*ADRYr3!P32*ADRYr3!Q32*ADRYr3!U32)</f>
        <v/>
      </c>
      <c r="CI32" s="30" t="str">
        <f>IF($G32="","",$G32*(IF(ADRYr3!$AI32=BZ$4,ADRYr3!$AJ32,IF(ADRYr3!$AK32=BZ$4,ADRYr3!$AL32,IF(ADRYr3!$AM32=BZ$4,ADRYr3!$AN32,0))))*(INDEX(avoidedcosttbl3,$H32,CI$2)+(($H32-ROUNDDOWN($H32,0))*(INDEX(avoidedcosttbl3,ROUNDUP($H32,0),CI$2)-(INDEX(avoidedcosttbl3,ROUNDDOWN($H32,0),CI$2)))))*ADRYr3!P32*ADRYr3!Q32*ADRYr3!U32)</f>
        <v/>
      </c>
      <c r="CJ32" s="30" t="str">
        <f>IF($G32="","",$G32*(IF(ADRYr3!$AI32=CA$4,ADRYr3!$AJ32,IF(ADRYr3!$AK32=CA$4,ADRYr3!$AL32,IF(ADRYr3!$AM32=CA$4,ADRYr3!$AN32,0))))*(INDEX(avoidedcosttbl3,$H32,CJ$2)+(($H32-ROUNDDOWN($H32,0))*(INDEX(avoidedcosttbl3,ROUNDUP($H32,0),CJ$2)-(INDEX(avoidedcosttbl3,ROUNDDOWN($H32,0),CJ$2)))))*ADRYr3!P32*ADRYr3!Q32*ADRYr3!U32)</f>
        <v/>
      </c>
      <c r="CK32" s="30" t="str">
        <f>IF($G32="","",$G32*(IF(ADRYr3!$AI32=CB$4,ADRYr3!$AJ32,IF(ADRYr3!$AK32=CB$4,ADRYr3!$AL32,IF(ADRYr3!$AM32=CB$4,ADRYr3!$AN32,0))))*(INDEX(avoidedcosttbl3,$H32,CK$2)+(($H32-ROUNDDOWN($H32,0))*(INDEX(avoidedcosttbl3,ROUNDUP($H32,0),CK$2)-(INDEX(avoidedcosttbl3,ROUNDDOWN($H32,0),CK$2)))))*ADRYr3!P32*ADRYr3!Q32*ADRYr3!U32)</f>
        <v/>
      </c>
      <c r="CL32" s="30" t="str">
        <f>IF($G32="","",$G32*(IF(ADRYr3!$AI32=CC$4,ADRYr3!$AJ32,IF(ADRYr3!$AK32=CC$4,ADRYr3!$AL32,IF(ADRYr3!$AM32=CC$4,ADRYr3!$AN32,0))))*(INDEX(avoidedcosttbl3,$H32,CL$2)+(($H32-ROUNDDOWN($H32,0))*(INDEX(avoidedcosttbl3,ROUNDUP($H32,0),CL$2)-(INDEX(avoidedcosttbl3,ROUNDDOWN($H32,0),CL$2)))))*ADRYr3!P32*ADRYr3!Q32*ADRYr3!U32)</f>
        <v/>
      </c>
      <c r="CM32" s="30" t="str">
        <f>IF($G32="","",$G32*(IF(ADRYr3!$AI32=CD$4,ADRYr3!$AJ32,IF(ADRYr3!$AK32=CD$4,ADRYr3!$AL32,IF(ADRYr3!$AM32=CD$4,ADRYr3!$AN32,0))))*(INDEX(avoidedcosttbl3,$H32,CM$2)+(($H32-ROUNDDOWN($H32,0))*(INDEX(avoidedcosttbl3,ROUNDUP($H32,0),CM$2)-(INDEX(avoidedcosttbl3,ROUNDDOWN($H32,0),CM$2)))))*ADRYr3!P32*ADRYr3!Q32*ADRYr3!U32)</f>
        <v/>
      </c>
      <c r="CN32" s="30" t="str">
        <f>IF($G32="","",$G32*(IF(ADRYr3!$AI32=CE$4,ADRYr3!$AJ32,IF(ADRYr3!$AK32=CE$4,ADRYr3!$AL32,IF(ADRYr3!$AM32=CE$4,ADRYr3!$AN32,0))))*(INDEX(avoidedcosttbl3,$H32,CN$2)+(($H32-ROUNDDOWN($H32,0))*(INDEX(avoidedcosttbl3,ROUNDUP($H32,0),CN$2)-(INDEX(avoidedcosttbl3,ROUNDDOWN($H32,0),CN$2)))))*ADRYr3!P32*ADRYr3!Q32*ADRYr3!U32)</f>
        <v/>
      </c>
      <c r="CO32" s="220" t="str">
        <f t="shared" si="73"/>
        <v/>
      </c>
      <c r="CP32" s="220" t="str">
        <f t="shared" si="74"/>
        <v/>
      </c>
      <c r="CQ32" s="157" t="str">
        <f>IF($G32="","",$G32*(IF(ADRYr3!$AI32=CQ$4,ADRYr3!$AJ32,IF(ADRYr3!$AK32=CQ$4,ADRYr3!$AL32,IF(ADRYr3!$AM32=CQ$4,ADRYr3!$AN32,0))))*(INDEX(avoidedcosttbl3,$H32,CQ$2)+(($H32-ROUNDDOWN($H32,0))*(INDEX(avoidedcosttbl3,ROUNDUP($H32,0),CQ$2)-(INDEX(avoidedcosttbl3,ROUNDDOWN($H32,0),CQ$2)))))*ADRYr3!$P32*ADRYr3!$Q32*ADRYr3!$U32)</f>
        <v/>
      </c>
      <c r="CR32" s="28" t="str">
        <f>IF($G32="","",G32*(IF(ADRYr3!$AI32=CR$4,ADRYr3!$AJ32,IF(ADRYr3!$AK32=CR$4,ADRYr3!$AL32,IF(ADRYr3!$AM32=CR$4,ADRYr3!$AN32,0))))*(INDEX(avoidedcosttbl3,$H32,CR$2)+(($H32-ROUNDDOWN($H32,0))*(INDEX(avoidedcosttbl3,ROUNDUP($H32,0),CR$2)-(INDEX(avoidedcosttbl3,ROUNDDOWN($H32,0),CR$2)))))*ADRYr3!$P32*ADRYr3!$Q32*ADRYr3!$U32)</f>
        <v/>
      </c>
      <c r="CS32" s="28" t="str">
        <f>IF($G32="","",G32*(IF(ADRYr3!$AI32=CS$4,ADRYr3!$AJ32,IF(ADRYr3!$AK32=CS$4,ADRYr3!$AL32,IF(ADRYr3!$AM32=CS$4,ADRYr3!$AN32,0))))*(INDEX(avoidedcosttbl3,$H32,CS$2)+(($H32-ROUNDDOWN($H32,0))*(INDEX(avoidedcosttbl3,ROUNDUP($H32,0),CS$2)-(INDEX(avoidedcosttbl3,ROUNDDOWN($H32,0),CS$2)))))*ADRYr3!$P32*ADRYr3!$Q32*ADRYr3!$U32)</f>
        <v/>
      </c>
      <c r="CT32" s="28" t="str">
        <f t="shared" si="11"/>
        <v/>
      </c>
      <c r="CU32" s="28" t="str">
        <f>IF($G32="","",G32*(IF(ADRYr3!$AI32=CU$4,ADRYr3!$AJ32,IF(ADRYr3!$AK32=CU$4,ADRYr3!$AL32,IF(ADRYr3!$AM32=CU$4,ADRYr3!$AN32,0))))*(INDEX(avoidedcosttbl3,$H32,CU$2)+(($H32-ROUNDDOWN($H32,0))*(INDEX(avoidedcosttbl3,ROUNDUP($H32,0),CU$2)-(INDEX(avoidedcosttbl3,ROUNDDOWN($H32,0),CU$2)))))*ADRYr3!$P32*ADRYr3!$Q32*ADRYr3!$U32)</f>
        <v/>
      </c>
      <c r="CV32" s="28" t="str">
        <f>IF($G32="","",G32*(IF(ADRYr3!$AI32=CV$4,ADRYr3!$AJ32,IF(ADRYr3!$AK32=CV$4,ADRYr3!$AL32,IF(ADRYr3!$AM32=CV$4,ADRYr3!$AN32,0))))*(INDEX(avoidedcosttbl3,$H32,CV$2)+(($H32-ROUNDDOWN($H32,0))*(INDEX(avoidedcosttbl3,ROUNDUP($H32,0),CV$2)-(INDEX(avoidedcosttbl3,ROUNDDOWN($H32,0),CV$2)))))*ADRYr3!$P32*ADRYr3!$Q32*ADRYr3!$U32)</f>
        <v/>
      </c>
      <c r="CW32" s="28" t="str">
        <f>IF($G32="","",G32*(IF(ADRYr3!$AI32=CW$4,ADRYr3!$AJ32,IF(ADRYr3!$AK32=CW$4,ADRYr3!$AL32,IF(ADRYr3!$AM32=CW$4,ADRYr3!$AN32,0))))*(INDEX(avoidedcosttbl3,$H32,CW$2)+(($H32-ROUNDDOWN($H32,0))*(INDEX(avoidedcosttbl3,ROUNDUP($H32,0),CW$2)-(INDEX(avoidedcosttbl3,ROUNDDOWN($H32,0),CW$2)))))*ADRYr3!$P32*ADRYr3!$Q32*ADRYr3!$U32)</f>
        <v/>
      </c>
      <c r="CX32" s="28" t="str">
        <f>IF($G32="","",G32*(IF(ADRYr3!$AI32=CX$4,ADRYr3!$AJ32,IF(ADRYr3!$AK32=CX$4,ADRYr3!$AL32,IF(ADRYr3!$AM32=CX$4,ADRYr3!$AN32,0))))*(INDEX(avoidedcosttbl3,$H32,CX$2)+(($H32-ROUNDDOWN($H32,0))*(INDEX(avoidedcosttbl3,ROUNDUP($H32,0),CX$2)-(INDEX(avoidedcosttbl3,ROUNDDOWN($H32,0),CX$2)))))*ADRYr3!$P32*ADRYr3!$Q32*ADRYr3!$U32)</f>
        <v/>
      </c>
      <c r="CY32" s="28" t="str">
        <f t="shared" si="75"/>
        <v/>
      </c>
      <c r="CZ32" s="32" t="str">
        <f t="shared" si="76"/>
        <v/>
      </c>
      <c r="DA32" s="84" t="str">
        <f t="shared" si="77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78"/>
        <v/>
      </c>
      <c r="DD32" s="166" t="str">
        <f t="shared" si="79"/>
        <v/>
      </c>
      <c r="DE32" s="82">
        <f t="shared" si="80"/>
        <v>0</v>
      </c>
      <c r="DF32" s="760" t="str">
        <f>IF($G32="","",(1+WntPeakEnergyLL)*(INDEX(avoidedcosttbl3,$H32,DF$2)+(($H32-ROUNDDOWN($H32,0))*(INDEX(avoidedcosttbl3,ROUNDUP($H32,0),DF$2)-(INDEX(avoidedcosttbl3,ROUNDDOWN($H32,0),DF$2)))))*$P32*1000*ADRYr3!Z32)</f>
        <v/>
      </c>
      <c r="DG32" s="760" t="str">
        <f>IF($G32="","",(1+WntOffPeakEnergyLL)*(INDEX(avoidedcosttbl3,$H32,DG$2)+(($H32-ROUNDDOWN($H32,0))*(INDEX(avoidedcosttbl3,ROUNDUP($H32,0),DG$2)-(INDEX(avoidedcosttbl3,ROUNDDOWN($H32,0),DG$2)))))*$P32*1000*ADRYr3!AA32)</f>
        <v/>
      </c>
      <c r="DH32" s="760" t="str">
        <f>IF($G32="","",(1+SumPeakEnergyLL)*(INDEX(avoidedcosttbl3,$H32,DH$2)+(($H32-ROUNDDOWN($H32,0))*(INDEX(avoidedcosttbl3,ROUNDUP($H32,0),DH$2)-(INDEX(avoidedcosttbl3,ROUNDDOWN($H32,0),DH$2)))))*$P32*1000*ADRYr3!AB32)</f>
        <v/>
      </c>
      <c r="DI32" s="760" t="str">
        <f>IF($G32="","",(1+SumOffPeakEnergyLL)*(INDEX(avoidedcosttbl3,$H32,DI$2)+(($H32-ROUNDDOWN($H32,0))*(INDEX(avoidedcosttbl3,ROUNDUP($H32,0),DI$2)-(INDEX(avoidedcosttbl3,ROUNDDOWN($H32,0),DI$2)))))*$P32*1000*ADRYr3!AC32)</f>
        <v/>
      </c>
      <c r="DJ32" s="29" t="str">
        <f t="shared" si="81"/>
        <v/>
      </c>
      <c r="DK32" s="161" t="str">
        <f t="shared" si="45"/>
        <v/>
      </c>
      <c r="DL32" s="1375" t="str">
        <f t="shared" si="46"/>
        <v/>
      </c>
      <c r="DM32" s="1375" t="str">
        <f t="shared" si="47"/>
        <v/>
      </c>
      <c r="DN32" s="43" t="str">
        <f t="shared" si="48"/>
        <v/>
      </c>
      <c r="DO32" s="1131" t="str">
        <f>IF($G32="","",ADRYr3!AQ32)</f>
        <v/>
      </c>
      <c r="DP32" s="1133" t="str">
        <f>IF($G32="","",ADRYr3!AR32)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49"/>
        <v/>
      </c>
      <c r="DU32" s="1135" t="str">
        <f>IF($G32="","",ADRYr3!AS32)</f>
        <v/>
      </c>
      <c r="DV32" s="1136" t="str">
        <f>IF($G32="","",ADRYr3!AT32)</f>
        <v/>
      </c>
      <c r="DW32" s="1344" t="str">
        <f>IF($G32="","",INDEX(AvoidedEnergy!$H$4:$H$10,MATCH($DO32,AvoidedEnergy!$A$4:$A$10,0)))</f>
        <v/>
      </c>
    </row>
    <row r="33" spans="1:127">
      <c r="A33" s="160" t="str">
        <f>IF(ADRYr3!$B33=0,"",ADRYr3!A33)</f>
        <v>C - Commercial &amp; Industrial</v>
      </c>
      <c r="B33" s="9" t="str">
        <f>IF(ADRYr3!$B33=0,"",ADRYr3!B33)</f>
        <v>C5 - C&amp;I Active Demand Response</v>
      </c>
      <c r="C33" s="9" t="str">
        <f>IF(ADRYr3!$B33=0,"",ADRYr3!C33)</f>
        <v>C5a - C&amp;I Active Demand Response</v>
      </c>
      <c r="D33" s="9" t="str">
        <f>IF(ADRYr3!$B33=0,"",ADRYr3!D33)</f>
        <v>Storage Daily Dispatch Upfront Incentive (savings) Winter</v>
      </c>
      <c r="E33" s="9">
        <f>IF(ADRYr3!$B33=0,"",ADRYr3!E33)</f>
        <v>0</v>
      </c>
      <c r="F33" s="11" t="str">
        <f>IF(ADRYr3!$B33=0,"",ADRYr3!F33)</f>
        <v>Behavior</v>
      </c>
      <c r="G33" s="12" t="str">
        <f>IF(ADRYr3!$G33&lt;&gt;0,ADRYr3!G33,"")</f>
        <v/>
      </c>
      <c r="H33" s="1125" t="str">
        <f>IF($G33="","",ROUND(ADRYr3!H33,0))</f>
        <v/>
      </c>
      <c r="I33" s="47" t="str">
        <f>IF($G33="","",ADRYr3!I33*ADRYr3!P33*G33)</f>
        <v/>
      </c>
      <c r="J33" s="47" t="str">
        <f>IF($G33="","",ADRYr3!J33*G33)</f>
        <v/>
      </c>
      <c r="K33" s="47" t="str">
        <f t="shared" si="50"/>
        <v/>
      </c>
      <c r="L33" s="27" t="str">
        <f>IF($G33="","",ADRYr3!V33*G33/1000)</f>
        <v/>
      </c>
      <c r="M33" s="27" t="str">
        <f>IF($G33="","",L33*ADRYr3!$Q33*ADRYr3!$R33)</f>
        <v/>
      </c>
      <c r="N33" s="27" t="str">
        <f t="shared" si="51"/>
        <v/>
      </c>
      <c r="O33" s="27" t="str">
        <f t="shared" si="52"/>
        <v/>
      </c>
      <c r="P33" s="27" t="str">
        <f>IF($G33="","",M33*ADRYr3!P33)</f>
        <v/>
      </c>
      <c r="Q33" s="27" t="str">
        <f t="shared" si="53"/>
        <v/>
      </c>
      <c r="R33" s="27" t="str">
        <f>IF($G33="","",$Q33*ADRYr3!Z33)</f>
        <v/>
      </c>
      <c r="S33" s="27" t="str">
        <f>IF($G33="","",$Q33*ADRYr3!AA33)</f>
        <v/>
      </c>
      <c r="T33" s="27" t="str">
        <f>IF($G33="","",$Q33*ADRYr3!AB33)</f>
        <v/>
      </c>
      <c r="U33" s="27" t="str">
        <f>IF($G33="","",$Q33*ADRYr3!AC33)</f>
        <v/>
      </c>
      <c r="V33" s="27" t="str">
        <f>IF($G33="","",G33*ADRYr3!$AD33*ADRYr3!$P33*ADRYr3!$Q33)</f>
        <v/>
      </c>
      <c r="W33" s="27" t="str">
        <f>IF($G33="","",$G33*ADRYr3!$AD33*ADRYr3!$AF33*ADRYr3!Q33*ADRYr3!$S33)</f>
        <v/>
      </c>
      <c r="X33" s="27" t="str">
        <f>IF($G33="","",$G33*ADRYr3!$AD33*ADRYr3!$AF33*ADRYr3!P33*ADRYr3!Q33*ADRYr3!$S33)</f>
        <v/>
      </c>
      <c r="Y33" s="27" t="str">
        <f>IF($G33="","",$G33*ADRYr3!$AD33*ADRYr3!$AE33*ADRYr3!Q33*ADRYr3!$T33)</f>
        <v/>
      </c>
      <c r="Z33" s="27" t="str">
        <f>IF($G33="","",$G33*ADRYr3!$AD33*ADRYr3!$AE33*ADRYr3!P33*ADRYr3!Q33*ADRYr3!$T33)</f>
        <v/>
      </c>
      <c r="AA33" s="45" t="str">
        <f>IF($G33="","",$G33*ADRYr3!$Q33*ADRYr3!$U33*(IF(IFERROR(SEARCH("NG", ADRYr3!$AI33),0),ADRYr3!$AJ33,0)+IF(IFERROR(SEARCH("NG", ADRYr3!$AK33),0),ADRYr3!$AL33,0)+IF(IFERROR(SEARCH("NG", ADRYr3!$AM33),0),ADRYr3!$AN33,0)))</f>
        <v/>
      </c>
      <c r="AB33" s="45" t="str">
        <f t="shared" si="54"/>
        <v/>
      </c>
      <c r="AC33" s="45">
        <f>IF($G33="",0,AA33*ADRYr3!$P33)</f>
        <v>0</v>
      </c>
      <c r="AD33" s="45" t="str">
        <f t="shared" si="55"/>
        <v/>
      </c>
      <c r="AE33" s="45" t="str">
        <f>IF($G33="","",$G33*ADRYr3!$Q33*ADRYr3!$U33*(IF(IFERROR(SEARCH("Oil", ADRYr3!$AI33), 0),ADRYr3!$AJ33,0)+IF(IFERROR(SEARCH("Oil", ADRYr3!$AK33), 0),ADRYr3!$AL33,0)+IF(IFERROR(SEARCH("Oil", ADRYr3!$AM33), 0),ADRYr3!$AN33,0)))</f>
        <v/>
      </c>
      <c r="AF33" s="45" t="str">
        <f t="shared" si="56"/>
        <v/>
      </c>
      <c r="AG33" s="45">
        <f>IF($G33="",0,AE33*ADRYr3!$P33)</f>
        <v>0</v>
      </c>
      <c r="AH33" s="45" t="str">
        <f t="shared" si="57"/>
        <v/>
      </c>
      <c r="AI33" s="45" t="str">
        <f>IF($G33="","",$G33*ADRYr3!$Q33*ADRYr3!$U33*(IF(ADRYr3!$AI33=Lookups!$E$114,ADRYr3!$AJ33,IF(ADRYr3!$AK33=Lookups!$E$114,ADRYr3!$AL33,IF(ADRYr3!$AM33=Lookups!$E$114,ADRYr3!$AN33,0)))))</f>
        <v/>
      </c>
      <c r="AJ33" s="45" t="str">
        <f t="shared" si="58"/>
        <v/>
      </c>
      <c r="AK33" s="45">
        <f>IF($G33="",0,AI33*ADRYr3!$P33)</f>
        <v>0</v>
      </c>
      <c r="AL33" s="45" t="str">
        <f t="shared" si="59"/>
        <v/>
      </c>
      <c r="AM33" s="45" t="str">
        <f>IF($G33="","",$G33*ADRYr3!$Q33*ADRYr3!$U33*(IF(ADRYr3!$AI33=Lookups!$E$113,ADRYr3!$AJ33,IF(ADRYr3!$AK33=Lookups!$E$113,ADRYr3!$AL33,IF(ADRYr3!$AM33=Lookups!$E$113,ADRYr3!$AN33,0)))))</f>
        <v/>
      </c>
      <c r="AN33" s="45" t="str">
        <f t="shared" si="60"/>
        <v/>
      </c>
      <c r="AO33" s="45">
        <f>IF($G33="",0,AM33*ADRYr3!$P33)</f>
        <v>0</v>
      </c>
      <c r="AP33" s="45" t="str">
        <f t="shared" si="61"/>
        <v/>
      </c>
      <c r="AQ33" s="45" t="str">
        <f>IF($G33="","",$G33*ADRYr3!$Q33*ADRYr3!$U33*(IF(ADRYr3!$AI33=Lookups!$E$115,ADRYr3!$AJ33,IF(ADRYr3!$AK33=Lookups!$E$115,ADRYr3!$AL33,IF(ADRYr3!$AM33=Lookups!$E$115,ADRYr3!$AN33,0)))))</f>
        <v/>
      </c>
      <c r="AR33" s="45" t="str">
        <f t="shared" si="62"/>
        <v/>
      </c>
      <c r="AS33" s="45" t="str">
        <f>IF($G33="","",AQ33*ADRYr3!$P33)</f>
        <v/>
      </c>
      <c r="AT33" s="45" t="str">
        <f t="shared" si="63"/>
        <v/>
      </c>
      <c r="AU33" s="45" t="str">
        <f>IF($G33="","",$G33*ADRYr3!$Q33*ADRYr3!$U33*(IF(ADRYr3!$AI33=Lookups!$E$116,ADRYr3!$AJ33,IF(ADRYr3!$AK33=Lookups!$E$116,ADRYr3!$AL33,IF(ADRYr3!$AM33=Lookups!$E$116,ADRYr3!$AN33,0)))))</f>
        <v/>
      </c>
      <c r="AV33" s="45" t="str">
        <f t="shared" si="64"/>
        <v/>
      </c>
      <c r="AW33" s="45" t="str">
        <f>IF($G33="","",AU33*ADRYr3!$P33)</f>
        <v/>
      </c>
      <c r="AX33" s="45" t="str">
        <f t="shared" si="65"/>
        <v/>
      </c>
      <c r="AY33" s="45">
        <f t="shared" si="66"/>
        <v>0</v>
      </c>
      <c r="AZ33" s="45">
        <f t="shared" si="67"/>
        <v>0</v>
      </c>
      <c r="BA33" s="101" t="str">
        <f>IF($G33="","",$G33*ADRYr3!$P33*ADRYr3!$Q33*ADRYr3!$U33*ADRYr3!AO33)</f>
        <v/>
      </c>
      <c r="BB33" s="102" t="str">
        <f>IF($G33="","",$G33*ADRYr3!$P33*ADRYr3!$Q33*ADRYr3!$U33*ADRYr3!AP33)</f>
        <v/>
      </c>
      <c r="BC33" s="100" t="str">
        <f t="shared" si="68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31"/>
        <v/>
      </c>
      <c r="BO33" s="31" t="str">
        <f t="shared" si="69"/>
        <v/>
      </c>
      <c r="BP33" s="1129" t="str">
        <f t="shared" si="5"/>
        <v/>
      </c>
      <c r="BQ33" s="28" t="str">
        <f t="shared" si="6"/>
        <v/>
      </c>
      <c r="BR33" s="1129" t="str">
        <f t="shared" si="7"/>
        <v/>
      </c>
      <c r="BS33" s="1129" t="str">
        <f t="shared" si="8"/>
        <v/>
      </c>
      <c r="BT33" s="28" t="str">
        <f t="shared" si="82"/>
        <v/>
      </c>
      <c r="BU33" s="28" t="str">
        <f t="shared" si="82"/>
        <v/>
      </c>
      <c r="BV33" s="28" t="str">
        <f t="shared" si="82"/>
        <v/>
      </c>
      <c r="BW33" s="29" t="str">
        <f t="shared" si="70"/>
        <v/>
      </c>
      <c r="BX33" s="29" t="str">
        <f t="shared" si="71"/>
        <v/>
      </c>
      <c r="BY33" s="28" t="str">
        <f>IF($G33="","",$G33*(IF(ADRYr3!$AI33=BY$4,ADRYr3!$AJ33,IF(ADRYr3!$AK33=BY$4,ADRYr3!$AL33,IF(ADRYr3!$AM33=BY$4,ADRYr3!$AN33,0))))*(INDEX(avoidedcosttbl3,$H33,BY$2)+(($H33-ROUNDDOWN($H33,0))*(INDEX(avoidedcosttbl3,ROUNDUP($H33,0),BY$2)-(INDEX(avoidedcosttbl3,ROUNDDOWN($H33,0),BY$2)))))*ADRYr3!P33*ADRYr3!Q33*ADRYr3!U33)</f>
        <v/>
      </c>
      <c r="BZ33" s="28" t="str">
        <f>IF($G33="","",$G33*(IF(ADRYr3!$AI33=BZ$4,ADRYr3!$AJ33,IF(ADRYr3!$AK33=BZ$4,ADRYr3!$AL33,IF(ADRYr3!$AM33=BZ$4,ADRYr3!$AN33,0))))*(INDEX(avoidedcosttbl3,$H33,BZ$2)+(($H33-ROUNDDOWN($H33,0))*(INDEX(avoidedcosttbl3,ROUNDUP($H33,0),BZ$2)-(INDEX(avoidedcosttbl3,ROUNDDOWN($H33,0),BZ$2)))))*ADRYr3!P33*ADRYr3!Q33*ADRYr3!U33)</f>
        <v/>
      </c>
      <c r="CA33" s="28" t="str">
        <f>IF($G33="","",$G33*(IF(ADRYr3!$AI33=CA$4,ADRYr3!$AJ33,IF(ADRYr3!$AK33=CA$4,ADRYr3!$AL33,IF(ADRYr3!$AM33=CA$4,ADRYr3!$AN33,0))))*(INDEX(avoidedcosttbl3,$H33,CA$2)+(($H33-ROUNDDOWN($H33,0))*(INDEX(avoidedcosttbl3,ROUNDUP($H33,0),CA$2)-(INDEX(avoidedcosttbl3,ROUNDDOWN($H33,0),CA$2)))))*ADRYr3!P33*ADRYr3!Q33*ADRYr3!U33)</f>
        <v/>
      </c>
      <c r="CB33" s="28" t="str">
        <f>IF($G33="","",$G33*(IF(ADRYr3!$AI33=CB$4,ADRYr3!$AJ33,IF(ADRYr3!$AK33=CB$4,ADRYr3!$AL33,IF(ADRYr3!$AM33=CB$4,ADRYr3!$AN33,0))))*(INDEX(avoidedcosttbl3,$H33,CB$2)+(($H33-ROUNDDOWN($H33,0))*(INDEX(avoidedcosttbl3,ROUNDUP($H33,0),CB$2)-(INDEX(avoidedcosttbl3,ROUNDDOWN($H33,0),CB$2)))))*ADRYr3!P33*ADRYr3!Q33*ADRYr3!U33)</f>
        <v/>
      </c>
      <c r="CC33" s="28" t="str">
        <f>IF($G33="","",$G33*(IF(ADRYr3!$AI33=CC$4,ADRYr3!$AJ33,IF(ADRYr3!$AK33=CC$4,ADRYr3!$AL33,IF(ADRYr3!$AM33=CC$4,ADRYr3!$AN33,0))))*(INDEX(avoidedcosttbl3,$H33,CC$2)+(($H33-ROUNDDOWN($H33,0))*(INDEX(avoidedcosttbl3,ROUNDUP($H33,0),CC$2)-(INDEX(avoidedcosttbl3,ROUNDDOWN($H33,0),CC$2)))))*ADRYr3!P33*ADRYr3!Q33*ADRYr3!U33)</f>
        <v/>
      </c>
      <c r="CD33" s="28" t="str">
        <f>IF($G33="","",$G33*(IF(ADRYr3!$AI33=CD$4,ADRYr3!$AJ33,IF(ADRYr3!$AK33=CD$4,ADRYr3!$AL33,IF(ADRYr3!$AM33=CD$4,ADRYr3!$AN33,0))))*(INDEX(avoidedcosttbl3,$H33,CD$2)+(($H33-ROUNDDOWN($H33,0))*(INDEX(avoidedcosttbl3,ROUNDUP($H33,0),CD$2)-(INDEX(avoidedcosttbl3,ROUNDDOWN($H33,0),CD$2)))))*ADRYr3!P33*ADRYr3!Q33*ADRYr3!U33)</f>
        <v/>
      </c>
      <c r="CE33" s="28" t="str">
        <f>IF($G33="","",$G33*(IF(ADRYr3!$AI33=CE$4,ADRYr3!$AJ33,IF(ADRYr3!$AK33=CE$4,ADRYr3!$AL33,IF(ADRYr3!$AM33=CE$4,ADRYr3!$AN33,0))))*(INDEX(avoidedcosttbl3,$H33,CE$2)+(($H33-ROUNDDOWN($H33,0))*(INDEX(avoidedcosttbl3,ROUNDUP($H33,0),CE$2)-(INDEX(avoidedcosttbl3,ROUNDDOWN($H33,0),CE$2)))))*ADRYr3!P33*ADRYr3!Q33*ADRYr3!U33)</f>
        <v/>
      </c>
      <c r="CF33" s="41" t="str">
        <f t="shared" si="72"/>
        <v/>
      </c>
      <c r="CG33" s="30" t="str">
        <f t="shared" si="10"/>
        <v/>
      </c>
      <c r="CH33" s="30" t="str">
        <f>IF($G33="","",$G33*(IF(ADRYr3!$AI33=BY$4,ADRYr3!$AJ33,IF(ADRYr3!$AK33=BY$4,ADRYr3!$AL33,IF(ADRYr3!$AM33=BY$4,ADRYr3!$AN33,0))))*(INDEX(avoidedcosttbl3,$H33,CH$2)+(($H33-ROUNDDOWN($H33,0))*(INDEX(avoidedcosttbl3,ROUNDUP($H33,0),CH$2)-(INDEX(avoidedcosttbl3,ROUNDDOWN($H33,0),CH$2)))))*ADRYr3!P33*ADRYr3!Q33*ADRYr3!U33)</f>
        <v/>
      </c>
      <c r="CI33" s="30" t="str">
        <f>IF($G33="","",$G33*(IF(ADRYr3!$AI33=BZ$4,ADRYr3!$AJ33,IF(ADRYr3!$AK33=BZ$4,ADRYr3!$AL33,IF(ADRYr3!$AM33=BZ$4,ADRYr3!$AN33,0))))*(INDEX(avoidedcosttbl3,$H33,CI$2)+(($H33-ROUNDDOWN($H33,0))*(INDEX(avoidedcosttbl3,ROUNDUP($H33,0),CI$2)-(INDEX(avoidedcosttbl3,ROUNDDOWN($H33,0),CI$2)))))*ADRYr3!P33*ADRYr3!Q33*ADRYr3!U33)</f>
        <v/>
      </c>
      <c r="CJ33" s="30" t="str">
        <f>IF($G33="","",$G33*(IF(ADRYr3!$AI33=CA$4,ADRYr3!$AJ33,IF(ADRYr3!$AK33=CA$4,ADRYr3!$AL33,IF(ADRYr3!$AM33=CA$4,ADRYr3!$AN33,0))))*(INDEX(avoidedcosttbl3,$H33,CJ$2)+(($H33-ROUNDDOWN($H33,0))*(INDEX(avoidedcosttbl3,ROUNDUP($H33,0),CJ$2)-(INDEX(avoidedcosttbl3,ROUNDDOWN($H33,0),CJ$2)))))*ADRYr3!P33*ADRYr3!Q33*ADRYr3!U33)</f>
        <v/>
      </c>
      <c r="CK33" s="30" t="str">
        <f>IF($G33="","",$G33*(IF(ADRYr3!$AI33=CB$4,ADRYr3!$AJ33,IF(ADRYr3!$AK33=CB$4,ADRYr3!$AL33,IF(ADRYr3!$AM33=CB$4,ADRYr3!$AN33,0))))*(INDEX(avoidedcosttbl3,$H33,CK$2)+(($H33-ROUNDDOWN($H33,0))*(INDEX(avoidedcosttbl3,ROUNDUP($H33,0),CK$2)-(INDEX(avoidedcosttbl3,ROUNDDOWN($H33,0),CK$2)))))*ADRYr3!P33*ADRYr3!Q33*ADRYr3!U33)</f>
        <v/>
      </c>
      <c r="CL33" s="30" t="str">
        <f>IF($G33="","",$G33*(IF(ADRYr3!$AI33=CC$4,ADRYr3!$AJ33,IF(ADRYr3!$AK33=CC$4,ADRYr3!$AL33,IF(ADRYr3!$AM33=CC$4,ADRYr3!$AN33,0))))*(INDEX(avoidedcosttbl3,$H33,CL$2)+(($H33-ROUNDDOWN($H33,0))*(INDEX(avoidedcosttbl3,ROUNDUP($H33,0),CL$2)-(INDEX(avoidedcosttbl3,ROUNDDOWN($H33,0),CL$2)))))*ADRYr3!P33*ADRYr3!Q33*ADRYr3!U33)</f>
        <v/>
      </c>
      <c r="CM33" s="30" t="str">
        <f>IF($G33="","",$G33*(IF(ADRYr3!$AI33=CD$4,ADRYr3!$AJ33,IF(ADRYr3!$AK33=CD$4,ADRYr3!$AL33,IF(ADRYr3!$AM33=CD$4,ADRYr3!$AN33,0))))*(INDEX(avoidedcosttbl3,$H33,CM$2)+(($H33-ROUNDDOWN($H33,0))*(INDEX(avoidedcosttbl3,ROUNDUP($H33,0),CM$2)-(INDEX(avoidedcosttbl3,ROUNDDOWN($H33,0),CM$2)))))*ADRYr3!P33*ADRYr3!Q33*ADRYr3!U33)</f>
        <v/>
      </c>
      <c r="CN33" s="30" t="str">
        <f>IF($G33="","",$G33*(IF(ADRYr3!$AI33=CE$4,ADRYr3!$AJ33,IF(ADRYr3!$AK33=CE$4,ADRYr3!$AL33,IF(ADRYr3!$AM33=CE$4,ADRYr3!$AN33,0))))*(INDEX(avoidedcosttbl3,$H33,CN$2)+(($H33-ROUNDDOWN($H33,0))*(INDEX(avoidedcosttbl3,ROUNDUP($H33,0),CN$2)-(INDEX(avoidedcosttbl3,ROUNDDOWN($H33,0),CN$2)))))*ADRYr3!P33*ADRYr3!Q33*ADRYr3!U33)</f>
        <v/>
      </c>
      <c r="CO33" s="220" t="str">
        <f t="shared" si="73"/>
        <v/>
      </c>
      <c r="CP33" s="220" t="str">
        <f t="shared" si="74"/>
        <v/>
      </c>
      <c r="CQ33" s="157" t="str">
        <f>IF($G33="","",$G33*(IF(ADRYr3!$AI33=CQ$4,ADRYr3!$AJ33,IF(ADRYr3!$AK33=CQ$4,ADRYr3!$AL33,IF(ADRYr3!$AM33=CQ$4,ADRYr3!$AN33,0))))*(INDEX(avoidedcosttbl3,$H33,CQ$2)+(($H33-ROUNDDOWN($H33,0))*(INDEX(avoidedcosttbl3,ROUNDUP($H33,0),CQ$2)-(INDEX(avoidedcosttbl3,ROUNDDOWN($H33,0),CQ$2)))))*ADRYr3!$P33*ADRYr3!$Q33*ADRYr3!$U33)</f>
        <v/>
      </c>
      <c r="CR33" s="28" t="str">
        <f>IF($G33="","",G33*(IF(ADRYr3!$AI33=CR$4,ADRYr3!$AJ33,IF(ADRYr3!$AK33=CR$4,ADRYr3!$AL33,IF(ADRYr3!$AM33=CR$4,ADRYr3!$AN33,0))))*(INDEX(avoidedcosttbl3,$H33,CR$2)+(($H33-ROUNDDOWN($H33,0))*(INDEX(avoidedcosttbl3,ROUNDUP($H33,0),CR$2)-(INDEX(avoidedcosttbl3,ROUNDDOWN($H33,0),CR$2)))))*ADRYr3!$P33*ADRYr3!$Q33*ADRYr3!$U33)</f>
        <v/>
      </c>
      <c r="CS33" s="28" t="str">
        <f>IF($G33="","",G33*(IF(ADRYr3!$AI33=CS$4,ADRYr3!$AJ33,IF(ADRYr3!$AK33=CS$4,ADRYr3!$AL33,IF(ADRYr3!$AM33=CS$4,ADRYr3!$AN33,0))))*(INDEX(avoidedcosttbl3,$H33,CS$2)+(($H33-ROUNDDOWN($H33,0))*(INDEX(avoidedcosttbl3,ROUNDUP($H33,0),CS$2)-(INDEX(avoidedcosttbl3,ROUNDDOWN($H33,0),CS$2)))))*ADRYr3!$P33*ADRYr3!$Q33*ADRYr3!$U33)</f>
        <v/>
      </c>
      <c r="CT33" s="28" t="str">
        <f t="shared" si="11"/>
        <v/>
      </c>
      <c r="CU33" s="28" t="str">
        <f>IF($G33="","",G33*(IF(ADRYr3!$AI33=CU$4,ADRYr3!$AJ33,IF(ADRYr3!$AK33=CU$4,ADRYr3!$AL33,IF(ADRYr3!$AM33=CU$4,ADRYr3!$AN33,0))))*(INDEX(avoidedcosttbl3,$H33,CU$2)+(($H33-ROUNDDOWN($H33,0))*(INDEX(avoidedcosttbl3,ROUNDUP($H33,0),CU$2)-(INDEX(avoidedcosttbl3,ROUNDDOWN($H33,0),CU$2)))))*ADRYr3!$P33*ADRYr3!$Q33*ADRYr3!$U33)</f>
        <v/>
      </c>
      <c r="CV33" s="28" t="str">
        <f>IF($G33="","",G33*(IF(ADRYr3!$AI33=CV$4,ADRYr3!$AJ33,IF(ADRYr3!$AK33=CV$4,ADRYr3!$AL33,IF(ADRYr3!$AM33=CV$4,ADRYr3!$AN33,0))))*(INDEX(avoidedcosttbl3,$H33,CV$2)+(($H33-ROUNDDOWN($H33,0))*(INDEX(avoidedcosttbl3,ROUNDUP($H33,0),CV$2)-(INDEX(avoidedcosttbl3,ROUNDDOWN($H33,0),CV$2)))))*ADRYr3!$P33*ADRYr3!$Q33*ADRYr3!$U33)</f>
        <v/>
      </c>
      <c r="CW33" s="28" t="str">
        <f>IF($G33="","",G33*(IF(ADRYr3!$AI33=CW$4,ADRYr3!$AJ33,IF(ADRYr3!$AK33=CW$4,ADRYr3!$AL33,IF(ADRYr3!$AM33=CW$4,ADRYr3!$AN33,0))))*(INDEX(avoidedcosttbl3,$H33,CW$2)+(($H33-ROUNDDOWN($H33,0))*(INDEX(avoidedcosttbl3,ROUNDUP($H33,0),CW$2)-(INDEX(avoidedcosttbl3,ROUNDDOWN($H33,0),CW$2)))))*ADRYr3!$P33*ADRYr3!$Q33*ADRYr3!$U33)</f>
        <v/>
      </c>
      <c r="CX33" s="28" t="str">
        <f>IF($G33="","",G33*(IF(ADRYr3!$AI33=CX$4,ADRYr3!$AJ33,IF(ADRYr3!$AK33=CX$4,ADRYr3!$AL33,IF(ADRYr3!$AM33=CX$4,ADRYr3!$AN33,0))))*(INDEX(avoidedcosttbl3,$H33,CX$2)+(($H33-ROUNDDOWN($H33,0))*(INDEX(avoidedcosttbl3,ROUNDUP($H33,0),CX$2)-(INDEX(avoidedcosttbl3,ROUNDDOWN($H33,0),CX$2)))))*ADRYr3!$P33*ADRYr3!$Q33*ADRYr3!$U33)</f>
        <v/>
      </c>
      <c r="CY33" s="28" t="str">
        <f t="shared" si="75"/>
        <v/>
      </c>
      <c r="CZ33" s="32" t="str">
        <f t="shared" si="76"/>
        <v/>
      </c>
      <c r="DA33" s="84" t="str">
        <f t="shared" si="77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78"/>
        <v/>
      </c>
      <c r="DD33" s="166" t="str">
        <f t="shared" si="79"/>
        <v/>
      </c>
      <c r="DE33" s="82">
        <f t="shared" si="80"/>
        <v>0</v>
      </c>
      <c r="DF33" s="760" t="str">
        <f>IF($G33="","",(1+WntPeakEnergyLL)*(INDEX(avoidedcosttbl3,$H33,DF$2)+(($H33-ROUNDDOWN($H33,0))*(INDEX(avoidedcosttbl3,ROUNDUP($H33,0),DF$2)-(INDEX(avoidedcosttbl3,ROUNDDOWN($H33,0),DF$2)))))*$P33*1000*ADRYr3!Z33)</f>
        <v/>
      </c>
      <c r="DG33" s="760" t="str">
        <f>IF($G33="","",(1+WntOffPeakEnergyLL)*(INDEX(avoidedcosttbl3,$H33,DG$2)+(($H33-ROUNDDOWN($H33,0))*(INDEX(avoidedcosttbl3,ROUNDUP($H33,0),DG$2)-(INDEX(avoidedcosttbl3,ROUNDDOWN($H33,0),DG$2)))))*$P33*1000*ADRYr3!AA33)</f>
        <v/>
      </c>
      <c r="DH33" s="760" t="str">
        <f>IF($G33="","",(1+SumPeakEnergyLL)*(INDEX(avoidedcosttbl3,$H33,DH$2)+(($H33-ROUNDDOWN($H33,0))*(INDEX(avoidedcosttbl3,ROUNDUP($H33,0),DH$2)-(INDEX(avoidedcosttbl3,ROUNDDOWN($H33,0),DH$2)))))*$P33*1000*ADRYr3!AB33)</f>
        <v/>
      </c>
      <c r="DI33" s="760" t="str">
        <f>IF($G33="","",(1+SumOffPeakEnergyLL)*(INDEX(avoidedcosttbl3,$H33,DI$2)+(($H33-ROUNDDOWN($H33,0))*(INDEX(avoidedcosttbl3,ROUNDUP($H33,0),DI$2)-(INDEX(avoidedcosttbl3,ROUNDDOWN($H33,0),DI$2)))))*$P33*1000*ADRYr3!AC33)</f>
        <v/>
      </c>
      <c r="DJ33" s="29" t="str">
        <f t="shared" si="81"/>
        <v/>
      </c>
      <c r="DK33" s="161" t="str">
        <f t="shared" si="45"/>
        <v/>
      </c>
      <c r="DL33" s="1375" t="str">
        <f t="shared" si="46"/>
        <v/>
      </c>
      <c r="DM33" s="1375" t="str">
        <f t="shared" si="47"/>
        <v/>
      </c>
      <c r="DN33" s="43" t="str">
        <f t="shared" si="48"/>
        <v/>
      </c>
      <c r="DO33" s="1131" t="str">
        <f>IF($G33="","",ADRYr3!AQ33)</f>
        <v/>
      </c>
      <c r="DP33" s="1133" t="str">
        <f>IF($G33="","",ADRYr3!AR33)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49"/>
        <v/>
      </c>
      <c r="DU33" s="1135" t="str">
        <f>IF($G33="","",ADRYr3!AS33)</f>
        <v/>
      </c>
      <c r="DV33" s="1136" t="str">
        <f>IF($G33="","",ADRYr3!AT33)</f>
        <v/>
      </c>
      <c r="DW33" s="1344" t="str">
        <f>IF($G33="","",INDEX(AvoidedEnergy!$H$4:$H$10,MATCH($DO33,AvoidedEnergy!$A$4:$A$10,0)))</f>
        <v/>
      </c>
    </row>
    <row r="34" spans="1:127">
      <c r="A34" s="160" t="str">
        <f>IF(ADRYr3!$B34=0,"",ADRYr3!A34)</f>
        <v>C - Commercial &amp; Industrial</v>
      </c>
      <c r="B34" s="9" t="str">
        <f>IF(ADRYr3!$B34=0,"",ADRYr3!B34)</f>
        <v>C5 - C&amp;I Active Demand Response</v>
      </c>
      <c r="C34" s="9" t="str">
        <f>IF(ADRYr3!$B34=0,"",ADRYr3!C34)</f>
        <v>C5a - C&amp;I Active Demand Response</v>
      </c>
      <c r="D34" s="9" t="str">
        <f>IF(ADRYr3!$B34=0,"",ADRYr3!D34)</f>
        <v>Storage Daily Dispatch Upfront Incentive (consumption) Winter</v>
      </c>
      <c r="E34" s="9">
        <f>IF(ADRYr3!$B34=0,"",ADRYr3!E34)</f>
        <v>0</v>
      </c>
      <c r="F34" s="11" t="str">
        <f>IF(ADRYr3!$B34=0,"",ADRYr3!F34)</f>
        <v>Behavior</v>
      </c>
      <c r="G34" s="12" t="str">
        <f>IF(ADRYr3!$G34&lt;&gt;0,ADRYr3!G34,"")</f>
        <v/>
      </c>
      <c r="H34" s="1125" t="str">
        <f>IF($G34="","",ROUND(ADRYr3!H34,0))</f>
        <v/>
      </c>
      <c r="I34" s="47" t="str">
        <f>IF($G34="","",ADRYr3!I34*ADRYr3!P34*G34)</f>
        <v/>
      </c>
      <c r="J34" s="47" t="str">
        <f>IF($G34="","",ADRYr3!J34*G34)</f>
        <v/>
      </c>
      <c r="K34" s="47" t="str">
        <f t="shared" si="50"/>
        <v/>
      </c>
      <c r="L34" s="27" t="str">
        <f>IF($G34="","",ADRYr3!V34*G34/1000)</f>
        <v/>
      </c>
      <c r="M34" s="27" t="str">
        <f>IF($G34="","",L34*ADRYr3!$Q34*ADRYr3!$R34)</f>
        <v/>
      </c>
      <c r="N34" s="27" t="str">
        <f t="shared" si="51"/>
        <v/>
      </c>
      <c r="O34" s="27" t="str">
        <f t="shared" si="52"/>
        <v/>
      </c>
      <c r="P34" s="27" t="str">
        <f>IF($G34="","",M34*ADRYr3!P34)</f>
        <v/>
      </c>
      <c r="Q34" s="27" t="str">
        <f t="shared" si="53"/>
        <v/>
      </c>
      <c r="R34" s="27" t="str">
        <f>IF($G34="","",$Q34*ADRYr3!Z34)</f>
        <v/>
      </c>
      <c r="S34" s="27" t="str">
        <f>IF($G34="","",$Q34*ADRYr3!AA34)</f>
        <v/>
      </c>
      <c r="T34" s="27" t="str">
        <f>IF($G34="","",$Q34*ADRYr3!AB34)</f>
        <v/>
      </c>
      <c r="U34" s="27" t="str">
        <f>IF($G34="","",$Q34*ADRYr3!AC34)</f>
        <v/>
      </c>
      <c r="V34" s="27" t="str">
        <f>IF($G34="","",G34*ADRYr3!$AD34*ADRYr3!$P34*ADRYr3!$Q34)</f>
        <v/>
      </c>
      <c r="W34" s="27" t="str">
        <f>IF($G34="","",$G34*ADRYr3!$AD34*ADRYr3!$AF34*ADRYr3!Q34*ADRYr3!$S34)</f>
        <v/>
      </c>
      <c r="X34" s="27" t="str">
        <f>IF($G34="","",$G34*ADRYr3!$AD34*ADRYr3!$AF34*ADRYr3!P34*ADRYr3!Q34*ADRYr3!$S34)</f>
        <v/>
      </c>
      <c r="Y34" s="27" t="str">
        <f>IF($G34="","",$G34*ADRYr3!$AD34*ADRYr3!$AE34*ADRYr3!Q34*ADRYr3!$T34)</f>
        <v/>
      </c>
      <c r="Z34" s="27" t="str">
        <f>IF($G34="","",$G34*ADRYr3!$AD34*ADRYr3!$AE34*ADRYr3!P34*ADRYr3!Q34*ADRYr3!$T34)</f>
        <v/>
      </c>
      <c r="AA34" s="45" t="str">
        <f>IF($G34="","",$G34*ADRYr3!$Q34*ADRYr3!$U34*(IF(IFERROR(SEARCH("NG", ADRYr3!$AI34),0),ADRYr3!$AJ34,0)+IF(IFERROR(SEARCH("NG", ADRYr3!$AK34),0),ADRYr3!$AL34,0)+IF(IFERROR(SEARCH("NG", ADRYr3!$AM34),0),ADRYr3!$AN34,0)))</f>
        <v/>
      </c>
      <c r="AB34" s="45" t="str">
        <f t="shared" si="54"/>
        <v/>
      </c>
      <c r="AC34" s="45">
        <f>IF($G34="",0,AA34*ADRYr3!$P34)</f>
        <v>0</v>
      </c>
      <c r="AD34" s="45" t="str">
        <f t="shared" si="55"/>
        <v/>
      </c>
      <c r="AE34" s="45" t="str">
        <f>IF($G34="","",$G34*ADRYr3!$Q34*ADRYr3!$U34*(IF(IFERROR(SEARCH("Oil", ADRYr3!$AI34), 0),ADRYr3!$AJ34,0)+IF(IFERROR(SEARCH("Oil", ADRYr3!$AK34), 0),ADRYr3!$AL34,0)+IF(IFERROR(SEARCH("Oil", ADRYr3!$AM34), 0),ADRYr3!$AN34,0)))</f>
        <v/>
      </c>
      <c r="AF34" s="45" t="str">
        <f t="shared" si="56"/>
        <v/>
      </c>
      <c r="AG34" s="45">
        <f>IF($G34="",0,AE34*ADRYr3!$P34)</f>
        <v>0</v>
      </c>
      <c r="AH34" s="45" t="str">
        <f t="shared" si="57"/>
        <v/>
      </c>
      <c r="AI34" s="45" t="str">
        <f>IF($G34="","",$G34*ADRYr3!$Q34*ADRYr3!$U34*(IF(ADRYr3!$AI34=Lookups!$E$114,ADRYr3!$AJ34,IF(ADRYr3!$AK34=Lookups!$E$114,ADRYr3!$AL34,IF(ADRYr3!$AM34=Lookups!$E$114,ADRYr3!$AN34,0)))))</f>
        <v/>
      </c>
      <c r="AJ34" s="45" t="str">
        <f t="shared" si="58"/>
        <v/>
      </c>
      <c r="AK34" s="45">
        <f>IF($G34="",0,AI34*ADRYr3!$P34)</f>
        <v>0</v>
      </c>
      <c r="AL34" s="45" t="str">
        <f t="shared" si="59"/>
        <v/>
      </c>
      <c r="AM34" s="45" t="str">
        <f>IF($G34="","",$G34*ADRYr3!$Q34*ADRYr3!$U34*(IF(ADRYr3!$AI34=Lookups!$E$113,ADRYr3!$AJ34,IF(ADRYr3!$AK34=Lookups!$E$113,ADRYr3!$AL34,IF(ADRYr3!$AM34=Lookups!$E$113,ADRYr3!$AN34,0)))))</f>
        <v/>
      </c>
      <c r="AN34" s="45" t="str">
        <f t="shared" si="60"/>
        <v/>
      </c>
      <c r="AO34" s="45">
        <f>IF($G34="",0,AM34*ADRYr3!$P34)</f>
        <v>0</v>
      </c>
      <c r="AP34" s="45" t="str">
        <f t="shared" si="61"/>
        <v/>
      </c>
      <c r="AQ34" s="45" t="str">
        <f>IF($G34="","",$G34*ADRYr3!$Q34*ADRYr3!$U34*(IF(ADRYr3!$AI34=Lookups!$E$115,ADRYr3!$AJ34,IF(ADRYr3!$AK34=Lookups!$E$115,ADRYr3!$AL34,IF(ADRYr3!$AM34=Lookups!$E$115,ADRYr3!$AN34,0)))))</f>
        <v/>
      </c>
      <c r="AR34" s="45" t="str">
        <f t="shared" si="62"/>
        <v/>
      </c>
      <c r="AS34" s="45" t="str">
        <f>IF($G34="","",AQ34*ADRYr3!$P34)</f>
        <v/>
      </c>
      <c r="AT34" s="45" t="str">
        <f t="shared" si="63"/>
        <v/>
      </c>
      <c r="AU34" s="45" t="str">
        <f>IF($G34="","",$G34*ADRYr3!$Q34*ADRYr3!$U34*(IF(ADRYr3!$AI34=Lookups!$E$116,ADRYr3!$AJ34,IF(ADRYr3!$AK34=Lookups!$E$116,ADRYr3!$AL34,IF(ADRYr3!$AM34=Lookups!$E$116,ADRYr3!$AN34,0)))))</f>
        <v/>
      </c>
      <c r="AV34" s="45" t="str">
        <f t="shared" si="64"/>
        <v/>
      </c>
      <c r="AW34" s="45" t="str">
        <f>IF($G34="","",AU34*ADRYr3!$P34)</f>
        <v/>
      </c>
      <c r="AX34" s="45" t="str">
        <f t="shared" si="65"/>
        <v/>
      </c>
      <c r="AY34" s="45">
        <f t="shared" si="66"/>
        <v>0</v>
      </c>
      <c r="AZ34" s="45">
        <f t="shared" si="67"/>
        <v>0</v>
      </c>
      <c r="BA34" s="101" t="str">
        <f>IF($G34="","",$G34*ADRYr3!$P34*ADRYr3!$Q34*ADRYr3!$U34*ADRYr3!AO34)</f>
        <v/>
      </c>
      <c r="BB34" s="102" t="str">
        <f>IF($G34="","",$G34*ADRYr3!$P34*ADRYr3!$Q34*ADRYr3!$U34*ADRYr3!AP34)</f>
        <v/>
      </c>
      <c r="BC34" s="100" t="str">
        <f t="shared" si="68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31"/>
        <v/>
      </c>
      <c r="BO34" s="31" t="str">
        <f t="shared" si="69"/>
        <v/>
      </c>
      <c r="BP34" s="1129" t="str">
        <f t="shared" si="5"/>
        <v/>
      </c>
      <c r="BQ34" s="28" t="str">
        <f t="shared" si="6"/>
        <v/>
      </c>
      <c r="BR34" s="1129" t="str">
        <f t="shared" si="7"/>
        <v/>
      </c>
      <c r="BS34" s="1129" t="str">
        <f t="shared" si="8"/>
        <v/>
      </c>
      <c r="BT34" s="28" t="str">
        <f t="shared" si="82"/>
        <v/>
      </c>
      <c r="BU34" s="28" t="str">
        <f t="shared" si="82"/>
        <v/>
      </c>
      <c r="BV34" s="28" t="str">
        <f t="shared" si="82"/>
        <v/>
      </c>
      <c r="BW34" s="29" t="str">
        <f t="shared" si="70"/>
        <v/>
      </c>
      <c r="BX34" s="29" t="str">
        <f t="shared" si="71"/>
        <v/>
      </c>
      <c r="BY34" s="28" t="str">
        <f>IF($G34="","",$G34*(IF(ADRYr3!$AI34=BY$4,ADRYr3!$AJ34,IF(ADRYr3!$AK34=BY$4,ADRYr3!$AL34,IF(ADRYr3!$AM34=BY$4,ADRYr3!$AN34,0))))*(INDEX(avoidedcosttbl3,$H34,BY$2)+(($H34-ROUNDDOWN($H34,0))*(INDEX(avoidedcosttbl3,ROUNDUP($H34,0),BY$2)-(INDEX(avoidedcosttbl3,ROUNDDOWN($H34,0),BY$2)))))*ADRYr3!P34*ADRYr3!Q34*ADRYr3!U34)</f>
        <v/>
      </c>
      <c r="BZ34" s="28" t="str">
        <f>IF($G34="","",$G34*(IF(ADRYr3!$AI34=BZ$4,ADRYr3!$AJ34,IF(ADRYr3!$AK34=BZ$4,ADRYr3!$AL34,IF(ADRYr3!$AM34=BZ$4,ADRYr3!$AN34,0))))*(INDEX(avoidedcosttbl3,$H34,BZ$2)+(($H34-ROUNDDOWN($H34,0))*(INDEX(avoidedcosttbl3,ROUNDUP($H34,0),BZ$2)-(INDEX(avoidedcosttbl3,ROUNDDOWN($H34,0),BZ$2)))))*ADRYr3!P34*ADRYr3!Q34*ADRYr3!U34)</f>
        <v/>
      </c>
      <c r="CA34" s="28" t="str">
        <f>IF($G34="","",$G34*(IF(ADRYr3!$AI34=CA$4,ADRYr3!$AJ34,IF(ADRYr3!$AK34=CA$4,ADRYr3!$AL34,IF(ADRYr3!$AM34=CA$4,ADRYr3!$AN34,0))))*(INDEX(avoidedcosttbl3,$H34,CA$2)+(($H34-ROUNDDOWN($H34,0))*(INDEX(avoidedcosttbl3,ROUNDUP($H34,0),CA$2)-(INDEX(avoidedcosttbl3,ROUNDDOWN($H34,0),CA$2)))))*ADRYr3!P34*ADRYr3!Q34*ADRYr3!U34)</f>
        <v/>
      </c>
      <c r="CB34" s="28" t="str">
        <f>IF($G34="","",$G34*(IF(ADRYr3!$AI34=CB$4,ADRYr3!$AJ34,IF(ADRYr3!$AK34=CB$4,ADRYr3!$AL34,IF(ADRYr3!$AM34=CB$4,ADRYr3!$AN34,0))))*(INDEX(avoidedcosttbl3,$H34,CB$2)+(($H34-ROUNDDOWN($H34,0))*(INDEX(avoidedcosttbl3,ROUNDUP($H34,0),CB$2)-(INDEX(avoidedcosttbl3,ROUNDDOWN($H34,0),CB$2)))))*ADRYr3!P34*ADRYr3!Q34*ADRYr3!U34)</f>
        <v/>
      </c>
      <c r="CC34" s="28" t="str">
        <f>IF($G34="","",$G34*(IF(ADRYr3!$AI34=CC$4,ADRYr3!$AJ34,IF(ADRYr3!$AK34=CC$4,ADRYr3!$AL34,IF(ADRYr3!$AM34=CC$4,ADRYr3!$AN34,0))))*(INDEX(avoidedcosttbl3,$H34,CC$2)+(($H34-ROUNDDOWN($H34,0))*(INDEX(avoidedcosttbl3,ROUNDUP($H34,0),CC$2)-(INDEX(avoidedcosttbl3,ROUNDDOWN($H34,0),CC$2)))))*ADRYr3!P34*ADRYr3!Q34*ADRYr3!U34)</f>
        <v/>
      </c>
      <c r="CD34" s="28" t="str">
        <f>IF($G34="","",$G34*(IF(ADRYr3!$AI34=CD$4,ADRYr3!$AJ34,IF(ADRYr3!$AK34=CD$4,ADRYr3!$AL34,IF(ADRYr3!$AM34=CD$4,ADRYr3!$AN34,0))))*(INDEX(avoidedcosttbl3,$H34,CD$2)+(($H34-ROUNDDOWN($H34,0))*(INDEX(avoidedcosttbl3,ROUNDUP($H34,0),CD$2)-(INDEX(avoidedcosttbl3,ROUNDDOWN($H34,0),CD$2)))))*ADRYr3!P34*ADRYr3!Q34*ADRYr3!U34)</f>
        <v/>
      </c>
      <c r="CE34" s="28" t="str">
        <f>IF($G34="","",$G34*(IF(ADRYr3!$AI34=CE$4,ADRYr3!$AJ34,IF(ADRYr3!$AK34=CE$4,ADRYr3!$AL34,IF(ADRYr3!$AM34=CE$4,ADRYr3!$AN34,0))))*(INDEX(avoidedcosttbl3,$H34,CE$2)+(($H34-ROUNDDOWN($H34,0))*(INDEX(avoidedcosttbl3,ROUNDUP($H34,0),CE$2)-(INDEX(avoidedcosttbl3,ROUNDDOWN($H34,0),CE$2)))))*ADRYr3!P34*ADRYr3!Q34*ADRYr3!U34)</f>
        <v/>
      </c>
      <c r="CF34" s="41" t="str">
        <f t="shared" si="72"/>
        <v/>
      </c>
      <c r="CG34" s="30" t="str">
        <f t="shared" si="10"/>
        <v/>
      </c>
      <c r="CH34" s="30" t="str">
        <f>IF($G34="","",$G34*(IF(ADRYr3!$AI34=BY$4,ADRYr3!$AJ34,IF(ADRYr3!$AK34=BY$4,ADRYr3!$AL34,IF(ADRYr3!$AM34=BY$4,ADRYr3!$AN34,0))))*(INDEX(avoidedcosttbl3,$H34,CH$2)+(($H34-ROUNDDOWN($H34,0))*(INDEX(avoidedcosttbl3,ROUNDUP($H34,0),CH$2)-(INDEX(avoidedcosttbl3,ROUNDDOWN($H34,0),CH$2)))))*ADRYr3!P34*ADRYr3!Q34*ADRYr3!U34)</f>
        <v/>
      </c>
      <c r="CI34" s="30" t="str">
        <f>IF($G34="","",$G34*(IF(ADRYr3!$AI34=BZ$4,ADRYr3!$AJ34,IF(ADRYr3!$AK34=BZ$4,ADRYr3!$AL34,IF(ADRYr3!$AM34=BZ$4,ADRYr3!$AN34,0))))*(INDEX(avoidedcosttbl3,$H34,CI$2)+(($H34-ROUNDDOWN($H34,0))*(INDEX(avoidedcosttbl3,ROUNDUP($H34,0),CI$2)-(INDEX(avoidedcosttbl3,ROUNDDOWN($H34,0),CI$2)))))*ADRYr3!P34*ADRYr3!Q34*ADRYr3!U34)</f>
        <v/>
      </c>
      <c r="CJ34" s="30" t="str">
        <f>IF($G34="","",$G34*(IF(ADRYr3!$AI34=CA$4,ADRYr3!$AJ34,IF(ADRYr3!$AK34=CA$4,ADRYr3!$AL34,IF(ADRYr3!$AM34=CA$4,ADRYr3!$AN34,0))))*(INDEX(avoidedcosttbl3,$H34,CJ$2)+(($H34-ROUNDDOWN($H34,0))*(INDEX(avoidedcosttbl3,ROUNDUP($H34,0),CJ$2)-(INDEX(avoidedcosttbl3,ROUNDDOWN($H34,0),CJ$2)))))*ADRYr3!P34*ADRYr3!Q34*ADRYr3!U34)</f>
        <v/>
      </c>
      <c r="CK34" s="30" t="str">
        <f>IF($G34="","",$G34*(IF(ADRYr3!$AI34=CB$4,ADRYr3!$AJ34,IF(ADRYr3!$AK34=CB$4,ADRYr3!$AL34,IF(ADRYr3!$AM34=CB$4,ADRYr3!$AN34,0))))*(INDEX(avoidedcosttbl3,$H34,CK$2)+(($H34-ROUNDDOWN($H34,0))*(INDEX(avoidedcosttbl3,ROUNDUP($H34,0),CK$2)-(INDEX(avoidedcosttbl3,ROUNDDOWN($H34,0),CK$2)))))*ADRYr3!P34*ADRYr3!Q34*ADRYr3!U34)</f>
        <v/>
      </c>
      <c r="CL34" s="30" t="str">
        <f>IF($G34="","",$G34*(IF(ADRYr3!$AI34=CC$4,ADRYr3!$AJ34,IF(ADRYr3!$AK34=CC$4,ADRYr3!$AL34,IF(ADRYr3!$AM34=CC$4,ADRYr3!$AN34,0))))*(INDEX(avoidedcosttbl3,$H34,CL$2)+(($H34-ROUNDDOWN($H34,0))*(INDEX(avoidedcosttbl3,ROUNDUP($H34,0),CL$2)-(INDEX(avoidedcosttbl3,ROUNDDOWN($H34,0),CL$2)))))*ADRYr3!P34*ADRYr3!Q34*ADRYr3!U34)</f>
        <v/>
      </c>
      <c r="CM34" s="30" t="str">
        <f>IF($G34="","",$G34*(IF(ADRYr3!$AI34=CD$4,ADRYr3!$AJ34,IF(ADRYr3!$AK34=CD$4,ADRYr3!$AL34,IF(ADRYr3!$AM34=CD$4,ADRYr3!$AN34,0))))*(INDEX(avoidedcosttbl3,$H34,CM$2)+(($H34-ROUNDDOWN($H34,0))*(INDEX(avoidedcosttbl3,ROUNDUP($H34,0),CM$2)-(INDEX(avoidedcosttbl3,ROUNDDOWN($H34,0),CM$2)))))*ADRYr3!P34*ADRYr3!Q34*ADRYr3!U34)</f>
        <v/>
      </c>
      <c r="CN34" s="30" t="str">
        <f>IF($G34="","",$G34*(IF(ADRYr3!$AI34=CE$4,ADRYr3!$AJ34,IF(ADRYr3!$AK34=CE$4,ADRYr3!$AL34,IF(ADRYr3!$AM34=CE$4,ADRYr3!$AN34,0))))*(INDEX(avoidedcosttbl3,$H34,CN$2)+(($H34-ROUNDDOWN($H34,0))*(INDEX(avoidedcosttbl3,ROUNDUP($H34,0),CN$2)-(INDEX(avoidedcosttbl3,ROUNDDOWN($H34,0),CN$2)))))*ADRYr3!P34*ADRYr3!Q34*ADRYr3!U34)</f>
        <v/>
      </c>
      <c r="CO34" s="220" t="str">
        <f t="shared" si="73"/>
        <v/>
      </c>
      <c r="CP34" s="220" t="str">
        <f t="shared" si="74"/>
        <v/>
      </c>
      <c r="CQ34" s="157" t="str">
        <f>IF($G34="","",$G34*(IF(ADRYr3!$AI34=CQ$4,ADRYr3!$AJ34,IF(ADRYr3!$AK34=CQ$4,ADRYr3!$AL34,IF(ADRYr3!$AM34=CQ$4,ADRYr3!$AN34,0))))*(INDEX(avoidedcosttbl3,$H34,CQ$2)+(($H34-ROUNDDOWN($H34,0))*(INDEX(avoidedcosttbl3,ROUNDUP($H34,0),CQ$2)-(INDEX(avoidedcosttbl3,ROUNDDOWN($H34,0),CQ$2)))))*ADRYr3!$P34*ADRYr3!$Q34*ADRYr3!$U34)</f>
        <v/>
      </c>
      <c r="CR34" s="28" t="str">
        <f>IF($G34="","",G34*(IF(ADRYr3!$AI34=CR$4,ADRYr3!$AJ34,IF(ADRYr3!$AK34=CR$4,ADRYr3!$AL34,IF(ADRYr3!$AM34=CR$4,ADRYr3!$AN34,0))))*(INDEX(avoidedcosttbl3,$H34,CR$2)+(($H34-ROUNDDOWN($H34,0))*(INDEX(avoidedcosttbl3,ROUNDUP($H34,0),CR$2)-(INDEX(avoidedcosttbl3,ROUNDDOWN($H34,0),CR$2)))))*ADRYr3!$P34*ADRYr3!$Q34*ADRYr3!$U34)</f>
        <v/>
      </c>
      <c r="CS34" s="28" t="str">
        <f>IF($G34="","",G34*(IF(ADRYr3!$AI34=CS$4,ADRYr3!$AJ34,IF(ADRYr3!$AK34=CS$4,ADRYr3!$AL34,IF(ADRYr3!$AM34=CS$4,ADRYr3!$AN34,0))))*(INDEX(avoidedcosttbl3,$H34,CS$2)+(($H34-ROUNDDOWN($H34,0))*(INDEX(avoidedcosttbl3,ROUNDUP($H34,0),CS$2)-(INDEX(avoidedcosttbl3,ROUNDDOWN($H34,0),CS$2)))))*ADRYr3!$P34*ADRYr3!$Q34*ADRYr3!$U34)</f>
        <v/>
      </c>
      <c r="CT34" s="28" t="str">
        <f t="shared" si="11"/>
        <v/>
      </c>
      <c r="CU34" s="28" t="str">
        <f>IF($G34="","",G34*(IF(ADRYr3!$AI34=CU$4,ADRYr3!$AJ34,IF(ADRYr3!$AK34=CU$4,ADRYr3!$AL34,IF(ADRYr3!$AM34=CU$4,ADRYr3!$AN34,0))))*(INDEX(avoidedcosttbl3,$H34,CU$2)+(($H34-ROUNDDOWN($H34,0))*(INDEX(avoidedcosttbl3,ROUNDUP($H34,0),CU$2)-(INDEX(avoidedcosttbl3,ROUNDDOWN($H34,0),CU$2)))))*ADRYr3!$P34*ADRYr3!$Q34*ADRYr3!$U34)</f>
        <v/>
      </c>
      <c r="CV34" s="28" t="str">
        <f>IF($G34="","",G34*(IF(ADRYr3!$AI34=CV$4,ADRYr3!$AJ34,IF(ADRYr3!$AK34=CV$4,ADRYr3!$AL34,IF(ADRYr3!$AM34=CV$4,ADRYr3!$AN34,0))))*(INDEX(avoidedcosttbl3,$H34,CV$2)+(($H34-ROUNDDOWN($H34,0))*(INDEX(avoidedcosttbl3,ROUNDUP($H34,0),CV$2)-(INDEX(avoidedcosttbl3,ROUNDDOWN($H34,0),CV$2)))))*ADRYr3!$P34*ADRYr3!$Q34*ADRYr3!$U34)</f>
        <v/>
      </c>
      <c r="CW34" s="28" t="str">
        <f>IF($G34="","",G34*(IF(ADRYr3!$AI34=CW$4,ADRYr3!$AJ34,IF(ADRYr3!$AK34=CW$4,ADRYr3!$AL34,IF(ADRYr3!$AM34=CW$4,ADRYr3!$AN34,0))))*(INDEX(avoidedcosttbl3,$H34,CW$2)+(($H34-ROUNDDOWN($H34,0))*(INDEX(avoidedcosttbl3,ROUNDUP($H34,0),CW$2)-(INDEX(avoidedcosttbl3,ROUNDDOWN($H34,0),CW$2)))))*ADRYr3!$P34*ADRYr3!$Q34*ADRYr3!$U34)</f>
        <v/>
      </c>
      <c r="CX34" s="28" t="str">
        <f>IF($G34="","",G34*(IF(ADRYr3!$AI34=CX$4,ADRYr3!$AJ34,IF(ADRYr3!$AK34=CX$4,ADRYr3!$AL34,IF(ADRYr3!$AM34=CX$4,ADRYr3!$AN34,0))))*(INDEX(avoidedcosttbl3,$H34,CX$2)+(($H34-ROUNDDOWN($H34,0))*(INDEX(avoidedcosttbl3,ROUNDUP($H34,0),CX$2)-(INDEX(avoidedcosttbl3,ROUNDDOWN($H34,0),CX$2)))))*ADRYr3!$P34*ADRYr3!$Q34*ADRYr3!$U34)</f>
        <v/>
      </c>
      <c r="CY34" s="28" t="str">
        <f t="shared" si="75"/>
        <v/>
      </c>
      <c r="CZ34" s="32" t="str">
        <f t="shared" si="76"/>
        <v/>
      </c>
      <c r="DA34" s="84" t="str">
        <f t="shared" si="77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78"/>
        <v/>
      </c>
      <c r="DD34" s="166" t="str">
        <f t="shared" si="79"/>
        <v/>
      </c>
      <c r="DE34" s="82">
        <f t="shared" si="80"/>
        <v>0</v>
      </c>
      <c r="DF34" s="760" t="str">
        <f>IF($G34="","",(1+WntPeakEnergyLL)*(INDEX(avoidedcosttbl3,$H34,DF$2)+(($H34-ROUNDDOWN($H34,0))*(INDEX(avoidedcosttbl3,ROUNDUP($H34,0),DF$2)-(INDEX(avoidedcosttbl3,ROUNDDOWN($H34,0),DF$2)))))*$P34*1000*ADRYr3!Z34)</f>
        <v/>
      </c>
      <c r="DG34" s="760" t="str">
        <f>IF($G34="","",(1+WntOffPeakEnergyLL)*(INDEX(avoidedcosttbl3,$H34,DG$2)+(($H34-ROUNDDOWN($H34,0))*(INDEX(avoidedcosttbl3,ROUNDUP($H34,0),DG$2)-(INDEX(avoidedcosttbl3,ROUNDDOWN($H34,0),DG$2)))))*$P34*1000*ADRYr3!AA34)</f>
        <v/>
      </c>
      <c r="DH34" s="760" t="str">
        <f>IF($G34="","",(1+SumPeakEnergyLL)*(INDEX(avoidedcosttbl3,$H34,DH$2)+(($H34-ROUNDDOWN($H34,0))*(INDEX(avoidedcosttbl3,ROUNDUP($H34,0),DH$2)-(INDEX(avoidedcosttbl3,ROUNDDOWN($H34,0),DH$2)))))*$P34*1000*ADRYr3!AB34)</f>
        <v/>
      </c>
      <c r="DI34" s="760" t="str">
        <f>IF($G34="","",(1+SumOffPeakEnergyLL)*(INDEX(avoidedcosttbl3,$H34,DI$2)+(($H34-ROUNDDOWN($H34,0))*(INDEX(avoidedcosttbl3,ROUNDUP($H34,0),DI$2)-(INDEX(avoidedcosttbl3,ROUNDDOWN($H34,0),DI$2)))))*$P34*1000*ADRYr3!AC34)</f>
        <v/>
      </c>
      <c r="DJ34" s="29" t="str">
        <f t="shared" si="81"/>
        <v/>
      </c>
      <c r="DK34" s="161" t="str">
        <f t="shared" si="45"/>
        <v/>
      </c>
      <c r="DL34" s="1375" t="str">
        <f t="shared" si="46"/>
        <v/>
      </c>
      <c r="DM34" s="1375" t="str">
        <f t="shared" si="47"/>
        <v/>
      </c>
      <c r="DN34" s="43" t="str">
        <f t="shared" si="48"/>
        <v/>
      </c>
      <c r="DO34" s="1131" t="str">
        <f>IF($G34="","",ADRYr3!AQ34)</f>
        <v/>
      </c>
      <c r="DP34" s="1133" t="str">
        <f>IF($G34="","",ADRYr3!AR34)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49"/>
        <v/>
      </c>
      <c r="DU34" s="1135" t="str">
        <f>IF($G34="","",ADRYr3!AS34)</f>
        <v/>
      </c>
      <c r="DV34" s="1136" t="str">
        <f>IF($G34="","",ADRYr3!AT34)</f>
        <v/>
      </c>
      <c r="DW34" s="1344" t="str">
        <f>IF($G34="","",INDEX(AvoidedEnergy!$H$4:$H$10,MATCH($DO34,AvoidedEnergy!$A$4:$A$10,0)))</f>
        <v/>
      </c>
    </row>
    <row r="35" spans="1:127">
      <c r="A35" s="160" t="str">
        <f>IF(ADRYr3!$B35=0,"",ADRYr3!A35)</f>
        <v>C - Commercial &amp; Industrial</v>
      </c>
      <c r="B35" s="9" t="str">
        <f>IF(ADRYr3!$B35=0,"",ADRYr3!B35)</f>
        <v>C5 - C&amp;I Active Demand Response</v>
      </c>
      <c r="C35" s="9" t="str">
        <f>IF(ADRYr3!$B35=0,"",ADRYr3!C35)</f>
        <v>C5a - C&amp;I Active Demand Response</v>
      </c>
      <c r="D35" s="9" t="str">
        <f>IF(ADRYr3!$B35=0,"",ADRYr3!D35)</f>
        <v>Storage Daily Dispatch P4P (savings) Summer</v>
      </c>
      <c r="E35" s="9" t="str">
        <f>IF(ADRYr3!$B35=0,"",ADRYr3!E35)</f>
        <v>E21C5a002</v>
      </c>
      <c r="F35" s="11" t="str">
        <f>IF(ADRYr3!$B35=0,"",ADRYr3!F35)</f>
        <v>Behavior</v>
      </c>
      <c r="G35" s="12">
        <f>IF(ADRYr3!$G35&lt;&gt;0,ADRYr3!G35,"")</f>
        <v>1</v>
      </c>
      <c r="H35" s="1125">
        <f>IF($G35="","",ROUND(ADRYr3!H35,0))</f>
        <v>1</v>
      </c>
      <c r="I35" s="47">
        <f>IF($G35="","",ADRYr3!I35*ADRYr3!P35*G35)</f>
        <v>20000</v>
      </c>
      <c r="J35" s="47">
        <f>IF($G35="","",ADRYr3!J35*G35)</f>
        <v>20000</v>
      </c>
      <c r="K35" s="47">
        <f t="shared" si="50"/>
        <v>0</v>
      </c>
      <c r="L35" s="27">
        <f>IF($G35="","",ADRYr3!V35*G35/1000)</f>
        <v>15</v>
      </c>
      <c r="M35" s="27">
        <f>IF($G35="","",L35*ADRYr3!$Q35*ADRYr3!$R35)</f>
        <v>15</v>
      </c>
      <c r="N35" s="27">
        <f t="shared" si="51"/>
        <v>15</v>
      </c>
      <c r="O35" s="27">
        <f t="shared" si="52"/>
        <v>15</v>
      </c>
      <c r="P35" s="27">
        <f>IF($G35="","",M35*ADRYr3!P35)</f>
        <v>15</v>
      </c>
      <c r="Q35" s="27">
        <f t="shared" si="53"/>
        <v>15</v>
      </c>
      <c r="R35" s="27">
        <f>IF($G35="","",$Q35*ADRYr3!Z35)</f>
        <v>0</v>
      </c>
      <c r="S35" s="27">
        <f>IF($G35="","",$Q35*ADRYr3!AA35)</f>
        <v>0</v>
      </c>
      <c r="T35" s="27">
        <f>IF($G35="","",$Q35*ADRYr3!AB35)</f>
        <v>15</v>
      </c>
      <c r="U35" s="27">
        <f>IF($G35="","",$Q35*ADRYr3!AC35)</f>
        <v>0</v>
      </c>
      <c r="V35" s="27">
        <f>IF($G35="","",G35*ADRYr3!$AD35*ADRYr3!$P35*ADRYr3!$Q35)</f>
        <v>100</v>
      </c>
      <c r="W35" s="27">
        <f>IF($G35="","",$G35*ADRYr3!$AD35*ADRYr3!$AF35*ADRYr3!Q35*ADRYr3!$S35)</f>
        <v>0</v>
      </c>
      <c r="X35" s="27">
        <f>IF($G35="","",$G35*ADRYr3!$AD35*ADRYr3!$AF35*ADRYr3!P35*ADRYr3!Q35*ADRYr3!$S35)</f>
        <v>0</v>
      </c>
      <c r="Y35" s="27">
        <f>IF($G35="","",$G35*ADRYr3!$AD35*ADRYr3!$AE35*ADRYr3!Q35*ADRYr3!$T35)</f>
        <v>100</v>
      </c>
      <c r="Z35" s="27">
        <f>IF($G35="","",$G35*ADRYr3!$AD35*ADRYr3!$AE35*ADRYr3!P35*ADRYr3!Q35*ADRYr3!$T35)</f>
        <v>100</v>
      </c>
      <c r="AA35" s="45">
        <f>IF($G35="","",$G35*ADRYr3!$Q35*ADRYr3!$U35*(IF(IFERROR(SEARCH("NG", ADRYr3!$AI35),0),ADRYr3!$AJ35,0)+IF(IFERROR(SEARCH("NG", ADRYr3!$AK35),0),ADRYr3!$AL35,0)+IF(IFERROR(SEARCH("NG", ADRYr3!$AM35),0),ADRYr3!$AN35,0)))</f>
        <v>0</v>
      </c>
      <c r="AB35" s="45">
        <f t="shared" si="54"/>
        <v>0</v>
      </c>
      <c r="AC35" s="45">
        <f>IF($G35="",0,AA35*ADRYr3!$P35)</f>
        <v>0</v>
      </c>
      <c r="AD35" s="45">
        <f t="shared" si="55"/>
        <v>0</v>
      </c>
      <c r="AE35" s="45">
        <f>IF($G35="","",$G35*ADRYr3!$Q35*ADRYr3!$U35*(IF(IFERROR(SEARCH("Oil", ADRYr3!$AI35), 0),ADRYr3!$AJ35,0)+IF(IFERROR(SEARCH("Oil", ADRYr3!$AK35), 0),ADRYr3!$AL35,0)+IF(IFERROR(SEARCH("Oil", ADRYr3!$AM35), 0),ADRYr3!$AN35,0)))</f>
        <v>0</v>
      </c>
      <c r="AF35" s="45">
        <f t="shared" si="56"/>
        <v>0</v>
      </c>
      <c r="AG35" s="45">
        <f>IF($G35="",0,AE35*ADRYr3!$P35)</f>
        <v>0</v>
      </c>
      <c r="AH35" s="45">
        <f t="shared" si="57"/>
        <v>0</v>
      </c>
      <c r="AI35" s="45">
        <f>IF($G35="","",$G35*ADRYr3!$Q35*ADRYr3!$U35*(IF(ADRYr3!$AI35=Lookups!$E$114,ADRYr3!$AJ35,IF(ADRYr3!$AK35=Lookups!$E$114,ADRYr3!$AL35,IF(ADRYr3!$AM35=Lookups!$E$114,ADRYr3!$AN35,0)))))</f>
        <v>0</v>
      </c>
      <c r="AJ35" s="45">
        <f t="shared" si="58"/>
        <v>0</v>
      </c>
      <c r="AK35" s="45">
        <f>IF($G35="",0,AI35*ADRYr3!$P35)</f>
        <v>0</v>
      </c>
      <c r="AL35" s="45">
        <f t="shared" si="59"/>
        <v>0</v>
      </c>
      <c r="AM35" s="45">
        <f>IF($G35="","",$G35*ADRYr3!$Q35*ADRYr3!$U35*(IF(ADRYr3!$AI35=Lookups!$E$113,ADRYr3!$AJ35,IF(ADRYr3!$AK35=Lookups!$E$113,ADRYr3!$AL35,IF(ADRYr3!$AM35=Lookups!$E$113,ADRYr3!$AN35,0)))))</f>
        <v>0</v>
      </c>
      <c r="AN35" s="45">
        <f t="shared" si="60"/>
        <v>0</v>
      </c>
      <c r="AO35" s="45">
        <f>IF($G35="",0,AM35*ADRYr3!$P35)</f>
        <v>0</v>
      </c>
      <c r="AP35" s="45">
        <f t="shared" si="61"/>
        <v>0</v>
      </c>
      <c r="AQ35" s="45">
        <f>IF($G35="","",$G35*ADRYr3!$Q35*ADRYr3!$U35*(IF(ADRYr3!$AI35=Lookups!$E$115,ADRYr3!$AJ35,IF(ADRYr3!$AK35=Lookups!$E$115,ADRYr3!$AL35,IF(ADRYr3!$AM35=Lookups!$E$115,ADRYr3!$AN35,0)))))</f>
        <v>0</v>
      </c>
      <c r="AR35" s="45">
        <f t="shared" si="62"/>
        <v>0</v>
      </c>
      <c r="AS35" s="45">
        <f>IF($G35="","",AQ35*ADRYr3!$P35)</f>
        <v>0</v>
      </c>
      <c r="AT35" s="45">
        <f t="shared" si="63"/>
        <v>0</v>
      </c>
      <c r="AU35" s="45">
        <f>IF($G35="","",$G35*ADRYr3!$Q35*ADRYr3!$U35*(IF(ADRYr3!$AI35=Lookups!$E$116,ADRYr3!$AJ35,IF(ADRYr3!$AK35=Lookups!$E$116,ADRYr3!$AL35,IF(ADRYr3!$AM35=Lookups!$E$116,ADRYr3!$AN35,0)))))</f>
        <v>0</v>
      </c>
      <c r="AV35" s="45">
        <f t="shared" si="64"/>
        <v>0</v>
      </c>
      <c r="AW35" s="45">
        <f>IF($G35="","",AU35*ADRYr3!$P35)</f>
        <v>0</v>
      </c>
      <c r="AX35" s="45">
        <f t="shared" si="65"/>
        <v>0</v>
      </c>
      <c r="AY35" s="45">
        <f t="shared" si="66"/>
        <v>0</v>
      </c>
      <c r="AZ35" s="45">
        <f t="shared" si="67"/>
        <v>0</v>
      </c>
      <c r="BA35" s="101">
        <f>IF($G35="","",$G35*ADRYr3!$P35*ADRYr3!$Q35*ADRYr3!$U35*ADRYr3!AO35)</f>
        <v>0</v>
      </c>
      <c r="BB35" s="102">
        <f>IF($G35="","",$G35*ADRYr3!$P35*ADRYr3!$Q35*ADRYr3!$U35*ADRYr3!AP35)</f>
        <v>0</v>
      </c>
      <c r="BC35" s="100">
        <f t="shared" si="68"/>
        <v>0</v>
      </c>
      <c r="BD35" s="1126"/>
      <c r="BE35" s="1126"/>
      <c r="BF35" s="1126"/>
      <c r="BG35" s="1126"/>
      <c r="BH35" s="1127">
        <f t="shared" si="3"/>
        <v>854.04106825157055</v>
      </c>
      <c r="BI35" s="1126"/>
      <c r="BJ35" s="1126"/>
      <c r="BK35" s="1126"/>
      <c r="BL35" s="1126"/>
      <c r="BM35" s="30">
        <f t="shared" si="4"/>
        <v>28.489827681193418</v>
      </c>
      <c r="BN35" s="1128">
        <f t="shared" si="31"/>
        <v>28.489827681193418</v>
      </c>
      <c r="BO35" s="31">
        <f t="shared" si="69"/>
        <v>882.530895932764</v>
      </c>
      <c r="BP35" s="1129">
        <f t="shared" si="5"/>
        <v>11368.937147499675</v>
      </c>
      <c r="BQ35" s="28">
        <f t="shared" si="6"/>
        <v>0</v>
      </c>
      <c r="BR35" s="1129">
        <f t="shared" si="7"/>
        <v>24012.007209898675</v>
      </c>
      <c r="BS35" s="1129">
        <f t="shared" si="8"/>
        <v>0</v>
      </c>
      <c r="BT35" s="28">
        <f t="shared" si="82"/>
        <v>10210.105494281926</v>
      </c>
      <c r="BU35" s="28">
        <f t="shared" si="82"/>
        <v>0</v>
      </c>
      <c r="BV35" s="28">
        <f t="shared" si="82"/>
        <v>8844.899231666388</v>
      </c>
      <c r="BW35" s="29">
        <f t="shared" si="70"/>
        <v>54435.949083346663</v>
      </c>
      <c r="BX35" s="29">
        <f t="shared" si="71"/>
        <v>55318.479979279429</v>
      </c>
      <c r="BY35" s="28">
        <f>IF($G35="","",$G35*(IF(ADRYr3!$AI35=BY$4,ADRYr3!$AJ35,IF(ADRYr3!$AK35=BY$4,ADRYr3!$AL35,IF(ADRYr3!$AM35=BY$4,ADRYr3!$AN35,0))))*(INDEX(avoidedcosttbl3,$H35,BY$2)+(($H35-ROUNDDOWN($H35,0))*(INDEX(avoidedcosttbl3,ROUNDUP($H35,0),BY$2)-(INDEX(avoidedcosttbl3,ROUNDDOWN($H35,0),BY$2)))))*ADRYr3!P35*ADRYr3!Q35*ADRYr3!U35)</f>
        <v>0</v>
      </c>
      <c r="BZ35" s="28">
        <f>IF($G35="","",$G35*(IF(ADRYr3!$AI35=BZ$4,ADRYr3!$AJ35,IF(ADRYr3!$AK35=BZ$4,ADRYr3!$AL35,IF(ADRYr3!$AM35=BZ$4,ADRYr3!$AN35,0))))*(INDEX(avoidedcosttbl3,$H35,BZ$2)+(($H35-ROUNDDOWN($H35,0))*(INDEX(avoidedcosttbl3,ROUNDUP($H35,0),BZ$2)-(INDEX(avoidedcosttbl3,ROUNDDOWN($H35,0),BZ$2)))))*ADRYr3!P35*ADRYr3!Q35*ADRYr3!U35)</f>
        <v>0</v>
      </c>
      <c r="CA35" s="28">
        <f>IF($G35="","",$G35*(IF(ADRYr3!$AI35=CA$4,ADRYr3!$AJ35,IF(ADRYr3!$AK35=CA$4,ADRYr3!$AL35,IF(ADRYr3!$AM35=CA$4,ADRYr3!$AN35,0))))*(INDEX(avoidedcosttbl3,$H35,CA$2)+(($H35-ROUNDDOWN($H35,0))*(INDEX(avoidedcosttbl3,ROUNDUP($H35,0),CA$2)-(INDEX(avoidedcosttbl3,ROUNDDOWN($H35,0),CA$2)))))*ADRYr3!P35*ADRYr3!Q35*ADRYr3!U35)</f>
        <v>0</v>
      </c>
      <c r="CB35" s="28">
        <f>IF($G35="","",$G35*(IF(ADRYr3!$AI35=CB$4,ADRYr3!$AJ35,IF(ADRYr3!$AK35=CB$4,ADRYr3!$AL35,IF(ADRYr3!$AM35=CB$4,ADRYr3!$AN35,0))))*(INDEX(avoidedcosttbl3,$H35,CB$2)+(($H35-ROUNDDOWN($H35,0))*(INDEX(avoidedcosttbl3,ROUNDUP($H35,0),CB$2)-(INDEX(avoidedcosttbl3,ROUNDDOWN($H35,0),CB$2)))))*ADRYr3!P35*ADRYr3!Q35*ADRYr3!U35)</f>
        <v>0</v>
      </c>
      <c r="CC35" s="28">
        <f>IF($G35="","",$G35*(IF(ADRYr3!$AI35=CC$4,ADRYr3!$AJ35,IF(ADRYr3!$AK35=CC$4,ADRYr3!$AL35,IF(ADRYr3!$AM35=CC$4,ADRYr3!$AN35,0))))*(INDEX(avoidedcosttbl3,$H35,CC$2)+(($H35-ROUNDDOWN($H35,0))*(INDEX(avoidedcosttbl3,ROUNDUP($H35,0),CC$2)-(INDEX(avoidedcosttbl3,ROUNDDOWN($H35,0),CC$2)))))*ADRYr3!P35*ADRYr3!Q35*ADRYr3!U35)</f>
        <v>0</v>
      </c>
      <c r="CD35" s="28">
        <f>IF($G35="","",$G35*(IF(ADRYr3!$AI35=CD$4,ADRYr3!$AJ35,IF(ADRYr3!$AK35=CD$4,ADRYr3!$AL35,IF(ADRYr3!$AM35=CD$4,ADRYr3!$AN35,0))))*(INDEX(avoidedcosttbl3,$H35,CD$2)+(($H35-ROUNDDOWN($H35,0))*(INDEX(avoidedcosttbl3,ROUNDUP($H35,0),CD$2)-(INDEX(avoidedcosttbl3,ROUNDDOWN($H35,0),CD$2)))))*ADRYr3!P35*ADRYr3!Q35*ADRYr3!U35)</f>
        <v>0</v>
      </c>
      <c r="CE35" s="28">
        <f>IF($G35="","",$G35*(IF(ADRYr3!$AI35=CE$4,ADRYr3!$AJ35,IF(ADRYr3!$AK35=CE$4,ADRYr3!$AL35,IF(ADRYr3!$AM35=CE$4,ADRYr3!$AN35,0))))*(INDEX(avoidedcosttbl3,$H35,CE$2)+(($H35-ROUNDDOWN($H35,0))*(INDEX(avoidedcosttbl3,ROUNDUP($H35,0),CE$2)-(INDEX(avoidedcosttbl3,ROUNDDOWN($H35,0),CE$2)))))*ADRYr3!P35*ADRYr3!Q35*ADRYr3!U35)</f>
        <v>0</v>
      </c>
      <c r="CF35" s="41">
        <f t="shared" si="72"/>
        <v>0</v>
      </c>
      <c r="CG35" s="30">
        <f t="shared" si="10"/>
        <v>0</v>
      </c>
      <c r="CH35" s="30">
        <f>IF($G35="","",$G35*(IF(ADRYr3!$AI35=BY$4,ADRYr3!$AJ35,IF(ADRYr3!$AK35=BY$4,ADRYr3!$AL35,IF(ADRYr3!$AM35=BY$4,ADRYr3!$AN35,0))))*(INDEX(avoidedcosttbl3,$H35,CH$2)+(($H35-ROUNDDOWN($H35,0))*(INDEX(avoidedcosttbl3,ROUNDUP($H35,0),CH$2)-(INDEX(avoidedcosttbl3,ROUNDDOWN($H35,0),CH$2)))))*ADRYr3!P35*ADRYr3!Q35*ADRYr3!U35)</f>
        <v>0</v>
      </c>
      <c r="CI35" s="30">
        <f>IF($G35="","",$G35*(IF(ADRYr3!$AI35=BZ$4,ADRYr3!$AJ35,IF(ADRYr3!$AK35=BZ$4,ADRYr3!$AL35,IF(ADRYr3!$AM35=BZ$4,ADRYr3!$AN35,0))))*(INDEX(avoidedcosttbl3,$H35,CI$2)+(($H35-ROUNDDOWN($H35,0))*(INDEX(avoidedcosttbl3,ROUNDUP($H35,0),CI$2)-(INDEX(avoidedcosttbl3,ROUNDDOWN($H35,0),CI$2)))))*ADRYr3!P35*ADRYr3!Q35*ADRYr3!U35)</f>
        <v>0</v>
      </c>
      <c r="CJ35" s="30">
        <f>IF($G35="","",$G35*(IF(ADRYr3!$AI35=CA$4,ADRYr3!$AJ35,IF(ADRYr3!$AK35=CA$4,ADRYr3!$AL35,IF(ADRYr3!$AM35=CA$4,ADRYr3!$AN35,0))))*(INDEX(avoidedcosttbl3,$H35,CJ$2)+(($H35-ROUNDDOWN($H35,0))*(INDEX(avoidedcosttbl3,ROUNDUP($H35,0),CJ$2)-(INDEX(avoidedcosttbl3,ROUNDDOWN($H35,0),CJ$2)))))*ADRYr3!P35*ADRYr3!Q35*ADRYr3!U35)</f>
        <v>0</v>
      </c>
      <c r="CK35" s="30">
        <f>IF($G35="","",$G35*(IF(ADRYr3!$AI35=CB$4,ADRYr3!$AJ35,IF(ADRYr3!$AK35=CB$4,ADRYr3!$AL35,IF(ADRYr3!$AM35=CB$4,ADRYr3!$AN35,0))))*(INDEX(avoidedcosttbl3,$H35,CK$2)+(($H35-ROUNDDOWN($H35,0))*(INDEX(avoidedcosttbl3,ROUNDUP($H35,0),CK$2)-(INDEX(avoidedcosttbl3,ROUNDDOWN($H35,0),CK$2)))))*ADRYr3!P35*ADRYr3!Q35*ADRYr3!U35)</f>
        <v>0</v>
      </c>
      <c r="CL35" s="30">
        <f>IF($G35="","",$G35*(IF(ADRYr3!$AI35=CC$4,ADRYr3!$AJ35,IF(ADRYr3!$AK35=CC$4,ADRYr3!$AL35,IF(ADRYr3!$AM35=CC$4,ADRYr3!$AN35,0))))*(INDEX(avoidedcosttbl3,$H35,CL$2)+(($H35-ROUNDDOWN($H35,0))*(INDEX(avoidedcosttbl3,ROUNDUP($H35,0),CL$2)-(INDEX(avoidedcosttbl3,ROUNDDOWN($H35,0),CL$2)))))*ADRYr3!P35*ADRYr3!Q35*ADRYr3!U35)</f>
        <v>0</v>
      </c>
      <c r="CM35" s="30">
        <f>IF($G35="","",$G35*(IF(ADRYr3!$AI35=CD$4,ADRYr3!$AJ35,IF(ADRYr3!$AK35=CD$4,ADRYr3!$AL35,IF(ADRYr3!$AM35=CD$4,ADRYr3!$AN35,0))))*(INDEX(avoidedcosttbl3,$H35,CM$2)+(($H35-ROUNDDOWN($H35,0))*(INDEX(avoidedcosttbl3,ROUNDUP($H35,0),CM$2)-(INDEX(avoidedcosttbl3,ROUNDDOWN($H35,0),CM$2)))))*ADRYr3!P35*ADRYr3!Q35*ADRYr3!U35)</f>
        <v>0</v>
      </c>
      <c r="CN35" s="30">
        <f>IF($G35="","",$G35*(IF(ADRYr3!$AI35=CE$4,ADRYr3!$AJ35,IF(ADRYr3!$AK35=CE$4,ADRYr3!$AL35,IF(ADRYr3!$AM35=CE$4,ADRYr3!$AN35,0))))*(INDEX(avoidedcosttbl3,$H35,CN$2)+(($H35-ROUNDDOWN($H35,0))*(INDEX(avoidedcosttbl3,ROUNDUP($H35,0),CN$2)-(INDEX(avoidedcosttbl3,ROUNDDOWN($H35,0),CN$2)))))*ADRYr3!P35*ADRYr3!Q35*ADRYr3!U35)</f>
        <v>0</v>
      </c>
      <c r="CO35" s="220">
        <f t="shared" si="73"/>
        <v>0</v>
      </c>
      <c r="CP35" s="220">
        <f t="shared" si="74"/>
        <v>0</v>
      </c>
      <c r="CQ35" s="157">
        <f>IF($G35="","",$G35*(IF(ADRYr3!$AI35=CQ$4,ADRYr3!$AJ35,IF(ADRYr3!$AK35=CQ$4,ADRYr3!$AL35,IF(ADRYr3!$AM35=CQ$4,ADRYr3!$AN35,0))))*(INDEX(avoidedcosttbl3,$H35,CQ$2)+(($H35-ROUNDDOWN($H35,0))*(INDEX(avoidedcosttbl3,ROUNDUP($H35,0),CQ$2)-(INDEX(avoidedcosttbl3,ROUNDDOWN($H35,0),CQ$2)))))*ADRYr3!$P35*ADRYr3!$Q35*ADRYr3!$U35)</f>
        <v>0</v>
      </c>
      <c r="CR35" s="28">
        <f>IF($G35="","",G35*(IF(ADRYr3!$AI35=CR$4,ADRYr3!$AJ35,IF(ADRYr3!$AK35=CR$4,ADRYr3!$AL35,IF(ADRYr3!$AM35=CR$4,ADRYr3!$AN35,0))))*(INDEX(avoidedcosttbl3,$H35,CR$2)+(($H35-ROUNDDOWN($H35,0))*(INDEX(avoidedcosttbl3,ROUNDUP($H35,0),CR$2)-(INDEX(avoidedcosttbl3,ROUNDDOWN($H35,0),CR$2)))))*ADRYr3!$P35*ADRYr3!$Q35*ADRYr3!$U35)</f>
        <v>0</v>
      </c>
      <c r="CS35" s="28">
        <f>IF($G35="","",G35*(IF(ADRYr3!$AI35=CS$4,ADRYr3!$AJ35,IF(ADRYr3!$AK35=CS$4,ADRYr3!$AL35,IF(ADRYr3!$AM35=CS$4,ADRYr3!$AN35,0))))*(INDEX(avoidedcosttbl3,$H35,CS$2)+(($H35-ROUNDDOWN($H35,0))*(INDEX(avoidedcosttbl3,ROUNDUP($H35,0),CS$2)-(INDEX(avoidedcosttbl3,ROUNDDOWN($H35,0),CS$2)))))*ADRYr3!$P35*ADRYr3!$Q35*ADRYr3!$U35)</f>
        <v>0</v>
      </c>
      <c r="CT35" s="28">
        <f t="shared" si="11"/>
        <v>0</v>
      </c>
      <c r="CU35" s="28">
        <f>IF($G35="","",G35*(IF(ADRYr3!$AI35=CU$4,ADRYr3!$AJ35,IF(ADRYr3!$AK35=CU$4,ADRYr3!$AL35,IF(ADRYr3!$AM35=CU$4,ADRYr3!$AN35,0))))*(INDEX(avoidedcosttbl3,$H35,CU$2)+(($H35-ROUNDDOWN($H35,0))*(INDEX(avoidedcosttbl3,ROUNDUP($H35,0),CU$2)-(INDEX(avoidedcosttbl3,ROUNDDOWN($H35,0),CU$2)))))*ADRYr3!$P35*ADRYr3!$Q35*ADRYr3!$U35)</f>
        <v>0</v>
      </c>
      <c r="CV35" s="28">
        <f>IF($G35="","",G35*(IF(ADRYr3!$AI35=CV$4,ADRYr3!$AJ35,IF(ADRYr3!$AK35=CV$4,ADRYr3!$AL35,IF(ADRYr3!$AM35=CV$4,ADRYr3!$AN35,0))))*(INDEX(avoidedcosttbl3,$H35,CV$2)+(($H35-ROUNDDOWN($H35,0))*(INDEX(avoidedcosttbl3,ROUNDUP($H35,0),CV$2)-(INDEX(avoidedcosttbl3,ROUNDDOWN($H35,0),CV$2)))))*ADRYr3!$P35*ADRYr3!$Q35*ADRYr3!$U35)</f>
        <v>0</v>
      </c>
      <c r="CW35" s="28">
        <f>IF($G35="","",G35*(IF(ADRYr3!$AI35=CW$4,ADRYr3!$AJ35,IF(ADRYr3!$AK35=CW$4,ADRYr3!$AL35,IF(ADRYr3!$AM35=CW$4,ADRYr3!$AN35,0))))*(INDEX(avoidedcosttbl3,$H35,CW$2)+(($H35-ROUNDDOWN($H35,0))*(INDEX(avoidedcosttbl3,ROUNDUP($H35,0),CW$2)-(INDEX(avoidedcosttbl3,ROUNDDOWN($H35,0),CW$2)))))*ADRYr3!$P35*ADRYr3!$Q35*ADRYr3!$U35)</f>
        <v>0</v>
      </c>
      <c r="CX35" s="28">
        <f>IF($G35="","",G35*(IF(ADRYr3!$AI35=CX$4,ADRYr3!$AJ35,IF(ADRYr3!$AK35=CX$4,ADRYr3!$AL35,IF(ADRYr3!$AM35=CX$4,ADRYr3!$AN35,0))))*(INDEX(avoidedcosttbl3,$H35,CX$2)+(($H35-ROUNDDOWN($H35,0))*(INDEX(avoidedcosttbl3,ROUNDUP($H35,0),CX$2)-(INDEX(avoidedcosttbl3,ROUNDDOWN($H35,0),CX$2)))))*ADRYr3!$P35*ADRYr3!$Q35*ADRYr3!$U35)</f>
        <v>0</v>
      </c>
      <c r="CY35" s="28">
        <f t="shared" si="75"/>
        <v>0</v>
      </c>
      <c r="CZ35" s="32">
        <f t="shared" si="76"/>
        <v>0</v>
      </c>
      <c r="DA35" s="84">
        <f t="shared" si="77"/>
        <v>0</v>
      </c>
      <c r="DB35" s="81">
        <f>IF(NEIadder="Yes",IF($G35="","",INDEX(Lookups!$G$68:$G$70,MATCH($A35,Lookups!$E$68:$E$70,0))*(SUM(CP35:CX35,BX35))),"")</f>
        <v>5531.8479979279437</v>
      </c>
      <c r="DC35" s="263" t="str">
        <f t="shared" si="78"/>
        <v/>
      </c>
      <c r="DD35" s="166">
        <f t="shared" si="79"/>
        <v>0</v>
      </c>
      <c r="DE35" s="82">
        <f t="shared" si="80"/>
        <v>5531.8479979279437</v>
      </c>
      <c r="DF35" s="760">
        <f>IF($G35="","",(1+WntPeakEnergyLL)*(INDEX(avoidedcosttbl3,$H35,DF$2)+(($H35-ROUNDDOWN($H35,0))*(INDEX(avoidedcosttbl3,ROUNDUP($H35,0),DF$2)-(INDEX(avoidedcosttbl3,ROUNDDOWN($H35,0),DF$2)))))*$P35*1000*ADRYr3!Z35)</f>
        <v>0</v>
      </c>
      <c r="DG35" s="760">
        <f>IF($G35="","",(1+WntOffPeakEnergyLL)*(INDEX(avoidedcosttbl3,$H35,DG$2)+(($H35-ROUNDDOWN($H35,0))*(INDEX(avoidedcosttbl3,ROUNDUP($H35,0),DG$2)-(INDEX(avoidedcosttbl3,ROUNDDOWN($H35,0),DG$2)))))*$P35*1000*ADRYr3!AA35)</f>
        <v>0</v>
      </c>
      <c r="DH35" s="760">
        <f>IF($G35="","",(1+SumPeakEnergyLL)*(INDEX(avoidedcosttbl3,$H35,DH$2)+(($H35-ROUNDDOWN($H35,0))*(INDEX(avoidedcosttbl3,ROUNDUP($H35,0),DH$2)-(INDEX(avoidedcosttbl3,ROUNDDOWN($H35,0),DH$2)))))*$P35*1000*ADRYr3!AB35)</f>
        <v>733.20376484669464</v>
      </c>
      <c r="DI35" s="760">
        <f>IF($G35="","",(1+SumOffPeakEnergyLL)*(INDEX(avoidedcosttbl3,$H35,DI$2)+(($H35-ROUNDDOWN($H35,0))*(INDEX(avoidedcosttbl3,ROUNDUP($H35,0),DI$2)-(INDEX(avoidedcosttbl3,ROUNDDOWN($H35,0),DI$2)))))*$P35*1000*ADRYr3!AC35)</f>
        <v>0</v>
      </c>
      <c r="DJ35" s="29">
        <f t="shared" si="81"/>
        <v>733.20376484669464</v>
      </c>
      <c r="DK35" s="161">
        <f t="shared" si="45"/>
        <v>60850.327977207373</v>
      </c>
      <c r="DL35" s="1375">
        <f t="shared" si="46"/>
        <v>55318.479979279429</v>
      </c>
      <c r="DM35" s="1375">
        <f t="shared" si="47"/>
        <v>55318.479979279429</v>
      </c>
      <c r="DN35" s="43">
        <f t="shared" si="48"/>
        <v>61583.531742054067</v>
      </c>
      <c r="DO35" s="1131" t="str">
        <f>IF($G35="","",ADRYr3!AQ35)</f>
        <v>Summer Daily Discharge</v>
      </c>
      <c r="DP35" s="1133" t="str">
        <f>IF($G35="","",ADRYr3!AR35)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49"/>
        <v>2023-Summer Daily Discharge-1</v>
      </c>
      <c r="DU35" s="1135" t="str">
        <f>IF($G35="","",ADRYr3!AS35)</f>
        <v>No</v>
      </c>
      <c r="DV35" s="1136">
        <f>IF($G35="","",ADRYr3!AT35)</f>
        <v>1</v>
      </c>
      <c r="DW35" s="1344">
        <f>IF($G35="","",INDEX(AvoidedEnergy!$H$4:$H$10,MATCH($DO35,AvoidedEnergy!$A$4:$A$10,0)))</f>
        <v>0.08</v>
      </c>
    </row>
    <row r="36" spans="1:127">
      <c r="A36" s="160" t="str">
        <f>IF(ADRYr3!$B36=0,"",ADRYr3!A36)</f>
        <v>C - Commercial &amp; Industrial</v>
      </c>
      <c r="B36" s="9" t="str">
        <f>IF(ADRYr3!$B36=0,"",ADRYr3!B36)</f>
        <v>C5 - C&amp;I Active Demand Response</v>
      </c>
      <c r="C36" s="9" t="str">
        <f>IF(ADRYr3!$B36=0,"",ADRYr3!C36)</f>
        <v>C5a - C&amp;I Active Demand Response</v>
      </c>
      <c r="D36" s="9" t="str">
        <f>IF(ADRYr3!$B36=0,"",ADRYr3!D36)</f>
        <v>Storage Daily Dispatch P4P (consumption) Summer</v>
      </c>
      <c r="E36" s="9" t="str">
        <f>IF(ADRYr3!$B36=0,"",ADRYr3!E36)</f>
        <v>E21C5a003</v>
      </c>
      <c r="F36" s="11" t="str">
        <f>IF(ADRYr3!$B36=0,"",ADRYr3!F36)</f>
        <v>Behavior</v>
      </c>
      <c r="G36" s="12">
        <f>IF(ADRYr3!$G36&lt;&gt;0,ADRYr3!G36,"")</f>
        <v>1</v>
      </c>
      <c r="H36" s="1125">
        <f>IF($G36="","",ROUND(ADRYr3!H36,0))</f>
        <v>1</v>
      </c>
      <c r="I36" s="47">
        <f>IF($G36="","",ADRYr3!I36*ADRYr3!P36*G36)</f>
        <v>0</v>
      </c>
      <c r="J36" s="47">
        <f>IF($G36="","",ADRYr3!J36*G36)</f>
        <v>0</v>
      </c>
      <c r="K36" s="47">
        <f t="shared" si="50"/>
        <v>0</v>
      </c>
      <c r="L36" s="27">
        <f>IF($G36="","",ADRYr3!V36*G36/1000)</f>
        <v>-17.647058823529413</v>
      </c>
      <c r="M36" s="27">
        <f>IF($G36="","",L36*ADRYr3!$Q36*ADRYr3!$R36)</f>
        <v>-17.647058823529413</v>
      </c>
      <c r="N36" s="27">
        <f t="shared" si="51"/>
        <v>-17.647058823529413</v>
      </c>
      <c r="O36" s="27">
        <f t="shared" si="52"/>
        <v>-17.647058823529413</v>
      </c>
      <c r="P36" s="27">
        <f>IF($G36="","",M36*ADRYr3!P36)</f>
        <v>-17.647058823529413</v>
      </c>
      <c r="Q36" s="27">
        <f t="shared" si="53"/>
        <v>-17.647058823529413</v>
      </c>
      <c r="R36" s="27">
        <f>IF($G36="","",$Q36*ADRYr3!Z36)</f>
        <v>0</v>
      </c>
      <c r="S36" s="27">
        <f>IF($G36="","",$Q36*ADRYr3!AA36)</f>
        <v>0</v>
      </c>
      <c r="T36" s="27">
        <f>IF($G36="","",$Q36*ADRYr3!AB36)</f>
        <v>0</v>
      </c>
      <c r="U36" s="27">
        <f>IF($G36="","",$Q36*ADRYr3!AC36)</f>
        <v>-17.647058823529413</v>
      </c>
      <c r="V36" s="27">
        <f>IF($G36="","",G36*ADRYr3!$AD36*ADRYr3!$P36*ADRYr3!$Q36)</f>
        <v>0</v>
      </c>
      <c r="W36" s="27">
        <f>IF($G36="","",$G36*ADRYr3!$AD36*ADRYr3!$AF36*ADRYr3!Q36*ADRYr3!$S36)</f>
        <v>0</v>
      </c>
      <c r="X36" s="27">
        <f>IF($G36="","",$G36*ADRYr3!$AD36*ADRYr3!$AF36*ADRYr3!P36*ADRYr3!Q36*ADRYr3!$S36)</f>
        <v>0</v>
      </c>
      <c r="Y36" s="27">
        <f>IF($G36="","",$G36*ADRYr3!$AD36*ADRYr3!$AE36*ADRYr3!Q36*ADRYr3!$T36)</f>
        <v>0</v>
      </c>
      <c r="Z36" s="27">
        <f>IF($G36="","",$G36*ADRYr3!$AD36*ADRYr3!$AE36*ADRYr3!P36*ADRYr3!Q36*ADRYr3!$T36)</f>
        <v>0</v>
      </c>
      <c r="AA36" s="45">
        <f>IF($G36="","",$G36*ADRYr3!$Q36*ADRYr3!$U36*(IF(IFERROR(SEARCH("NG", ADRYr3!$AI36),0),ADRYr3!$AJ36,0)+IF(IFERROR(SEARCH("NG", ADRYr3!$AK36),0),ADRYr3!$AL36,0)+IF(IFERROR(SEARCH("NG", ADRYr3!$AM36),0),ADRYr3!$AN36,0)))</f>
        <v>0</v>
      </c>
      <c r="AB36" s="45">
        <f t="shared" si="54"/>
        <v>0</v>
      </c>
      <c r="AC36" s="45">
        <f>IF($G36="",0,AA36*ADRYr3!$P36)</f>
        <v>0</v>
      </c>
      <c r="AD36" s="45">
        <f t="shared" si="55"/>
        <v>0</v>
      </c>
      <c r="AE36" s="45">
        <f>IF($G36="","",$G36*ADRYr3!$Q36*ADRYr3!$U36*(IF(IFERROR(SEARCH("Oil", ADRYr3!$AI36), 0),ADRYr3!$AJ36,0)+IF(IFERROR(SEARCH("Oil", ADRYr3!$AK36), 0),ADRYr3!$AL36,0)+IF(IFERROR(SEARCH("Oil", ADRYr3!$AM36), 0),ADRYr3!$AN36,0)))</f>
        <v>0</v>
      </c>
      <c r="AF36" s="45">
        <f t="shared" si="56"/>
        <v>0</v>
      </c>
      <c r="AG36" s="45">
        <f>IF($G36="",0,AE36*ADRYr3!$P36)</f>
        <v>0</v>
      </c>
      <c r="AH36" s="45">
        <f t="shared" si="57"/>
        <v>0</v>
      </c>
      <c r="AI36" s="45">
        <f>IF($G36="","",$G36*ADRYr3!$Q36*ADRYr3!$U36*(IF(ADRYr3!$AI36=Lookups!$E$114,ADRYr3!$AJ36,IF(ADRYr3!$AK36=Lookups!$E$114,ADRYr3!$AL36,IF(ADRYr3!$AM36=Lookups!$E$114,ADRYr3!$AN36,0)))))</f>
        <v>0</v>
      </c>
      <c r="AJ36" s="45">
        <f t="shared" si="58"/>
        <v>0</v>
      </c>
      <c r="AK36" s="45">
        <f>IF($G36="",0,AI36*ADRYr3!$P36)</f>
        <v>0</v>
      </c>
      <c r="AL36" s="45">
        <f t="shared" si="59"/>
        <v>0</v>
      </c>
      <c r="AM36" s="45">
        <f>IF($G36="","",$G36*ADRYr3!$Q36*ADRYr3!$U36*(IF(ADRYr3!$AI36=Lookups!$E$113,ADRYr3!$AJ36,IF(ADRYr3!$AK36=Lookups!$E$113,ADRYr3!$AL36,IF(ADRYr3!$AM36=Lookups!$E$113,ADRYr3!$AN36,0)))))</f>
        <v>0</v>
      </c>
      <c r="AN36" s="45">
        <f t="shared" si="60"/>
        <v>0</v>
      </c>
      <c r="AO36" s="45">
        <f>IF($G36="",0,AM36*ADRYr3!$P36)</f>
        <v>0</v>
      </c>
      <c r="AP36" s="45">
        <f t="shared" si="61"/>
        <v>0</v>
      </c>
      <c r="AQ36" s="45">
        <f>IF($G36="","",$G36*ADRYr3!$Q36*ADRYr3!$U36*(IF(ADRYr3!$AI36=Lookups!$E$115,ADRYr3!$AJ36,IF(ADRYr3!$AK36=Lookups!$E$115,ADRYr3!$AL36,IF(ADRYr3!$AM36=Lookups!$E$115,ADRYr3!$AN36,0)))))</f>
        <v>0</v>
      </c>
      <c r="AR36" s="45">
        <f t="shared" si="62"/>
        <v>0</v>
      </c>
      <c r="AS36" s="45">
        <f>IF($G36="","",AQ36*ADRYr3!$P36)</f>
        <v>0</v>
      </c>
      <c r="AT36" s="45">
        <f t="shared" si="63"/>
        <v>0</v>
      </c>
      <c r="AU36" s="45">
        <f>IF($G36="","",$G36*ADRYr3!$Q36*ADRYr3!$U36*(IF(ADRYr3!$AI36=Lookups!$E$116,ADRYr3!$AJ36,IF(ADRYr3!$AK36=Lookups!$E$116,ADRYr3!$AL36,IF(ADRYr3!$AM36=Lookups!$E$116,ADRYr3!$AN36,0)))))</f>
        <v>0</v>
      </c>
      <c r="AV36" s="45">
        <f t="shared" si="64"/>
        <v>0</v>
      </c>
      <c r="AW36" s="45">
        <f>IF($G36="","",AU36*ADRYr3!$P36)</f>
        <v>0</v>
      </c>
      <c r="AX36" s="45">
        <f t="shared" si="65"/>
        <v>0</v>
      </c>
      <c r="AY36" s="45">
        <f t="shared" si="66"/>
        <v>0</v>
      </c>
      <c r="AZ36" s="45">
        <f t="shared" si="67"/>
        <v>0</v>
      </c>
      <c r="BA36" s="101">
        <f>IF($G36="","",$G36*ADRYr3!$P36*ADRYr3!$Q36*ADRYr3!$U36*ADRYr3!AO36)</f>
        <v>0</v>
      </c>
      <c r="BB36" s="102">
        <f>IF($G36="","",$G36*ADRYr3!$P36*ADRYr3!$Q36*ADRYr3!$U36*ADRYr3!AP36)</f>
        <v>0</v>
      </c>
      <c r="BC36" s="100">
        <f t="shared" si="68"/>
        <v>0</v>
      </c>
      <c r="BD36" s="1126"/>
      <c r="BE36" s="1126"/>
      <c r="BF36" s="1126"/>
      <c r="BG36" s="1126"/>
      <c r="BH36" s="1127">
        <f t="shared" si="3"/>
        <v>-787.20457909543188</v>
      </c>
      <c r="BI36" s="1126"/>
      <c r="BJ36" s="1126"/>
      <c r="BK36" s="1126"/>
      <c r="BL36" s="1126"/>
      <c r="BM36" s="30">
        <f t="shared" si="4"/>
        <v>-33.517444330815785</v>
      </c>
      <c r="BN36" s="1128">
        <f t="shared" si="31"/>
        <v>-33.517444330815785</v>
      </c>
      <c r="BO36" s="31">
        <f t="shared" si="69"/>
        <v>-820.72202342624769</v>
      </c>
      <c r="BP36" s="1129">
        <f t="shared" si="5"/>
        <v>0</v>
      </c>
      <c r="BQ36" s="28">
        <f t="shared" si="6"/>
        <v>0</v>
      </c>
      <c r="BR36" s="1129">
        <f t="shared" si="7"/>
        <v>0</v>
      </c>
      <c r="BS36" s="1129">
        <f t="shared" si="8"/>
        <v>0</v>
      </c>
      <c r="BT36" s="28">
        <f t="shared" si="82"/>
        <v>0</v>
      </c>
      <c r="BU36" s="28">
        <f t="shared" si="82"/>
        <v>0</v>
      </c>
      <c r="BV36" s="28">
        <f t="shared" si="82"/>
        <v>0</v>
      </c>
      <c r="BW36" s="29">
        <f t="shared" si="70"/>
        <v>0</v>
      </c>
      <c r="BX36" s="29">
        <f t="shared" si="71"/>
        <v>-820.72202342624769</v>
      </c>
      <c r="BY36" s="28">
        <f>IF($G36="","",$G36*(IF(ADRYr3!$AI36=BY$4,ADRYr3!$AJ36,IF(ADRYr3!$AK36=BY$4,ADRYr3!$AL36,IF(ADRYr3!$AM36=BY$4,ADRYr3!$AN36,0))))*(INDEX(avoidedcosttbl3,$H36,BY$2)+(($H36-ROUNDDOWN($H36,0))*(INDEX(avoidedcosttbl3,ROUNDUP($H36,0),BY$2)-(INDEX(avoidedcosttbl3,ROUNDDOWN($H36,0),BY$2)))))*ADRYr3!P36*ADRYr3!Q36*ADRYr3!U36)</f>
        <v>0</v>
      </c>
      <c r="BZ36" s="28">
        <f>IF($G36="","",$G36*(IF(ADRYr3!$AI36=BZ$4,ADRYr3!$AJ36,IF(ADRYr3!$AK36=BZ$4,ADRYr3!$AL36,IF(ADRYr3!$AM36=BZ$4,ADRYr3!$AN36,0))))*(INDEX(avoidedcosttbl3,$H36,BZ$2)+(($H36-ROUNDDOWN($H36,0))*(INDEX(avoidedcosttbl3,ROUNDUP($H36,0),BZ$2)-(INDEX(avoidedcosttbl3,ROUNDDOWN($H36,0),BZ$2)))))*ADRYr3!P36*ADRYr3!Q36*ADRYr3!U36)</f>
        <v>0</v>
      </c>
      <c r="CA36" s="28">
        <f>IF($G36="","",$G36*(IF(ADRYr3!$AI36=CA$4,ADRYr3!$AJ36,IF(ADRYr3!$AK36=CA$4,ADRYr3!$AL36,IF(ADRYr3!$AM36=CA$4,ADRYr3!$AN36,0))))*(INDEX(avoidedcosttbl3,$H36,CA$2)+(($H36-ROUNDDOWN($H36,0))*(INDEX(avoidedcosttbl3,ROUNDUP($H36,0),CA$2)-(INDEX(avoidedcosttbl3,ROUNDDOWN($H36,0),CA$2)))))*ADRYr3!P36*ADRYr3!Q36*ADRYr3!U36)</f>
        <v>0</v>
      </c>
      <c r="CB36" s="28">
        <f>IF($G36="","",$G36*(IF(ADRYr3!$AI36=CB$4,ADRYr3!$AJ36,IF(ADRYr3!$AK36=CB$4,ADRYr3!$AL36,IF(ADRYr3!$AM36=CB$4,ADRYr3!$AN36,0))))*(INDEX(avoidedcosttbl3,$H36,CB$2)+(($H36-ROUNDDOWN($H36,0))*(INDEX(avoidedcosttbl3,ROUNDUP($H36,0),CB$2)-(INDEX(avoidedcosttbl3,ROUNDDOWN($H36,0),CB$2)))))*ADRYr3!P36*ADRYr3!Q36*ADRYr3!U36)</f>
        <v>0</v>
      </c>
      <c r="CC36" s="28">
        <f>IF($G36="","",$G36*(IF(ADRYr3!$AI36=CC$4,ADRYr3!$AJ36,IF(ADRYr3!$AK36=CC$4,ADRYr3!$AL36,IF(ADRYr3!$AM36=CC$4,ADRYr3!$AN36,0))))*(INDEX(avoidedcosttbl3,$H36,CC$2)+(($H36-ROUNDDOWN($H36,0))*(INDEX(avoidedcosttbl3,ROUNDUP($H36,0),CC$2)-(INDEX(avoidedcosttbl3,ROUNDDOWN($H36,0),CC$2)))))*ADRYr3!P36*ADRYr3!Q36*ADRYr3!U36)</f>
        <v>0</v>
      </c>
      <c r="CD36" s="28">
        <f>IF($G36="","",$G36*(IF(ADRYr3!$AI36=CD$4,ADRYr3!$AJ36,IF(ADRYr3!$AK36=CD$4,ADRYr3!$AL36,IF(ADRYr3!$AM36=CD$4,ADRYr3!$AN36,0))))*(INDEX(avoidedcosttbl3,$H36,CD$2)+(($H36-ROUNDDOWN($H36,0))*(INDEX(avoidedcosttbl3,ROUNDUP($H36,0),CD$2)-(INDEX(avoidedcosttbl3,ROUNDDOWN($H36,0),CD$2)))))*ADRYr3!P36*ADRYr3!Q36*ADRYr3!U36)</f>
        <v>0</v>
      </c>
      <c r="CE36" s="28">
        <f>IF($G36="","",$G36*(IF(ADRYr3!$AI36=CE$4,ADRYr3!$AJ36,IF(ADRYr3!$AK36=CE$4,ADRYr3!$AL36,IF(ADRYr3!$AM36=CE$4,ADRYr3!$AN36,0))))*(INDEX(avoidedcosttbl3,$H36,CE$2)+(($H36-ROUNDDOWN($H36,0))*(INDEX(avoidedcosttbl3,ROUNDUP($H36,0),CE$2)-(INDEX(avoidedcosttbl3,ROUNDDOWN($H36,0),CE$2)))))*ADRYr3!P36*ADRYr3!Q36*ADRYr3!U36)</f>
        <v>0</v>
      </c>
      <c r="CF36" s="41">
        <f t="shared" si="72"/>
        <v>0</v>
      </c>
      <c r="CG36" s="30">
        <f t="shared" si="10"/>
        <v>0</v>
      </c>
      <c r="CH36" s="30">
        <f>IF($G36="","",$G36*(IF(ADRYr3!$AI36=BY$4,ADRYr3!$AJ36,IF(ADRYr3!$AK36=BY$4,ADRYr3!$AL36,IF(ADRYr3!$AM36=BY$4,ADRYr3!$AN36,0))))*(INDEX(avoidedcosttbl3,$H36,CH$2)+(($H36-ROUNDDOWN($H36,0))*(INDEX(avoidedcosttbl3,ROUNDUP($H36,0),CH$2)-(INDEX(avoidedcosttbl3,ROUNDDOWN($H36,0),CH$2)))))*ADRYr3!P36*ADRYr3!Q36*ADRYr3!U36)</f>
        <v>0</v>
      </c>
      <c r="CI36" s="30">
        <f>IF($G36="","",$G36*(IF(ADRYr3!$AI36=BZ$4,ADRYr3!$AJ36,IF(ADRYr3!$AK36=BZ$4,ADRYr3!$AL36,IF(ADRYr3!$AM36=BZ$4,ADRYr3!$AN36,0))))*(INDEX(avoidedcosttbl3,$H36,CI$2)+(($H36-ROUNDDOWN($H36,0))*(INDEX(avoidedcosttbl3,ROUNDUP($H36,0),CI$2)-(INDEX(avoidedcosttbl3,ROUNDDOWN($H36,0),CI$2)))))*ADRYr3!P36*ADRYr3!Q36*ADRYr3!U36)</f>
        <v>0</v>
      </c>
      <c r="CJ36" s="30">
        <f>IF($G36="","",$G36*(IF(ADRYr3!$AI36=CA$4,ADRYr3!$AJ36,IF(ADRYr3!$AK36=CA$4,ADRYr3!$AL36,IF(ADRYr3!$AM36=CA$4,ADRYr3!$AN36,0))))*(INDEX(avoidedcosttbl3,$H36,CJ$2)+(($H36-ROUNDDOWN($H36,0))*(INDEX(avoidedcosttbl3,ROUNDUP($H36,0),CJ$2)-(INDEX(avoidedcosttbl3,ROUNDDOWN($H36,0),CJ$2)))))*ADRYr3!P36*ADRYr3!Q36*ADRYr3!U36)</f>
        <v>0</v>
      </c>
      <c r="CK36" s="30">
        <f>IF($G36="","",$G36*(IF(ADRYr3!$AI36=CB$4,ADRYr3!$AJ36,IF(ADRYr3!$AK36=CB$4,ADRYr3!$AL36,IF(ADRYr3!$AM36=CB$4,ADRYr3!$AN36,0))))*(INDEX(avoidedcosttbl3,$H36,CK$2)+(($H36-ROUNDDOWN($H36,0))*(INDEX(avoidedcosttbl3,ROUNDUP($H36,0),CK$2)-(INDEX(avoidedcosttbl3,ROUNDDOWN($H36,0),CK$2)))))*ADRYr3!P36*ADRYr3!Q36*ADRYr3!U36)</f>
        <v>0</v>
      </c>
      <c r="CL36" s="30">
        <f>IF($G36="","",$G36*(IF(ADRYr3!$AI36=CC$4,ADRYr3!$AJ36,IF(ADRYr3!$AK36=CC$4,ADRYr3!$AL36,IF(ADRYr3!$AM36=CC$4,ADRYr3!$AN36,0))))*(INDEX(avoidedcosttbl3,$H36,CL$2)+(($H36-ROUNDDOWN($H36,0))*(INDEX(avoidedcosttbl3,ROUNDUP($H36,0),CL$2)-(INDEX(avoidedcosttbl3,ROUNDDOWN($H36,0),CL$2)))))*ADRYr3!P36*ADRYr3!Q36*ADRYr3!U36)</f>
        <v>0</v>
      </c>
      <c r="CM36" s="30">
        <f>IF($G36="","",$G36*(IF(ADRYr3!$AI36=CD$4,ADRYr3!$AJ36,IF(ADRYr3!$AK36=CD$4,ADRYr3!$AL36,IF(ADRYr3!$AM36=CD$4,ADRYr3!$AN36,0))))*(INDEX(avoidedcosttbl3,$H36,CM$2)+(($H36-ROUNDDOWN($H36,0))*(INDEX(avoidedcosttbl3,ROUNDUP($H36,0),CM$2)-(INDEX(avoidedcosttbl3,ROUNDDOWN($H36,0),CM$2)))))*ADRYr3!P36*ADRYr3!Q36*ADRYr3!U36)</f>
        <v>0</v>
      </c>
      <c r="CN36" s="30">
        <f>IF($G36="","",$G36*(IF(ADRYr3!$AI36=CE$4,ADRYr3!$AJ36,IF(ADRYr3!$AK36=CE$4,ADRYr3!$AL36,IF(ADRYr3!$AM36=CE$4,ADRYr3!$AN36,0))))*(INDEX(avoidedcosttbl3,$H36,CN$2)+(($H36-ROUNDDOWN($H36,0))*(INDEX(avoidedcosttbl3,ROUNDUP($H36,0),CN$2)-(INDEX(avoidedcosttbl3,ROUNDDOWN($H36,0),CN$2)))))*ADRYr3!P36*ADRYr3!Q36*ADRYr3!U36)</f>
        <v>0</v>
      </c>
      <c r="CO36" s="220">
        <f t="shared" si="73"/>
        <v>0</v>
      </c>
      <c r="CP36" s="220">
        <f t="shared" si="74"/>
        <v>0</v>
      </c>
      <c r="CQ36" s="157">
        <f>IF($G36="","",$G36*(IF(ADRYr3!$AI36=CQ$4,ADRYr3!$AJ36,IF(ADRYr3!$AK36=CQ$4,ADRYr3!$AL36,IF(ADRYr3!$AM36=CQ$4,ADRYr3!$AN36,0))))*(INDEX(avoidedcosttbl3,$H36,CQ$2)+(($H36-ROUNDDOWN($H36,0))*(INDEX(avoidedcosttbl3,ROUNDUP($H36,0),CQ$2)-(INDEX(avoidedcosttbl3,ROUNDDOWN($H36,0),CQ$2)))))*ADRYr3!$P36*ADRYr3!$Q36*ADRYr3!$U36)</f>
        <v>0</v>
      </c>
      <c r="CR36" s="28">
        <f>IF($G36="","",G36*(IF(ADRYr3!$AI36=CR$4,ADRYr3!$AJ36,IF(ADRYr3!$AK36=CR$4,ADRYr3!$AL36,IF(ADRYr3!$AM36=CR$4,ADRYr3!$AN36,0))))*(INDEX(avoidedcosttbl3,$H36,CR$2)+(($H36-ROUNDDOWN($H36,0))*(INDEX(avoidedcosttbl3,ROUNDUP($H36,0),CR$2)-(INDEX(avoidedcosttbl3,ROUNDDOWN($H36,0),CR$2)))))*ADRYr3!$P36*ADRYr3!$Q36*ADRYr3!$U36)</f>
        <v>0</v>
      </c>
      <c r="CS36" s="28">
        <f>IF($G36="","",G36*(IF(ADRYr3!$AI36=CS$4,ADRYr3!$AJ36,IF(ADRYr3!$AK36=CS$4,ADRYr3!$AL36,IF(ADRYr3!$AM36=CS$4,ADRYr3!$AN36,0))))*(INDEX(avoidedcosttbl3,$H36,CS$2)+(($H36-ROUNDDOWN($H36,0))*(INDEX(avoidedcosttbl3,ROUNDUP($H36,0),CS$2)-(INDEX(avoidedcosttbl3,ROUNDDOWN($H36,0),CS$2)))))*ADRYr3!$P36*ADRYr3!$Q36*ADRYr3!$U36)</f>
        <v>0</v>
      </c>
      <c r="CT36" s="28">
        <f t="shared" si="11"/>
        <v>0</v>
      </c>
      <c r="CU36" s="28">
        <f>IF($G36="","",G36*(IF(ADRYr3!$AI36=CU$4,ADRYr3!$AJ36,IF(ADRYr3!$AK36=CU$4,ADRYr3!$AL36,IF(ADRYr3!$AM36=CU$4,ADRYr3!$AN36,0))))*(INDEX(avoidedcosttbl3,$H36,CU$2)+(($H36-ROUNDDOWN($H36,0))*(INDEX(avoidedcosttbl3,ROUNDUP($H36,0),CU$2)-(INDEX(avoidedcosttbl3,ROUNDDOWN($H36,0),CU$2)))))*ADRYr3!$P36*ADRYr3!$Q36*ADRYr3!$U36)</f>
        <v>0</v>
      </c>
      <c r="CV36" s="28">
        <f>IF($G36="","",G36*(IF(ADRYr3!$AI36=CV$4,ADRYr3!$AJ36,IF(ADRYr3!$AK36=CV$4,ADRYr3!$AL36,IF(ADRYr3!$AM36=CV$4,ADRYr3!$AN36,0))))*(INDEX(avoidedcosttbl3,$H36,CV$2)+(($H36-ROUNDDOWN($H36,0))*(INDEX(avoidedcosttbl3,ROUNDUP($H36,0),CV$2)-(INDEX(avoidedcosttbl3,ROUNDDOWN($H36,0),CV$2)))))*ADRYr3!$P36*ADRYr3!$Q36*ADRYr3!$U36)</f>
        <v>0</v>
      </c>
      <c r="CW36" s="28">
        <f>IF($G36="","",G36*(IF(ADRYr3!$AI36=CW$4,ADRYr3!$AJ36,IF(ADRYr3!$AK36=CW$4,ADRYr3!$AL36,IF(ADRYr3!$AM36=CW$4,ADRYr3!$AN36,0))))*(INDEX(avoidedcosttbl3,$H36,CW$2)+(($H36-ROUNDDOWN($H36,0))*(INDEX(avoidedcosttbl3,ROUNDUP($H36,0),CW$2)-(INDEX(avoidedcosttbl3,ROUNDDOWN($H36,0),CW$2)))))*ADRYr3!$P36*ADRYr3!$Q36*ADRYr3!$U36)</f>
        <v>0</v>
      </c>
      <c r="CX36" s="28">
        <f>IF($G36="","",G36*(IF(ADRYr3!$AI36=CX$4,ADRYr3!$AJ36,IF(ADRYr3!$AK36=CX$4,ADRYr3!$AL36,IF(ADRYr3!$AM36=CX$4,ADRYr3!$AN36,0))))*(INDEX(avoidedcosttbl3,$H36,CX$2)+(($H36-ROUNDDOWN($H36,0))*(INDEX(avoidedcosttbl3,ROUNDUP($H36,0),CX$2)-(INDEX(avoidedcosttbl3,ROUNDDOWN($H36,0),CX$2)))))*ADRYr3!$P36*ADRYr3!$Q36*ADRYr3!$U36)</f>
        <v>0</v>
      </c>
      <c r="CY36" s="28">
        <f t="shared" si="75"/>
        <v>0</v>
      </c>
      <c r="CZ36" s="32">
        <f t="shared" si="76"/>
        <v>0</v>
      </c>
      <c r="DA36" s="84">
        <f t="shared" si="77"/>
        <v>0</v>
      </c>
      <c r="DB36" s="81">
        <f>IF(NEIadder="Yes",IF($G36="","",INDEX(Lookups!$G$68:$G$70,MATCH($A36,Lookups!$E$68:$E$70,0))*(SUM(CP36:CX36,BX36))),"")</f>
        <v>-82.072202342624777</v>
      </c>
      <c r="DC36" s="263" t="str">
        <f t="shared" si="78"/>
        <v/>
      </c>
      <c r="DD36" s="166">
        <f t="shared" si="79"/>
        <v>0</v>
      </c>
      <c r="DE36" s="82">
        <f t="shared" si="80"/>
        <v>-82.072202342624777</v>
      </c>
      <c r="DF36" s="760">
        <f>IF($G36="","",(1+WntPeakEnergyLL)*(INDEX(avoidedcosttbl3,$H36,DF$2)+(($H36-ROUNDDOWN($H36,0))*(INDEX(avoidedcosttbl3,ROUNDUP($H36,0),DF$2)-(INDEX(avoidedcosttbl3,ROUNDDOWN($H36,0),DF$2)))))*$P36*1000*ADRYr3!Z36)</f>
        <v>0</v>
      </c>
      <c r="DG36" s="760">
        <f>IF($G36="","",(1+WntOffPeakEnergyLL)*(INDEX(avoidedcosttbl3,$H36,DG$2)+(($H36-ROUNDDOWN($H36,0))*(INDEX(avoidedcosttbl3,ROUNDUP($H36,0),DG$2)-(INDEX(avoidedcosttbl3,ROUNDDOWN($H36,0),DG$2)))))*$P36*1000*ADRYr3!AA36)</f>
        <v>0</v>
      </c>
      <c r="DH36" s="760">
        <f>IF($G36="","",(1+SumPeakEnergyLL)*(INDEX(avoidedcosttbl3,$H36,DH$2)+(($H36-ROUNDDOWN($H36,0))*(INDEX(avoidedcosttbl3,ROUNDUP($H36,0),DH$2)-(INDEX(avoidedcosttbl3,ROUNDDOWN($H36,0),DH$2)))))*$P36*1000*ADRYr3!AB36)</f>
        <v>0</v>
      </c>
      <c r="DI36" s="760">
        <f>IF($G36="","",(1+SumOffPeakEnergyLL)*(INDEX(avoidedcosttbl3,$H36,DI$2)+(($H36-ROUNDDOWN($H36,0))*(INDEX(avoidedcosttbl3,ROUNDUP($H36,0),DI$2)-(INDEX(avoidedcosttbl3,ROUNDDOWN($H36,0),DI$2)))))*$P36*1000*ADRYr3!AC36)</f>
        <v>-868.07402274290985</v>
      </c>
      <c r="DJ36" s="29">
        <f t="shared" si="81"/>
        <v>-868.07402274290985</v>
      </c>
      <c r="DK36" s="161">
        <f t="shared" si="45"/>
        <v>-902.79422576887248</v>
      </c>
      <c r="DL36" s="1375">
        <f t="shared" si="46"/>
        <v>-820.72202342624769</v>
      </c>
      <c r="DM36" s="1375">
        <f t="shared" si="47"/>
        <v>-820.72202342624769</v>
      </c>
      <c r="DN36" s="43">
        <f t="shared" si="48"/>
        <v>-1770.8682485117824</v>
      </c>
      <c r="DO36" s="1131" t="str">
        <f>IF($G36="","",ADRYr3!AQ36)</f>
        <v>Summer Daily Charge</v>
      </c>
      <c r="DP36" s="1133" t="str">
        <f>IF($G36="","",ADRYr3!AR36)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49"/>
        <v>2023-Summer Daily Charge-1</v>
      </c>
      <c r="DU36" s="1135" t="str">
        <f>IF($G36="","",ADRYr3!AS36)</f>
        <v>No</v>
      </c>
      <c r="DV36" s="1136">
        <f>IF($G36="","",ADRYr3!AT36)</f>
        <v>1</v>
      </c>
      <c r="DW36" s="1344">
        <f>IF($G36="","",INDEX(AvoidedEnergy!$H$4:$H$10,MATCH($DO36,AvoidedEnergy!$A$4:$A$10,0)))</f>
        <v>0.08</v>
      </c>
    </row>
    <row r="37" spans="1:127">
      <c r="A37" s="160" t="str">
        <f>IF(ADRYr3!$B37=0,"",ADRYr3!A37)</f>
        <v>C - Commercial &amp; Industrial</v>
      </c>
      <c r="B37" s="9" t="str">
        <f>IF(ADRYr3!$B37=0,"",ADRYr3!B37)</f>
        <v>C5 - C&amp;I Active Demand Response</v>
      </c>
      <c r="C37" s="9" t="str">
        <f>IF(ADRYr3!$B37=0,"",ADRYr3!C37)</f>
        <v>C5a - C&amp;I Active Demand Response</v>
      </c>
      <c r="D37" s="9" t="str">
        <f>IF(ADRYr3!$B37=0,"",ADRYr3!D37)</f>
        <v>Storage Targeted Dispatch P4P (savings) Summer</v>
      </c>
      <c r="E37" s="9" t="str">
        <f>IF(ADRYr3!$B37=0,"",ADRYr3!E37)</f>
        <v>E21C5a004</v>
      </c>
      <c r="F37" s="11" t="str">
        <f>IF(ADRYr3!$B37=0,"",ADRYr3!F37)</f>
        <v>Behavior</v>
      </c>
      <c r="G37" s="12" t="str">
        <f>IF(ADRYr3!$G37&lt;&gt;0,ADRYr3!G37,"")</f>
        <v/>
      </c>
      <c r="H37" s="1125" t="str">
        <f>IF($G37="","",ROUND(ADRYr3!H37,0))</f>
        <v/>
      </c>
      <c r="I37" s="47" t="str">
        <f>IF($G37="","",ADRYr3!I37*ADRYr3!P37*G37)</f>
        <v/>
      </c>
      <c r="J37" s="47" t="str">
        <f>IF($G37="","",ADRYr3!J37*G37)</f>
        <v/>
      </c>
      <c r="K37" s="47" t="str">
        <f t="shared" si="50"/>
        <v/>
      </c>
      <c r="L37" s="27" t="str">
        <f>IF($G37="","",ADRYr3!V37*G37/1000)</f>
        <v/>
      </c>
      <c r="M37" s="27" t="str">
        <f>IF($G37="","",L37*ADRYr3!$Q37*ADRYr3!$R37)</f>
        <v/>
      </c>
      <c r="N37" s="27" t="str">
        <f t="shared" si="51"/>
        <v/>
      </c>
      <c r="O37" s="27" t="str">
        <f t="shared" si="52"/>
        <v/>
      </c>
      <c r="P37" s="27" t="str">
        <f>IF($G37="","",M37*ADRYr3!P37)</f>
        <v/>
      </c>
      <c r="Q37" s="27" t="str">
        <f t="shared" si="53"/>
        <v/>
      </c>
      <c r="R37" s="27" t="str">
        <f>IF($G37="","",$Q37*ADRYr3!Z37)</f>
        <v/>
      </c>
      <c r="S37" s="27" t="str">
        <f>IF($G37="","",$Q37*ADRYr3!AA37)</f>
        <v/>
      </c>
      <c r="T37" s="27" t="str">
        <f>IF($G37="","",$Q37*ADRYr3!AB37)</f>
        <v/>
      </c>
      <c r="U37" s="27" t="str">
        <f>IF($G37="","",$Q37*ADRYr3!AC37)</f>
        <v/>
      </c>
      <c r="V37" s="27" t="str">
        <f>IF($G37="","",G37*ADRYr3!$AD37*ADRYr3!$P37*ADRYr3!$Q37)</f>
        <v/>
      </c>
      <c r="W37" s="27" t="str">
        <f>IF($G37="","",$G37*ADRYr3!$AD37*ADRYr3!$AF37*ADRYr3!Q37*ADRYr3!$S37)</f>
        <v/>
      </c>
      <c r="X37" s="27" t="str">
        <f>IF($G37="","",$G37*ADRYr3!$AD37*ADRYr3!$AF37*ADRYr3!P37*ADRYr3!Q37*ADRYr3!$S37)</f>
        <v/>
      </c>
      <c r="Y37" s="27" t="str">
        <f>IF($G37="","",$G37*ADRYr3!$AD37*ADRYr3!$AE37*ADRYr3!Q37*ADRYr3!$T37)</f>
        <v/>
      </c>
      <c r="Z37" s="27" t="str">
        <f>IF($G37="","",$G37*ADRYr3!$AD37*ADRYr3!$AE37*ADRYr3!P37*ADRYr3!Q37*ADRYr3!$T37)</f>
        <v/>
      </c>
      <c r="AA37" s="45" t="str">
        <f>IF($G37="","",$G37*ADRYr3!$Q37*ADRYr3!$U37*(IF(IFERROR(SEARCH("NG", ADRYr3!$AI37),0),ADRYr3!$AJ37,0)+IF(IFERROR(SEARCH("NG", ADRYr3!$AK37),0),ADRYr3!$AL37,0)+IF(IFERROR(SEARCH("NG", ADRYr3!$AM37),0),ADRYr3!$AN37,0)))</f>
        <v/>
      </c>
      <c r="AB37" s="45" t="str">
        <f t="shared" si="54"/>
        <v/>
      </c>
      <c r="AC37" s="45">
        <f>IF($G37="",0,AA37*ADRYr3!$P37)</f>
        <v>0</v>
      </c>
      <c r="AD37" s="45" t="str">
        <f t="shared" si="55"/>
        <v/>
      </c>
      <c r="AE37" s="45" t="str">
        <f>IF($G37="","",$G37*ADRYr3!$Q37*ADRYr3!$U37*(IF(IFERROR(SEARCH("Oil", ADRYr3!$AI37), 0),ADRYr3!$AJ37,0)+IF(IFERROR(SEARCH("Oil", ADRYr3!$AK37), 0),ADRYr3!$AL37,0)+IF(IFERROR(SEARCH("Oil", ADRYr3!$AM37), 0),ADRYr3!$AN37,0)))</f>
        <v/>
      </c>
      <c r="AF37" s="45" t="str">
        <f t="shared" si="56"/>
        <v/>
      </c>
      <c r="AG37" s="45">
        <f>IF($G37="",0,AE37*ADRYr3!$P37)</f>
        <v>0</v>
      </c>
      <c r="AH37" s="45" t="str">
        <f t="shared" si="57"/>
        <v/>
      </c>
      <c r="AI37" s="45" t="str">
        <f>IF($G37="","",$G37*ADRYr3!$Q37*ADRYr3!$U37*(IF(ADRYr3!$AI37=Lookups!$E$114,ADRYr3!$AJ37,IF(ADRYr3!$AK37=Lookups!$E$114,ADRYr3!$AL37,IF(ADRYr3!$AM37=Lookups!$E$114,ADRYr3!$AN37,0)))))</f>
        <v/>
      </c>
      <c r="AJ37" s="45" t="str">
        <f t="shared" si="58"/>
        <v/>
      </c>
      <c r="AK37" s="45">
        <f>IF($G37="",0,AI37*ADRYr3!$P37)</f>
        <v>0</v>
      </c>
      <c r="AL37" s="45" t="str">
        <f t="shared" si="59"/>
        <v/>
      </c>
      <c r="AM37" s="45" t="str">
        <f>IF($G37="","",$G37*ADRYr3!$Q37*ADRYr3!$U37*(IF(ADRYr3!$AI37=Lookups!$E$113,ADRYr3!$AJ37,IF(ADRYr3!$AK37=Lookups!$E$113,ADRYr3!$AL37,IF(ADRYr3!$AM37=Lookups!$E$113,ADRYr3!$AN37,0)))))</f>
        <v/>
      </c>
      <c r="AN37" s="45" t="str">
        <f t="shared" si="60"/>
        <v/>
      </c>
      <c r="AO37" s="45">
        <f>IF($G37="",0,AM37*ADRYr3!$P37)</f>
        <v>0</v>
      </c>
      <c r="AP37" s="45" t="str">
        <f t="shared" si="61"/>
        <v/>
      </c>
      <c r="AQ37" s="45" t="str">
        <f>IF($G37="","",$G37*ADRYr3!$Q37*ADRYr3!$U37*(IF(ADRYr3!$AI37=Lookups!$E$115,ADRYr3!$AJ37,IF(ADRYr3!$AK37=Lookups!$E$115,ADRYr3!$AL37,IF(ADRYr3!$AM37=Lookups!$E$115,ADRYr3!$AN37,0)))))</f>
        <v/>
      </c>
      <c r="AR37" s="45" t="str">
        <f t="shared" si="62"/>
        <v/>
      </c>
      <c r="AS37" s="45" t="str">
        <f>IF($G37="","",AQ37*ADRYr3!$P37)</f>
        <v/>
      </c>
      <c r="AT37" s="45" t="str">
        <f t="shared" si="63"/>
        <v/>
      </c>
      <c r="AU37" s="45" t="str">
        <f>IF($G37="","",$G37*ADRYr3!$Q37*ADRYr3!$U37*(IF(ADRYr3!$AI37=Lookups!$E$116,ADRYr3!$AJ37,IF(ADRYr3!$AK37=Lookups!$E$116,ADRYr3!$AL37,IF(ADRYr3!$AM37=Lookups!$E$116,ADRYr3!$AN37,0)))))</f>
        <v/>
      </c>
      <c r="AV37" s="45" t="str">
        <f t="shared" si="64"/>
        <v/>
      </c>
      <c r="AW37" s="45" t="str">
        <f>IF($G37="","",AU37*ADRYr3!$P37)</f>
        <v/>
      </c>
      <c r="AX37" s="45" t="str">
        <f t="shared" si="65"/>
        <v/>
      </c>
      <c r="AY37" s="45">
        <f t="shared" si="66"/>
        <v>0</v>
      </c>
      <c r="AZ37" s="45">
        <f t="shared" si="67"/>
        <v>0</v>
      </c>
      <c r="BA37" s="101" t="str">
        <f>IF($G37="","",$G37*ADRYr3!$P37*ADRYr3!$Q37*ADRYr3!$U37*ADRYr3!AO37)</f>
        <v/>
      </c>
      <c r="BB37" s="102" t="str">
        <f>IF($G37="","",$G37*ADRYr3!$P37*ADRYr3!$Q37*ADRYr3!$U37*ADRYr3!AP37)</f>
        <v/>
      </c>
      <c r="BC37" s="100" t="str">
        <f t="shared" si="68"/>
        <v/>
      </c>
      <c r="BD37" s="1126"/>
      <c r="BE37" s="1126"/>
      <c r="BF37" s="1126"/>
      <c r="BG37" s="1126"/>
      <c r="BH37" s="1127" t="str">
        <f t="shared" si="3"/>
        <v/>
      </c>
      <c r="BI37" s="1126"/>
      <c r="BJ37" s="1126"/>
      <c r="BK37" s="1126"/>
      <c r="BL37" s="1126"/>
      <c r="BM37" s="30" t="str">
        <f t="shared" si="4"/>
        <v/>
      </c>
      <c r="BN37" s="1128" t="str">
        <f t="shared" si="31"/>
        <v/>
      </c>
      <c r="BO37" s="31" t="str">
        <f t="shared" si="69"/>
        <v/>
      </c>
      <c r="BP37" s="1129" t="str">
        <f t="shared" si="5"/>
        <v/>
      </c>
      <c r="BQ37" s="28" t="str">
        <f t="shared" si="6"/>
        <v/>
      </c>
      <c r="BR37" s="1129" t="str">
        <f t="shared" si="7"/>
        <v/>
      </c>
      <c r="BS37" s="1129" t="str">
        <f t="shared" si="8"/>
        <v/>
      </c>
      <c r="BT37" s="28" t="str">
        <f t="shared" si="82"/>
        <v/>
      </c>
      <c r="BU37" s="28" t="str">
        <f t="shared" si="82"/>
        <v/>
      </c>
      <c r="BV37" s="28" t="str">
        <f t="shared" si="82"/>
        <v/>
      </c>
      <c r="BW37" s="29" t="str">
        <f t="shared" si="70"/>
        <v/>
      </c>
      <c r="BX37" s="29" t="str">
        <f t="shared" si="71"/>
        <v/>
      </c>
      <c r="BY37" s="28" t="str">
        <f>IF($G37="","",$G37*(IF(ADRYr3!$AI37=BY$4,ADRYr3!$AJ37,IF(ADRYr3!$AK37=BY$4,ADRYr3!$AL37,IF(ADRYr3!$AM37=BY$4,ADRYr3!$AN37,0))))*(INDEX(avoidedcosttbl3,$H37,BY$2)+(($H37-ROUNDDOWN($H37,0))*(INDEX(avoidedcosttbl3,ROUNDUP($H37,0),BY$2)-(INDEX(avoidedcosttbl3,ROUNDDOWN($H37,0),BY$2)))))*ADRYr3!P37*ADRYr3!Q37*ADRYr3!U37)</f>
        <v/>
      </c>
      <c r="BZ37" s="28" t="str">
        <f>IF($G37="","",$G37*(IF(ADRYr3!$AI37=BZ$4,ADRYr3!$AJ37,IF(ADRYr3!$AK37=BZ$4,ADRYr3!$AL37,IF(ADRYr3!$AM37=BZ$4,ADRYr3!$AN37,0))))*(INDEX(avoidedcosttbl3,$H37,BZ$2)+(($H37-ROUNDDOWN($H37,0))*(INDEX(avoidedcosttbl3,ROUNDUP($H37,0),BZ$2)-(INDEX(avoidedcosttbl3,ROUNDDOWN($H37,0),BZ$2)))))*ADRYr3!P37*ADRYr3!Q37*ADRYr3!U37)</f>
        <v/>
      </c>
      <c r="CA37" s="28" t="str">
        <f>IF($G37="","",$G37*(IF(ADRYr3!$AI37=CA$4,ADRYr3!$AJ37,IF(ADRYr3!$AK37=CA$4,ADRYr3!$AL37,IF(ADRYr3!$AM37=CA$4,ADRYr3!$AN37,0))))*(INDEX(avoidedcosttbl3,$H37,CA$2)+(($H37-ROUNDDOWN($H37,0))*(INDEX(avoidedcosttbl3,ROUNDUP($H37,0),CA$2)-(INDEX(avoidedcosttbl3,ROUNDDOWN($H37,0),CA$2)))))*ADRYr3!P37*ADRYr3!Q37*ADRYr3!U37)</f>
        <v/>
      </c>
      <c r="CB37" s="28" t="str">
        <f>IF($G37="","",$G37*(IF(ADRYr3!$AI37=CB$4,ADRYr3!$AJ37,IF(ADRYr3!$AK37=CB$4,ADRYr3!$AL37,IF(ADRYr3!$AM37=CB$4,ADRYr3!$AN37,0))))*(INDEX(avoidedcosttbl3,$H37,CB$2)+(($H37-ROUNDDOWN($H37,0))*(INDEX(avoidedcosttbl3,ROUNDUP($H37,0),CB$2)-(INDEX(avoidedcosttbl3,ROUNDDOWN($H37,0),CB$2)))))*ADRYr3!P37*ADRYr3!Q37*ADRYr3!U37)</f>
        <v/>
      </c>
      <c r="CC37" s="28" t="str">
        <f>IF($G37="","",$G37*(IF(ADRYr3!$AI37=CC$4,ADRYr3!$AJ37,IF(ADRYr3!$AK37=CC$4,ADRYr3!$AL37,IF(ADRYr3!$AM37=CC$4,ADRYr3!$AN37,0))))*(INDEX(avoidedcosttbl3,$H37,CC$2)+(($H37-ROUNDDOWN($H37,0))*(INDEX(avoidedcosttbl3,ROUNDUP($H37,0),CC$2)-(INDEX(avoidedcosttbl3,ROUNDDOWN($H37,0),CC$2)))))*ADRYr3!P37*ADRYr3!Q37*ADRYr3!U37)</f>
        <v/>
      </c>
      <c r="CD37" s="28" t="str">
        <f>IF($G37="","",$G37*(IF(ADRYr3!$AI37=CD$4,ADRYr3!$AJ37,IF(ADRYr3!$AK37=CD$4,ADRYr3!$AL37,IF(ADRYr3!$AM37=CD$4,ADRYr3!$AN37,0))))*(INDEX(avoidedcosttbl3,$H37,CD$2)+(($H37-ROUNDDOWN($H37,0))*(INDEX(avoidedcosttbl3,ROUNDUP($H37,0),CD$2)-(INDEX(avoidedcosttbl3,ROUNDDOWN($H37,0),CD$2)))))*ADRYr3!P37*ADRYr3!Q37*ADRYr3!U37)</f>
        <v/>
      </c>
      <c r="CE37" s="28" t="str">
        <f>IF($G37="","",$G37*(IF(ADRYr3!$AI37=CE$4,ADRYr3!$AJ37,IF(ADRYr3!$AK37=CE$4,ADRYr3!$AL37,IF(ADRYr3!$AM37=CE$4,ADRYr3!$AN37,0))))*(INDEX(avoidedcosttbl3,$H37,CE$2)+(($H37-ROUNDDOWN($H37,0))*(INDEX(avoidedcosttbl3,ROUNDUP($H37,0),CE$2)-(INDEX(avoidedcosttbl3,ROUNDDOWN($H37,0),CE$2)))))*ADRYr3!P37*ADRYr3!Q37*ADRYr3!U37)</f>
        <v/>
      </c>
      <c r="CF37" s="41" t="str">
        <f t="shared" si="72"/>
        <v/>
      </c>
      <c r="CG37" s="30" t="str">
        <f t="shared" si="10"/>
        <v/>
      </c>
      <c r="CH37" s="30" t="str">
        <f>IF($G37="","",$G37*(IF(ADRYr3!$AI37=BY$4,ADRYr3!$AJ37,IF(ADRYr3!$AK37=BY$4,ADRYr3!$AL37,IF(ADRYr3!$AM37=BY$4,ADRYr3!$AN37,0))))*(INDEX(avoidedcosttbl3,$H37,CH$2)+(($H37-ROUNDDOWN($H37,0))*(INDEX(avoidedcosttbl3,ROUNDUP($H37,0),CH$2)-(INDEX(avoidedcosttbl3,ROUNDDOWN($H37,0),CH$2)))))*ADRYr3!P37*ADRYr3!Q37*ADRYr3!U37)</f>
        <v/>
      </c>
      <c r="CI37" s="30" t="str">
        <f>IF($G37="","",$G37*(IF(ADRYr3!$AI37=BZ$4,ADRYr3!$AJ37,IF(ADRYr3!$AK37=BZ$4,ADRYr3!$AL37,IF(ADRYr3!$AM37=BZ$4,ADRYr3!$AN37,0))))*(INDEX(avoidedcosttbl3,$H37,CI$2)+(($H37-ROUNDDOWN($H37,0))*(INDEX(avoidedcosttbl3,ROUNDUP($H37,0),CI$2)-(INDEX(avoidedcosttbl3,ROUNDDOWN($H37,0),CI$2)))))*ADRYr3!P37*ADRYr3!Q37*ADRYr3!U37)</f>
        <v/>
      </c>
      <c r="CJ37" s="30" t="str">
        <f>IF($G37="","",$G37*(IF(ADRYr3!$AI37=CA$4,ADRYr3!$AJ37,IF(ADRYr3!$AK37=CA$4,ADRYr3!$AL37,IF(ADRYr3!$AM37=CA$4,ADRYr3!$AN37,0))))*(INDEX(avoidedcosttbl3,$H37,CJ$2)+(($H37-ROUNDDOWN($H37,0))*(INDEX(avoidedcosttbl3,ROUNDUP($H37,0),CJ$2)-(INDEX(avoidedcosttbl3,ROUNDDOWN($H37,0),CJ$2)))))*ADRYr3!P37*ADRYr3!Q37*ADRYr3!U37)</f>
        <v/>
      </c>
      <c r="CK37" s="30" t="str">
        <f>IF($G37="","",$G37*(IF(ADRYr3!$AI37=CB$4,ADRYr3!$AJ37,IF(ADRYr3!$AK37=CB$4,ADRYr3!$AL37,IF(ADRYr3!$AM37=CB$4,ADRYr3!$AN37,0))))*(INDEX(avoidedcosttbl3,$H37,CK$2)+(($H37-ROUNDDOWN($H37,0))*(INDEX(avoidedcosttbl3,ROUNDUP($H37,0),CK$2)-(INDEX(avoidedcosttbl3,ROUNDDOWN($H37,0),CK$2)))))*ADRYr3!P37*ADRYr3!Q37*ADRYr3!U37)</f>
        <v/>
      </c>
      <c r="CL37" s="30" t="str">
        <f>IF($G37="","",$G37*(IF(ADRYr3!$AI37=CC$4,ADRYr3!$AJ37,IF(ADRYr3!$AK37=CC$4,ADRYr3!$AL37,IF(ADRYr3!$AM37=CC$4,ADRYr3!$AN37,0))))*(INDEX(avoidedcosttbl3,$H37,CL$2)+(($H37-ROUNDDOWN($H37,0))*(INDEX(avoidedcosttbl3,ROUNDUP($H37,0),CL$2)-(INDEX(avoidedcosttbl3,ROUNDDOWN($H37,0),CL$2)))))*ADRYr3!P37*ADRYr3!Q37*ADRYr3!U37)</f>
        <v/>
      </c>
      <c r="CM37" s="30" t="str">
        <f>IF($G37="","",$G37*(IF(ADRYr3!$AI37=CD$4,ADRYr3!$AJ37,IF(ADRYr3!$AK37=CD$4,ADRYr3!$AL37,IF(ADRYr3!$AM37=CD$4,ADRYr3!$AN37,0))))*(INDEX(avoidedcosttbl3,$H37,CM$2)+(($H37-ROUNDDOWN($H37,0))*(INDEX(avoidedcosttbl3,ROUNDUP($H37,0),CM$2)-(INDEX(avoidedcosttbl3,ROUNDDOWN($H37,0),CM$2)))))*ADRYr3!P37*ADRYr3!Q37*ADRYr3!U37)</f>
        <v/>
      </c>
      <c r="CN37" s="30" t="str">
        <f>IF($G37="","",$G37*(IF(ADRYr3!$AI37=CE$4,ADRYr3!$AJ37,IF(ADRYr3!$AK37=CE$4,ADRYr3!$AL37,IF(ADRYr3!$AM37=CE$4,ADRYr3!$AN37,0))))*(INDEX(avoidedcosttbl3,$H37,CN$2)+(($H37-ROUNDDOWN($H37,0))*(INDEX(avoidedcosttbl3,ROUNDUP($H37,0),CN$2)-(INDEX(avoidedcosttbl3,ROUNDDOWN($H37,0),CN$2)))))*ADRYr3!P37*ADRYr3!Q37*ADRYr3!U37)</f>
        <v/>
      </c>
      <c r="CO37" s="220" t="str">
        <f t="shared" si="73"/>
        <v/>
      </c>
      <c r="CP37" s="220" t="str">
        <f t="shared" si="74"/>
        <v/>
      </c>
      <c r="CQ37" s="157" t="str">
        <f>IF($G37="","",$G37*(IF(ADRYr3!$AI37=CQ$4,ADRYr3!$AJ37,IF(ADRYr3!$AK37=CQ$4,ADRYr3!$AL37,IF(ADRYr3!$AM37=CQ$4,ADRYr3!$AN37,0))))*(INDEX(avoidedcosttbl3,$H37,CQ$2)+(($H37-ROUNDDOWN($H37,0))*(INDEX(avoidedcosttbl3,ROUNDUP($H37,0),CQ$2)-(INDEX(avoidedcosttbl3,ROUNDDOWN($H37,0),CQ$2)))))*ADRYr3!$P37*ADRYr3!$Q37*ADRYr3!$U37)</f>
        <v/>
      </c>
      <c r="CR37" s="28" t="str">
        <f>IF($G37="","",G37*(IF(ADRYr3!$AI37=CR$4,ADRYr3!$AJ37,IF(ADRYr3!$AK37=CR$4,ADRYr3!$AL37,IF(ADRYr3!$AM37=CR$4,ADRYr3!$AN37,0))))*(INDEX(avoidedcosttbl3,$H37,CR$2)+(($H37-ROUNDDOWN($H37,0))*(INDEX(avoidedcosttbl3,ROUNDUP($H37,0),CR$2)-(INDEX(avoidedcosttbl3,ROUNDDOWN($H37,0),CR$2)))))*ADRYr3!$P37*ADRYr3!$Q37*ADRYr3!$U37)</f>
        <v/>
      </c>
      <c r="CS37" s="28" t="str">
        <f>IF($G37="","",G37*(IF(ADRYr3!$AI37=CS$4,ADRYr3!$AJ37,IF(ADRYr3!$AK37=CS$4,ADRYr3!$AL37,IF(ADRYr3!$AM37=CS$4,ADRYr3!$AN37,0))))*(INDEX(avoidedcosttbl3,$H37,CS$2)+(($H37-ROUNDDOWN($H37,0))*(INDEX(avoidedcosttbl3,ROUNDUP($H37,0),CS$2)-(INDEX(avoidedcosttbl3,ROUNDDOWN($H37,0),CS$2)))))*ADRYr3!$P37*ADRYr3!$Q37*ADRYr3!$U37)</f>
        <v/>
      </c>
      <c r="CT37" s="28" t="str">
        <f t="shared" si="11"/>
        <v/>
      </c>
      <c r="CU37" s="28" t="str">
        <f>IF($G37="","",G37*(IF(ADRYr3!$AI37=CU$4,ADRYr3!$AJ37,IF(ADRYr3!$AK37=CU$4,ADRYr3!$AL37,IF(ADRYr3!$AM37=CU$4,ADRYr3!$AN37,0))))*(INDEX(avoidedcosttbl3,$H37,CU$2)+(($H37-ROUNDDOWN($H37,0))*(INDEX(avoidedcosttbl3,ROUNDUP($H37,0),CU$2)-(INDEX(avoidedcosttbl3,ROUNDDOWN($H37,0),CU$2)))))*ADRYr3!$P37*ADRYr3!$Q37*ADRYr3!$U37)</f>
        <v/>
      </c>
      <c r="CV37" s="28" t="str">
        <f>IF($G37="","",G37*(IF(ADRYr3!$AI37=CV$4,ADRYr3!$AJ37,IF(ADRYr3!$AK37=CV$4,ADRYr3!$AL37,IF(ADRYr3!$AM37=CV$4,ADRYr3!$AN37,0))))*(INDEX(avoidedcosttbl3,$H37,CV$2)+(($H37-ROUNDDOWN($H37,0))*(INDEX(avoidedcosttbl3,ROUNDUP($H37,0),CV$2)-(INDEX(avoidedcosttbl3,ROUNDDOWN($H37,0),CV$2)))))*ADRYr3!$P37*ADRYr3!$Q37*ADRYr3!$U37)</f>
        <v/>
      </c>
      <c r="CW37" s="28" t="str">
        <f>IF($G37="","",G37*(IF(ADRYr3!$AI37=CW$4,ADRYr3!$AJ37,IF(ADRYr3!$AK37=CW$4,ADRYr3!$AL37,IF(ADRYr3!$AM37=CW$4,ADRYr3!$AN37,0))))*(INDEX(avoidedcosttbl3,$H37,CW$2)+(($H37-ROUNDDOWN($H37,0))*(INDEX(avoidedcosttbl3,ROUNDUP($H37,0),CW$2)-(INDEX(avoidedcosttbl3,ROUNDDOWN($H37,0),CW$2)))))*ADRYr3!$P37*ADRYr3!$Q37*ADRYr3!$U37)</f>
        <v/>
      </c>
      <c r="CX37" s="28" t="str">
        <f>IF($G37="","",G37*(IF(ADRYr3!$AI37=CX$4,ADRYr3!$AJ37,IF(ADRYr3!$AK37=CX$4,ADRYr3!$AL37,IF(ADRYr3!$AM37=CX$4,ADRYr3!$AN37,0))))*(INDEX(avoidedcosttbl3,$H37,CX$2)+(($H37-ROUNDDOWN($H37,0))*(INDEX(avoidedcosttbl3,ROUNDUP($H37,0),CX$2)-(INDEX(avoidedcosttbl3,ROUNDDOWN($H37,0),CX$2)))))*ADRYr3!$P37*ADRYr3!$Q37*ADRYr3!$U37)</f>
        <v/>
      </c>
      <c r="CY37" s="28" t="str">
        <f t="shared" si="75"/>
        <v/>
      </c>
      <c r="CZ37" s="32" t="str">
        <f t="shared" si="76"/>
        <v/>
      </c>
      <c r="DA37" s="84" t="str">
        <f t="shared" si="77"/>
        <v/>
      </c>
      <c r="DB37" s="81" t="str">
        <f>IF(NEIadder="Yes",IF($G37="","",INDEX(Lookups!$G$68:$G$70,MATCH($A37,Lookups!$E$68:$E$70,0))*(SUM(CP37:CX37,BX37))),"")</f>
        <v/>
      </c>
      <c r="DC37" s="263" t="str">
        <f t="shared" si="78"/>
        <v/>
      </c>
      <c r="DD37" s="166" t="str">
        <f t="shared" si="79"/>
        <v/>
      </c>
      <c r="DE37" s="82">
        <f t="shared" si="80"/>
        <v>0</v>
      </c>
      <c r="DF37" s="760" t="str">
        <f>IF($G37="","",(1+WntPeakEnergyLL)*(INDEX(avoidedcosttbl3,$H37,DF$2)+(($H37-ROUNDDOWN($H37,0))*(INDEX(avoidedcosttbl3,ROUNDUP($H37,0),DF$2)-(INDEX(avoidedcosttbl3,ROUNDDOWN($H37,0),DF$2)))))*$P37*1000*ADRYr3!Z37)</f>
        <v/>
      </c>
      <c r="DG37" s="760" t="str">
        <f>IF($G37="","",(1+WntOffPeakEnergyLL)*(INDEX(avoidedcosttbl3,$H37,DG$2)+(($H37-ROUNDDOWN($H37,0))*(INDEX(avoidedcosttbl3,ROUNDUP($H37,0),DG$2)-(INDEX(avoidedcosttbl3,ROUNDDOWN($H37,0),DG$2)))))*$P37*1000*ADRYr3!AA37)</f>
        <v/>
      </c>
      <c r="DH37" s="760" t="str">
        <f>IF($G37="","",(1+SumPeakEnergyLL)*(INDEX(avoidedcosttbl3,$H37,DH$2)+(($H37-ROUNDDOWN($H37,0))*(INDEX(avoidedcosttbl3,ROUNDUP($H37,0),DH$2)-(INDEX(avoidedcosttbl3,ROUNDDOWN($H37,0),DH$2)))))*$P37*1000*ADRYr3!AB37)</f>
        <v/>
      </c>
      <c r="DI37" s="760" t="str">
        <f>IF($G37="","",(1+SumOffPeakEnergyLL)*(INDEX(avoidedcosttbl3,$H37,DI$2)+(($H37-ROUNDDOWN($H37,0))*(INDEX(avoidedcosttbl3,ROUNDUP($H37,0),DI$2)-(INDEX(avoidedcosttbl3,ROUNDDOWN($H37,0),DI$2)))))*$P37*1000*ADRYr3!AC37)</f>
        <v/>
      </c>
      <c r="DJ37" s="29" t="str">
        <f t="shared" si="81"/>
        <v/>
      </c>
      <c r="DK37" s="161" t="str">
        <f t="shared" si="45"/>
        <v/>
      </c>
      <c r="DL37" s="1375" t="str">
        <f t="shared" si="46"/>
        <v/>
      </c>
      <c r="DM37" s="1375" t="str">
        <f t="shared" si="47"/>
        <v/>
      </c>
      <c r="DN37" s="43" t="str">
        <f t="shared" si="48"/>
        <v/>
      </c>
      <c r="DO37" s="1131" t="str">
        <f>IF($G37="","",ADRYr3!AQ37)</f>
        <v/>
      </c>
      <c r="DP37" s="1133" t="str">
        <f>IF($G37="","",ADRYr3!AR37)</f>
        <v/>
      </c>
      <c r="DQ37" s="1135" t="str">
        <f>IF($G37="","",IF($DP37="Yes",COLUMN(AESC!$L$10),IF($DP37="No","Using AvoidedDemand tab",IF($DP37="Mixed",COLUMN(AESC!$N$10)))))</f>
        <v/>
      </c>
      <c r="DR37" s="1135" t="str">
        <f>IF($G37="","",IF($DP37="Yes",COLUMN(AESC!$P$10),IF($DP37="No","Using AvoidedDemand tab",IF($DP37="Mixed",COLUMN(AESC!$R$10)))))</f>
        <v/>
      </c>
      <c r="DS37" s="1135" t="str">
        <f>IF($G37="","",IF($DP37="Yes",COLUMN(AESC!$S$10),IF($DP37="No",COLUMN(AESC!$T$10),IF($DP37="Mixed",COLUMN(AESC!$U$10)))))</f>
        <v/>
      </c>
      <c r="DT37" s="1135" t="str">
        <f t="shared" si="49"/>
        <v/>
      </c>
      <c r="DU37" s="1135" t="str">
        <f>IF($G37="","",ADRYr3!AS37)</f>
        <v/>
      </c>
      <c r="DV37" s="1136" t="str">
        <f>IF($G37="","",ADRYr3!AT37)</f>
        <v/>
      </c>
      <c r="DW37" s="1344" t="str">
        <f>IF($G37="","",INDEX(AvoidedEnergy!$H$4:$H$10,MATCH($DO37,AvoidedEnergy!$A$4:$A$10,0)))</f>
        <v/>
      </c>
    </row>
    <row r="38" spans="1:127">
      <c r="A38" s="160" t="str">
        <f>IF(ADRYr3!$B38=0,"",ADRYr3!A38)</f>
        <v>C - Commercial &amp; Industrial</v>
      </c>
      <c r="B38" s="9" t="str">
        <f>IF(ADRYr3!$B38=0,"",ADRYr3!B38)</f>
        <v>C5 - C&amp;I Active Demand Response</v>
      </c>
      <c r="C38" s="9" t="str">
        <f>IF(ADRYr3!$B38=0,"",ADRYr3!C38)</f>
        <v>C5a - C&amp;I Active Demand Response</v>
      </c>
      <c r="D38" s="9" t="str">
        <f>IF(ADRYr3!$B38=0,"",ADRYr3!D38)</f>
        <v>Storage Targeted Dispatch P4P (consumption) Summer</v>
      </c>
      <c r="E38" s="9" t="str">
        <f>IF(ADRYr3!$B38=0,"",ADRYr3!E38)</f>
        <v>E21C5a005</v>
      </c>
      <c r="F38" s="11" t="str">
        <f>IF(ADRYr3!$B38=0,"",ADRYr3!F38)</f>
        <v>Behavior</v>
      </c>
      <c r="G38" s="12" t="str">
        <f>IF(ADRYr3!$G38&lt;&gt;0,ADRYr3!G38,"")</f>
        <v/>
      </c>
      <c r="H38" s="1125" t="str">
        <f>IF($G38="","",ROUND(ADRYr3!H38,0))</f>
        <v/>
      </c>
      <c r="I38" s="47" t="str">
        <f>IF($G38="","",ADRYr3!I38*ADRYr3!P38*G38)</f>
        <v/>
      </c>
      <c r="J38" s="47" t="str">
        <f>IF($G38="","",ADRYr3!J38*G38)</f>
        <v/>
      </c>
      <c r="K38" s="47" t="str">
        <f t="shared" si="50"/>
        <v/>
      </c>
      <c r="L38" s="27" t="str">
        <f>IF($G38="","",ADRYr3!V38*G38/1000)</f>
        <v/>
      </c>
      <c r="M38" s="27" t="str">
        <f>IF($G38="","",L38*ADRYr3!$Q38*ADRYr3!$R38)</f>
        <v/>
      </c>
      <c r="N38" s="27" t="str">
        <f t="shared" si="51"/>
        <v/>
      </c>
      <c r="O38" s="27" t="str">
        <f t="shared" si="52"/>
        <v/>
      </c>
      <c r="P38" s="27" t="str">
        <f>IF($G38="","",M38*ADRYr3!P38)</f>
        <v/>
      </c>
      <c r="Q38" s="27" t="str">
        <f t="shared" si="53"/>
        <v/>
      </c>
      <c r="R38" s="27" t="str">
        <f>IF($G38="","",$Q38*ADRYr3!Z38)</f>
        <v/>
      </c>
      <c r="S38" s="27" t="str">
        <f>IF($G38="","",$Q38*ADRYr3!AA38)</f>
        <v/>
      </c>
      <c r="T38" s="27" t="str">
        <f>IF($G38="","",$Q38*ADRYr3!AB38)</f>
        <v/>
      </c>
      <c r="U38" s="27" t="str">
        <f>IF($G38="","",$Q38*ADRYr3!AC38)</f>
        <v/>
      </c>
      <c r="V38" s="27" t="str">
        <f>IF($G38="","",G38*ADRYr3!$AD38*ADRYr3!$P38*ADRYr3!$Q38)</f>
        <v/>
      </c>
      <c r="W38" s="27" t="str">
        <f>IF($G38="","",$G38*ADRYr3!$AD38*ADRYr3!$AF38*ADRYr3!Q38*ADRYr3!$S38)</f>
        <v/>
      </c>
      <c r="X38" s="27" t="str">
        <f>IF($G38="","",$G38*ADRYr3!$AD38*ADRYr3!$AF38*ADRYr3!P38*ADRYr3!Q38*ADRYr3!$S38)</f>
        <v/>
      </c>
      <c r="Y38" s="27" t="str">
        <f>IF($G38="","",$G38*ADRYr3!$AD38*ADRYr3!$AE38*ADRYr3!Q38*ADRYr3!$T38)</f>
        <v/>
      </c>
      <c r="Z38" s="27" t="str">
        <f>IF($G38="","",$G38*ADRYr3!$AD38*ADRYr3!$AE38*ADRYr3!P38*ADRYr3!Q38*ADRYr3!$T38)</f>
        <v/>
      </c>
      <c r="AA38" s="45" t="str">
        <f>IF($G38="","",$G38*ADRYr3!$Q38*ADRYr3!$U38*(IF(IFERROR(SEARCH("NG", ADRYr3!$AI38),0),ADRYr3!$AJ38,0)+IF(IFERROR(SEARCH("NG", ADRYr3!$AK38),0),ADRYr3!$AL38,0)+IF(IFERROR(SEARCH("NG", ADRYr3!$AM38),0),ADRYr3!$AN38,0)))</f>
        <v/>
      </c>
      <c r="AB38" s="45" t="str">
        <f t="shared" si="54"/>
        <v/>
      </c>
      <c r="AC38" s="45">
        <f>IF($G38="",0,AA38*ADRYr3!$P38)</f>
        <v>0</v>
      </c>
      <c r="AD38" s="45" t="str">
        <f t="shared" si="55"/>
        <v/>
      </c>
      <c r="AE38" s="45" t="str">
        <f>IF($G38="","",$G38*ADRYr3!$Q38*ADRYr3!$U38*(IF(IFERROR(SEARCH("Oil", ADRYr3!$AI38), 0),ADRYr3!$AJ38,0)+IF(IFERROR(SEARCH("Oil", ADRYr3!$AK38), 0),ADRYr3!$AL38,0)+IF(IFERROR(SEARCH("Oil", ADRYr3!$AM38), 0),ADRYr3!$AN38,0)))</f>
        <v/>
      </c>
      <c r="AF38" s="45" t="str">
        <f t="shared" si="56"/>
        <v/>
      </c>
      <c r="AG38" s="45">
        <f>IF($G38="",0,AE38*ADRYr3!$P38)</f>
        <v>0</v>
      </c>
      <c r="AH38" s="45" t="str">
        <f t="shared" si="57"/>
        <v/>
      </c>
      <c r="AI38" s="45" t="str">
        <f>IF($G38="","",$G38*ADRYr3!$Q38*ADRYr3!$U38*(IF(ADRYr3!$AI38=Lookups!$E$114,ADRYr3!$AJ38,IF(ADRYr3!$AK38=Lookups!$E$114,ADRYr3!$AL38,IF(ADRYr3!$AM38=Lookups!$E$114,ADRYr3!$AN38,0)))))</f>
        <v/>
      </c>
      <c r="AJ38" s="45" t="str">
        <f t="shared" si="58"/>
        <v/>
      </c>
      <c r="AK38" s="45">
        <f>IF($G38="",0,AI38*ADRYr3!$P38)</f>
        <v>0</v>
      </c>
      <c r="AL38" s="45" t="str">
        <f t="shared" si="59"/>
        <v/>
      </c>
      <c r="AM38" s="45" t="str">
        <f>IF($G38="","",$G38*ADRYr3!$Q38*ADRYr3!$U38*(IF(ADRYr3!$AI38=Lookups!$E$113,ADRYr3!$AJ38,IF(ADRYr3!$AK38=Lookups!$E$113,ADRYr3!$AL38,IF(ADRYr3!$AM38=Lookups!$E$113,ADRYr3!$AN38,0)))))</f>
        <v/>
      </c>
      <c r="AN38" s="45" t="str">
        <f t="shared" si="60"/>
        <v/>
      </c>
      <c r="AO38" s="45">
        <f>IF($G38="",0,AM38*ADRYr3!$P38)</f>
        <v>0</v>
      </c>
      <c r="AP38" s="45" t="str">
        <f t="shared" si="61"/>
        <v/>
      </c>
      <c r="AQ38" s="45" t="str">
        <f>IF($G38="","",$G38*ADRYr3!$Q38*ADRYr3!$U38*(IF(ADRYr3!$AI38=Lookups!$E$115,ADRYr3!$AJ38,IF(ADRYr3!$AK38=Lookups!$E$115,ADRYr3!$AL38,IF(ADRYr3!$AM38=Lookups!$E$115,ADRYr3!$AN38,0)))))</f>
        <v/>
      </c>
      <c r="AR38" s="45" t="str">
        <f t="shared" si="62"/>
        <v/>
      </c>
      <c r="AS38" s="45" t="str">
        <f>IF($G38="","",AQ38*ADRYr3!$P38)</f>
        <v/>
      </c>
      <c r="AT38" s="45" t="str">
        <f t="shared" si="63"/>
        <v/>
      </c>
      <c r="AU38" s="45" t="str">
        <f>IF($G38="","",$G38*ADRYr3!$Q38*ADRYr3!$U38*(IF(ADRYr3!$AI38=Lookups!$E$116,ADRYr3!$AJ38,IF(ADRYr3!$AK38=Lookups!$E$116,ADRYr3!$AL38,IF(ADRYr3!$AM38=Lookups!$E$116,ADRYr3!$AN38,0)))))</f>
        <v/>
      </c>
      <c r="AV38" s="45" t="str">
        <f t="shared" si="64"/>
        <v/>
      </c>
      <c r="AW38" s="45" t="str">
        <f>IF($G38="","",AU38*ADRYr3!$P38)</f>
        <v/>
      </c>
      <c r="AX38" s="45" t="str">
        <f t="shared" si="65"/>
        <v/>
      </c>
      <c r="AY38" s="45">
        <f t="shared" si="66"/>
        <v>0</v>
      </c>
      <c r="AZ38" s="45">
        <f t="shared" si="67"/>
        <v>0</v>
      </c>
      <c r="BA38" s="101" t="str">
        <f>IF($G38="","",$G38*ADRYr3!$P38*ADRYr3!$Q38*ADRYr3!$U38*ADRYr3!AO38)</f>
        <v/>
      </c>
      <c r="BB38" s="102" t="str">
        <f>IF($G38="","",$G38*ADRYr3!$P38*ADRYr3!$Q38*ADRYr3!$U38*ADRYr3!AP38)</f>
        <v/>
      </c>
      <c r="BC38" s="100" t="str">
        <f t="shared" si="68"/>
        <v/>
      </c>
      <c r="BD38" s="1126"/>
      <c r="BE38" s="1126"/>
      <c r="BF38" s="1126"/>
      <c r="BG38" s="1126"/>
      <c r="BH38" s="1127" t="str">
        <f t="shared" si="3"/>
        <v/>
      </c>
      <c r="BI38" s="1126"/>
      <c r="BJ38" s="1126"/>
      <c r="BK38" s="1126"/>
      <c r="BL38" s="1126"/>
      <c r="BM38" s="30" t="str">
        <f t="shared" si="4"/>
        <v/>
      </c>
      <c r="BN38" s="1128" t="str">
        <f t="shared" si="31"/>
        <v/>
      </c>
      <c r="BO38" s="31" t="str">
        <f t="shared" si="69"/>
        <v/>
      </c>
      <c r="BP38" s="1129" t="str">
        <f t="shared" si="5"/>
        <v/>
      </c>
      <c r="BQ38" s="28" t="str">
        <f t="shared" si="6"/>
        <v/>
      </c>
      <c r="BR38" s="1129" t="str">
        <f t="shared" si="7"/>
        <v/>
      </c>
      <c r="BS38" s="1129" t="str">
        <f t="shared" si="8"/>
        <v/>
      </c>
      <c r="BT38" s="28" t="str">
        <f t="shared" si="82"/>
        <v/>
      </c>
      <c r="BU38" s="28" t="str">
        <f t="shared" si="82"/>
        <v/>
      </c>
      <c r="BV38" s="28" t="str">
        <f t="shared" si="82"/>
        <v/>
      </c>
      <c r="BW38" s="29" t="str">
        <f t="shared" si="70"/>
        <v/>
      </c>
      <c r="BX38" s="29" t="str">
        <f t="shared" si="71"/>
        <v/>
      </c>
      <c r="BY38" s="28" t="str">
        <f>IF($G38="","",$G38*(IF(ADRYr3!$AI38=BY$4,ADRYr3!$AJ38,IF(ADRYr3!$AK38=BY$4,ADRYr3!$AL38,IF(ADRYr3!$AM38=BY$4,ADRYr3!$AN38,0))))*(INDEX(avoidedcosttbl3,$H38,BY$2)+(($H38-ROUNDDOWN($H38,0))*(INDEX(avoidedcosttbl3,ROUNDUP($H38,0),BY$2)-(INDEX(avoidedcosttbl3,ROUNDDOWN($H38,0),BY$2)))))*ADRYr3!P38*ADRYr3!Q38*ADRYr3!U38)</f>
        <v/>
      </c>
      <c r="BZ38" s="28" t="str">
        <f>IF($G38="","",$G38*(IF(ADRYr3!$AI38=BZ$4,ADRYr3!$AJ38,IF(ADRYr3!$AK38=BZ$4,ADRYr3!$AL38,IF(ADRYr3!$AM38=BZ$4,ADRYr3!$AN38,0))))*(INDEX(avoidedcosttbl3,$H38,BZ$2)+(($H38-ROUNDDOWN($H38,0))*(INDEX(avoidedcosttbl3,ROUNDUP($H38,0),BZ$2)-(INDEX(avoidedcosttbl3,ROUNDDOWN($H38,0),BZ$2)))))*ADRYr3!P38*ADRYr3!Q38*ADRYr3!U38)</f>
        <v/>
      </c>
      <c r="CA38" s="28" t="str">
        <f>IF($G38="","",$G38*(IF(ADRYr3!$AI38=CA$4,ADRYr3!$AJ38,IF(ADRYr3!$AK38=CA$4,ADRYr3!$AL38,IF(ADRYr3!$AM38=CA$4,ADRYr3!$AN38,0))))*(INDEX(avoidedcosttbl3,$H38,CA$2)+(($H38-ROUNDDOWN($H38,0))*(INDEX(avoidedcosttbl3,ROUNDUP($H38,0),CA$2)-(INDEX(avoidedcosttbl3,ROUNDDOWN($H38,0),CA$2)))))*ADRYr3!P38*ADRYr3!Q38*ADRYr3!U38)</f>
        <v/>
      </c>
      <c r="CB38" s="28" t="str">
        <f>IF($G38="","",$G38*(IF(ADRYr3!$AI38=CB$4,ADRYr3!$AJ38,IF(ADRYr3!$AK38=CB$4,ADRYr3!$AL38,IF(ADRYr3!$AM38=CB$4,ADRYr3!$AN38,0))))*(INDEX(avoidedcosttbl3,$H38,CB$2)+(($H38-ROUNDDOWN($H38,0))*(INDEX(avoidedcosttbl3,ROUNDUP($H38,0),CB$2)-(INDEX(avoidedcosttbl3,ROUNDDOWN($H38,0),CB$2)))))*ADRYr3!P38*ADRYr3!Q38*ADRYr3!U38)</f>
        <v/>
      </c>
      <c r="CC38" s="28" t="str">
        <f>IF($G38="","",$G38*(IF(ADRYr3!$AI38=CC$4,ADRYr3!$AJ38,IF(ADRYr3!$AK38=CC$4,ADRYr3!$AL38,IF(ADRYr3!$AM38=CC$4,ADRYr3!$AN38,0))))*(INDEX(avoidedcosttbl3,$H38,CC$2)+(($H38-ROUNDDOWN($H38,0))*(INDEX(avoidedcosttbl3,ROUNDUP($H38,0),CC$2)-(INDEX(avoidedcosttbl3,ROUNDDOWN($H38,0),CC$2)))))*ADRYr3!P38*ADRYr3!Q38*ADRYr3!U38)</f>
        <v/>
      </c>
      <c r="CD38" s="28" t="str">
        <f>IF($G38="","",$G38*(IF(ADRYr3!$AI38=CD$4,ADRYr3!$AJ38,IF(ADRYr3!$AK38=CD$4,ADRYr3!$AL38,IF(ADRYr3!$AM38=CD$4,ADRYr3!$AN38,0))))*(INDEX(avoidedcosttbl3,$H38,CD$2)+(($H38-ROUNDDOWN($H38,0))*(INDEX(avoidedcosttbl3,ROUNDUP($H38,0),CD$2)-(INDEX(avoidedcosttbl3,ROUNDDOWN($H38,0),CD$2)))))*ADRYr3!P38*ADRYr3!Q38*ADRYr3!U38)</f>
        <v/>
      </c>
      <c r="CE38" s="28" t="str">
        <f>IF($G38="","",$G38*(IF(ADRYr3!$AI38=CE$4,ADRYr3!$AJ38,IF(ADRYr3!$AK38=CE$4,ADRYr3!$AL38,IF(ADRYr3!$AM38=CE$4,ADRYr3!$AN38,0))))*(INDEX(avoidedcosttbl3,$H38,CE$2)+(($H38-ROUNDDOWN($H38,0))*(INDEX(avoidedcosttbl3,ROUNDUP($H38,0),CE$2)-(INDEX(avoidedcosttbl3,ROUNDDOWN($H38,0),CE$2)))))*ADRYr3!P38*ADRYr3!Q38*ADRYr3!U38)</f>
        <v/>
      </c>
      <c r="CF38" s="41" t="str">
        <f t="shared" si="72"/>
        <v/>
      </c>
      <c r="CG38" s="30" t="str">
        <f t="shared" si="10"/>
        <v/>
      </c>
      <c r="CH38" s="30" t="str">
        <f>IF($G38="","",$G38*(IF(ADRYr3!$AI38=BY$4,ADRYr3!$AJ38,IF(ADRYr3!$AK38=BY$4,ADRYr3!$AL38,IF(ADRYr3!$AM38=BY$4,ADRYr3!$AN38,0))))*(INDEX(avoidedcosttbl3,$H38,CH$2)+(($H38-ROUNDDOWN($H38,0))*(INDEX(avoidedcosttbl3,ROUNDUP($H38,0),CH$2)-(INDEX(avoidedcosttbl3,ROUNDDOWN($H38,0),CH$2)))))*ADRYr3!P38*ADRYr3!Q38*ADRYr3!U38)</f>
        <v/>
      </c>
      <c r="CI38" s="30" t="str">
        <f>IF($G38="","",$G38*(IF(ADRYr3!$AI38=BZ$4,ADRYr3!$AJ38,IF(ADRYr3!$AK38=BZ$4,ADRYr3!$AL38,IF(ADRYr3!$AM38=BZ$4,ADRYr3!$AN38,0))))*(INDEX(avoidedcosttbl3,$H38,CI$2)+(($H38-ROUNDDOWN($H38,0))*(INDEX(avoidedcosttbl3,ROUNDUP($H38,0),CI$2)-(INDEX(avoidedcosttbl3,ROUNDDOWN($H38,0),CI$2)))))*ADRYr3!P38*ADRYr3!Q38*ADRYr3!U38)</f>
        <v/>
      </c>
      <c r="CJ38" s="30" t="str">
        <f>IF($G38="","",$G38*(IF(ADRYr3!$AI38=CA$4,ADRYr3!$AJ38,IF(ADRYr3!$AK38=CA$4,ADRYr3!$AL38,IF(ADRYr3!$AM38=CA$4,ADRYr3!$AN38,0))))*(INDEX(avoidedcosttbl3,$H38,CJ$2)+(($H38-ROUNDDOWN($H38,0))*(INDEX(avoidedcosttbl3,ROUNDUP($H38,0),CJ$2)-(INDEX(avoidedcosttbl3,ROUNDDOWN($H38,0),CJ$2)))))*ADRYr3!P38*ADRYr3!Q38*ADRYr3!U38)</f>
        <v/>
      </c>
      <c r="CK38" s="30" t="str">
        <f>IF($G38="","",$G38*(IF(ADRYr3!$AI38=CB$4,ADRYr3!$AJ38,IF(ADRYr3!$AK38=CB$4,ADRYr3!$AL38,IF(ADRYr3!$AM38=CB$4,ADRYr3!$AN38,0))))*(INDEX(avoidedcosttbl3,$H38,CK$2)+(($H38-ROUNDDOWN($H38,0))*(INDEX(avoidedcosttbl3,ROUNDUP($H38,0),CK$2)-(INDEX(avoidedcosttbl3,ROUNDDOWN($H38,0),CK$2)))))*ADRYr3!P38*ADRYr3!Q38*ADRYr3!U38)</f>
        <v/>
      </c>
      <c r="CL38" s="30" t="str">
        <f>IF($G38="","",$G38*(IF(ADRYr3!$AI38=CC$4,ADRYr3!$AJ38,IF(ADRYr3!$AK38=CC$4,ADRYr3!$AL38,IF(ADRYr3!$AM38=CC$4,ADRYr3!$AN38,0))))*(INDEX(avoidedcosttbl3,$H38,CL$2)+(($H38-ROUNDDOWN($H38,0))*(INDEX(avoidedcosttbl3,ROUNDUP($H38,0),CL$2)-(INDEX(avoidedcosttbl3,ROUNDDOWN($H38,0),CL$2)))))*ADRYr3!P38*ADRYr3!Q38*ADRYr3!U38)</f>
        <v/>
      </c>
      <c r="CM38" s="30" t="str">
        <f>IF($G38="","",$G38*(IF(ADRYr3!$AI38=CD$4,ADRYr3!$AJ38,IF(ADRYr3!$AK38=CD$4,ADRYr3!$AL38,IF(ADRYr3!$AM38=CD$4,ADRYr3!$AN38,0))))*(INDEX(avoidedcosttbl3,$H38,CM$2)+(($H38-ROUNDDOWN($H38,0))*(INDEX(avoidedcosttbl3,ROUNDUP($H38,0),CM$2)-(INDEX(avoidedcosttbl3,ROUNDDOWN($H38,0),CM$2)))))*ADRYr3!P38*ADRYr3!Q38*ADRYr3!U38)</f>
        <v/>
      </c>
      <c r="CN38" s="30" t="str">
        <f>IF($G38="","",$G38*(IF(ADRYr3!$AI38=CE$4,ADRYr3!$AJ38,IF(ADRYr3!$AK38=CE$4,ADRYr3!$AL38,IF(ADRYr3!$AM38=CE$4,ADRYr3!$AN38,0))))*(INDEX(avoidedcosttbl3,$H38,CN$2)+(($H38-ROUNDDOWN($H38,0))*(INDEX(avoidedcosttbl3,ROUNDUP($H38,0),CN$2)-(INDEX(avoidedcosttbl3,ROUNDDOWN($H38,0),CN$2)))))*ADRYr3!P38*ADRYr3!Q38*ADRYr3!U38)</f>
        <v/>
      </c>
      <c r="CO38" s="220" t="str">
        <f t="shared" si="73"/>
        <v/>
      </c>
      <c r="CP38" s="220" t="str">
        <f t="shared" si="74"/>
        <v/>
      </c>
      <c r="CQ38" s="157" t="str">
        <f>IF($G38="","",$G38*(IF(ADRYr3!$AI38=CQ$4,ADRYr3!$AJ38,IF(ADRYr3!$AK38=CQ$4,ADRYr3!$AL38,IF(ADRYr3!$AM38=CQ$4,ADRYr3!$AN38,0))))*(INDEX(avoidedcosttbl3,$H38,CQ$2)+(($H38-ROUNDDOWN($H38,0))*(INDEX(avoidedcosttbl3,ROUNDUP($H38,0),CQ$2)-(INDEX(avoidedcosttbl3,ROUNDDOWN($H38,0),CQ$2)))))*ADRYr3!$P38*ADRYr3!$Q38*ADRYr3!$U38)</f>
        <v/>
      </c>
      <c r="CR38" s="28" t="str">
        <f>IF($G38="","",G38*(IF(ADRYr3!$AI38=CR$4,ADRYr3!$AJ38,IF(ADRYr3!$AK38=CR$4,ADRYr3!$AL38,IF(ADRYr3!$AM38=CR$4,ADRYr3!$AN38,0))))*(INDEX(avoidedcosttbl3,$H38,CR$2)+(($H38-ROUNDDOWN($H38,0))*(INDEX(avoidedcosttbl3,ROUNDUP($H38,0),CR$2)-(INDEX(avoidedcosttbl3,ROUNDDOWN($H38,0),CR$2)))))*ADRYr3!$P38*ADRYr3!$Q38*ADRYr3!$U38)</f>
        <v/>
      </c>
      <c r="CS38" s="28" t="str">
        <f>IF($G38="","",G38*(IF(ADRYr3!$AI38=CS$4,ADRYr3!$AJ38,IF(ADRYr3!$AK38=CS$4,ADRYr3!$AL38,IF(ADRYr3!$AM38=CS$4,ADRYr3!$AN38,0))))*(INDEX(avoidedcosttbl3,$H38,CS$2)+(($H38-ROUNDDOWN($H38,0))*(INDEX(avoidedcosttbl3,ROUNDUP($H38,0),CS$2)-(INDEX(avoidedcosttbl3,ROUNDDOWN($H38,0),CS$2)))))*ADRYr3!$P38*ADRYr3!$Q38*ADRYr3!$U38)</f>
        <v/>
      </c>
      <c r="CT38" s="28" t="str">
        <f t="shared" si="11"/>
        <v/>
      </c>
      <c r="CU38" s="28" t="str">
        <f>IF($G38="","",G38*(IF(ADRYr3!$AI38=CU$4,ADRYr3!$AJ38,IF(ADRYr3!$AK38=CU$4,ADRYr3!$AL38,IF(ADRYr3!$AM38=CU$4,ADRYr3!$AN38,0))))*(INDEX(avoidedcosttbl3,$H38,CU$2)+(($H38-ROUNDDOWN($H38,0))*(INDEX(avoidedcosttbl3,ROUNDUP($H38,0),CU$2)-(INDEX(avoidedcosttbl3,ROUNDDOWN($H38,0),CU$2)))))*ADRYr3!$P38*ADRYr3!$Q38*ADRYr3!$U38)</f>
        <v/>
      </c>
      <c r="CV38" s="28" t="str">
        <f>IF($G38="","",G38*(IF(ADRYr3!$AI38=CV$4,ADRYr3!$AJ38,IF(ADRYr3!$AK38=CV$4,ADRYr3!$AL38,IF(ADRYr3!$AM38=CV$4,ADRYr3!$AN38,0))))*(INDEX(avoidedcosttbl3,$H38,CV$2)+(($H38-ROUNDDOWN($H38,0))*(INDEX(avoidedcosttbl3,ROUNDUP($H38,0),CV$2)-(INDEX(avoidedcosttbl3,ROUNDDOWN($H38,0),CV$2)))))*ADRYr3!$P38*ADRYr3!$Q38*ADRYr3!$U38)</f>
        <v/>
      </c>
      <c r="CW38" s="28" t="str">
        <f>IF($G38="","",G38*(IF(ADRYr3!$AI38=CW$4,ADRYr3!$AJ38,IF(ADRYr3!$AK38=CW$4,ADRYr3!$AL38,IF(ADRYr3!$AM38=CW$4,ADRYr3!$AN38,0))))*(INDEX(avoidedcosttbl3,$H38,CW$2)+(($H38-ROUNDDOWN($H38,0))*(INDEX(avoidedcosttbl3,ROUNDUP($H38,0),CW$2)-(INDEX(avoidedcosttbl3,ROUNDDOWN($H38,0),CW$2)))))*ADRYr3!$P38*ADRYr3!$Q38*ADRYr3!$U38)</f>
        <v/>
      </c>
      <c r="CX38" s="28" t="str">
        <f>IF($G38="","",G38*(IF(ADRYr3!$AI38=CX$4,ADRYr3!$AJ38,IF(ADRYr3!$AK38=CX$4,ADRYr3!$AL38,IF(ADRYr3!$AM38=CX$4,ADRYr3!$AN38,0))))*(INDEX(avoidedcosttbl3,$H38,CX$2)+(($H38-ROUNDDOWN($H38,0))*(INDEX(avoidedcosttbl3,ROUNDUP($H38,0),CX$2)-(INDEX(avoidedcosttbl3,ROUNDDOWN($H38,0),CX$2)))))*ADRYr3!$P38*ADRYr3!$Q38*ADRYr3!$U38)</f>
        <v/>
      </c>
      <c r="CY38" s="28" t="str">
        <f t="shared" si="75"/>
        <v/>
      </c>
      <c r="CZ38" s="32" t="str">
        <f t="shared" si="76"/>
        <v/>
      </c>
      <c r="DA38" s="84" t="str">
        <f t="shared" si="77"/>
        <v/>
      </c>
      <c r="DB38" s="81" t="str">
        <f>IF(NEIadder="Yes",IF($G38="","",INDEX(Lookups!$G$68:$G$70,MATCH($A38,Lookups!$E$68:$E$70,0))*(SUM(CP38:CX38,BX38))),"")</f>
        <v/>
      </c>
      <c r="DC38" s="263" t="str">
        <f t="shared" si="78"/>
        <v/>
      </c>
      <c r="DD38" s="166" t="str">
        <f t="shared" si="79"/>
        <v/>
      </c>
      <c r="DE38" s="82">
        <f t="shared" si="80"/>
        <v>0</v>
      </c>
      <c r="DF38" s="760" t="str">
        <f>IF($G38="","",(1+WntPeakEnergyLL)*(INDEX(avoidedcosttbl3,$H38,DF$2)+(($H38-ROUNDDOWN($H38,0))*(INDEX(avoidedcosttbl3,ROUNDUP($H38,0),DF$2)-(INDEX(avoidedcosttbl3,ROUNDDOWN($H38,0),DF$2)))))*$P38*1000*ADRYr3!Z38)</f>
        <v/>
      </c>
      <c r="DG38" s="760" t="str">
        <f>IF($G38="","",(1+WntOffPeakEnergyLL)*(INDEX(avoidedcosttbl3,$H38,DG$2)+(($H38-ROUNDDOWN($H38,0))*(INDEX(avoidedcosttbl3,ROUNDUP($H38,0),DG$2)-(INDEX(avoidedcosttbl3,ROUNDDOWN($H38,0),DG$2)))))*$P38*1000*ADRYr3!AA38)</f>
        <v/>
      </c>
      <c r="DH38" s="760" t="str">
        <f>IF($G38="","",(1+SumPeakEnergyLL)*(INDEX(avoidedcosttbl3,$H38,DH$2)+(($H38-ROUNDDOWN($H38,0))*(INDEX(avoidedcosttbl3,ROUNDUP($H38,0),DH$2)-(INDEX(avoidedcosttbl3,ROUNDDOWN($H38,0),DH$2)))))*$P38*1000*ADRYr3!AB38)</f>
        <v/>
      </c>
      <c r="DI38" s="760" t="str">
        <f>IF($G38="","",(1+SumOffPeakEnergyLL)*(INDEX(avoidedcosttbl3,$H38,DI$2)+(($H38-ROUNDDOWN($H38,0))*(INDEX(avoidedcosttbl3,ROUNDUP($H38,0),DI$2)-(INDEX(avoidedcosttbl3,ROUNDDOWN($H38,0),DI$2)))))*$P38*1000*ADRYr3!AC38)</f>
        <v/>
      </c>
      <c r="DJ38" s="29" t="str">
        <f t="shared" si="81"/>
        <v/>
      </c>
      <c r="DK38" s="161" t="str">
        <f t="shared" si="45"/>
        <v/>
      </c>
      <c r="DL38" s="1375" t="str">
        <f t="shared" si="46"/>
        <v/>
      </c>
      <c r="DM38" s="1375" t="str">
        <f t="shared" si="47"/>
        <v/>
      </c>
      <c r="DN38" s="43" t="str">
        <f t="shared" si="48"/>
        <v/>
      </c>
      <c r="DO38" s="1131" t="str">
        <f>IF($G38="","",ADRYr3!AQ38)</f>
        <v/>
      </c>
      <c r="DP38" s="1133" t="str">
        <f>IF($G38="","",ADRYr3!AR38)</f>
        <v/>
      </c>
      <c r="DQ38" s="1135" t="str">
        <f>IF($G38="","",IF($DP38="Yes",COLUMN(AESC!$L$10),IF($DP38="No","Using AvoidedDemand tab",IF($DP38="Mixed",COLUMN(AESC!$N$10)))))</f>
        <v/>
      </c>
      <c r="DR38" s="1135" t="str">
        <f>IF($G38="","",IF($DP38="Yes",COLUMN(AESC!$P$10),IF($DP38="No","Using AvoidedDemand tab",IF($DP38="Mixed",COLUMN(AESC!$R$10)))))</f>
        <v/>
      </c>
      <c r="DS38" s="1135" t="str">
        <f>IF($G38="","",IF($DP38="Yes",COLUMN(AESC!$S$10),IF($DP38="No",COLUMN(AESC!$T$10),IF($DP38="Mixed",COLUMN(AESC!$U$10)))))</f>
        <v/>
      </c>
      <c r="DT38" s="1135" t="str">
        <f t="shared" si="49"/>
        <v/>
      </c>
      <c r="DU38" s="1135" t="str">
        <f>IF($G38="","",ADRYr3!AS38)</f>
        <v/>
      </c>
      <c r="DV38" s="1136" t="str">
        <f>IF($G38="","",ADRYr3!AT38)</f>
        <v/>
      </c>
      <c r="DW38" s="1344" t="str">
        <f>IF($G38="","",INDEX(AvoidedEnergy!$H$4:$H$10,MATCH($DO38,AvoidedEnergy!$A$4:$A$10,0)))</f>
        <v/>
      </c>
    </row>
    <row r="39" spans="1:127">
      <c r="A39" s="160" t="str">
        <f>IF(ADRYr3!$B39=0,"",ADRYr3!A39)</f>
        <v>C - Commercial &amp; Industrial</v>
      </c>
      <c r="B39" s="9" t="str">
        <f>IF(ADRYr3!$B39=0,"",ADRYr3!B39)</f>
        <v>C5 - C&amp;I Active Demand Response</v>
      </c>
      <c r="C39" s="9" t="str">
        <f>IF(ADRYr3!$B39=0,"",ADRYr3!C39)</f>
        <v>C5a - C&amp;I Active Demand Response</v>
      </c>
      <c r="D39" s="9" t="str">
        <f>IF(ADRYr3!$B39=0,"",ADRYr3!D39)</f>
        <v>Storage Targeted Dispatch P4P (savings) Winter</v>
      </c>
      <c r="E39" s="9">
        <f>IF(ADRYr3!$B39=0,"",ADRYr3!E39)</f>
        <v>0</v>
      </c>
      <c r="F39" s="11" t="str">
        <f>IF(ADRYr3!$B39=0,"",ADRYr3!F39)</f>
        <v>Behavior</v>
      </c>
      <c r="G39" s="12" t="str">
        <f>IF(ADRYr3!$G39&lt;&gt;0,ADRYr3!G39,"")</f>
        <v/>
      </c>
      <c r="H39" s="1125" t="str">
        <f>IF($G39="","",ROUND(ADRYr3!H39,0))</f>
        <v/>
      </c>
      <c r="I39" s="47" t="str">
        <f>IF($G39="","",ADRYr3!I39*ADRYr3!P39*G39)</f>
        <v/>
      </c>
      <c r="J39" s="47" t="str">
        <f>IF($G39="","",ADRYr3!J39*G39)</f>
        <v/>
      </c>
      <c r="K39" s="47" t="str">
        <f t="shared" si="50"/>
        <v/>
      </c>
      <c r="L39" s="27" t="str">
        <f>IF($G39="","",ADRYr3!V39*G39/1000)</f>
        <v/>
      </c>
      <c r="M39" s="27" t="str">
        <f>IF($G39="","",L39*ADRYr3!$Q39*ADRYr3!$R39)</f>
        <v/>
      </c>
      <c r="N39" s="27" t="str">
        <f t="shared" si="51"/>
        <v/>
      </c>
      <c r="O39" s="27" t="str">
        <f t="shared" si="52"/>
        <v/>
      </c>
      <c r="P39" s="27" t="str">
        <f>IF($G39="","",M39*ADRYr3!P39)</f>
        <v/>
      </c>
      <c r="Q39" s="27" t="str">
        <f t="shared" si="53"/>
        <v/>
      </c>
      <c r="R39" s="27" t="str">
        <f>IF($G39="","",$Q39*ADRYr3!Z39)</f>
        <v/>
      </c>
      <c r="S39" s="27" t="str">
        <f>IF($G39="","",$Q39*ADRYr3!AA39)</f>
        <v/>
      </c>
      <c r="T39" s="27" t="str">
        <f>IF($G39="","",$Q39*ADRYr3!AB39)</f>
        <v/>
      </c>
      <c r="U39" s="27" t="str">
        <f>IF($G39="","",$Q39*ADRYr3!AC39)</f>
        <v/>
      </c>
      <c r="V39" s="27" t="str">
        <f>IF($G39="","",G39*ADRYr3!$AD39*ADRYr3!$P39*ADRYr3!$Q39)</f>
        <v/>
      </c>
      <c r="W39" s="27" t="str">
        <f>IF($G39="","",$G39*ADRYr3!$AD39*ADRYr3!$AF39*ADRYr3!Q39*ADRYr3!$S39)</f>
        <v/>
      </c>
      <c r="X39" s="27" t="str">
        <f>IF($G39="","",$G39*ADRYr3!$AD39*ADRYr3!$AF39*ADRYr3!P39*ADRYr3!Q39*ADRYr3!$S39)</f>
        <v/>
      </c>
      <c r="Y39" s="27" t="str">
        <f>IF($G39="","",$G39*ADRYr3!$AD39*ADRYr3!$AE39*ADRYr3!Q39*ADRYr3!$T39)</f>
        <v/>
      </c>
      <c r="Z39" s="27" t="str">
        <f>IF($G39="","",$G39*ADRYr3!$AD39*ADRYr3!$AE39*ADRYr3!P39*ADRYr3!Q39*ADRYr3!$T39)</f>
        <v/>
      </c>
      <c r="AA39" s="45" t="str">
        <f>IF($G39="","",$G39*ADRYr3!$Q39*ADRYr3!$U39*(IF(IFERROR(SEARCH("NG", ADRYr3!$AI39),0),ADRYr3!$AJ39,0)+IF(IFERROR(SEARCH("NG", ADRYr3!$AK39),0),ADRYr3!$AL39,0)+IF(IFERROR(SEARCH("NG", ADRYr3!$AM39),0),ADRYr3!$AN39,0)))</f>
        <v/>
      </c>
      <c r="AB39" s="45" t="str">
        <f t="shared" si="54"/>
        <v/>
      </c>
      <c r="AC39" s="45">
        <f>IF($G39="",0,AA39*ADRYr3!$P39)</f>
        <v>0</v>
      </c>
      <c r="AD39" s="45" t="str">
        <f t="shared" si="55"/>
        <v/>
      </c>
      <c r="AE39" s="45" t="str">
        <f>IF($G39="","",$G39*ADRYr3!$Q39*ADRYr3!$U39*(IF(IFERROR(SEARCH("Oil", ADRYr3!$AI39), 0),ADRYr3!$AJ39,0)+IF(IFERROR(SEARCH("Oil", ADRYr3!$AK39), 0),ADRYr3!$AL39,0)+IF(IFERROR(SEARCH("Oil", ADRYr3!$AM39), 0),ADRYr3!$AN39,0)))</f>
        <v/>
      </c>
      <c r="AF39" s="45" t="str">
        <f t="shared" si="56"/>
        <v/>
      </c>
      <c r="AG39" s="45">
        <f>IF($G39="",0,AE39*ADRYr3!$P39)</f>
        <v>0</v>
      </c>
      <c r="AH39" s="45" t="str">
        <f t="shared" si="57"/>
        <v/>
      </c>
      <c r="AI39" s="45" t="str">
        <f>IF($G39="","",$G39*ADRYr3!$Q39*ADRYr3!$U39*(IF(ADRYr3!$AI39=Lookups!$E$114,ADRYr3!$AJ39,IF(ADRYr3!$AK39=Lookups!$E$114,ADRYr3!$AL39,IF(ADRYr3!$AM39=Lookups!$E$114,ADRYr3!$AN39,0)))))</f>
        <v/>
      </c>
      <c r="AJ39" s="45" t="str">
        <f t="shared" si="58"/>
        <v/>
      </c>
      <c r="AK39" s="45">
        <f>IF($G39="",0,AI39*ADRYr3!$P39)</f>
        <v>0</v>
      </c>
      <c r="AL39" s="45" t="str">
        <f t="shared" si="59"/>
        <v/>
      </c>
      <c r="AM39" s="45" t="str">
        <f>IF($G39="","",$G39*ADRYr3!$Q39*ADRYr3!$U39*(IF(ADRYr3!$AI39=Lookups!$E$113,ADRYr3!$AJ39,IF(ADRYr3!$AK39=Lookups!$E$113,ADRYr3!$AL39,IF(ADRYr3!$AM39=Lookups!$E$113,ADRYr3!$AN39,0)))))</f>
        <v/>
      </c>
      <c r="AN39" s="45" t="str">
        <f t="shared" si="60"/>
        <v/>
      </c>
      <c r="AO39" s="45">
        <f>IF($G39="",0,AM39*ADRYr3!$P39)</f>
        <v>0</v>
      </c>
      <c r="AP39" s="45" t="str">
        <f t="shared" si="61"/>
        <v/>
      </c>
      <c r="AQ39" s="45" t="str">
        <f>IF($G39="","",$G39*ADRYr3!$Q39*ADRYr3!$U39*(IF(ADRYr3!$AI39=Lookups!$E$115,ADRYr3!$AJ39,IF(ADRYr3!$AK39=Lookups!$E$115,ADRYr3!$AL39,IF(ADRYr3!$AM39=Lookups!$E$115,ADRYr3!$AN39,0)))))</f>
        <v/>
      </c>
      <c r="AR39" s="45" t="str">
        <f t="shared" si="62"/>
        <v/>
      </c>
      <c r="AS39" s="45" t="str">
        <f>IF($G39="","",AQ39*ADRYr3!$P39)</f>
        <v/>
      </c>
      <c r="AT39" s="45" t="str">
        <f t="shared" si="63"/>
        <v/>
      </c>
      <c r="AU39" s="45" t="str">
        <f>IF($G39="","",$G39*ADRYr3!$Q39*ADRYr3!$U39*(IF(ADRYr3!$AI39=Lookups!$E$116,ADRYr3!$AJ39,IF(ADRYr3!$AK39=Lookups!$E$116,ADRYr3!$AL39,IF(ADRYr3!$AM39=Lookups!$E$116,ADRYr3!$AN39,0)))))</f>
        <v/>
      </c>
      <c r="AV39" s="45" t="str">
        <f t="shared" si="64"/>
        <v/>
      </c>
      <c r="AW39" s="45" t="str">
        <f>IF($G39="","",AU39*ADRYr3!$P39)</f>
        <v/>
      </c>
      <c r="AX39" s="45" t="str">
        <f t="shared" si="65"/>
        <v/>
      </c>
      <c r="AY39" s="45">
        <f t="shared" si="66"/>
        <v>0</v>
      </c>
      <c r="AZ39" s="45">
        <f t="shared" si="67"/>
        <v>0</v>
      </c>
      <c r="BA39" s="101" t="str">
        <f>IF($G39="","",$G39*ADRYr3!$P39*ADRYr3!$Q39*ADRYr3!$U39*ADRYr3!AO39)</f>
        <v/>
      </c>
      <c r="BB39" s="102" t="str">
        <f>IF($G39="","",$G39*ADRYr3!$P39*ADRYr3!$Q39*ADRYr3!$U39*ADRYr3!AP39)</f>
        <v/>
      </c>
      <c r="BC39" s="100" t="str">
        <f t="shared" si="68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31"/>
        <v/>
      </c>
      <c r="BO39" s="31" t="str">
        <f t="shared" si="69"/>
        <v/>
      </c>
      <c r="BP39" s="1129" t="str">
        <f t="shared" si="5"/>
        <v/>
      </c>
      <c r="BQ39" s="28" t="str">
        <f t="shared" si="6"/>
        <v/>
      </c>
      <c r="BR39" s="1129" t="str">
        <f t="shared" si="7"/>
        <v/>
      </c>
      <c r="BS39" s="1129" t="str">
        <f t="shared" si="8"/>
        <v/>
      </c>
      <c r="BT39" s="28" t="str">
        <f t="shared" si="82"/>
        <v/>
      </c>
      <c r="BU39" s="28" t="str">
        <f t="shared" si="82"/>
        <v/>
      </c>
      <c r="BV39" s="28" t="str">
        <f t="shared" si="82"/>
        <v/>
      </c>
      <c r="BW39" s="29" t="str">
        <f t="shared" si="70"/>
        <v/>
      </c>
      <c r="BX39" s="29" t="str">
        <f t="shared" si="71"/>
        <v/>
      </c>
      <c r="BY39" s="28" t="str">
        <f>IF($G39="","",$G39*(IF(ADRYr3!$AI39=BY$4,ADRYr3!$AJ39,IF(ADRYr3!$AK39=BY$4,ADRYr3!$AL39,IF(ADRYr3!$AM39=BY$4,ADRYr3!$AN39,0))))*(INDEX(avoidedcosttbl3,$H39,BY$2)+(($H39-ROUNDDOWN($H39,0))*(INDEX(avoidedcosttbl3,ROUNDUP($H39,0),BY$2)-(INDEX(avoidedcosttbl3,ROUNDDOWN($H39,0),BY$2)))))*ADRYr3!P39*ADRYr3!Q39*ADRYr3!U39)</f>
        <v/>
      </c>
      <c r="BZ39" s="28" t="str">
        <f>IF($G39="","",$G39*(IF(ADRYr3!$AI39=BZ$4,ADRYr3!$AJ39,IF(ADRYr3!$AK39=BZ$4,ADRYr3!$AL39,IF(ADRYr3!$AM39=BZ$4,ADRYr3!$AN39,0))))*(INDEX(avoidedcosttbl3,$H39,BZ$2)+(($H39-ROUNDDOWN($H39,0))*(INDEX(avoidedcosttbl3,ROUNDUP($H39,0),BZ$2)-(INDEX(avoidedcosttbl3,ROUNDDOWN($H39,0),BZ$2)))))*ADRYr3!P39*ADRYr3!Q39*ADRYr3!U39)</f>
        <v/>
      </c>
      <c r="CA39" s="28" t="str">
        <f>IF($G39="","",$G39*(IF(ADRYr3!$AI39=CA$4,ADRYr3!$AJ39,IF(ADRYr3!$AK39=CA$4,ADRYr3!$AL39,IF(ADRYr3!$AM39=CA$4,ADRYr3!$AN39,0))))*(INDEX(avoidedcosttbl3,$H39,CA$2)+(($H39-ROUNDDOWN($H39,0))*(INDEX(avoidedcosttbl3,ROUNDUP($H39,0),CA$2)-(INDEX(avoidedcosttbl3,ROUNDDOWN($H39,0),CA$2)))))*ADRYr3!P39*ADRYr3!Q39*ADRYr3!U39)</f>
        <v/>
      </c>
      <c r="CB39" s="28" t="str">
        <f>IF($G39="","",$G39*(IF(ADRYr3!$AI39=CB$4,ADRYr3!$AJ39,IF(ADRYr3!$AK39=CB$4,ADRYr3!$AL39,IF(ADRYr3!$AM39=CB$4,ADRYr3!$AN39,0))))*(INDEX(avoidedcosttbl3,$H39,CB$2)+(($H39-ROUNDDOWN($H39,0))*(INDEX(avoidedcosttbl3,ROUNDUP($H39,0),CB$2)-(INDEX(avoidedcosttbl3,ROUNDDOWN($H39,0),CB$2)))))*ADRYr3!P39*ADRYr3!Q39*ADRYr3!U39)</f>
        <v/>
      </c>
      <c r="CC39" s="28" t="str">
        <f>IF($G39="","",$G39*(IF(ADRYr3!$AI39=CC$4,ADRYr3!$AJ39,IF(ADRYr3!$AK39=CC$4,ADRYr3!$AL39,IF(ADRYr3!$AM39=CC$4,ADRYr3!$AN39,0))))*(INDEX(avoidedcosttbl3,$H39,CC$2)+(($H39-ROUNDDOWN($H39,0))*(INDEX(avoidedcosttbl3,ROUNDUP($H39,0),CC$2)-(INDEX(avoidedcosttbl3,ROUNDDOWN($H39,0),CC$2)))))*ADRYr3!P39*ADRYr3!Q39*ADRYr3!U39)</f>
        <v/>
      </c>
      <c r="CD39" s="28" t="str">
        <f>IF($G39="","",$G39*(IF(ADRYr3!$AI39=CD$4,ADRYr3!$AJ39,IF(ADRYr3!$AK39=CD$4,ADRYr3!$AL39,IF(ADRYr3!$AM39=CD$4,ADRYr3!$AN39,0))))*(INDEX(avoidedcosttbl3,$H39,CD$2)+(($H39-ROUNDDOWN($H39,0))*(INDEX(avoidedcosttbl3,ROUNDUP($H39,0),CD$2)-(INDEX(avoidedcosttbl3,ROUNDDOWN($H39,0),CD$2)))))*ADRYr3!P39*ADRYr3!Q39*ADRYr3!U39)</f>
        <v/>
      </c>
      <c r="CE39" s="28" t="str">
        <f>IF($G39="","",$G39*(IF(ADRYr3!$AI39=CE$4,ADRYr3!$AJ39,IF(ADRYr3!$AK39=CE$4,ADRYr3!$AL39,IF(ADRYr3!$AM39=CE$4,ADRYr3!$AN39,0))))*(INDEX(avoidedcosttbl3,$H39,CE$2)+(($H39-ROUNDDOWN($H39,0))*(INDEX(avoidedcosttbl3,ROUNDUP($H39,0),CE$2)-(INDEX(avoidedcosttbl3,ROUNDDOWN($H39,0),CE$2)))))*ADRYr3!P39*ADRYr3!Q39*ADRYr3!U39)</f>
        <v/>
      </c>
      <c r="CF39" s="41" t="str">
        <f t="shared" si="72"/>
        <v/>
      </c>
      <c r="CG39" s="30" t="str">
        <f t="shared" si="10"/>
        <v/>
      </c>
      <c r="CH39" s="30" t="str">
        <f>IF($G39="","",$G39*(IF(ADRYr3!$AI39=BY$4,ADRYr3!$AJ39,IF(ADRYr3!$AK39=BY$4,ADRYr3!$AL39,IF(ADRYr3!$AM39=BY$4,ADRYr3!$AN39,0))))*(INDEX(avoidedcosttbl3,$H39,CH$2)+(($H39-ROUNDDOWN($H39,0))*(INDEX(avoidedcosttbl3,ROUNDUP($H39,0),CH$2)-(INDEX(avoidedcosttbl3,ROUNDDOWN($H39,0),CH$2)))))*ADRYr3!P39*ADRYr3!Q39*ADRYr3!U39)</f>
        <v/>
      </c>
      <c r="CI39" s="30" t="str">
        <f>IF($G39="","",$G39*(IF(ADRYr3!$AI39=BZ$4,ADRYr3!$AJ39,IF(ADRYr3!$AK39=BZ$4,ADRYr3!$AL39,IF(ADRYr3!$AM39=BZ$4,ADRYr3!$AN39,0))))*(INDEX(avoidedcosttbl3,$H39,CI$2)+(($H39-ROUNDDOWN($H39,0))*(INDEX(avoidedcosttbl3,ROUNDUP($H39,0),CI$2)-(INDEX(avoidedcosttbl3,ROUNDDOWN($H39,0),CI$2)))))*ADRYr3!P39*ADRYr3!Q39*ADRYr3!U39)</f>
        <v/>
      </c>
      <c r="CJ39" s="30" t="str">
        <f>IF($G39="","",$G39*(IF(ADRYr3!$AI39=CA$4,ADRYr3!$AJ39,IF(ADRYr3!$AK39=CA$4,ADRYr3!$AL39,IF(ADRYr3!$AM39=CA$4,ADRYr3!$AN39,0))))*(INDEX(avoidedcosttbl3,$H39,CJ$2)+(($H39-ROUNDDOWN($H39,0))*(INDEX(avoidedcosttbl3,ROUNDUP($H39,0),CJ$2)-(INDEX(avoidedcosttbl3,ROUNDDOWN($H39,0),CJ$2)))))*ADRYr3!P39*ADRYr3!Q39*ADRYr3!U39)</f>
        <v/>
      </c>
      <c r="CK39" s="30" t="str">
        <f>IF($G39="","",$G39*(IF(ADRYr3!$AI39=CB$4,ADRYr3!$AJ39,IF(ADRYr3!$AK39=CB$4,ADRYr3!$AL39,IF(ADRYr3!$AM39=CB$4,ADRYr3!$AN39,0))))*(INDEX(avoidedcosttbl3,$H39,CK$2)+(($H39-ROUNDDOWN($H39,0))*(INDEX(avoidedcosttbl3,ROUNDUP($H39,0),CK$2)-(INDEX(avoidedcosttbl3,ROUNDDOWN($H39,0),CK$2)))))*ADRYr3!P39*ADRYr3!Q39*ADRYr3!U39)</f>
        <v/>
      </c>
      <c r="CL39" s="30" t="str">
        <f>IF($G39="","",$G39*(IF(ADRYr3!$AI39=CC$4,ADRYr3!$AJ39,IF(ADRYr3!$AK39=CC$4,ADRYr3!$AL39,IF(ADRYr3!$AM39=CC$4,ADRYr3!$AN39,0))))*(INDEX(avoidedcosttbl3,$H39,CL$2)+(($H39-ROUNDDOWN($H39,0))*(INDEX(avoidedcosttbl3,ROUNDUP($H39,0),CL$2)-(INDEX(avoidedcosttbl3,ROUNDDOWN($H39,0),CL$2)))))*ADRYr3!P39*ADRYr3!Q39*ADRYr3!U39)</f>
        <v/>
      </c>
      <c r="CM39" s="30" t="str">
        <f>IF($G39="","",$G39*(IF(ADRYr3!$AI39=CD$4,ADRYr3!$AJ39,IF(ADRYr3!$AK39=CD$4,ADRYr3!$AL39,IF(ADRYr3!$AM39=CD$4,ADRYr3!$AN39,0))))*(INDEX(avoidedcosttbl3,$H39,CM$2)+(($H39-ROUNDDOWN($H39,0))*(INDEX(avoidedcosttbl3,ROUNDUP($H39,0),CM$2)-(INDEX(avoidedcosttbl3,ROUNDDOWN($H39,0),CM$2)))))*ADRYr3!P39*ADRYr3!Q39*ADRYr3!U39)</f>
        <v/>
      </c>
      <c r="CN39" s="30" t="str">
        <f>IF($G39="","",$G39*(IF(ADRYr3!$AI39=CE$4,ADRYr3!$AJ39,IF(ADRYr3!$AK39=CE$4,ADRYr3!$AL39,IF(ADRYr3!$AM39=CE$4,ADRYr3!$AN39,0))))*(INDEX(avoidedcosttbl3,$H39,CN$2)+(($H39-ROUNDDOWN($H39,0))*(INDEX(avoidedcosttbl3,ROUNDUP($H39,0),CN$2)-(INDEX(avoidedcosttbl3,ROUNDDOWN($H39,0),CN$2)))))*ADRYr3!P39*ADRYr3!Q39*ADRYr3!U39)</f>
        <v/>
      </c>
      <c r="CO39" s="220" t="str">
        <f t="shared" si="73"/>
        <v/>
      </c>
      <c r="CP39" s="220" t="str">
        <f t="shared" si="74"/>
        <v/>
      </c>
      <c r="CQ39" s="157" t="str">
        <f>IF($G39="","",$G39*(IF(ADRYr3!$AI39=CQ$4,ADRYr3!$AJ39,IF(ADRYr3!$AK39=CQ$4,ADRYr3!$AL39,IF(ADRYr3!$AM39=CQ$4,ADRYr3!$AN39,0))))*(INDEX(avoidedcosttbl3,$H39,CQ$2)+(($H39-ROUNDDOWN($H39,0))*(INDEX(avoidedcosttbl3,ROUNDUP($H39,0),CQ$2)-(INDEX(avoidedcosttbl3,ROUNDDOWN($H39,0),CQ$2)))))*ADRYr3!$P39*ADRYr3!$Q39*ADRYr3!$U39)</f>
        <v/>
      </c>
      <c r="CR39" s="28" t="str">
        <f>IF($G39="","",G39*(IF(ADRYr3!$AI39=CR$4,ADRYr3!$AJ39,IF(ADRYr3!$AK39=CR$4,ADRYr3!$AL39,IF(ADRYr3!$AM39=CR$4,ADRYr3!$AN39,0))))*(INDEX(avoidedcosttbl3,$H39,CR$2)+(($H39-ROUNDDOWN($H39,0))*(INDEX(avoidedcosttbl3,ROUNDUP($H39,0),CR$2)-(INDEX(avoidedcosttbl3,ROUNDDOWN($H39,0),CR$2)))))*ADRYr3!$P39*ADRYr3!$Q39*ADRYr3!$U39)</f>
        <v/>
      </c>
      <c r="CS39" s="28" t="str">
        <f>IF($G39="","",G39*(IF(ADRYr3!$AI39=CS$4,ADRYr3!$AJ39,IF(ADRYr3!$AK39=CS$4,ADRYr3!$AL39,IF(ADRYr3!$AM39=CS$4,ADRYr3!$AN39,0))))*(INDEX(avoidedcosttbl3,$H39,CS$2)+(($H39-ROUNDDOWN($H39,0))*(INDEX(avoidedcosttbl3,ROUNDUP($H39,0),CS$2)-(INDEX(avoidedcosttbl3,ROUNDDOWN($H39,0),CS$2)))))*ADRYr3!$P39*ADRYr3!$Q39*ADRYr3!$U39)</f>
        <v/>
      </c>
      <c r="CT39" s="28" t="str">
        <f t="shared" si="11"/>
        <v/>
      </c>
      <c r="CU39" s="28" t="str">
        <f>IF($G39="","",G39*(IF(ADRYr3!$AI39=CU$4,ADRYr3!$AJ39,IF(ADRYr3!$AK39=CU$4,ADRYr3!$AL39,IF(ADRYr3!$AM39=CU$4,ADRYr3!$AN39,0))))*(INDEX(avoidedcosttbl3,$H39,CU$2)+(($H39-ROUNDDOWN($H39,0))*(INDEX(avoidedcosttbl3,ROUNDUP($H39,0),CU$2)-(INDEX(avoidedcosttbl3,ROUNDDOWN($H39,0),CU$2)))))*ADRYr3!$P39*ADRYr3!$Q39*ADRYr3!$U39)</f>
        <v/>
      </c>
      <c r="CV39" s="28" t="str">
        <f>IF($G39="","",G39*(IF(ADRYr3!$AI39=CV$4,ADRYr3!$AJ39,IF(ADRYr3!$AK39=CV$4,ADRYr3!$AL39,IF(ADRYr3!$AM39=CV$4,ADRYr3!$AN39,0))))*(INDEX(avoidedcosttbl3,$H39,CV$2)+(($H39-ROUNDDOWN($H39,0))*(INDEX(avoidedcosttbl3,ROUNDUP($H39,0),CV$2)-(INDEX(avoidedcosttbl3,ROUNDDOWN($H39,0),CV$2)))))*ADRYr3!$P39*ADRYr3!$Q39*ADRYr3!$U39)</f>
        <v/>
      </c>
      <c r="CW39" s="28" t="str">
        <f>IF($G39="","",G39*(IF(ADRYr3!$AI39=CW$4,ADRYr3!$AJ39,IF(ADRYr3!$AK39=CW$4,ADRYr3!$AL39,IF(ADRYr3!$AM39=CW$4,ADRYr3!$AN39,0))))*(INDEX(avoidedcosttbl3,$H39,CW$2)+(($H39-ROUNDDOWN($H39,0))*(INDEX(avoidedcosttbl3,ROUNDUP($H39,0),CW$2)-(INDEX(avoidedcosttbl3,ROUNDDOWN($H39,0),CW$2)))))*ADRYr3!$P39*ADRYr3!$Q39*ADRYr3!$U39)</f>
        <v/>
      </c>
      <c r="CX39" s="28" t="str">
        <f>IF($G39="","",G39*(IF(ADRYr3!$AI39=CX$4,ADRYr3!$AJ39,IF(ADRYr3!$AK39=CX$4,ADRYr3!$AL39,IF(ADRYr3!$AM39=CX$4,ADRYr3!$AN39,0))))*(INDEX(avoidedcosttbl3,$H39,CX$2)+(($H39-ROUNDDOWN($H39,0))*(INDEX(avoidedcosttbl3,ROUNDUP($H39,0),CX$2)-(INDEX(avoidedcosttbl3,ROUNDDOWN($H39,0),CX$2)))))*ADRYr3!$P39*ADRYr3!$Q39*ADRYr3!$U39)</f>
        <v/>
      </c>
      <c r="CY39" s="28" t="str">
        <f t="shared" si="75"/>
        <v/>
      </c>
      <c r="CZ39" s="32" t="str">
        <f t="shared" si="76"/>
        <v/>
      </c>
      <c r="DA39" s="84" t="str">
        <f t="shared" si="77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78"/>
        <v/>
      </c>
      <c r="DD39" s="166" t="str">
        <f t="shared" si="79"/>
        <v/>
      </c>
      <c r="DE39" s="82">
        <f t="shared" si="80"/>
        <v>0</v>
      </c>
      <c r="DF39" s="760" t="str">
        <f>IF($G39="","",(1+WntPeakEnergyLL)*(INDEX(avoidedcosttbl3,$H39,DF$2)+(($H39-ROUNDDOWN($H39,0))*(INDEX(avoidedcosttbl3,ROUNDUP($H39,0),DF$2)-(INDEX(avoidedcosttbl3,ROUNDDOWN($H39,0),DF$2)))))*$P39*1000*ADRYr3!Z39)</f>
        <v/>
      </c>
      <c r="DG39" s="760" t="str">
        <f>IF($G39="","",(1+WntOffPeakEnergyLL)*(INDEX(avoidedcosttbl3,$H39,DG$2)+(($H39-ROUNDDOWN($H39,0))*(INDEX(avoidedcosttbl3,ROUNDUP($H39,0),DG$2)-(INDEX(avoidedcosttbl3,ROUNDDOWN($H39,0),DG$2)))))*$P39*1000*ADRYr3!AA39)</f>
        <v/>
      </c>
      <c r="DH39" s="760" t="str">
        <f>IF($G39="","",(1+SumPeakEnergyLL)*(INDEX(avoidedcosttbl3,$H39,DH$2)+(($H39-ROUNDDOWN($H39,0))*(INDEX(avoidedcosttbl3,ROUNDUP($H39,0),DH$2)-(INDEX(avoidedcosttbl3,ROUNDDOWN($H39,0),DH$2)))))*$P39*1000*ADRYr3!AB39)</f>
        <v/>
      </c>
      <c r="DI39" s="760" t="str">
        <f>IF($G39="","",(1+SumOffPeakEnergyLL)*(INDEX(avoidedcosttbl3,$H39,DI$2)+(($H39-ROUNDDOWN($H39,0))*(INDEX(avoidedcosttbl3,ROUNDUP($H39,0),DI$2)-(INDEX(avoidedcosttbl3,ROUNDDOWN($H39,0),DI$2)))))*$P39*1000*ADRYr3!AC39)</f>
        <v/>
      </c>
      <c r="DJ39" s="29" t="str">
        <f t="shared" si="81"/>
        <v/>
      </c>
      <c r="DK39" s="161" t="str">
        <f t="shared" si="45"/>
        <v/>
      </c>
      <c r="DL39" s="1375" t="str">
        <f t="shared" si="46"/>
        <v/>
      </c>
      <c r="DM39" s="1375" t="str">
        <f t="shared" si="47"/>
        <v/>
      </c>
      <c r="DN39" s="43" t="str">
        <f t="shared" si="48"/>
        <v/>
      </c>
      <c r="DO39" s="1131" t="str">
        <f>IF($G39="","",ADRYr3!AQ39)</f>
        <v/>
      </c>
      <c r="DP39" s="1133" t="str">
        <f>IF($G39="","",ADRYr3!AR39)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49"/>
        <v/>
      </c>
      <c r="DU39" s="1135" t="str">
        <f>IF($G39="","",ADRYr3!AS39)</f>
        <v/>
      </c>
      <c r="DV39" s="1136" t="str">
        <f>IF($G39="","",ADRYr3!AT39)</f>
        <v/>
      </c>
      <c r="DW39" s="1344" t="str">
        <f>IF($G39="","",INDEX(AvoidedEnergy!$H$4:$H$10,MATCH($DO39,AvoidedEnergy!$A$4:$A$10,0)))</f>
        <v/>
      </c>
    </row>
    <row r="40" spans="1:127">
      <c r="A40" s="160" t="str">
        <f>IF(ADRYr3!$B40=0,"",ADRYr3!A40)</f>
        <v>C - Commercial &amp; Industrial</v>
      </c>
      <c r="B40" s="9" t="str">
        <f>IF(ADRYr3!$B40=0,"",ADRYr3!B40)</f>
        <v>C5 - C&amp;I Active Demand Response</v>
      </c>
      <c r="C40" s="9" t="str">
        <f>IF(ADRYr3!$B40=0,"",ADRYr3!C40)</f>
        <v>C5a - C&amp;I Active Demand Response</v>
      </c>
      <c r="D40" s="9" t="str">
        <f>IF(ADRYr3!$B40=0,"",ADRYr3!D40)</f>
        <v>Storage Targeted Dispatch P4P (consumption) Winter</v>
      </c>
      <c r="E40" s="9">
        <f>IF(ADRYr3!$B40=0,"",ADRYr3!E40)</f>
        <v>0</v>
      </c>
      <c r="F40" s="11" t="str">
        <f>IF(ADRYr3!$B40=0,"",ADRYr3!F40)</f>
        <v>Behavior</v>
      </c>
      <c r="G40" s="12" t="str">
        <f>IF(ADRYr3!$G40&lt;&gt;0,ADRYr3!G40,"")</f>
        <v/>
      </c>
      <c r="H40" s="1125" t="str">
        <f>IF($G40="","",ROUND(ADRYr3!H40,0))</f>
        <v/>
      </c>
      <c r="I40" s="47" t="str">
        <f>IF($G40="","",ADRYr3!I40*ADRYr3!P40*G40)</f>
        <v/>
      </c>
      <c r="J40" s="47" t="str">
        <f>IF($G40="","",ADRYr3!J40*G40)</f>
        <v/>
      </c>
      <c r="K40" s="47" t="str">
        <f t="shared" si="50"/>
        <v/>
      </c>
      <c r="L40" s="27" t="str">
        <f>IF($G40="","",ADRYr3!V40*G40/1000)</f>
        <v/>
      </c>
      <c r="M40" s="27" t="str">
        <f>IF($G40="","",L40*ADRYr3!$Q40*ADRYr3!$R40)</f>
        <v/>
      </c>
      <c r="N40" s="27" t="str">
        <f t="shared" si="51"/>
        <v/>
      </c>
      <c r="O40" s="27" t="str">
        <f t="shared" si="52"/>
        <v/>
      </c>
      <c r="P40" s="27" t="str">
        <f>IF($G40="","",M40*ADRYr3!P40)</f>
        <v/>
      </c>
      <c r="Q40" s="27" t="str">
        <f t="shared" si="53"/>
        <v/>
      </c>
      <c r="R40" s="27" t="str">
        <f>IF($G40="","",$Q40*ADRYr3!Z40)</f>
        <v/>
      </c>
      <c r="S40" s="27" t="str">
        <f>IF($G40="","",$Q40*ADRYr3!AA40)</f>
        <v/>
      </c>
      <c r="T40" s="27" t="str">
        <f>IF($G40="","",$Q40*ADRYr3!AB40)</f>
        <v/>
      </c>
      <c r="U40" s="27" t="str">
        <f>IF($G40="","",$Q40*ADRYr3!AC40)</f>
        <v/>
      </c>
      <c r="V40" s="27" t="str">
        <f>IF($G40="","",G40*ADRYr3!$AD40*ADRYr3!$P40*ADRYr3!$Q40)</f>
        <v/>
      </c>
      <c r="W40" s="27" t="str">
        <f>IF($G40="","",$G40*ADRYr3!$AD40*ADRYr3!$AF40*ADRYr3!Q40*ADRYr3!$S40)</f>
        <v/>
      </c>
      <c r="X40" s="27" t="str">
        <f>IF($G40="","",$G40*ADRYr3!$AD40*ADRYr3!$AF40*ADRYr3!P40*ADRYr3!Q40*ADRYr3!$S40)</f>
        <v/>
      </c>
      <c r="Y40" s="27" t="str">
        <f>IF($G40="","",$G40*ADRYr3!$AD40*ADRYr3!$AE40*ADRYr3!Q40*ADRYr3!$T40)</f>
        <v/>
      </c>
      <c r="Z40" s="27" t="str">
        <f>IF($G40="","",$G40*ADRYr3!$AD40*ADRYr3!$AE40*ADRYr3!P40*ADRYr3!Q40*ADRYr3!$T40)</f>
        <v/>
      </c>
      <c r="AA40" s="45" t="str">
        <f>IF($G40="","",$G40*ADRYr3!$Q40*ADRYr3!$U40*(IF(IFERROR(SEARCH("NG", ADRYr3!$AI40),0),ADRYr3!$AJ40,0)+IF(IFERROR(SEARCH("NG", ADRYr3!$AK40),0),ADRYr3!$AL40,0)+IF(IFERROR(SEARCH("NG", ADRYr3!$AM40),0),ADRYr3!$AN40,0)))</f>
        <v/>
      </c>
      <c r="AB40" s="45" t="str">
        <f t="shared" si="54"/>
        <v/>
      </c>
      <c r="AC40" s="45">
        <f>IF($G40="",0,AA40*ADRYr3!$P40)</f>
        <v>0</v>
      </c>
      <c r="AD40" s="45" t="str">
        <f t="shared" si="55"/>
        <v/>
      </c>
      <c r="AE40" s="45" t="str">
        <f>IF($G40="","",$G40*ADRYr3!$Q40*ADRYr3!$U40*(IF(IFERROR(SEARCH("Oil", ADRYr3!$AI40), 0),ADRYr3!$AJ40,0)+IF(IFERROR(SEARCH("Oil", ADRYr3!$AK40), 0),ADRYr3!$AL40,0)+IF(IFERROR(SEARCH("Oil", ADRYr3!$AM40), 0),ADRYr3!$AN40,0)))</f>
        <v/>
      </c>
      <c r="AF40" s="45" t="str">
        <f t="shared" si="56"/>
        <v/>
      </c>
      <c r="AG40" s="45">
        <f>IF($G40="",0,AE40*ADRYr3!$P40)</f>
        <v>0</v>
      </c>
      <c r="AH40" s="45" t="str">
        <f t="shared" si="57"/>
        <v/>
      </c>
      <c r="AI40" s="45" t="str">
        <f>IF($G40="","",$G40*ADRYr3!$Q40*ADRYr3!$U40*(IF(ADRYr3!$AI40=Lookups!$E$114,ADRYr3!$AJ40,IF(ADRYr3!$AK40=Lookups!$E$114,ADRYr3!$AL40,IF(ADRYr3!$AM40=Lookups!$E$114,ADRYr3!$AN40,0)))))</f>
        <v/>
      </c>
      <c r="AJ40" s="45" t="str">
        <f t="shared" si="58"/>
        <v/>
      </c>
      <c r="AK40" s="45">
        <f>IF($G40="",0,AI40*ADRYr3!$P40)</f>
        <v>0</v>
      </c>
      <c r="AL40" s="45" t="str">
        <f t="shared" si="59"/>
        <v/>
      </c>
      <c r="AM40" s="45" t="str">
        <f>IF($G40="","",$G40*ADRYr3!$Q40*ADRYr3!$U40*(IF(ADRYr3!$AI40=Lookups!$E$113,ADRYr3!$AJ40,IF(ADRYr3!$AK40=Lookups!$E$113,ADRYr3!$AL40,IF(ADRYr3!$AM40=Lookups!$E$113,ADRYr3!$AN40,0)))))</f>
        <v/>
      </c>
      <c r="AN40" s="45" t="str">
        <f t="shared" si="60"/>
        <v/>
      </c>
      <c r="AO40" s="45">
        <f>IF($G40="",0,AM40*ADRYr3!$P40)</f>
        <v>0</v>
      </c>
      <c r="AP40" s="45" t="str">
        <f t="shared" si="61"/>
        <v/>
      </c>
      <c r="AQ40" s="45" t="str">
        <f>IF($G40="","",$G40*ADRYr3!$Q40*ADRYr3!$U40*(IF(ADRYr3!$AI40=Lookups!$E$115,ADRYr3!$AJ40,IF(ADRYr3!$AK40=Lookups!$E$115,ADRYr3!$AL40,IF(ADRYr3!$AM40=Lookups!$E$115,ADRYr3!$AN40,0)))))</f>
        <v/>
      </c>
      <c r="AR40" s="45" t="str">
        <f t="shared" si="62"/>
        <v/>
      </c>
      <c r="AS40" s="45" t="str">
        <f>IF($G40="","",AQ40*ADRYr3!$P40)</f>
        <v/>
      </c>
      <c r="AT40" s="45" t="str">
        <f t="shared" si="63"/>
        <v/>
      </c>
      <c r="AU40" s="45" t="str">
        <f>IF($G40="","",$G40*ADRYr3!$Q40*ADRYr3!$U40*(IF(ADRYr3!$AI40=Lookups!$E$116,ADRYr3!$AJ40,IF(ADRYr3!$AK40=Lookups!$E$116,ADRYr3!$AL40,IF(ADRYr3!$AM40=Lookups!$E$116,ADRYr3!$AN40,0)))))</f>
        <v/>
      </c>
      <c r="AV40" s="45" t="str">
        <f t="shared" si="64"/>
        <v/>
      </c>
      <c r="AW40" s="45" t="str">
        <f>IF($G40="","",AU40*ADRYr3!$P40)</f>
        <v/>
      </c>
      <c r="AX40" s="45" t="str">
        <f t="shared" si="65"/>
        <v/>
      </c>
      <c r="AY40" s="45">
        <f t="shared" si="66"/>
        <v>0</v>
      </c>
      <c r="AZ40" s="45">
        <f t="shared" si="67"/>
        <v>0</v>
      </c>
      <c r="BA40" s="101" t="str">
        <f>IF($G40="","",$G40*ADRYr3!$P40*ADRYr3!$Q40*ADRYr3!$U40*ADRYr3!AO40)</f>
        <v/>
      </c>
      <c r="BB40" s="102" t="str">
        <f>IF($G40="","",$G40*ADRYr3!$P40*ADRYr3!$Q40*ADRYr3!$U40*ADRYr3!AP40)</f>
        <v/>
      </c>
      <c r="BC40" s="100" t="str">
        <f t="shared" si="68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31"/>
        <v/>
      </c>
      <c r="BO40" s="31" t="str">
        <f t="shared" si="69"/>
        <v/>
      </c>
      <c r="BP40" s="1129" t="str">
        <f t="shared" si="5"/>
        <v/>
      </c>
      <c r="BQ40" s="28" t="str">
        <f t="shared" si="6"/>
        <v/>
      </c>
      <c r="BR40" s="1129" t="str">
        <f t="shared" si="7"/>
        <v/>
      </c>
      <c r="BS40" s="1129" t="str">
        <f t="shared" si="8"/>
        <v/>
      </c>
      <c r="BT40" s="28" t="str">
        <f t="shared" si="82"/>
        <v/>
      </c>
      <c r="BU40" s="28" t="str">
        <f t="shared" si="82"/>
        <v/>
      </c>
      <c r="BV40" s="28" t="str">
        <f t="shared" si="82"/>
        <v/>
      </c>
      <c r="BW40" s="29" t="str">
        <f t="shared" si="70"/>
        <v/>
      </c>
      <c r="BX40" s="29" t="str">
        <f t="shared" si="71"/>
        <v/>
      </c>
      <c r="BY40" s="28" t="str">
        <f>IF($G40="","",$G40*(IF(ADRYr3!$AI40=BY$4,ADRYr3!$AJ40,IF(ADRYr3!$AK40=BY$4,ADRYr3!$AL40,IF(ADRYr3!$AM40=BY$4,ADRYr3!$AN40,0))))*(INDEX(avoidedcosttbl3,$H40,BY$2)+(($H40-ROUNDDOWN($H40,0))*(INDEX(avoidedcosttbl3,ROUNDUP($H40,0),BY$2)-(INDEX(avoidedcosttbl3,ROUNDDOWN($H40,0),BY$2)))))*ADRYr3!P40*ADRYr3!Q40*ADRYr3!U40)</f>
        <v/>
      </c>
      <c r="BZ40" s="28" t="str">
        <f>IF($G40="","",$G40*(IF(ADRYr3!$AI40=BZ$4,ADRYr3!$AJ40,IF(ADRYr3!$AK40=BZ$4,ADRYr3!$AL40,IF(ADRYr3!$AM40=BZ$4,ADRYr3!$AN40,0))))*(INDEX(avoidedcosttbl3,$H40,BZ$2)+(($H40-ROUNDDOWN($H40,0))*(INDEX(avoidedcosttbl3,ROUNDUP($H40,0),BZ$2)-(INDEX(avoidedcosttbl3,ROUNDDOWN($H40,0),BZ$2)))))*ADRYr3!P40*ADRYr3!Q40*ADRYr3!U40)</f>
        <v/>
      </c>
      <c r="CA40" s="28" t="str">
        <f>IF($G40="","",$G40*(IF(ADRYr3!$AI40=CA$4,ADRYr3!$AJ40,IF(ADRYr3!$AK40=CA$4,ADRYr3!$AL40,IF(ADRYr3!$AM40=CA$4,ADRYr3!$AN40,0))))*(INDEX(avoidedcosttbl3,$H40,CA$2)+(($H40-ROUNDDOWN($H40,0))*(INDEX(avoidedcosttbl3,ROUNDUP($H40,0),CA$2)-(INDEX(avoidedcosttbl3,ROUNDDOWN($H40,0),CA$2)))))*ADRYr3!P40*ADRYr3!Q40*ADRYr3!U40)</f>
        <v/>
      </c>
      <c r="CB40" s="28" t="str">
        <f>IF($G40="","",$G40*(IF(ADRYr3!$AI40=CB$4,ADRYr3!$AJ40,IF(ADRYr3!$AK40=CB$4,ADRYr3!$AL40,IF(ADRYr3!$AM40=CB$4,ADRYr3!$AN40,0))))*(INDEX(avoidedcosttbl3,$H40,CB$2)+(($H40-ROUNDDOWN($H40,0))*(INDEX(avoidedcosttbl3,ROUNDUP($H40,0),CB$2)-(INDEX(avoidedcosttbl3,ROUNDDOWN($H40,0),CB$2)))))*ADRYr3!P40*ADRYr3!Q40*ADRYr3!U40)</f>
        <v/>
      </c>
      <c r="CC40" s="28" t="str">
        <f>IF($G40="","",$G40*(IF(ADRYr3!$AI40=CC$4,ADRYr3!$AJ40,IF(ADRYr3!$AK40=CC$4,ADRYr3!$AL40,IF(ADRYr3!$AM40=CC$4,ADRYr3!$AN40,0))))*(INDEX(avoidedcosttbl3,$H40,CC$2)+(($H40-ROUNDDOWN($H40,0))*(INDEX(avoidedcosttbl3,ROUNDUP($H40,0),CC$2)-(INDEX(avoidedcosttbl3,ROUNDDOWN($H40,0),CC$2)))))*ADRYr3!P40*ADRYr3!Q40*ADRYr3!U40)</f>
        <v/>
      </c>
      <c r="CD40" s="28" t="str">
        <f>IF($G40="","",$G40*(IF(ADRYr3!$AI40=CD$4,ADRYr3!$AJ40,IF(ADRYr3!$AK40=CD$4,ADRYr3!$AL40,IF(ADRYr3!$AM40=CD$4,ADRYr3!$AN40,0))))*(INDEX(avoidedcosttbl3,$H40,CD$2)+(($H40-ROUNDDOWN($H40,0))*(INDEX(avoidedcosttbl3,ROUNDUP($H40,0),CD$2)-(INDEX(avoidedcosttbl3,ROUNDDOWN($H40,0),CD$2)))))*ADRYr3!P40*ADRYr3!Q40*ADRYr3!U40)</f>
        <v/>
      </c>
      <c r="CE40" s="28" t="str">
        <f>IF($G40="","",$G40*(IF(ADRYr3!$AI40=CE$4,ADRYr3!$AJ40,IF(ADRYr3!$AK40=CE$4,ADRYr3!$AL40,IF(ADRYr3!$AM40=CE$4,ADRYr3!$AN40,0))))*(INDEX(avoidedcosttbl3,$H40,CE$2)+(($H40-ROUNDDOWN($H40,0))*(INDEX(avoidedcosttbl3,ROUNDUP($H40,0),CE$2)-(INDEX(avoidedcosttbl3,ROUNDDOWN($H40,0),CE$2)))))*ADRYr3!P40*ADRYr3!Q40*ADRYr3!U40)</f>
        <v/>
      </c>
      <c r="CF40" s="41" t="str">
        <f t="shared" si="72"/>
        <v/>
      </c>
      <c r="CG40" s="30" t="str">
        <f t="shared" si="10"/>
        <v/>
      </c>
      <c r="CH40" s="30" t="str">
        <f>IF($G40="","",$G40*(IF(ADRYr3!$AI40=BY$4,ADRYr3!$AJ40,IF(ADRYr3!$AK40=BY$4,ADRYr3!$AL40,IF(ADRYr3!$AM40=BY$4,ADRYr3!$AN40,0))))*(INDEX(avoidedcosttbl3,$H40,CH$2)+(($H40-ROUNDDOWN($H40,0))*(INDEX(avoidedcosttbl3,ROUNDUP($H40,0),CH$2)-(INDEX(avoidedcosttbl3,ROUNDDOWN($H40,0),CH$2)))))*ADRYr3!P40*ADRYr3!Q40*ADRYr3!U40)</f>
        <v/>
      </c>
      <c r="CI40" s="30" t="str">
        <f>IF($G40="","",$G40*(IF(ADRYr3!$AI40=BZ$4,ADRYr3!$AJ40,IF(ADRYr3!$AK40=BZ$4,ADRYr3!$AL40,IF(ADRYr3!$AM40=BZ$4,ADRYr3!$AN40,0))))*(INDEX(avoidedcosttbl3,$H40,CI$2)+(($H40-ROUNDDOWN($H40,0))*(INDEX(avoidedcosttbl3,ROUNDUP($H40,0),CI$2)-(INDEX(avoidedcosttbl3,ROUNDDOWN($H40,0),CI$2)))))*ADRYr3!P40*ADRYr3!Q40*ADRYr3!U40)</f>
        <v/>
      </c>
      <c r="CJ40" s="30" t="str">
        <f>IF($G40="","",$G40*(IF(ADRYr3!$AI40=CA$4,ADRYr3!$AJ40,IF(ADRYr3!$AK40=CA$4,ADRYr3!$AL40,IF(ADRYr3!$AM40=CA$4,ADRYr3!$AN40,0))))*(INDEX(avoidedcosttbl3,$H40,CJ$2)+(($H40-ROUNDDOWN($H40,0))*(INDEX(avoidedcosttbl3,ROUNDUP($H40,0),CJ$2)-(INDEX(avoidedcosttbl3,ROUNDDOWN($H40,0),CJ$2)))))*ADRYr3!P40*ADRYr3!Q40*ADRYr3!U40)</f>
        <v/>
      </c>
      <c r="CK40" s="30" t="str">
        <f>IF($G40="","",$G40*(IF(ADRYr3!$AI40=CB$4,ADRYr3!$AJ40,IF(ADRYr3!$AK40=CB$4,ADRYr3!$AL40,IF(ADRYr3!$AM40=CB$4,ADRYr3!$AN40,0))))*(INDEX(avoidedcosttbl3,$H40,CK$2)+(($H40-ROUNDDOWN($H40,0))*(INDEX(avoidedcosttbl3,ROUNDUP($H40,0),CK$2)-(INDEX(avoidedcosttbl3,ROUNDDOWN($H40,0),CK$2)))))*ADRYr3!P40*ADRYr3!Q40*ADRYr3!U40)</f>
        <v/>
      </c>
      <c r="CL40" s="30" t="str">
        <f>IF($G40="","",$G40*(IF(ADRYr3!$AI40=CC$4,ADRYr3!$AJ40,IF(ADRYr3!$AK40=CC$4,ADRYr3!$AL40,IF(ADRYr3!$AM40=CC$4,ADRYr3!$AN40,0))))*(INDEX(avoidedcosttbl3,$H40,CL$2)+(($H40-ROUNDDOWN($H40,0))*(INDEX(avoidedcosttbl3,ROUNDUP($H40,0),CL$2)-(INDEX(avoidedcosttbl3,ROUNDDOWN($H40,0),CL$2)))))*ADRYr3!P40*ADRYr3!Q40*ADRYr3!U40)</f>
        <v/>
      </c>
      <c r="CM40" s="30" t="str">
        <f>IF($G40="","",$G40*(IF(ADRYr3!$AI40=CD$4,ADRYr3!$AJ40,IF(ADRYr3!$AK40=CD$4,ADRYr3!$AL40,IF(ADRYr3!$AM40=CD$4,ADRYr3!$AN40,0))))*(INDEX(avoidedcosttbl3,$H40,CM$2)+(($H40-ROUNDDOWN($H40,0))*(INDEX(avoidedcosttbl3,ROUNDUP($H40,0),CM$2)-(INDEX(avoidedcosttbl3,ROUNDDOWN($H40,0),CM$2)))))*ADRYr3!P40*ADRYr3!Q40*ADRYr3!U40)</f>
        <v/>
      </c>
      <c r="CN40" s="30" t="str">
        <f>IF($G40="","",$G40*(IF(ADRYr3!$AI40=CE$4,ADRYr3!$AJ40,IF(ADRYr3!$AK40=CE$4,ADRYr3!$AL40,IF(ADRYr3!$AM40=CE$4,ADRYr3!$AN40,0))))*(INDEX(avoidedcosttbl3,$H40,CN$2)+(($H40-ROUNDDOWN($H40,0))*(INDEX(avoidedcosttbl3,ROUNDUP($H40,0),CN$2)-(INDEX(avoidedcosttbl3,ROUNDDOWN($H40,0),CN$2)))))*ADRYr3!P40*ADRYr3!Q40*ADRYr3!U40)</f>
        <v/>
      </c>
      <c r="CO40" s="220" t="str">
        <f t="shared" si="73"/>
        <v/>
      </c>
      <c r="CP40" s="220" t="str">
        <f t="shared" si="74"/>
        <v/>
      </c>
      <c r="CQ40" s="157" t="str">
        <f>IF($G40="","",$G40*(IF(ADRYr3!$AI40=CQ$4,ADRYr3!$AJ40,IF(ADRYr3!$AK40=CQ$4,ADRYr3!$AL40,IF(ADRYr3!$AM40=CQ$4,ADRYr3!$AN40,0))))*(INDEX(avoidedcosttbl3,$H40,CQ$2)+(($H40-ROUNDDOWN($H40,0))*(INDEX(avoidedcosttbl3,ROUNDUP($H40,0),CQ$2)-(INDEX(avoidedcosttbl3,ROUNDDOWN($H40,0),CQ$2)))))*ADRYr3!$P40*ADRYr3!$Q40*ADRYr3!$U40)</f>
        <v/>
      </c>
      <c r="CR40" s="28" t="str">
        <f>IF($G40="","",G40*(IF(ADRYr3!$AI40=CR$4,ADRYr3!$AJ40,IF(ADRYr3!$AK40=CR$4,ADRYr3!$AL40,IF(ADRYr3!$AM40=CR$4,ADRYr3!$AN40,0))))*(INDEX(avoidedcosttbl3,$H40,CR$2)+(($H40-ROUNDDOWN($H40,0))*(INDEX(avoidedcosttbl3,ROUNDUP($H40,0),CR$2)-(INDEX(avoidedcosttbl3,ROUNDDOWN($H40,0),CR$2)))))*ADRYr3!$P40*ADRYr3!$Q40*ADRYr3!$U40)</f>
        <v/>
      </c>
      <c r="CS40" s="28" t="str">
        <f>IF($G40="","",G40*(IF(ADRYr3!$AI40=CS$4,ADRYr3!$AJ40,IF(ADRYr3!$AK40=CS$4,ADRYr3!$AL40,IF(ADRYr3!$AM40=CS$4,ADRYr3!$AN40,0))))*(INDEX(avoidedcosttbl3,$H40,CS$2)+(($H40-ROUNDDOWN($H40,0))*(INDEX(avoidedcosttbl3,ROUNDUP($H40,0),CS$2)-(INDEX(avoidedcosttbl3,ROUNDDOWN($H40,0),CS$2)))))*ADRYr3!$P40*ADRYr3!$Q40*ADRYr3!$U40)</f>
        <v/>
      </c>
      <c r="CT40" s="28" t="str">
        <f t="shared" si="11"/>
        <v/>
      </c>
      <c r="CU40" s="28" t="str">
        <f>IF($G40="","",G40*(IF(ADRYr3!$AI40=CU$4,ADRYr3!$AJ40,IF(ADRYr3!$AK40=CU$4,ADRYr3!$AL40,IF(ADRYr3!$AM40=CU$4,ADRYr3!$AN40,0))))*(INDEX(avoidedcosttbl3,$H40,CU$2)+(($H40-ROUNDDOWN($H40,0))*(INDEX(avoidedcosttbl3,ROUNDUP($H40,0),CU$2)-(INDEX(avoidedcosttbl3,ROUNDDOWN($H40,0),CU$2)))))*ADRYr3!$P40*ADRYr3!$Q40*ADRYr3!$U40)</f>
        <v/>
      </c>
      <c r="CV40" s="28" t="str">
        <f>IF($G40="","",G40*(IF(ADRYr3!$AI40=CV$4,ADRYr3!$AJ40,IF(ADRYr3!$AK40=CV$4,ADRYr3!$AL40,IF(ADRYr3!$AM40=CV$4,ADRYr3!$AN40,0))))*(INDEX(avoidedcosttbl3,$H40,CV$2)+(($H40-ROUNDDOWN($H40,0))*(INDEX(avoidedcosttbl3,ROUNDUP($H40,0),CV$2)-(INDEX(avoidedcosttbl3,ROUNDDOWN($H40,0),CV$2)))))*ADRYr3!$P40*ADRYr3!$Q40*ADRYr3!$U40)</f>
        <v/>
      </c>
      <c r="CW40" s="28" t="str">
        <f>IF($G40="","",G40*(IF(ADRYr3!$AI40=CW$4,ADRYr3!$AJ40,IF(ADRYr3!$AK40=CW$4,ADRYr3!$AL40,IF(ADRYr3!$AM40=CW$4,ADRYr3!$AN40,0))))*(INDEX(avoidedcosttbl3,$H40,CW$2)+(($H40-ROUNDDOWN($H40,0))*(INDEX(avoidedcosttbl3,ROUNDUP($H40,0),CW$2)-(INDEX(avoidedcosttbl3,ROUNDDOWN($H40,0),CW$2)))))*ADRYr3!$P40*ADRYr3!$Q40*ADRYr3!$U40)</f>
        <v/>
      </c>
      <c r="CX40" s="28" t="str">
        <f>IF($G40="","",G40*(IF(ADRYr3!$AI40=CX$4,ADRYr3!$AJ40,IF(ADRYr3!$AK40=CX$4,ADRYr3!$AL40,IF(ADRYr3!$AM40=CX$4,ADRYr3!$AN40,0))))*(INDEX(avoidedcosttbl3,$H40,CX$2)+(($H40-ROUNDDOWN($H40,0))*(INDEX(avoidedcosttbl3,ROUNDUP($H40,0),CX$2)-(INDEX(avoidedcosttbl3,ROUNDDOWN($H40,0),CX$2)))))*ADRYr3!$P40*ADRYr3!$Q40*ADRYr3!$U40)</f>
        <v/>
      </c>
      <c r="CY40" s="28" t="str">
        <f t="shared" si="75"/>
        <v/>
      </c>
      <c r="CZ40" s="32" t="str">
        <f t="shared" si="76"/>
        <v/>
      </c>
      <c r="DA40" s="84" t="str">
        <f t="shared" si="77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78"/>
        <v/>
      </c>
      <c r="DD40" s="166" t="str">
        <f t="shared" si="79"/>
        <v/>
      </c>
      <c r="DE40" s="82">
        <f t="shared" si="80"/>
        <v>0</v>
      </c>
      <c r="DF40" s="760" t="str">
        <f>IF($G40="","",(1+WntPeakEnergyLL)*(INDEX(avoidedcosttbl3,$H40,DF$2)+(($H40-ROUNDDOWN($H40,0))*(INDEX(avoidedcosttbl3,ROUNDUP($H40,0),DF$2)-(INDEX(avoidedcosttbl3,ROUNDDOWN($H40,0),DF$2)))))*$P40*1000*ADRYr3!Z40)</f>
        <v/>
      </c>
      <c r="DG40" s="760" t="str">
        <f>IF($G40="","",(1+WntOffPeakEnergyLL)*(INDEX(avoidedcosttbl3,$H40,DG$2)+(($H40-ROUNDDOWN($H40,0))*(INDEX(avoidedcosttbl3,ROUNDUP($H40,0),DG$2)-(INDEX(avoidedcosttbl3,ROUNDDOWN($H40,0),DG$2)))))*$P40*1000*ADRYr3!AA40)</f>
        <v/>
      </c>
      <c r="DH40" s="760" t="str">
        <f>IF($G40="","",(1+SumPeakEnergyLL)*(INDEX(avoidedcosttbl3,$H40,DH$2)+(($H40-ROUNDDOWN($H40,0))*(INDEX(avoidedcosttbl3,ROUNDUP($H40,0),DH$2)-(INDEX(avoidedcosttbl3,ROUNDDOWN($H40,0),DH$2)))))*$P40*1000*ADRYr3!AB40)</f>
        <v/>
      </c>
      <c r="DI40" s="760" t="str">
        <f>IF($G40="","",(1+SumOffPeakEnergyLL)*(INDEX(avoidedcosttbl3,$H40,DI$2)+(($H40-ROUNDDOWN($H40,0))*(INDEX(avoidedcosttbl3,ROUNDUP($H40,0),DI$2)-(INDEX(avoidedcosttbl3,ROUNDDOWN($H40,0),DI$2)))))*$P40*1000*ADRYr3!AC40)</f>
        <v/>
      </c>
      <c r="DJ40" s="29" t="str">
        <f t="shared" si="81"/>
        <v/>
      </c>
      <c r="DK40" s="161" t="str">
        <f t="shared" si="45"/>
        <v/>
      </c>
      <c r="DL40" s="1375" t="str">
        <f t="shared" si="46"/>
        <v/>
      </c>
      <c r="DM40" s="1375" t="str">
        <f t="shared" si="47"/>
        <v/>
      </c>
      <c r="DN40" s="43" t="str">
        <f t="shared" si="48"/>
        <v/>
      </c>
      <c r="DO40" s="1131" t="str">
        <f>IF($G40="","",ADRYr3!AQ40)</f>
        <v/>
      </c>
      <c r="DP40" s="1133" t="str">
        <f>IF($G40="","",ADRYr3!AR40)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49"/>
        <v/>
      </c>
      <c r="DU40" s="1135" t="str">
        <f>IF($G40="","",ADRYr3!AS40)</f>
        <v/>
      </c>
      <c r="DV40" s="1136" t="str">
        <f>IF($G40="","",ADRYr3!AT40)</f>
        <v/>
      </c>
      <c r="DW40" s="1344" t="str">
        <f>IF($G40="","",INDEX(AvoidedEnergy!$H$4:$H$10,MATCH($DO40,AvoidedEnergy!$A$4:$A$10,0)))</f>
        <v/>
      </c>
    </row>
    <row r="41" spans="1:127">
      <c r="A41" s="160" t="str">
        <f>IF(ADRYr3!$B41=0,"",ADRYr3!A41)</f>
        <v>C - Commercial &amp; Industrial</v>
      </c>
      <c r="B41" s="9" t="str">
        <f>IF(ADRYr3!$B41=0,"",ADRYr3!B41)</f>
        <v>C5 - C&amp;I Active Demand Response</v>
      </c>
      <c r="C41" s="9" t="str">
        <f>IF(ADRYr3!$B41=0,"",ADRYr3!C41)</f>
        <v>C5a - C&amp;I Active Demand Response</v>
      </c>
      <c r="D41" s="9" t="str">
        <f>IF(ADRYr3!$B41=0,"",ADRYr3!D41)</f>
        <v>Custom</v>
      </c>
      <c r="E41" s="9">
        <f>IF(ADRYr3!$B41=0,"",ADRYr3!E41)</f>
        <v>0</v>
      </c>
      <c r="F41" s="11" t="str">
        <f>IF(ADRYr3!$B41=0,"",ADRYr3!F41)</f>
        <v>Behavior</v>
      </c>
      <c r="G41" s="12" t="str">
        <f>IF(ADRYr3!$G41&lt;&gt;0,ADRYr3!G41,"")</f>
        <v/>
      </c>
      <c r="H41" s="1125" t="str">
        <f>IF($G41="","",ROUND(ADRYr3!H41,0))</f>
        <v/>
      </c>
      <c r="I41" s="47" t="str">
        <f>IF($G41="","",ADRYr3!I41*ADRYr3!P41*G41)</f>
        <v/>
      </c>
      <c r="J41" s="47" t="str">
        <f>IF($G41="","",ADRYr3!J41*G41)</f>
        <v/>
      </c>
      <c r="K41" s="47" t="str">
        <f t="shared" si="50"/>
        <v/>
      </c>
      <c r="L41" s="27" t="str">
        <f>IF($G41="","",ADRYr3!V41*G41/1000)</f>
        <v/>
      </c>
      <c r="M41" s="27" t="str">
        <f>IF($G41="","",L41*ADRYr3!$Q41*ADRYr3!$R41)</f>
        <v/>
      </c>
      <c r="N41" s="27" t="str">
        <f t="shared" si="51"/>
        <v/>
      </c>
      <c r="O41" s="27" t="str">
        <f t="shared" si="52"/>
        <v/>
      </c>
      <c r="P41" s="27" t="str">
        <f>IF($G41="","",M41*ADRYr3!P41)</f>
        <v/>
      </c>
      <c r="Q41" s="27" t="str">
        <f t="shared" si="53"/>
        <v/>
      </c>
      <c r="R41" s="27" t="str">
        <f>IF($G41="","",$Q41*ADRYr3!Z41)</f>
        <v/>
      </c>
      <c r="S41" s="27" t="str">
        <f>IF($G41="","",$Q41*ADRYr3!AA41)</f>
        <v/>
      </c>
      <c r="T41" s="27" t="str">
        <f>IF($G41="","",$Q41*ADRYr3!AB41)</f>
        <v/>
      </c>
      <c r="U41" s="27" t="str">
        <f>IF($G41="","",$Q41*ADRYr3!AC41)</f>
        <v/>
      </c>
      <c r="V41" s="27" t="str">
        <f>IF($G41="","",G41*ADRYr3!$AD41*ADRYr3!$P41*ADRYr3!$Q41)</f>
        <v/>
      </c>
      <c r="W41" s="27" t="str">
        <f>IF($G41="","",$G41*ADRYr3!$AD41*ADRYr3!$AF41*ADRYr3!Q41*ADRYr3!$S41)</f>
        <v/>
      </c>
      <c r="X41" s="27" t="str">
        <f>IF($G41="","",$G41*ADRYr3!$AD41*ADRYr3!$AF41*ADRYr3!P41*ADRYr3!Q41*ADRYr3!$S41)</f>
        <v/>
      </c>
      <c r="Y41" s="27" t="str">
        <f>IF($G41="","",$G41*ADRYr3!$AD41*ADRYr3!$AE41*ADRYr3!Q41*ADRYr3!$T41)</f>
        <v/>
      </c>
      <c r="Z41" s="27" t="str">
        <f>IF($G41="","",$G41*ADRYr3!$AD41*ADRYr3!$AE41*ADRYr3!P41*ADRYr3!Q41*ADRYr3!$T41)</f>
        <v/>
      </c>
      <c r="AA41" s="45" t="str">
        <f>IF($G41="","",$G41*ADRYr3!$Q41*ADRYr3!$U41*(IF(IFERROR(SEARCH("NG", ADRYr3!$AI41),0),ADRYr3!$AJ41,0)+IF(IFERROR(SEARCH("NG", ADRYr3!$AK41),0),ADRYr3!$AL41,0)+IF(IFERROR(SEARCH("NG", ADRYr3!$AM41),0),ADRYr3!$AN41,0)))</f>
        <v/>
      </c>
      <c r="AB41" s="45" t="str">
        <f t="shared" si="54"/>
        <v/>
      </c>
      <c r="AC41" s="45">
        <f>IF($G41="",0,AA41*ADRYr3!$P41)</f>
        <v>0</v>
      </c>
      <c r="AD41" s="45" t="str">
        <f t="shared" si="55"/>
        <v/>
      </c>
      <c r="AE41" s="45" t="str">
        <f>IF($G41="","",$G41*ADRYr3!$Q41*ADRYr3!$U41*(IF(IFERROR(SEARCH("Oil", ADRYr3!$AI41), 0),ADRYr3!$AJ41,0)+IF(IFERROR(SEARCH("Oil", ADRYr3!$AK41), 0),ADRYr3!$AL41,0)+IF(IFERROR(SEARCH("Oil", ADRYr3!$AM41), 0),ADRYr3!$AN41,0)))</f>
        <v/>
      </c>
      <c r="AF41" s="45" t="str">
        <f t="shared" si="56"/>
        <v/>
      </c>
      <c r="AG41" s="45">
        <f>IF($G41="",0,AE41*ADRYr3!$P41)</f>
        <v>0</v>
      </c>
      <c r="AH41" s="45" t="str">
        <f t="shared" si="57"/>
        <v/>
      </c>
      <c r="AI41" s="45" t="str">
        <f>IF($G41="","",$G41*ADRYr3!$Q41*ADRYr3!$U41*(IF(ADRYr3!$AI41=Lookups!$E$114,ADRYr3!$AJ41,IF(ADRYr3!$AK41=Lookups!$E$114,ADRYr3!$AL41,IF(ADRYr3!$AM41=Lookups!$E$114,ADRYr3!$AN41,0)))))</f>
        <v/>
      </c>
      <c r="AJ41" s="45" t="str">
        <f t="shared" si="58"/>
        <v/>
      </c>
      <c r="AK41" s="45">
        <f>IF($G41="",0,AI41*ADRYr3!$P41)</f>
        <v>0</v>
      </c>
      <c r="AL41" s="45" t="str">
        <f t="shared" si="59"/>
        <v/>
      </c>
      <c r="AM41" s="45" t="str">
        <f>IF($G41="","",$G41*ADRYr3!$Q41*ADRYr3!$U41*(IF(ADRYr3!$AI41=Lookups!$E$113,ADRYr3!$AJ41,IF(ADRYr3!$AK41=Lookups!$E$113,ADRYr3!$AL41,IF(ADRYr3!$AM41=Lookups!$E$113,ADRYr3!$AN41,0)))))</f>
        <v/>
      </c>
      <c r="AN41" s="45" t="str">
        <f t="shared" si="60"/>
        <v/>
      </c>
      <c r="AO41" s="45">
        <f>IF($G41="",0,AM41*ADRYr3!$P41)</f>
        <v>0</v>
      </c>
      <c r="AP41" s="45" t="str">
        <f t="shared" si="61"/>
        <v/>
      </c>
      <c r="AQ41" s="45" t="str">
        <f>IF($G41="","",$G41*ADRYr3!$Q41*ADRYr3!$U41*(IF(ADRYr3!$AI41=Lookups!$E$115,ADRYr3!$AJ41,IF(ADRYr3!$AK41=Lookups!$E$115,ADRYr3!$AL41,IF(ADRYr3!$AM41=Lookups!$E$115,ADRYr3!$AN41,0)))))</f>
        <v/>
      </c>
      <c r="AR41" s="45" t="str">
        <f t="shared" si="62"/>
        <v/>
      </c>
      <c r="AS41" s="45" t="str">
        <f>IF($G41="","",AQ41*ADRYr3!$P41)</f>
        <v/>
      </c>
      <c r="AT41" s="45" t="str">
        <f t="shared" si="63"/>
        <v/>
      </c>
      <c r="AU41" s="45" t="str">
        <f>IF($G41="","",$G41*ADRYr3!$Q41*ADRYr3!$U41*(IF(ADRYr3!$AI41=Lookups!$E$116,ADRYr3!$AJ41,IF(ADRYr3!$AK41=Lookups!$E$116,ADRYr3!$AL41,IF(ADRYr3!$AM41=Lookups!$E$116,ADRYr3!$AN41,0)))))</f>
        <v/>
      </c>
      <c r="AV41" s="45" t="str">
        <f t="shared" si="64"/>
        <v/>
      </c>
      <c r="AW41" s="45" t="str">
        <f>IF($G41="","",AU41*ADRYr3!$P41)</f>
        <v/>
      </c>
      <c r="AX41" s="45" t="str">
        <f t="shared" si="65"/>
        <v/>
      </c>
      <c r="AY41" s="45">
        <f t="shared" si="66"/>
        <v>0</v>
      </c>
      <c r="AZ41" s="45">
        <f t="shared" si="67"/>
        <v>0</v>
      </c>
      <c r="BA41" s="101" t="str">
        <f>IF($G41="","",$G41*ADRYr3!$P41*ADRYr3!$Q41*ADRYr3!$U41*ADRYr3!AO41)</f>
        <v/>
      </c>
      <c r="BB41" s="102" t="str">
        <f>IF($G41="","",$G41*ADRYr3!$P41*ADRYr3!$Q41*ADRYr3!$U41*ADRYr3!AP41)</f>
        <v/>
      </c>
      <c r="BC41" s="100" t="str">
        <f t="shared" si="68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31"/>
        <v/>
      </c>
      <c r="BO41" s="31" t="str">
        <f t="shared" si="69"/>
        <v/>
      </c>
      <c r="BP41" s="1129" t="str">
        <f t="shared" si="5"/>
        <v/>
      </c>
      <c r="BQ41" s="28" t="str">
        <f t="shared" si="6"/>
        <v/>
      </c>
      <c r="BR41" s="1129" t="str">
        <f t="shared" si="7"/>
        <v/>
      </c>
      <c r="BS41" s="1129" t="str">
        <f t="shared" si="8"/>
        <v/>
      </c>
      <c r="BT41" s="28" t="str">
        <f t="shared" si="82"/>
        <v/>
      </c>
      <c r="BU41" s="28" t="str">
        <f t="shared" si="82"/>
        <v/>
      </c>
      <c r="BV41" s="28" t="str">
        <f t="shared" si="82"/>
        <v/>
      </c>
      <c r="BW41" s="29" t="str">
        <f t="shared" si="70"/>
        <v/>
      </c>
      <c r="BX41" s="29" t="str">
        <f t="shared" si="71"/>
        <v/>
      </c>
      <c r="BY41" s="28" t="str">
        <f>IF($G41="","",$G41*(IF(ADRYr3!$AI41=BY$4,ADRYr3!$AJ41,IF(ADRYr3!$AK41=BY$4,ADRYr3!$AL41,IF(ADRYr3!$AM41=BY$4,ADRYr3!$AN41,0))))*(INDEX(avoidedcosttbl3,$H41,BY$2)+(($H41-ROUNDDOWN($H41,0))*(INDEX(avoidedcosttbl3,ROUNDUP($H41,0),BY$2)-(INDEX(avoidedcosttbl3,ROUNDDOWN($H41,0),BY$2)))))*ADRYr3!P41*ADRYr3!Q41*ADRYr3!U41)</f>
        <v/>
      </c>
      <c r="BZ41" s="28" t="str">
        <f>IF($G41="","",$G41*(IF(ADRYr3!$AI41=BZ$4,ADRYr3!$AJ41,IF(ADRYr3!$AK41=BZ$4,ADRYr3!$AL41,IF(ADRYr3!$AM41=BZ$4,ADRYr3!$AN41,0))))*(INDEX(avoidedcosttbl3,$H41,BZ$2)+(($H41-ROUNDDOWN($H41,0))*(INDEX(avoidedcosttbl3,ROUNDUP($H41,0),BZ$2)-(INDEX(avoidedcosttbl3,ROUNDDOWN($H41,0),BZ$2)))))*ADRYr3!P41*ADRYr3!Q41*ADRYr3!U41)</f>
        <v/>
      </c>
      <c r="CA41" s="28" t="str">
        <f>IF($G41="","",$G41*(IF(ADRYr3!$AI41=CA$4,ADRYr3!$AJ41,IF(ADRYr3!$AK41=CA$4,ADRYr3!$AL41,IF(ADRYr3!$AM41=CA$4,ADRYr3!$AN41,0))))*(INDEX(avoidedcosttbl3,$H41,CA$2)+(($H41-ROUNDDOWN($H41,0))*(INDEX(avoidedcosttbl3,ROUNDUP($H41,0),CA$2)-(INDEX(avoidedcosttbl3,ROUNDDOWN($H41,0),CA$2)))))*ADRYr3!P41*ADRYr3!Q41*ADRYr3!U41)</f>
        <v/>
      </c>
      <c r="CB41" s="28" t="str">
        <f>IF($G41="","",$G41*(IF(ADRYr3!$AI41=CB$4,ADRYr3!$AJ41,IF(ADRYr3!$AK41=CB$4,ADRYr3!$AL41,IF(ADRYr3!$AM41=CB$4,ADRYr3!$AN41,0))))*(INDEX(avoidedcosttbl3,$H41,CB$2)+(($H41-ROUNDDOWN($H41,0))*(INDEX(avoidedcosttbl3,ROUNDUP($H41,0),CB$2)-(INDEX(avoidedcosttbl3,ROUNDDOWN($H41,0),CB$2)))))*ADRYr3!P41*ADRYr3!Q41*ADRYr3!U41)</f>
        <v/>
      </c>
      <c r="CC41" s="28" t="str">
        <f>IF($G41="","",$G41*(IF(ADRYr3!$AI41=CC$4,ADRYr3!$AJ41,IF(ADRYr3!$AK41=CC$4,ADRYr3!$AL41,IF(ADRYr3!$AM41=CC$4,ADRYr3!$AN41,0))))*(INDEX(avoidedcosttbl3,$H41,CC$2)+(($H41-ROUNDDOWN($H41,0))*(INDEX(avoidedcosttbl3,ROUNDUP($H41,0),CC$2)-(INDEX(avoidedcosttbl3,ROUNDDOWN($H41,0),CC$2)))))*ADRYr3!P41*ADRYr3!Q41*ADRYr3!U41)</f>
        <v/>
      </c>
      <c r="CD41" s="28" t="str">
        <f>IF($G41="","",$G41*(IF(ADRYr3!$AI41=CD$4,ADRYr3!$AJ41,IF(ADRYr3!$AK41=CD$4,ADRYr3!$AL41,IF(ADRYr3!$AM41=CD$4,ADRYr3!$AN41,0))))*(INDEX(avoidedcosttbl3,$H41,CD$2)+(($H41-ROUNDDOWN($H41,0))*(INDEX(avoidedcosttbl3,ROUNDUP($H41,0),CD$2)-(INDEX(avoidedcosttbl3,ROUNDDOWN($H41,0),CD$2)))))*ADRYr3!P41*ADRYr3!Q41*ADRYr3!U41)</f>
        <v/>
      </c>
      <c r="CE41" s="28" t="str">
        <f>IF($G41="","",$G41*(IF(ADRYr3!$AI41=CE$4,ADRYr3!$AJ41,IF(ADRYr3!$AK41=CE$4,ADRYr3!$AL41,IF(ADRYr3!$AM41=CE$4,ADRYr3!$AN41,0))))*(INDEX(avoidedcosttbl3,$H41,CE$2)+(($H41-ROUNDDOWN($H41,0))*(INDEX(avoidedcosttbl3,ROUNDUP($H41,0),CE$2)-(INDEX(avoidedcosttbl3,ROUNDDOWN($H41,0),CE$2)))))*ADRYr3!P41*ADRYr3!Q41*ADRYr3!U41)</f>
        <v/>
      </c>
      <c r="CF41" s="41" t="str">
        <f t="shared" si="72"/>
        <v/>
      </c>
      <c r="CG41" s="30" t="str">
        <f t="shared" si="10"/>
        <v/>
      </c>
      <c r="CH41" s="30" t="str">
        <f>IF($G41="","",$G41*(IF(ADRYr3!$AI41=BY$4,ADRYr3!$AJ41,IF(ADRYr3!$AK41=BY$4,ADRYr3!$AL41,IF(ADRYr3!$AM41=BY$4,ADRYr3!$AN41,0))))*(INDEX(avoidedcosttbl3,$H41,CH$2)+(($H41-ROUNDDOWN($H41,0))*(INDEX(avoidedcosttbl3,ROUNDUP($H41,0),CH$2)-(INDEX(avoidedcosttbl3,ROUNDDOWN($H41,0),CH$2)))))*ADRYr3!P41*ADRYr3!Q41*ADRYr3!U41)</f>
        <v/>
      </c>
      <c r="CI41" s="30" t="str">
        <f>IF($G41="","",$G41*(IF(ADRYr3!$AI41=BZ$4,ADRYr3!$AJ41,IF(ADRYr3!$AK41=BZ$4,ADRYr3!$AL41,IF(ADRYr3!$AM41=BZ$4,ADRYr3!$AN41,0))))*(INDEX(avoidedcosttbl3,$H41,CI$2)+(($H41-ROUNDDOWN($H41,0))*(INDEX(avoidedcosttbl3,ROUNDUP($H41,0),CI$2)-(INDEX(avoidedcosttbl3,ROUNDDOWN($H41,0),CI$2)))))*ADRYr3!P41*ADRYr3!Q41*ADRYr3!U41)</f>
        <v/>
      </c>
      <c r="CJ41" s="30" t="str">
        <f>IF($G41="","",$G41*(IF(ADRYr3!$AI41=CA$4,ADRYr3!$AJ41,IF(ADRYr3!$AK41=CA$4,ADRYr3!$AL41,IF(ADRYr3!$AM41=CA$4,ADRYr3!$AN41,0))))*(INDEX(avoidedcosttbl3,$H41,CJ$2)+(($H41-ROUNDDOWN($H41,0))*(INDEX(avoidedcosttbl3,ROUNDUP($H41,0),CJ$2)-(INDEX(avoidedcosttbl3,ROUNDDOWN($H41,0),CJ$2)))))*ADRYr3!P41*ADRYr3!Q41*ADRYr3!U41)</f>
        <v/>
      </c>
      <c r="CK41" s="30" t="str">
        <f>IF($G41="","",$G41*(IF(ADRYr3!$AI41=CB$4,ADRYr3!$AJ41,IF(ADRYr3!$AK41=CB$4,ADRYr3!$AL41,IF(ADRYr3!$AM41=CB$4,ADRYr3!$AN41,0))))*(INDEX(avoidedcosttbl3,$H41,CK$2)+(($H41-ROUNDDOWN($H41,0))*(INDEX(avoidedcosttbl3,ROUNDUP($H41,0),CK$2)-(INDEX(avoidedcosttbl3,ROUNDDOWN($H41,0),CK$2)))))*ADRYr3!P41*ADRYr3!Q41*ADRYr3!U41)</f>
        <v/>
      </c>
      <c r="CL41" s="30" t="str">
        <f>IF($G41="","",$G41*(IF(ADRYr3!$AI41=CC$4,ADRYr3!$AJ41,IF(ADRYr3!$AK41=CC$4,ADRYr3!$AL41,IF(ADRYr3!$AM41=CC$4,ADRYr3!$AN41,0))))*(INDEX(avoidedcosttbl3,$H41,CL$2)+(($H41-ROUNDDOWN($H41,0))*(INDEX(avoidedcosttbl3,ROUNDUP($H41,0),CL$2)-(INDEX(avoidedcosttbl3,ROUNDDOWN($H41,0),CL$2)))))*ADRYr3!P41*ADRYr3!Q41*ADRYr3!U41)</f>
        <v/>
      </c>
      <c r="CM41" s="30" t="str">
        <f>IF($G41="","",$G41*(IF(ADRYr3!$AI41=CD$4,ADRYr3!$AJ41,IF(ADRYr3!$AK41=CD$4,ADRYr3!$AL41,IF(ADRYr3!$AM41=CD$4,ADRYr3!$AN41,0))))*(INDEX(avoidedcosttbl3,$H41,CM$2)+(($H41-ROUNDDOWN($H41,0))*(INDEX(avoidedcosttbl3,ROUNDUP($H41,0),CM$2)-(INDEX(avoidedcosttbl3,ROUNDDOWN($H41,0),CM$2)))))*ADRYr3!P41*ADRYr3!Q41*ADRYr3!U41)</f>
        <v/>
      </c>
      <c r="CN41" s="30" t="str">
        <f>IF($G41="","",$G41*(IF(ADRYr3!$AI41=CE$4,ADRYr3!$AJ41,IF(ADRYr3!$AK41=CE$4,ADRYr3!$AL41,IF(ADRYr3!$AM41=CE$4,ADRYr3!$AN41,0))))*(INDEX(avoidedcosttbl3,$H41,CN$2)+(($H41-ROUNDDOWN($H41,0))*(INDEX(avoidedcosttbl3,ROUNDUP($H41,0),CN$2)-(INDEX(avoidedcosttbl3,ROUNDDOWN($H41,0),CN$2)))))*ADRYr3!P41*ADRYr3!Q41*ADRYr3!U41)</f>
        <v/>
      </c>
      <c r="CO41" s="220" t="str">
        <f t="shared" si="73"/>
        <v/>
      </c>
      <c r="CP41" s="220" t="str">
        <f t="shared" si="74"/>
        <v/>
      </c>
      <c r="CQ41" s="157" t="str">
        <f>IF($G41="","",$G41*(IF(ADRYr3!$AI41=CQ$4,ADRYr3!$AJ41,IF(ADRYr3!$AK41=CQ$4,ADRYr3!$AL41,IF(ADRYr3!$AM41=CQ$4,ADRYr3!$AN41,0))))*(INDEX(avoidedcosttbl3,$H41,CQ$2)+(($H41-ROUNDDOWN($H41,0))*(INDEX(avoidedcosttbl3,ROUNDUP($H41,0),CQ$2)-(INDEX(avoidedcosttbl3,ROUNDDOWN($H41,0),CQ$2)))))*ADRYr3!$P41*ADRYr3!$Q41*ADRYr3!$U41)</f>
        <v/>
      </c>
      <c r="CR41" s="28" t="str">
        <f>IF($G41="","",G41*(IF(ADRYr3!$AI41=CR$4,ADRYr3!$AJ41,IF(ADRYr3!$AK41=CR$4,ADRYr3!$AL41,IF(ADRYr3!$AM41=CR$4,ADRYr3!$AN41,0))))*(INDEX(avoidedcosttbl3,$H41,CR$2)+(($H41-ROUNDDOWN($H41,0))*(INDEX(avoidedcosttbl3,ROUNDUP($H41,0),CR$2)-(INDEX(avoidedcosttbl3,ROUNDDOWN($H41,0),CR$2)))))*ADRYr3!$P41*ADRYr3!$Q41*ADRYr3!$U41)</f>
        <v/>
      </c>
      <c r="CS41" s="28" t="str">
        <f>IF($G41="","",G41*(IF(ADRYr3!$AI41=CS$4,ADRYr3!$AJ41,IF(ADRYr3!$AK41=CS$4,ADRYr3!$AL41,IF(ADRYr3!$AM41=CS$4,ADRYr3!$AN41,0))))*(INDEX(avoidedcosttbl3,$H41,CS$2)+(($H41-ROUNDDOWN($H41,0))*(INDEX(avoidedcosttbl3,ROUNDUP($H41,0),CS$2)-(INDEX(avoidedcosttbl3,ROUNDDOWN($H41,0),CS$2)))))*ADRYr3!$P41*ADRYr3!$Q41*ADRYr3!$U41)</f>
        <v/>
      </c>
      <c r="CT41" s="28" t="str">
        <f t="shared" si="11"/>
        <v/>
      </c>
      <c r="CU41" s="28" t="str">
        <f>IF($G41="","",G41*(IF(ADRYr3!$AI41=CU$4,ADRYr3!$AJ41,IF(ADRYr3!$AK41=CU$4,ADRYr3!$AL41,IF(ADRYr3!$AM41=CU$4,ADRYr3!$AN41,0))))*(INDEX(avoidedcosttbl3,$H41,CU$2)+(($H41-ROUNDDOWN($H41,0))*(INDEX(avoidedcosttbl3,ROUNDUP($H41,0),CU$2)-(INDEX(avoidedcosttbl3,ROUNDDOWN($H41,0),CU$2)))))*ADRYr3!$P41*ADRYr3!$Q41*ADRYr3!$U41)</f>
        <v/>
      </c>
      <c r="CV41" s="28" t="str">
        <f>IF($G41="","",G41*(IF(ADRYr3!$AI41=CV$4,ADRYr3!$AJ41,IF(ADRYr3!$AK41=CV$4,ADRYr3!$AL41,IF(ADRYr3!$AM41=CV$4,ADRYr3!$AN41,0))))*(INDEX(avoidedcosttbl3,$H41,CV$2)+(($H41-ROUNDDOWN($H41,0))*(INDEX(avoidedcosttbl3,ROUNDUP($H41,0),CV$2)-(INDEX(avoidedcosttbl3,ROUNDDOWN($H41,0),CV$2)))))*ADRYr3!$P41*ADRYr3!$Q41*ADRYr3!$U41)</f>
        <v/>
      </c>
      <c r="CW41" s="28" t="str">
        <f>IF($G41="","",G41*(IF(ADRYr3!$AI41=CW$4,ADRYr3!$AJ41,IF(ADRYr3!$AK41=CW$4,ADRYr3!$AL41,IF(ADRYr3!$AM41=CW$4,ADRYr3!$AN41,0))))*(INDEX(avoidedcosttbl3,$H41,CW$2)+(($H41-ROUNDDOWN($H41,0))*(INDEX(avoidedcosttbl3,ROUNDUP($H41,0),CW$2)-(INDEX(avoidedcosttbl3,ROUNDDOWN($H41,0),CW$2)))))*ADRYr3!$P41*ADRYr3!$Q41*ADRYr3!$U41)</f>
        <v/>
      </c>
      <c r="CX41" s="28" t="str">
        <f>IF($G41="","",G41*(IF(ADRYr3!$AI41=CX$4,ADRYr3!$AJ41,IF(ADRYr3!$AK41=CX$4,ADRYr3!$AL41,IF(ADRYr3!$AM41=CX$4,ADRYr3!$AN41,0))))*(INDEX(avoidedcosttbl3,$H41,CX$2)+(($H41-ROUNDDOWN($H41,0))*(INDEX(avoidedcosttbl3,ROUNDUP($H41,0),CX$2)-(INDEX(avoidedcosttbl3,ROUNDDOWN($H41,0),CX$2)))))*ADRYr3!$P41*ADRYr3!$Q41*ADRYr3!$U41)</f>
        <v/>
      </c>
      <c r="CY41" s="28" t="str">
        <f t="shared" si="75"/>
        <v/>
      </c>
      <c r="CZ41" s="32" t="str">
        <f t="shared" si="76"/>
        <v/>
      </c>
      <c r="DA41" s="84" t="str">
        <f t="shared" si="77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78"/>
        <v/>
      </c>
      <c r="DD41" s="166" t="str">
        <f t="shared" si="79"/>
        <v/>
      </c>
      <c r="DE41" s="82">
        <f t="shared" si="80"/>
        <v>0</v>
      </c>
      <c r="DF41" s="760" t="str">
        <f>IF($G41="","",(1+WntPeakEnergyLL)*(INDEX(avoidedcosttbl3,$H41,DF$2)+(($H41-ROUNDDOWN($H41,0))*(INDEX(avoidedcosttbl3,ROUNDUP($H41,0),DF$2)-(INDEX(avoidedcosttbl3,ROUNDDOWN($H41,0),DF$2)))))*$P41*1000*ADRYr3!Z41)</f>
        <v/>
      </c>
      <c r="DG41" s="760" t="str">
        <f>IF($G41="","",(1+WntOffPeakEnergyLL)*(INDEX(avoidedcosttbl3,$H41,DG$2)+(($H41-ROUNDDOWN($H41,0))*(INDEX(avoidedcosttbl3,ROUNDUP($H41,0),DG$2)-(INDEX(avoidedcosttbl3,ROUNDDOWN($H41,0),DG$2)))))*$P41*1000*ADRYr3!AA41)</f>
        <v/>
      </c>
      <c r="DH41" s="760" t="str">
        <f>IF($G41="","",(1+SumPeakEnergyLL)*(INDEX(avoidedcosttbl3,$H41,DH$2)+(($H41-ROUNDDOWN($H41,0))*(INDEX(avoidedcosttbl3,ROUNDUP($H41,0),DH$2)-(INDEX(avoidedcosttbl3,ROUNDDOWN($H41,0),DH$2)))))*$P41*1000*ADRYr3!AB41)</f>
        <v/>
      </c>
      <c r="DI41" s="760" t="str">
        <f>IF($G41="","",(1+SumOffPeakEnergyLL)*(INDEX(avoidedcosttbl3,$H41,DI$2)+(($H41-ROUNDDOWN($H41,0))*(INDEX(avoidedcosttbl3,ROUNDUP($H41,0),DI$2)-(INDEX(avoidedcosttbl3,ROUNDDOWN($H41,0),DI$2)))))*$P41*1000*ADRYr3!AC41)</f>
        <v/>
      </c>
      <c r="DJ41" s="29" t="str">
        <f t="shared" si="81"/>
        <v/>
      </c>
      <c r="DK41" s="161" t="str">
        <f t="shared" si="45"/>
        <v/>
      </c>
      <c r="DL41" s="1375" t="str">
        <f t="shared" si="46"/>
        <v/>
      </c>
      <c r="DM41" s="1375" t="str">
        <f t="shared" si="47"/>
        <v/>
      </c>
      <c r="DN41" s="43" t="str">
        <f t="shared" si="48"/>
        <v/>
      </c>
      <c r="DO41" s="1131" t="str">
        <f>IF($G41="","",ADRYr3!AQ41)</f>
        <v/>
      </c>
      <c r="DP41" s="1133" t="str">
        <f>IF($G41="","",ADRYr3!AR41)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49"/>
        <v/>
      </c>
      <c r="DU41" s="1135" t="str">
        <f>IF($G41="","",ADRYr3!AS41)</f>
        <v/>
      </c>
      <c r="DV41" s="1136" t="str">
        <f>IF($G41="","",ADRYr3!AT41)</f>
        <v/>
      </c>
      <c r="DW41" s="1344" t="str">
        <f>IF($G41="","",INDEX(AvoidedEnergy!$H$4:$H$10,MATCH($DO41,AvoidedEnergy!$A$4:$A$10,0)))</f>
        <v/>
      </c>
    </row>
    <row r="42" spans="1:127">
      <c r="A42" s="160" t="str">
        <f>IF(ADRYr3!$B42=0,"",ADRYr3!A42)</f>
        <v/>
      </c>
      <c r="B42" s="9" t="str">
        <f>IF(ADRYr3!$B42=0,"",ADRYr3!B42)</f>
        <v/>
      </c>
      <c r="C42" s="9" t="str">
        <f>IF(ADRYr3!$B42=0,"",ADRYr3!C42)</f>
        <v/>
      </c>
      <c r="D42" s="9" t="str">
        <f>IF(ADRYr3!$B42=0,"",ADRYr3!D42)</f>
        <v/>
      </c>
      <c r="E42" s="9"/>
      <c r="F42" s="11" t="str">
        <f>IF(ADRYr3!$B42=0,"",ADRYr3!F42)</f>
        <v/>
      </c>
      <c r="G42" s="12" t="str">
        <f>IF(ADRYr3!$G42&lt;&gt;0,ADRYr3!G42,"")</f>
        <v/>
      </c>
      <c r="H42" s="1125" t="str">
        <f>IF($G42="","",ROUND(ADRYr3!H42,0))</f>
        <v/>
      </c>
      <c r="I42" s="47" t="str">
        <f>IF($G42="","",ADRYr3!I42*ADRYr3!P42*G42)</f>
        <v/>
      </c>
      <c r="J42" s="47" t="str">
        <f>IF($G42="","",ADRYr3!J42*G42)</f>
        <v/>
      </c>
      <c r="K42" s="47" t="str">
        <f t="shared" si="50"/>
        <v/>
      </c>
      <c r="L42" s="27" t="str">
        <f>IF($G42="","",ADRYr3!V42*G42/1000)</f>
        <v/>
      </c>
      <c r="M42" s="27" t="str">
        <f>IF($G42="","",L42*ADRYr3!$Q42*ADRYr3!$R42)</f>
        <v/>
      </c>
      <c r="N42" s="27" t="str">
        <f t="shared" si="51"/>
        <v/>
      </c>
      <c r="O42" s="27" t="str">
        <f t="shared" si="52"/>
        <v/>
      </c>
      <c r="P42" s="27" t="str">
        <f>IF($G42="","",M42*ADRYr3!P42)</f>
        <v/>
      </c>
      <c r="Q42" s="27" t="str">
        <f t="shared" si="53"/>
        <v/>
      </c>
      <c r="R42" s="27" t="str">
        <f>IF($G42="","",$Q42*ADRYr3!Z42)</f>
        <v/>
      </c>
      <c r="S42" s="27" t="str">
        <f>IF($G42="","",$Q42*ADRYr3!AA42)</f>
        <v/>
      </c>
      <c r="T42" s="27" t="str">
        <f>IF($G42="","",$Q42*ADRYr3!AB42)</f>
        <v/>
      </c>
      <c r="U42" s="27" t="str">
        <f>IF($G42="","",$Q42*ADRYr3!AC42)</f>
        <v/>
      </c>
      <c r="V42" s="27" t="str">
        <f>IF($G42="","",G42*ADRYr3!$AD42*ADRYr3!$P42*ADRYr3!$Q42)</f>
        <v/>
      </c>
      <c r="W42" s="27" t="str">
        <f>IF($G42="","",$G42*ADRYr3!$AD42*ADRYr3!$AF42*ADRYr3!Q42*ADRYr3!$S42)</f>
        <v/>
      </c>
      <c r="X42" s="27" t="str">
        <f>IF($G42="","",$G42*ADRYr3!$AD42*ADRYr3!$AF42*ADRYr3!P42*ADRYr3!Q42*ADRYr3!$S42)</f>
        <v/>
      </c>
      <c r="Y42" s="27" t="str">
        <f>IF($G42="","",$G42*ADRYr3!$AD42*ADRYr3!$AE42*ADRYr3!Q42*ADRYr3!$T42)</f>
        <v/>
      </c>
      <c r="Z42" s="27" t="str">
        <f>IF($G42="","",$G42*ADRYr3!$AD42*ADRYr3!$AE42*ADRYr3!P42*ADRYr3!Q42*ADRYr3!$T42)</f>
        <v/>
      </c>
      <c r="AA42" s="45" t="str">
        <f>IF($G42="","",$G42*ADRYr3!$Q42*ADRYr3!$U42*(IF(IFERROR(SEARCH("NG", ADRYr3!$AI42),0),ADRYr3!$AJ42,0)+IF(IFERROR(SEARCH("NG", ADRYr3!$AK42),0),ADRYr3!$AL42,0)+IF(IFERROR(SEARCH("NG", ADRYr3!$AM42),0),ADRYr3!$AN42,0)))</f>
        <v/>
      </c>
      <c r="AB42" s="45" t="str">
        <f t="shared" si="54"/>
        <v/>
      </c>
      <c r="AC42" s="45">
        <f>IF($G42="",0,AA42*ADRYr3!$P42)</f>
        <v>0</v>
      </c>
      <c r="AD42" s="45" t="str">
        <f t="shared" si="55"/>
        <v/>
      </c>
      <c r="AE42" s="45" t="str">
        <f>IF($G42="","",$G42*ADRYr3!$Q42*ADRYr3!$U42*(IF(IFERROR(SEARCH("Oil", ADRYr3!$AI42), 0),ADRYr3!$AJ42,0)+IF(IFERROR(SEARCH("Oil", ADRYr3!$AK42), 0),ADRYr3!$AL42,0)+IF(IFERROR(SEARCH("Oil", ADRYr3!$AM42), 0),ADRYr3!$AN42,0)))</f>
        <v/>
      </c>
      <c r="AF42" s="45" t="str">
        <f t="shared" si="56"/>
        <v/>
      </c>
      <c r="AG42" s="45">
        <f>IF($G42="",0,AE42*ADRYr3!$P42)</f>
        <v>0</v>
      </c>
      <c r="AH42" s="45" t="str">
        <f t="shared" si="57"/>
        <v/>
      </c>
      <c r="AI42" s="45" t="str">
        <f>IF($G42="","",$G42*ADRYr3!$Q42*ADRYr3!$U42*(IF(ADRYr3!$AI42=Lookups!$E$114,ADRYr3!$AJ42,IF(ADRYr3!$AK42=Lookups!$E$114,ADRYr3!$AL42,IF(ADRYr3!$AM42=Lookups!$E$114,ADRYr3!$AN42,0)))))</f>
        <v/>
      </c>
      <c r="AJ42" s="45" t="str">
        <f t="shared" si="58"/>
        <v/>
      </c>
      <c r="AK42" s="45">
        <f>IF($G42="",0,AI42*ADRYr3!$P42)</f>
        <v>0</v>
      </c>
      <c r="AL42" s="45" t="str">
        <f t="shared" si="59"/>
        <v/>
      </c>
      <c r="AM42" s="45" t="str">
        <f>IF($G42="","",$G42*ADRYr3!$Q42*ADRYr3!$U42*(IF(ADRYr3!$AI42=Lookups!$E$113,ADRYr3!$AJ42,IF(ADRYr3!$AK42=Lookups!$E$113,ADRYr3!$AL42,IF(ADRYr3!$AM42=Lookups!$E$113,ADRYr3!$AN42,0)))))</f>
        <v/>
      </c>
      <c r="AN42" s="45" t="str">
        <f t="shared" si="60"/>
        <v/>
      </c>
      <c r="AO42" s="45">
        <f>IF($G42="",0,AM42*ADRYr3!$P42)</f>
        <v>0</v>
      </c>
      <c r="AP42" s="45" t="str">
        <f t="shared" si="61"/>
        <v/>
      </c>
      <c r="AQ42" s="45" t="str">
        <f>IF($G42="","",$G42*ADRYr3!$Q42*ADRYr3!$U42*(IF(ADRYr3!$AI42=Lookups!$E$115,ADRYr3!$AJ42,IF(ADRYr3!$AK42=Lookups!$E$115,ADRYr3!$AL42,IF(ADRYr3!$AM42=Lookups!$E$115,ADRYr3!$AN42,0)))))</f>
        <v/>
      </c>
      <c r="AR42" s="45" t="str">
        <f t="shared" si="62"/>
        <v/>
      </c>
      <c r="AS42" s="45" t="str">
        <f>IF($G42="","",AQ42*ADRYr3!$P42)</f>
        <v/>
      </c>
      <c r="AT42" s="45" t="str">
        <f t="shared" si="63"/>
        <v/>
      </c>
      <c r="AU42" s="45" t="str">
        <f>IF($G42="","",$G42*ADRYr3!$Q42*ADRYr3!$U42*(IF(ADRYr3!$AI42=Lookups!$E$116,ADRYr3!$AJ42,IF(ADRYr3!$AK42=Lookups!$E$116,ADRYr3!$AL42,IF(ADRYr3!$AM42=Lookups!$E$116,ADRYr3!$AN42,0)))))</f>
        <v/>
      </c>
      <c r="AV42" s="45" t="str">
        <f t="shared" si="64"/>
        <v/>
      </c>
      <c r="AW42" s="45" t="str">
        <f>IF($G42="","",AU42*ADRYr3!$P42)</f>
        <v/>
      </c>
      <c r="AX42" s="45" t="str">
        <f t="shared" si="65"/>
        <v/>
      </c>
      <c r="AY42" s="45">
        <f t="shared" si="66"/>
        <v>0</v>
      </c>
      <c r="AZ42" s="45">
        <f t="shared" si="67"/>
        <v>0</v>
      </c>
      <c r="BA42" s="101" t="str">
        <f>IF($G42="","",$G42*ADRYr3!$P42*ADRYr3!$Q42*ADRYr3!$U42*ADRYr3!AO42)</f>
        <v/>
      </c>
      <c r="BB42" s="102" t="str">
        <f>IF($G42="","",$G42*ADRYr3!$P42*ADRYr3!$Q42*ADRYr3!$U42*ADRYr3!AP42)</f>
        <v/>
      </c>
      <c r="BC42" s="100" t="str">
        <f t="shared" si="68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31"/>
        <v/>
      </c>
      <c r="BO42" s="31" t="str">
        <f t="shared" si="69"/>
        <v/>
      </c>
      <c r="BP42" s="1129" t="str">
        <f t="shared" si="5"/>
        <v/>
      </c>
      <c r="BQ42" s="28" t="str">
        <f t="shared" si="6"/>
        <v/>
      </c>
      <c r="BR42" s="1129" t="str">
        <f t="shared" si="7"/>
        <v/>
      </c>
      <c r="BS42" s="1129" t="str">
        <f t="shared" si="8"/>
        <v/>
      </c>
      <c r="BT42" s="28" t="str">
        <f t="shared" si="82"/>
        <v/>
      </c>
      <c r="BU42" s="28" t="str">
        <f t="shared" si="82"/>
        <v/>
      </c>
      <c r="BV42" s="28" t="str">
        <f t="shared" si="82"/>
        <v/>
      </c>
      <c r="BW42" s="29" t="str">
        <f t="shared" si="70"/>
        <v/>
      </c>
      <c r="BX42" s="29" t="str">
        <f t="shared" si="71"/>
        <v/>
      </c>
      <c r="BY42" s="28" t="str">
        <f>IF($G42="","",$G42*(IF(ADRYr3!$AI42=BY$4,ADRYr3!$AJ42,IF(ADRYr3!$AK42=BY$4,ADRYr3!$AL42,IF(ADRYr3!$AM42=BY$4,ADRYr3!$AN42,0))))*(INDEX(avoidedcosttbl3,$H42,BY$2)+(($H42-ROUNDDOWN($H42,0))*(INDEX(avoidedcosttbl3,ROUNDUP($H42,0),BY$2)-(INDEX(avoidedcosttbl3,ROUNDDOWN($H42,0),BY$2)))))*ADRYr3!P42*ADRYr3!Q42*ADRYr3!U42)</f>
        <v/>
      </c>
      <c r="BZ42" s="28" t="str">
        <f>IF($G42="","",$G42*(IF(ADRYr3!$AI42=BZ$4,ADRYr3!$AJ42,IF(ADRYr3!$AK42=BZ$4,ADRYr3!$AL42,IF(ADRYr3!$AM42=BZ$4,ADRYr3!$AN42,0))))*(INDEX(avoidedcosttbl3,$H42,BZ$2)+(($H42-ROUNDDOWN($H42,0))*(INDEX(avoidedcosttbl3,ROUNDUP($H42,0),BZ$2)-(INDEX(avoidedcosttbl3,ROUNDDOWN($H42,0),BZ$2)))))*ADRYr3!P42*ADRYr3!Q42*ADRYr3!U42)</f>
        <v/>
      </c>
      <c r="CA42" s="28" t="str">
        <f>IF($G42="","",$G42*(IF(ADRYr3!$AI42=CA$4,ADRYr3!$AJ42,IF(ADRYr3!$AK42=CA$4,ADRYr3!$AL42,IF(ADRYr3!$AM42=CA$4,ADRYr3!$AN42,0))))*(INDEX(avoidedcosttbl3,$H42,CA$2)+(($H42-ROUNDDOWN($H42,0))*(INDEX(avoidedcosttbl3,ROUNDUP($H42,0),CA$2)-(INDEX(avoidedcosttbl3,ROUNDDOWN($H42,0),CA$2)))))*ADRYr3!P42*ADRYr3!Q42*ADRYr3!U42)</f>
        <v/>
      </c>
      <c r="CB42" s="28" t="str">
        <f>IF($G42="","",$G42*(IF(ADRYr3!$AI42=CB$4,ADRYr3!$AJ42,IF(ADRYr3!$AK42=CB$4,ADRYr3!$AL42,IF(ADRYr3!$AM42=CB$4,ADRYr3!$AN42,0))))*(INDEX(avoidedcosttbl3,$H42,CB$2)+(($H42-ROUNDDOWN($H42,0))*(INDEX(avoidedcosttbl3,ROUNDUP($H42,0),CB$2)-(INDEX(avoidedcosttbl3,ROUNDDOWN($H42,0),CB$2)))))*ADRYr3!P42*ADRYr3!Q42*ADRYr3!U42)</f>
        <v/>
      </c>
      <c r="CC42" s="28" t="str">
        <f>IF($G42="","",$G42*(IF(ADRYr3!$AI42=CC$4,ADRYr3!$AJ42,IF(ADRYr3!$AK42=CC$4,ADRYr3!$AL42,IF(ADRYr3!$AM42=CC$4,ADRYr3!$AN42,0))))*(INDEX(avoidedcosttbl3,$H42,CC$2)+(($H42-ROUNDDOWN($H42,0))*(INDEX(avoidedcosttbl3,ROUNDUP($H42,0),CC$2)-(INDEX(avoidedcosttbl3,ROUNDDOWN($H42,0),CC$2)))))*ADRYr3!P42*ADRYr3!Q42*ADRYr3!U42)</f>
        <v/>
      </c>
      <c r="CD42" s="28" t="str">
        <f>IF($G42="","",$G42*(IF(ADRYr3!$AI42=CD$4,ADRYr3!$AJ42,IF(ADRYr3!$AK42=CD$4,ADRYr3!$AL42,IF(ADRYr3!$AM42=CD$4,ADRYr3!$AN42,0))))*(INDEX(avoidedcosttbl3,$H42,CD$2)+(($H42-ROUNDDOWN($H42,0))*(INDEX(avoidedcosttbl3,ROUNDUP($H42,0),CD$2)-(INDEX(avoidedcosttbl3,ROUNDDOWN($H42,0),CD$2)))))*ADRYr3!P42*ADRYr3!Q42*ADRYr3!U42)</f>
        <v/>
      </c>
      <c r="CE42" s="28" t="str">
        <f>IF($G42="","",$G42*(IF(ADRYr3!$AI42=CE$4,ADRYr3!$AJ42,IF(ADRYr3!$AK42=CE$4,ADRYr3!$AL42,IF(ADRYr3!$AM42=CE$4,ADRYr3!$AN42,0))))*(INDEX(avoidedcosttbl3,$H42,CE$2)+(($H42-ROUNDDOWN($H42,0))*(INDEX(avoidedcosttbl3,ROUNDUP($H42,0),CE$2)-(INDEX(avoidedcosttbl3,ROUNDDOWN($H42,0),CE$2)))))*ADRYr3!P42*ADRYr3!Q42*ADRYr3!U42)</f>
        <v/>
      </c>
      <c r="CF42" s="41" t="str">
        <f t="shared" si="72"/>
        <v/>
      </c>
      <c r="CG42" s="30" t="str">
        <f t="shared" si="10"/>
        <v/>
      </c>
      <c r="CH42" s="30" t="str">
        <f>IF($G42="","",$G42*(IF(ADRYr3!$AI42=BY$4,ADRYr3!$AJ42,IF(ADRYr3!$AK42=BY$4,ADRYr3!$AL42,IF(ADRYr3!$AM42=BY$4,ADRYr3!$AN42,0))))*(INDEX(avoidedcosttbl3,$H42,CH$2)+(($H42-ROUNDDOWN($H42,0))*(INDEX(avoidedcosttbl3,ROUNDUP($H42,0),CH$2)-(INDEX(avoidedcosttbl3,ROUNDDOWN($H42,0),CH$2)))))*ADRYr3!P42*ADRYr3!Q42*ADRYr3!U42)</f>
        <v/>
      </c>
      <c r="CI42" s="30" t="str">
        <f>IF($G42="","",$G42*(IF(ADRYr3!$AI42=BZ$4,ADRYr3!$AJ42,IF(ADRYr3!$AK42=BZ$4,ADRYr3!$AL42,IF(ADRYr3!$AM42=BZ$4,ADRYr3!$AN42,0))))*(INDEX(avoidedcosttbl3,$H42,CI$2)+(($H42-ROUNDDOWN($H42,0))*(INDEX(avoidedcosttbl3,ROUNDUP($H42,0),CI$2)-(INDEX(avoidedcosttbl3,ROUNDDOWN($H42,0),CI$2)))))*ADRYr3!P42*ADRYr3!Q42*ADRYr3!U42)</f>
        <v/>
      </c>
      <c r="CJ42" s="30" t="str">
        <f>IF($G42="","",$G42*(IF(ADRYr3!$AI42=CA$4,ADRYr3!$AJ42,IF(ADRYr3!$AK42=CA$4,ADRYr3!$AL42,IF(ADRYr3!$AM42=CA$4,ADRYr3!$AN42,0))))*(INDEX(avoidedcosttbl3,$H42,CJ$2)+(($H42-ROUNDDOWN($H42,0))*(INDEX(avoidedcosttbl3,ROUNDUP($H42,0),CJ$2)-(INDEX(avoidedcosttbl3,ROUNDDOWN($H42,0),CJ$2)))))*ADRYr3!P42*ADRYr3!Q42*ADRYr3!U42)</f>
        <v/>
      </c>
      <c r="CK42" s="30" t="str">
        <f>IF($G42="","",$G42*(IF(ADRYr3!$AI42=CB$4,ADRYr3!$AJ42,IF(ADRYr3!$AK42=CB$4,ADRYr3!$AL42,IF(ADRYr3!$AM42=CB$4,ADRYr3!$AN42,0))))*(INDEX(avoidedcosttbl3,$H42,CK$2)+(($H42-ROUNDDOWN($H42,0))*(INDEX(avoidedcosttbl3,ROUNDUP($H42,0),CK$2)-(INDEX(avoidedcosttbl3,ROUNDDOWN($H42,0),CK$2)))))*ADRYr3!P42*ADRYr3!Q42*ADRYr3!U42)</f>
        <v/>
      </c>
      <c r="CL42" s="30" t="str">
        <f>IF($G42="","",$G42*(IF(ADRYr3!$AI42=CC$4,ADRYr3!$AJ42,IF(ADRYr3!$AK42=CC$4,ADRYr3!$AL42,IF(ADRYr3!$AM42=CC$4,ADRYr3!$AN42,0))))*(INDEX(avoidedcosttbl3,$H42,CL$2)+(($H42-ROUNDDOWN($H42,0))*(INDEX(avoidedcosttbl3,ROUNDUP($H42,0),CL$2)-(INDEX(avoidedcosttbl3,ROUNDDOWN($H42,0),CL$2)))))*ADRYr3!P42*ADRYr3!Q42*ADRYr3!U42)</f>
        <v/>
      </c>
      <c r="CM42" s="30" t="str">
        <f>IF($G42="","",$G42*(IF(ADRYr3!$AI42=CD$4,ADRYr3!$AJ42,IF(ADRYr3!$AK42=CD$4,ADRYr3!$AL42,IF(ADRYr3!$AM42=CD$4,ADRYr3!$AN42,0))))*(INDEX(avoidedcosttbl3,$H42,CM$2)+(($H42-ROUNDDOWN($H42,0))*(INDEX(avoidedcosttbl3,ROUNDUP($H42,0),CM$2)-(INDEX(avoidedcosttbl3,ROUNDDOWN($H42,0),CM$2)))))*ADRYr3!P42*ADRYr3!Q42*ADRYr3!U42)</f>
        <v/>
      </c>
      <c r="CN42" s="30" t="str">
        <f>IF($G42="","",$G42*(IF(ADRYr3!$AI42=CE$4,ADRYr3!$AJ42,IF(ADRYr3!$AK42=CE$4,ADRYr3!$AL42,IF(ADRYr3!$AM42=CE$4,ADRYr3!$AN42,0))))*(INDEX(avoidedcosttbl3,$H42,CN$2)+(($H42-ROUNDDOWN($H42,0))*(INDEX(avoidedcosttbl3,ROUNDUP($H42,0),CN$2)-(INDEX(avoidedcosttbl3,ROUNDDOWN($H42,0),CN$2)))))*ADRYr3!P42*ADRYr3!Q42*ADRYr3!U42)</f>
        <v/>
      </c>
      <c r="CO42" s="220" t="str">
        <f t="shared" si="73"/>
        <v/>
      </c>
      <c r="CP42" s="220" t="str">
        <f t="shared" si="74"/>
        <v/>
      </c>
      <c r="CQ42" s="157" t="str">
        <f>IF($G42="","",$G42*(IF(ADRYr3!$AI42=CQ$4,ADRYr3!$AJ42,IF(ADRYr3!$AK42=CQ$4,ADRYr3!$AL42,IF(ADRYr3!$AM42=CQ$4,ADRYr3!$AN42,0))))*(INDEX(avoidedcosttbl3,$H42,CQ$2)+(($H42-ROUNDDOWN($H42,0))*(INDEX(avoidedcosttbl3,ROUNDUP($H42,0),CQ$2)-(INDEX(avoidedcosttbl3,ROUNDDOWN($H42,0),CQ$2)))))*ADRYr3!$P42*ADRYr3!$Q42*ADRYr3!$U42)</f>
        <v/>
      </c>
      <c r="CR42" s="28" t="str">
        <f>IF($G42="","",G42*(IF(ADRYr3!$AI42=CR$4,ADRYr3!$AJ42,IF(ADRYr3!$AK42=CR$4,ADRYr3!$AL42,IF(ADRYr3!$AM42=CR$4,ADRYr3!$AN42,0))))*(INDEX(avoidedcosttbl3,$H42,CR$2)+(($H42-ROUNDDOWN($H42,0))*(INDEX(avoidedcosttbl3,ROUNDUP($H42,0),CR$2)-(INDEX(avoidedcosttbl3,ROUNDDOWN($H42,0),CR$2)))))*ADRYr3!$P42*ADRYr3!$Q42*ADRYr3!$U42)</f>
        <v/>
      </c>
      <c r="CS42" s="28" t="str">
        <f>IF($G42="","",G42*(IF(ADRYr3!$AI42=CS$4,ADRYr3!$AJ42,IF(ADRYr3!$AK42=CS$4,ADRYr3!$AL42,IF(ADRYr3!$AM42=CS$4,ADRYr3!$AN42,0))))*(INDEX(avoidedcosttbl3,$H42,CS$2)+(($H42-ROUNDDOWN($H42,0))*(INDEX(avoidedcosttbl3,ROUNDUP($H42,0),CS$2)-(INDEX(avoidedcosttbl3,ROUNDDOWN($H42,0),CS$2)))))*ADRYr3!$P42*ADRYr3!$Q42*ADRYr3!$U42)</f>
        <v/>
      </c>
      <c r="CT42" s="28" t="str">
        <f t="shared" si="11"/>
        <v/>
      </c>
      <c r="CU42" s="28" t="str">
        <f>IF($G42="","",G42*(IF(ADRYr3!$AI42=CU$4,ADRYr3!$AJ42,IF(ADRYr3!$AK42=CU$4,ADRYr3!$AL42,IF(ADRYr3!$AM42=CU$4,ADRYr3!$AN42,0))))*(INDEX(avoidedcosttbl3,$H42,CU$2)+(($H42-ROUNDDOWN($H42,0))*(INDEX(avoidedcosttbl3,ROUNDUP($H42,0),CU$2)-(INDEX(avoidedcosttbl3,ROUNDDOWN($H42,0),CU$2)))))*ADRYr3!$P42*ADRYr3!$Q42*ADRYr3!$U42)</f>
        <v/>
      </c>
      <c r="CV42" s="28" t="str">
        <f>IF($G42="","",G42*(IF(ADRYr3!$AI42=CV$4,ADRYr3!$AJ42,IF(ADRYr3!$AK42=CV$4,ADRYr3!$AL42,IF(ADRYr3!$AM42=CV$4,ADRYr3!$AN42,0))))*(INDEX(avoidedcosttbl3,$H42,CV$2)+(($H42-ROUNDDOWN($H42,0))*(INDEX(avoidedcosttbl3,ROUNDUP($H42,0),CV$2)-(INDEX(avoidedcosttbl3,ROUNDDOWN($H42,0),CV$2)))))*ADRYr3!$P42*ADRYr3!$Q42*ADRYr3!$U42)</f>
        <v/>
      </c>
      <c r="CW42" s="28" t="str">
        <f>IF($G42="","",G42*(IF(ADRYr3!$AI42=CW$4,ADRYr3!$AJ42,IF(ADRYr3!$AK42=CW$4,ADRYr3!$AL42,IF(ADRYr3!$AM42=CW$4,ADRYr3!$AN42,0))))*(INDEX(avoidedcosttbl3,$H42,CW$2)+(($H42-ROUNDDOWN($H42,0))*(INDEX(avoidedcosttbl3,ROUNDUP($H42,0),CW$2)-(INDEX(avoidedcosttbl3,ROUNDDOWN($H42,0),CW$2)))))*ADRYr3!$P42*ADRYr3!$Q42*ADRYr3!$U42)</f>
        <v/>
      </c>
      <c r="CX42" s="28" t="str">
        <f>IF($G42="","",G42*(IF(ADRYr3!$AI42=CX$4,ADRYr3!$AJ42,IF(ADRYr3!$AK42=CX$4,ADRYr3!$AL42,IF(ADRYr3!$AM42=CX$4,ADRYr3!$AN42,0))))*(INDEX(avoidedcosttbl3,$H42,CX$2)+(($H42-ROUNDDOWN($H42,0))*(INDEX(avoidedcosttbl3,ROUNDUP($H42,0),CX$2)-(INDEX(avoidedcosttbl3,ROUNDDOWN($H42,0),CX$2)))))*ADRYr3!$P42*ADRYr3!$Q42*ADRYr3!$U42)</f>
        <v/>
      </c>
      <c r="CY42" s="28" t="str">
        <f t="shared" si="75"/>
        <v/>
      </c>
      <c r="CZ42" s="32" t="str">
        <f t="shared" si="76"/>
        <v/>
      </c>
      <c r="DA42" s="84" t="str">
        <f t="shared" si="77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78"/>
        <v/>
      </c>
      <c r="DD42" s="166" t="str">
        <f t="shared" si="79"/>
        <v/>
      </c>
      <c r="DE42" s="82">
        <f t="shared" si="80"/>
        <v>0</v>
      </c>
      <c r="DF42" s="760" t="str">
        <f>IF($G42="","",(1+WntPeakEnergyLL)*(INDEX(avoidedcosttbl3,$H42,DF$2)+(($H42-ROUNDDOWN($H42,0))*(INDEX(avoidedcosttbl3,ROUNDUP($H42,0),DF$2)-(INDEX(avoidedcosttbl3,ROUNDDOWN($H42,0),DF$2)))))*$P42*1000*ADRYr3!Z42)</f>
        <v/>
      </c>
      <c r="DG42" s="760" t="str">
        <f>IF($G42="","",(1+WntOffPeakEnergyLL)*(INDEX(avoidedcosttbl3,$H42,DG$2)+(($H42-ROUNDDOWN($H42,0))*(INDEX(avoidedcosttbl3,ROUNDUP($H42,0),DG$2)-(INDEX(avoidedcosttbl3,ROUNDDOWN($H42,0),DG$2)))))*$P42*1000*ADRYr3!AA42)</f>
        <v/>
      </c>
      <c r="DH42" s="760" t="str">
        <f>IF($G42="","",(1+SumPeakEnergyLL)*(INDEX(avoidedcosttbl3,$H42,DH$2)+(($H42-ROUNDDOWN($H42,0))*(INDEX(avoidedcosttbl3,ROUNDUP($H42,0),DH$2)-(INDEX(avoidedcosttbl3,ROUNDDOWN($H42,0),DH$2)))))*$P42*1000*ADRYr3!AB42)</f>
        <v/>
      </c>
      <c r="DI42" s="760" t="str">
        <f>IF($G42="","",(1+SumOffPeakEnergyLL)*(INDEX(avoidedcosttbl3,$H42,DI$2)+(($H42-ROUNDDOWN($H42,0))*(INDEX(avoidedcosttbl3,ROUNDUP($H42,0),DI$2)-(INDEX(avoidedcosttbl3,ROUNDDOWN($H42,0),DI$2)))))*$P42*1000*ADRYr3!AC42)</f>
        <v/>
      </c>
      <c r="DJ42" s="29" t="str">
        <f t="shared" si="81"/>
        <v/>
      </c>
      <c r="DK42" s="161" t="str">
        <f t="shared" ref="DK42:DK50" si="83">IF($G42="","",DE42+DA42+BX42+DJ42)</f>
        <v/>
      </c>
      <c r="DO42" s="1131" t="str">
        <f>IF($G42="","",ADRYr3!AQ42)</f>
        <v/>
      </c>
      <c r="DP42" s="1133" t="str">
        <f>IF($G42="","",ADRYr3!AR42)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49"/>
        <v/>
      </c>
      <c r="DU42" s="1135" t="str">
        <f>IF($G42="","",ADRYr3!AS42)</f>
        <v/>
      </c>
      <c r="DV42" s="1136" t="str">
        <f>IF($G42="","",ADRYr3!AT42)</f>
        <v/>
      </c>
      <c r="DW42" s="1344" t="str">
        <f>IF($G42="","",INDEX(AvoidedEnergy!$H$4:$H$10,MATCH($DO42,AvoidedEnergy!$A$4:$A$10,0)))</f>
        <v/>
      </c>
    </row>
    <row r="43" spans="1:127">
      <c r="A43" s="160" t="str">
        <f>IF(ADRYr3!$B43=0,"",ADRYr3!A43)</f>
        <v/>
      </c>
      <c r="B43" s="9" t="str">
        <f>IF(ADRYr3!$B43=0,"",ADRYr3!B43)</f>
        <v/>
      </c>
      <c r="C43" s="9" t="str">
        <f>IF(ADRYr3!$B43=0,"",ADRYr3!C43)</f>
        <v/>
      </c>
      <c r="D43" s="9" t="str">
        <f>IF(ADRYr3!$B43=0,"",ADRYr3!D43)</f>
        <v/>
      </c>
      <c r="E43" s="9"/>
      <c r="F43" s="11" t="str">
        <f>IF(ADRYr3!$B43=0,"",ADRYr3!F43)</f>
        <v/>
      </c>
      <c r="G43" s="12" t="str">
        <f>IF(ADRYr3!$G43&lt;&gt;0,ADRYr3!G43,"")</f>
        <v/>
      </c>
      <c r="H43" s="1125" t="str">
        <f>IF($G43="","",ROUND(ADRYr3!H43,0))</f>
        <v/>
      </c>
      <c r="I43" s="47" t="str">
        <f>IF($G43="","",ADRYr3!I43*ADRYr3!P43*G43)</f>
        <v/>
      </c>
      <c r="J43" s="47" t="str">
        <f>IF($G43="","",ADRYr3!J43*G43)</f>
        <v/>
      </c>
      <c r="K43" s="47" t="str">
        <f t="shared" si="50"/>
        <v/>
      </c>
      <c r="L43" s="27" t="str">
        <f>IF($G43="","",ADRYr3!V43*G43/1000)</f>
        <v/>
      </c>
      <c r="M43" s="27" t="str">
        <f>IF($G43="","",L43*ADRYr3!$Q43*ADRYr3!$R43)</f>
        <v/>
      </c>
      <c r="N43" s="27" t="str">
        <f t="shared" si="51"/>
        <v/>
      </c>
      <c r="O43" s="27" t="str">
        <f t="shared" si="52"/>
        <v/>
      </c>
      <c r="P43" s="27" t="str">
        <f>IF($G43="","",M43*ADRYr3!P43)</f>
        <v/>
      </c>
      <c r="Q43" s="27" t="str">
        <f t="shared" si="53"/>
        <v/>
      </c>
      <c r="R43" s="27" t="str">
        <f>IF($G43="","",$Q43*ADRYr3!Z43)</f>
        <v/>
      </c>
      <c r="S43" s="27" t="str">
        <f>IF($G43="","",$Q43*ADRYr3!AA43)</f>
        <v/>
      </c>
      <c r="T43" s="27" t="str">
        <f>IF($G43="","",$Q43*ADRYr3!AB43)</f>
        <v/>
      </c>
      <c r="U43" s="27" t="str">
        <f>IF($G43="","",$Q43*ADRYr3!AC43)</f>
        <v/>
      </c>
      <c r="V43" s="27" t="str">
        <f>IF($G43="","",G43*ADRYr3!$AD43*ADRYr3!$P43*ADRYr3!$Q43)</f>
        <v/>
      </c>
      <c r="W43" s="27" t="str">
        <f>IF($G43="","",$G43*ADRYr3!$AD43*ADRYr3!$AF43*ADRYr3!Q43*ADRYr3!$S43)</f>
        <v/>
      </c>
      <c r="X43" s="27" t="str">
        <f>IF($G43="","",$G43*ADRYr3!$AD43*ADRYr3!$AF43*ADRYr3!P43*ADRYr3!Q43*ADRYr3!$S43)</f>
        <v/>
      </c>
      <c r="Y43" s="27" t="str">
        <f>IF($G43="","",$G43*ADRYr3!$AD43*ADRYr3!$AE43*ADRYr3!Q43*ADRYr3!$T43)</f>
        <v/>
      </c>
      <c r="Z43" s="27" t="str">
        <f>IF($G43="","",$G43*ADRYr3!$AD43*ADRYr3!$AE43*ADRYr3!P43*ADRYr3!Q43*ADRYr3!$T43)</f>
        <v/>
      </c>
      <c r="AA43" s="45" t="str">
        <f>IF($G43="","",$G43*ADRYr3!$Q43*ADRYr3!$U43*(IF(IFERROR(SEARCH("NG", ADRYr3!$AI43),0),ADRYr3!$AJ43,0)+IF(IFERROR(SEARCH("NG", ADRYr3!$AK43),0),ADRYr3!$AL43,0)+IF(IFERROR(SEARCH("NG", ADRYr3!$AM43),0),ADRYr3!$AN43,0)))</f>
        <v/>
      </c>
      <c r="AB43" s="45" t="str">
        <f t="shared" si="54"/>
        <v/>
      </c>
      <c r="AC43" s="45">
        <f>IF($G43="",0,AA43*ADRYr3!$P43)</f>
        <v>0</v>
      </c>
      <c r="AD43" s="45" t="str">
        <f t="shared" si="55"/>
        <v/>
      </c>
      <c r="AE43" s="45" t="str">
        <f>IF($G43="","",$G43*ADRYr3!$Q43*ADRYr3!$U43*(IF(IFERROR(SEARCH("Oil", ADRYr3!$AI43), 0),ADRYr3!$AJ43,0)+IF(IFERROR(SEARCH("Oil", ADRYr3!$AK43), 0),ADRYr3!$AL43,0)+IF(IFERROR(SEARCH("Oil", ADRYr3!$AM43), 0),ADRYr3!$AN43,0)))</f>
        <v/>
      </c>
      <c r="AF43" s="45" t="str">
        <f t="shared" si="56"/>
        <v/>
      </c>
      <c r="AG43" s="45">
        <f>IF($G43="",0,AE43*ADRYr3!$P43)</f>
        <v>0</v>
      </c>
      <c r="AH43" s="45" t="str">
        <f t="shared" si="57"/>
        <v/>
      </c>
      <c r="AI43" s="45" t="str">
        <f>IF($G43="","",$G43*ADRYr3!$Q43*ADRYr3!$U43*(IF(ADRYr3!$AI43=Lookups!$E$114,ADRYr3!$AJ43,IF(ADRYr3!$AK43=Lookups!$E$114,ADRYr3!$AL43,IF(ADRYr3!$AM43=Lookups!$E$114,ADRYr3!$AN43,0)))))</f>
        <v/>
      </c>
      <c r="AJ43" s="45" t="str">
        <f t="shared" si="58"/>
        <v/>
      </c>
      <c r="AK43" s="45">
        <f>IF($G43="",0,AI43*ADRYr3!$P43)</f>
        <v>0</v>
      </c>
      <c r="AL43" s="45" t="str">
        <f t="shared" si="59"/>
        <v/>
      </c>
      <c r="AM43" s="45" t="str">
        <f>IF($G43="","",$G43*ADRYr3!$Q43*ADRYr3!$U43*(IF(ADRYr3!$AI43=Lookups!$E$113,ADRYr3!$AJ43,IF(ADRYr3!$AK43=Lookups!$E$113,ADRYr3!$AL43,IF(ADRYr3!$AM43=Lookups!$E$113,ADRYr3!$AN43,0)))))</f>
        <v/>
      </c>
      <c r="AN43" s="45" t="str">
        <f t="shared" si="60"/>
        <v/>
      </c>
      <c r="AO43" s="45">
        <f>IF($G43="",0,AM43*ADRYr3!$P43)</f>
        <v>0</v>
      </c>
      <c r="AP43" s="45" t="str">
        <f t="shared" si="61"/>
        <v/>
      </c>
      <c r="AQ43" s="45" t="str">
        <f>IF($G43="","",$G43*ADRYr3!$Q43*ADRYr3!$U43*(IF(ADRYr3!$AI43=Lookups!$E$115,ADRYr3!$AJ43,IF(ADRYr3!$AK43=Lookups!$E$115,ADRYr3!$AL43,IF(ADRYr3!$AM43=Lookups!$E$115,ADRYr3!$AN43,0)))))</f>
        <v/>
      </c>
      <c r="AR43" s="45" t="str">
        <f t="shared" si="62"/>
        <v/>
      </c>
      <c r="AS43" s="45" t="str">
        <f>IF($G43="","",AQ43*ADRYr3!$P43)</f>
        <v/>
      </c>
      <c r="AT43" s="45" t="str">
        <f t="shared" si="63"/>
        <v/>
      </c>
      <c r="AU43" s="45" t="str">
        <f>IF($G43="","",$G43*ADRYr3!$Q43*ADRYr3!$U43*(IF(ADRYr3!$AI43=Lookups!$E$116,ADRYr3!$AJ43,IF(ADRYr3!$AK43=Lookups!$E$116,ADRYr3!$AL43,IF(ADRYr3!$AM43=Lookups!$E$116,ADRYr3!$AN43,0)))))</f>
        <v/>
      </c>
      <c r="AV43" s="45" t="str">
        <f t="shared" si="64"/>
        <v/>
      </c>
      <c r="AW43" s="45" t="str">
        <f>IF($G43="","",AU43*ADRYr3!$P43)</f>
        <v/>
      </c>
      <c r="AX43" s="45" t="str">
        <f t="shared" si="65"/>
        <v/>
      </c>
      <c r="AY43" s="45">
        <f t="shared" si="66"/>
        <v>0</v>
      </c>
      <c r="AZ43" s="45">
        <f t="shared" si="67"/>
        <v>0</v>
      </c>
      <c r="BA43" s="101" t="str">
        <f>IF($G43="","",$G43*ADRYr3!$P43*ADRYr3!$Q43*ADRYr3!$U43*ADRYr3!AO43)</f>
        <v/>
      </c>
      <c r="BB43" s="102" t="str">
        <f>IF($G43="","",$G43*ADRYr3!$P43*ADRYr3!$Q43*ADRYr3!$U43*ADRYr3!AP43)</f>
        <v/>
      </c>
      <c r="BC43" s="100" t="str">
        <f t="shared" si="68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31"/>
        <v/>
      </c>
      <c r="BO43" s="31" t="str">
        <f t="shared" si="69"/>
        <v/>
      </c>
      <c r="BP43" s="1129" t="str">
        <f t="shared" si="5"/>
        <v/>
      </c>
      <c r="BQ43" s="28" t="str">
        <f t="shared" si="6"/>
        <v/>
      </c>
      <c r="BR43" s="1129" t="str">
        <f t="shared" si="7"/>
        <v/>
      </c>
      <c r="BS43" s="1129" t="str">
        <f t="shared" si="8"/>
        <v/>
      </c>
      <c r="BT43" s="28" t="str">
        <f t="shared" si="82"/>
        <v/>
      </c>
      <c r="BU43" s="28" t="str">
        <f t="shared" si="82"/>
        <v/>
      </c>
      <c r="BV43" s="28" t="str">
        <f t="shared" si="82"/>
        <v/>
      </c>
      <c r="BW43" s="29" t="str">
        <f t="shared" si="70"/>
        <v/>
      </c>
      <c r="BX43" s="29" t="str">
        <f t="shared" si="71"/>
        <v/>
      </c>
      <c r="BY43" s="28" t="str">
        <f>IF($G43="","",$G43*(IF(ADRYr3!$AI43=BY$4,ADRYr3!$AJ43,IF(ADRYr3!$AK43=BY$4,ADRYr3!$AL43,IF(ADRYr3!$AM43=BY$4,ADRYr3!$AN43,0))))*(INDEX(avoidedcosttbl3,$H43,BY$2)+(($H43-ROUNDDOWN($H43,0))*(INDEX(avoidedcosttbl3,ROUNDUP($H43,0),BY$2)-(INDEX(avoidedcosttbl3,ROUNDDOWN($H43,0),BY$2)))))*ADRYr3!P43*ADRYr3!Q43*ADRYr3!U43)</f>
        <v/>
      </c>
      <c r="BZ43" s="28" t="str">
        <f>IF($G43="","",$G43*(IF(ADRYr3!$AI43=BZ$4,ADRYr3!$AJ43,IF(ADRYr3!$AK43=BZ$4,ADRYr3!$AL43,IF(ADRYr3!$AM43=BZ$4,ADRYr3!$AN43,0))))*(INDEX(avoidedcosttbl3,$H43,BZ$2)+(($H43-ROUNDDOWN($H43,0))*(INDEX(avoidedcosttbl3,ROUNDUP($H43,0),BZ$2)-(INDEX(avoidedcosttbl3,ROUNDDOWN($H43,0),BZ$2)))))*ADRYr3!P43*ADRYr3!Q43*ADRYr3!U43)</f>
        <v/>
      </c>
      <c r="CA43" s="28" t="str">
        <f>IF($G43="","",$G43*(IF(ADRYr3!$AI43=CA$4,ADRYr3!$AJ43,IF(ADRYr3!$AK43=CA$4,ADRYr3!$AL43,IF(ADRYr3!$AM43=CA$4,ADRYr3!$AN43,0))))*(INDEX(avoidedcosttbl3,$H43,CA$2)+(($H43-ROUNDDOWN($H43,0))*(INDEX(avoidedcosttbl3,ROUNDUP($H43,0),CA$2)-(INDEX(avoidedcosttbl3,ROUNDDOWN($H43,0),CA$2)))))*ADRYr3!P43*ADRYr3!Q43*ADRYr3!U43)</f>
        <v/>
      </c>
      <c r="CB43" s="28" t="str">
        <f>IF($G43="","",$G43*(IF(ADRYr3!$AI43=CB$4,ADRYr3!$AJ43,IF(ADRYr3!$AK43=CB$4,ADRYr3!$AL43,IF(ADRYr3!$AM43=CB$4,ADRYr3!$AN43,0))))*(INDEX(avoidedcosttbl3,$H43,CB$2)+(($H43-ROUNDDOWN($H43,0))*(INDEX(avoidedcosttbl3,ROUNDUP($H43,0),CB$2)-(INDEX(avoidedcosttbl3,ROUNDDOWN($H43,0),CB$2)))))*ADRYr3!P43*ADRYr3!Q43*ADRYr3!U43)</f>
        <v/>
      </c>
      <c r="CC43" s="28" t="str">
        <f>IF($G43="","",$G43*(IF(ADRYr3!$AI43=CC$4,ADRYr3!$AJ43,IF(ADRYr3!$AK43=CC$4,ADRYr3!$AL43,IF(ADRYr3!$AM43=CC$4,ADRYr3!$AN43,0))))*(INDEX(avoidedcosttbl3,$H43,CC$2)+(($H43-ROUNDDOWN($H43,0))*(INDEX(avoidedcosttbl3,ROUNDUP($H43,0),CC$2)-(INDEX(avoidedcosttbl3,ROUNDDOWN($H43,0),CC$2)))))*ADRYr3!P43*ADRYr3!Q43*ADRYr3!U43)</f>
        <v/>
      </c>
      <c r="CD43" s="28" t="str">
        <f>IF($G43="","",$G43*(IF(ADRYr3!$AI43=CD$4,ADRYr3!$AJ43,IF(ADRYr3!$AK43=CD$4,ADRYr3!$AL43,IF(ADRYr3!$AM43=CD$4,ADRYr3!$AN43,0))))*(INDEX(avoidedcosttbl3,$H43,CD$2)+(($H43-ROUNDDOWN($H43,0))*(INDEX(avoidedcosttbl3,ROUNDUP($H43,0),CD$2)-(INDEX(avoidedcosttbl3,ROUNDDOWN($H43,0),CD$2)))))*ADRYr3!P43*ADRYr3!Q43*ADRYr3!U43)</f>
        <v/>
      </c>
      <c r="CE43" s="28" t="str">
        <f>IF($G43="","",$G43*(IF(ADRYr3!$AI43=CE$4,ADRYr3!$AJ43,IF(ADRYr3!$AK43=CE$4,ADRYr3!$AL43,IF(ADRYr3!$AM43=CE$4,ADRYr3!$AN43,0))))*(INDEX(avoidedcosttbl3,$H43,CE$2)+(($H43-ROUNDDOWN($H43,0))*(INDEX(avoidedcosttbl3,ROUNDUP($H43,0),CE$2)-(INDEX(avoidedcosttbl3,ROUNDDOWN($H43,0),CE$2)))))*ADRYr3!P43*ADRYr3!Q43*ADRYr3!U43)</f>
        <v/>
      </c>
      <c r="CF43" s="41" t="str">
        <f t="shared" si="72"/>
        <v/>
      </c>
      <c r="CG43" s="30" t="str">
        <f t="shared" si="10"/>
        <v/>
      </c>
      <c r="CH43" s="30" t="str">
        <f>IF($G43="","",$G43*(IF(ADRYr3!$AI43=BY$4,ADRYr3!$AJ43,IF(ADRYr3!$AK43=BY$4,ADRYr3!$AL43,IF(ADRYr3!$AM43=BY$4,ADRYr3!$AN43,0))))*(INDEX(avoidedcosttbl3,$H43,CH$2)+(($H43-ROUNDDOWN($H43,0))*(INDEX(avoidedcosttbl3,ROUNDUP($H43,0),CH$2)-(INDEX(avoidedcosttbl3,ROUNDDOWN($H43,0),CH$2)))))*ADRYr3!P43*ADRYr3!Q43*ADRYr3!U43)</f>
        <v/>
      </c>
      <c r="CI43" s="30" t="str">
        <f>IF($G43="","",$G43*(IF(ADRYr3!$AI43=BZ$4,ADRYr3!$AJ43,IF(ADRYr3!$AK43=BZ$4,ADRYr3!$AL43,IF(ADRYr3!$AM43=BZ$4,ADRYr3!$AN43,0))))*(INDEX(avoidedcosttbl3,$H43,CI$2)+(($H43-ROUNDDOWN($H43,0))*(INDEX(avoidedcosttbl3,ROUNDUP($H43,0),CI$2)-(INDEX(avoidedcosttbl3,ROUNDDOWN($H43,0),CI$2)))))*ADRYr3!P43*ADRYr3!Q43*ADRYr3!U43)</f>
        <v/>
      </c>
      <c r="CJ43" s="30" t="str">
        <f>IF($G43="","",$G43*(IF(ADRYr3!$AI43=CA$4,ADRYr3!$AJ43,IF(ADRYr3!$AK43=CA$4,ADRYr3!$AL43,IF(ADRYr3!$AM43=CA$4,ADRYr3!$AN43,0))))*(INDEX(avoidedcosttbl3,$H43,CJ$2)+(($H43-ROUNDDOWN($H43,0))*(INDEX(avoidedcosttbl3,ROUNDUP($H43,0),CJ$2)-(INDEX(avoidedcosttbl3,ROUNDDOWN($H43,0),CJ$2)))))*ADRYr3!P43*ADRYr3!Q43*ADRYr3!U43)</f>
        <v/>
      </c>
      <c r="CK43" s="30" t="str">
        <f>IF($G43="","",$G43*(IF(ADRYr3!$AI43=CB$4,ADRYr3!$AJ43,IF(ADRYr3!$AK43=CB$4,ADRYr3!$AL43,IF(ADRYr3!$AM43=CB$4,ADRYr3!$AN43,0))))*(INDEX(avoidedcosttbl3,$H43,CK$2)+(($H43-ROUNDDOWN($H43,0))*(INDEX(avoidedcosttbl3,ROUNDUP($H43,0),CK$2)-(INDEX(avoidedcosttbl3,ROUNDDOWN($H43,0),CK$2)))))*ADRYr3!P43*ADRYr3!Q43*ADRYr3!U43)</f>
        <v/>
      </c>
      <c r="CL43" s="30" t="str">
        <f>IF($G43="","",$G43*(IF(ADRYr3!$AI43=CC$4,ADRYr3!$AJ43,IF(ADRYr3!$AK43=CC$4,ADRYr3!$AL43,IF(ADRYr3!$AM43=CC$4,ADRYr3!$AN43,0))))*(INDEX(avoidedcosttbl3,$H43,CL$2)+(($H43-ROUNDDOWN($H43,0))*(INDEX(avoidedcosttbl3,ROUNDUP($H43,0),CL$2)-(INDEX(avoidedcosttbl3,ROUNDDOWN($H43,0),CL$2)))))*ADRYr3!P43*ADRYr3!Q43*ADRYr3!U43)</f>
        <v/>
      </c>
      <c r="CM43" s="30" t="str">
        <f>IF($G43="","",$G43*(IF(ADRYr3!$AI43=CD$4,ADRYr3!$AJ43,IF(ADRYr3!$AK43=CD$4,ADRYr3!$AL43,IF(ADRYr3!$AM43=CD$4,ADRYr3!$AN43,0))))*(INDEX(avoidedcosttbl3,$H43,CM$2)+(($H43-ROUNDDOWN($H43,0))*(INDEX(avoidedcosttbl3,ROUNDUP($H43,0),CM$2)-(INDEX(avoidedcosttbl3,ROUNDDOWN($H43,0),CM$2)))))*ADRYr3!P43*ADRYr3!Q43*ADRYr3!U43)</f>
        <v/>
      </c>
      <c r="CN43" s="30" t="str">
        <f>IF($G43="","",$G43*(IF(ADRYr3!$AI43=CE$4,ADRYr3!$AJ43,IF(ADRYr3!$AK43=CE$4,ADRYr3!$AL43,IF(ADRYr3!$AM43=CE$4,ADRYr3!$AN43,0))))*(INDEX(avoidedcosttbl3,$H43,CN$2)+(($H43-ROUNDDOWN($H43,0))*(INDEX(avoidedcosttbl3,ROUNDUP($H43,0),CN$2)-(INDEX(avoidedcosttbl3,ROUNDDOWN($H43,0),CN$2)))))*ADRYr3!P43*ADRYr3!Q43*ADRYr3!U43)</f>
        <v/>
      </c>
      <c r="CO43" s="220" t="str">
        <f t="shared" si="73"/>
        <v/>
      </c>
      <c r="CP43" s="220" t="str">
        <f t="shared" si="74"/>
        <v/>
      </c>
      <c r="CQ43" s="157" t="str">
        <f>IF($G43="","",$G43*(IF(ADRYr3!$AI43=CQ$4,ADRYr3!$AJ43,IF(ADRYr3!$AK43=CQ$4,ADRYr3!$AL43,IF(ADRYr3!$AM43=CQ$4,ADRYr3!$AN43,0))))*(INDEX(avoidedcosttbl3,$H43,CQ$2)+(($H43-ROUNDDOWN($H43,0))*(INDEX(avoidedcosttbl3,ROUNDUP($H43,0),CQ$2)-(INDEX(avoidedcosttbl3,ROUNDDOWN($H43,0),CQ$2)))))*ADRYr3!$P43*ADRYr3!$Q43*ADRYr3!$U43)</f>
        <v/>
      </c>
      <c r="CR43" s="28" t="str">
        <f>IF($G43="","",G43*(IF(ADRYr3!$AI43=CR$4,ADRYr3!$AJ43,IF(ADRYr3!$AK43=CR$4,ADRYr3!$AL43,IF(ADRYr3!$AM43=CR$4,ADRYr3!$AN43,0))))*(INDEX(avoidedcosttbl3,$H43,CR$2)+(($H43-ROUNDDOWN($H43,0))*(INDEX(avoidedcosttbl3,ROUNDUP($H43,0),CR$2)-(INDEX(avoidedcosttbl3,ROUNDDOWN($H43,0),CR$2)))))*ADRYr3!$P43*ADRYr3!$Q43*ADRYr3!$U43)</f>
        <v/>
      </c>
      <c r="CS43" s="28" t="str">
        <f>IF($G43="","",G43*(IF(ADRYr3!$AI43=CS$4,ADRYr3!$AJ43,IF(ADRYr3!$AK43=CS$4,ADRYr3!$AL43,IF(ADRYr3!$AM43=CS$4,ADRYr3!$AN43,0))))*(INDEX(avoidedcosttbl3,$H43,CS$2)+(($H43-ROUNDDOWN($H43,0))*(INDEX(avoidedcosttbl3,ROUNDUP($H43,0),CS$2)-(INDEX(avoidedcosttbl3,ROUNDDOWN($H43,0),CS$2)))))*ADRYr3!$P43*ADRYr3!$Q43*ADRYr3!$U43)</f>
        <v/>
      </c>
      <c r="CT43" s="28" t="str">
        <f t="shared" si="11"/>
        <v/>
      </c>
      <c r="CU43" s="28" t="str">
        <f>IF($G43="","",G43*(IF(ADRYr3!$AI43=CU$4,ADRYr3!$AJ43,IF(ADRYr3!$AK43=CU$4,ADRYr3!$AL43,IF(ADRYr3!$AM43=CU$4,ADRYr3!$AN43,0))))*(INDEX(avoidedcosttbl3,$H43,CU$2)+(($H43-ROUNDDOWN($H43,0))*(INDEX(avoidedcosttbl3,ROUNDUP($H43,0),CU$2)-(INDEX(avoidedcosttbl3,ROUNDDOWN($H43,0),CU$2)))))*ADRYr3!$P43*ADRYr3!$Q43*ADRYr3!$U43)</f>
        <v/>
      </c>
      <c r="CV43" s="28" t="str">
        <f>IF($G43="","",G43*(IF(ADRYr3!$AI43=CV$4,ADRYr3!$AJ43,IF(ADRYr3!$AK43=CV$4,ADRYr3!$AL43,IF(ADRYr3!$AM43=CV$4,ADRYr3!$AN43,0))))*(INDEX(avoidedcosttbl3,$H43,CV$2)+(($H43-ROUNDDOWN($H43,0))*(INDEX(avoidedcosttbl3,ROUNDUP($H43,0),CV$2)-(INDEX(avoidedcosttbl3,ROUNDDOWN($H43,0),CV$2)))))*ADRYr3!$P43*ADRYr3!$Q43*ADRYr3!$U43)</f>
        <v/>
      </c>
      <c r="CW43" s="28" t="str">
        <f>IF($G43="","",G43*(IF(ADRYr3!$AI43=CW$4,ADRYr3!$AJ43,IF(ADRYr3!$AK43=CW$4,ADRYr3!$AL43,IF(ADRYr3!$AM43=CW$4,ADRYr3!$AN43,0))))*(INDEX(avoidedcosttbl3,$H43,CW$2)+(($H43-ROUNDDOWN($H43,0))*(INDEX(avoidedcosttbl3,ROUNDUP($H43,0),CW$2)-(INDEX(avoidedcosttbl3,ROUNDDOWN($H43,0),CW$2)))))*ADRYr3!$P43*ADRYr3!$Q43*ADRYr3!$U43)</f>
        <v/>
      </c>
      <c r="CX43" s="28" t="str">
        <f>IF($G43="","",G43*(IF(ADRYr3!$AI43=CX$4,ADRYr3!$AJ43,IF(ADRYr3!$AK43=CX$4,ADRYr3!$AL43,IF(ADRYr3!$AM43=CX$4,ADRYr3!$AN43,0))))*(INDEX(avoidedcosttbl3,$H43,CX$2)+(($H43-ROUNDDOWN($H43,0))*(INDEX(avoidedcosttbl3,ROUNDUP($H43,0),CX$2)-(INDEX(avoidedcosttbl3,ROUNDDOWN($H43,0),CX$2)))))*ADRYr3!$P43*ADRYr3!$Q43*ADRYr3!$U43)</f>
        <v/>
      </c>
      <c r="CY43" s="28" t="str">
        <f t="shared" si="75"/>
        <v/>
      </c>
      <c r="CZ43" s="32" t="str">
        <f t="shared" si="76"/>
        <v/>
      </c>
      <c r="DA43" s="84" t="str">
        <f t="shared" si="77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78"/>
        <v/>
      </c>
      <c r="DD43" s="166" t="str">
        <f t="shared" si="79"/>
        <v/>
      </c>
      <c r="DE43" s="82">
        <f t="shared" si="80"/>
        <v>0</v>
      </c>
      <c r="DF43" s="760" t="str">
        <f>IF($G43="","",(1+WntPeakEnergyLL)*(INDEX(avoidedcosttbl3,$H43,DF$2)+(($H43-ROUNDDOWN($H43,0))*(INDEX(avoidedcosttbl3,ROUNDUP($H43,0),DF$2)-(INDEX(avoidedcosttbl3,ROUNDDOWN($H43,0),DF$2)))))*$P43*1000*ADRYr3!Z43)</f>
        <v/>
      </c>
      <c r="DG43" s="760" t="str">
        <f>IF($G43="","",(1+WntOffPeakEnergyLL)*(INDEX(avoidedcosttbl3,$H43,DG$2)+(($H43-ROUNDDOWN($H43,0))*(INDEX(avoidedcosttbl3,ROUNDUP($H43,0),DG$2)-(INDEX(avoidedcosttbl3,ROUNDDOWN($H43,0),DG$2)))))*$P43*1000*ADRYr3!AA43)</f>
        <v/>
      </c>
      <c r="DH43" s="760" t="str">
        <f>IF($G43="","",(1+SumPeakEnergyLL)*(INDEX(avoidedcosttbl3,$H43,DH$2)+(($H43-ROUNDDOWN($H43,0))*(INDEX(avoidedcosttbl3,ROUNDUP($H43,0),DH$2)-(INDEX(avoidedcosttbl3,ROUNDDOWN($H43,0),DH$2)))))*$P43*1000*ADRYr3!AB43)</f>
        <v/>
      </c>
      <c r="DI43" s="760" t="str">
        <f>IF($G43="","",(1+SumOffPeakEnergyLL)*(INDEX(avoidedcosttbl3,$H43,DI$2)+(($H43-ROUNDDOWN($H43,0))*(INDEX(avoidedcosttbl3,ROUNDUP($H43,0),DI$2)-(INDEX(avoidedcosttbl3,ROUNDDOWN($H43,0),DI$2)))))*$P43*1000*ADRYr3!AC43)</f>
        <v/>
      </c>
      <c r="DJ43" s="29" t="str">
        <f t="shared" si="81"/>
        <v/>
      </c>
      <c r="DK43" s="161" t="str">
        <f t="shared" si="83"/>
        <v/>
      </c>
      <c r="DO43" s="1131" t="str">
        <f>IF($G43="","",ADRYr3!AQ43)</f>
        <v/>
      </c>
      <c r="DP43" s="1133" t="str">
        <f>IF($G43="","",ADRYr3!AR43)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49"/>
        <v/>
      </c>
      <c r="DU43" s="1135" t="str">
        <f>IF($G43="","",ADRYr3!AS43)</f>
        <v/>
      </c>
      <c r="DV43" s="1136" t="str">
        <f>IF($G43="","",ADRYr3!AT43)</f>
        <v/>
      </c>
      <c r="DW43" s="1344" t="str">
        <f>IF($G43="","",INDEX(AvoidedEnergy!$H$4:$H$10,MATCH($DO43,AvoidedEnergy!$A$4:$A$10,0)))</f>
        <v/>
      </c>
    </row>
    <row r="44" spans="1:127">
      <c r="A44" s="160" t="str">
        <f>IF(ADRYr3!$B44=0,"",ADRYr3!A44)</f>
        <v/>
      </c>
      <c r="B44" s="9" t="str">
        <f>IF(ADRYr3!$B44=0,"",ADRYr3!B44)</f>
        <v/>
      </c>
      <c r="C44" s="9" t="str">
        <f>IF(ADRYr3!$B44=0,"",ADRYr3!C44)</f>
        <v/>
      </c>
      <c r="D44" s="9" t="str">
        <f>IF(ADRYr3!$B44=0,"",ADRYr3!D44)</f>
        <v/>
      </c>
      <c r="E44" s="9"/>
      <c r="F44" s="11" t="str">
        <f>IF(ADRYr3!$B44=0,"",ADRYr3!F44)</f>
        <v/>
      </c>
      <c r="G44" s="12" t="str">
        <f>IF(ADRYr3!$G44&lt;&gt;0,ADRYr3!G44,"")</f>
        <v/>
      </c>
      <c r="H44" s="1125" t="str">
        <f>IF($G44="","",ROUND(ADRYr3!H44,0))</f>
        <v/>
      </c>
      <c r="I44" s="47" t="str">
        <f>IF($G44="","",ADRYr3!I44*ADRYr3!P44*G44)</f>
        <v/>
      </c>
      <c r="J44" s="47" t="str">
        <f>IF($G44="","",ADRYr3!J44*G44)</f>
        <v/>
      </c>
      <c r="K44" s="47" t="str">
        <f t="shared" si="50"/>
        <v/>
      </c>
      <c r="L44" s="27" t="str">
        <f>IF($G44="","",ADRYr3!V44*G44/1000)</f>
        <v/>
      </c>
      <c r="M44" s="27" t="str">
        <f>IF($G44="","",L44*ADRYr3!$Q44*ADRYr3!$R44)</f>
        <v/>
      </c>
      <c r="N44" s="27" t="str">
        <f t="shared" si="51"/>
        <v/>
      </c>
      <c r="O44" s="27" t="str">
        <f t="shared" si="52"/>
        <v/>
      </c>
      <c r="P44" s="27" t="str">
        <f>IF($G44="","",M44*ADRYr3!P44)</f>
        <v/>
      </c>
      <c r="Q44" s="27" t="str">
        <f t="shared" si="53"/>
        <v/>
      </c>
      <c r="R44" s="27" t="str">
        <f>IF($G44="","",$Q44*ADRYr3!Z44)</f>
        <v/>
      </c>
      <c r="S44" s="27" t="str">
        <f>IF($G44="","",$Q44*ADRYr3!AA44)</f>
        <v/>
      </c>
      <c r="T44" s="27" t="str">
        <f>IF($G44="","",$Q44*ADRYr3!AB44)</f>
        <v/>
      </c>
      <c r="U44" s="27" t="str">
        <f>IF($G44="","",$Q44*ADRYr3!AC44)</f>
        <v/>
      </c>
      <c r="V44" s="27" t="str">
        <f>IF($G44="","",G44*ADRYr3!$AD44*ADRYr3!$P44*ADRYr3!$Q44)</f>
        <v/>
      </c>
      <c r="W44" s="27" t="str">
        <f>IF($G44="","",$G44*ADRYr3!$AD44*ADRYr3!$AF44*ADRYr3!Q44*ADRYr3!$S44)</f>
        <v/>
      </c>
      <c r="X44" s="27" t="str">
        <f>IF($G44="","",$G44*ADRYr3!$AD44*ADRYr3!$AF44*ADRYr3!P44*ADRYr3!Q44*ADRYr3!$S44)</f>
        <v/>
      </c>
      <c r="Y44" s="27" t="str">
        <f>IF($G44="","",$G44*ADRYr3!$AD44*ADRYr3!$AE44*ADRYr3!Q44*ADRYr3!$T44)</f>
        <v/>
      </c>
      <c r="Z44" s="27" t="str">
        <f>IF($G44="","",$G44*ADRYr3!$AD44*ADRYr3!$AE44*ADRYr3!P44*ADRYr3!Q44*ADRYr3!$T44)</f>
        <v/>
      </c>
      <c r="AA44" s="45" t="str">
        <f>IF($G44="","",$G44*ADRYr3!$Q44*ADRYr3!$U44*(IF(IFERROR(SEARCH("NG", ADRYr3!$AI44),0),ADRYr3!$AJ44,0)+IF(IFERROR(SEARCH("NG", ADRYr3!$AK44),0),ADRYr3!$AL44,0)+IF(IFERROR(SEARCH("NG", ADRYr3!$AM44),0),ADRYr3!$AN44,0)))</f>
        <v/>
      </c>
      <c r="AB44" s="45" t="str">
        <f t="shared" si="54"/>
        <v/>
      </c>
      <c r="AC44" s="45">
        <f>IF($G44="",0,AA44*ADRYr3!$P44)</f>
        <v>0</v>
      </c>
      <c r="AD44" s="45" t="str">
        <f t="shared" si="55"/>
        <v/>
      </c>
      <c r="AE44" s="45" t="str">
        <f>IF($G44="","",$G44*ADRYr3!$Q44*ADRYr3!$U44*(IF(IFERROR(SEARCH("Oil", ADRYr3!$AI44), 0),ADRYr3!$AJ44,0)+IF(IFERROR(SEARCH("Oil", ADRYr3!$AK44), 0),ADRYr3!$AL44,0)+IF(IFERROR(SEARCH("Oil", ADRYr3!$AM44), 0),ADRYr3!$AN44,0)))</f>
        <v/>
      </c>
      <c r="AF44" s="45" t="str">
        <f t="shared" si="56"/>
        <v/>
      </c>
      <c r="AG44" s="45">
        <f>IF($G44="",0,AE44*ADRYr3!$P44)</f>
        <v>0</v>
      </c>
      <c r="AH44" s="45" t="str">
        <f t="shared" si="57"/>
        <v/>
      </c>
      <c r="AI44" s="45" t="str">
        <f>IF($G44="","",$G44*ADRYr3!$Q44*ADRYr3!$U44*(IF(ADRYr3!$AI44=Lookups!$E$114,ADRYr3!$AJ44,IF(ADRYr3!$AK44=Lookups!$E$114,ADRYr3!$AL44,IF(ADRYr3!$AM44=Lookups!$E$114,ADRYr3!$AN44,0)))))</f>
        <v/>
      </c>
      <c r="AJ44" s="45" t="str">
        <f t="shared" si="58"/>
        <v/>
      </c>
      <c r="AK44" s="45">
        <f>IF($G44="",0,AI44*ADRYr3!$P44)</f>
        <v>0</v>
      </c>
      <c r="AL44" s="45" t="str">
        <f t="shared" si="59"/>
        <v/>
      </c>
      <c r="AM44" s="45" t="str">
        <f>IF($G44="","",$G44*ADRYr3!$Q44*ADRYr3!$U44*(IF(ADRYr3!$AI44=Lookups!$E$113,ADRYr3!$AJ44,IF(ADRYr3!$AK44=Lookups!$E$113,ADRYr3!$AL44,IF(ADRYr3!$AM44=Lookups!$E$113,ADRYr3!$AN44,0)))))</f>
        <v/>
      </c>
      <c r="AN44" s="45" t="str">
        <f t="shared" si="60"/>
        <v/>
      </c>
      <c r="AO44" s="45">
        <f>IF($G44="",0,AM44*ADRYr3!$P44)</f>
        <v>0</v>
      </c>
      <c r="AP44" s="45" t="str">
        <f t="shared" si="61"/>
        <v/>
      </c>
      <c r="AQ44" s="45" t="str">
        <f>IF($G44="","",$G44*ADRYr3!$Q44*ADRYr3!$U44*(IF(ADRYr3!$AI44=Lookups!$E$115,ADRYr3!$AJ44,IF(ADRYr3!$AK44=Lookups!$E$115,ADRYr3!$AL44,IF(ADRYr3!$AM44=Lookups!$E$115,ADRYr3!$AN44,0)))))</f>
        <v/>
      </c>
      <c r="AR44" s="45" t="str">
        <f t="shared" si="62"/>
        <v/>
      </c>
      <c r="AS44" s="45" t="str">
        <f>IF($G44="","",AQ44*ADRYr3!$P44)</f>
        <v/>
      </c>
      <c r="AT44" s="45" t="str">
        <f t="shared" si="63"/>
        <v/>
      </c>
      <c r="AU44" s="45" t="str">
        <f>IF($G44="","",$G44*ADRYr3!$Q44*ADRYr3!$U44*(IF(ADRYr3!$AI44=Lookups!$E$116,ADRYr3!$AJ44,IF(ADRYr3!$AK44=Lookups!$E$116,ADRYr3!$AL44,IF(ADRYr3!$AM44=Lookups!$E$116,ADRYr3!$AN44,0)))))</f>
        <v/>
      </c>
      <c r="AV44" s="45" t="str">
        <f t="shared" si="64"/>
        <v/>
      </c>
      <c r="AW44" s="45" t="str">
        <f>IF($G44="","",AU44*ADRYr3!$P44)</f>
        <v/>
      </c>
      <c r="AX44" s="45" t="str">
        <f t="shared" si="65"/>
        <v/>
      </c>
      <c r="AY44" s="45">
        <f t="shared" si="66"/>
        <v>0</v>
      </c>
      <c r="AZ44" s="45">
        <f t="shared" si="67"/>
        <v>0</v>
      </c>
      <c r="BA44" s="101" t="str">
        <f>IF($G44="","",$G44*ADRYr3!$P44*ADRYr3!$Q44*ADRYr3!$U44*ADRYr3!AO44)</f>
        <v/>
      </c>
      <c r="BB44" s="102" t="str">
        <f>IF($G44="","",$G44*ADRYr3!$P44*ADRYr3!$Q44*ADRYr3!$U44*ADRYr3!AP44)</f>
        <v/>
      </c>
      <c r="BC44" s="100" t="str">
        <f t="shared" si="68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31"/>
        <v/>
      </c>
      <c r="BO44" s="31" t="str">
        <f t="shared" si="69"/>
        <v/>
      </c>
      <c r="BP44" s="1129" t="str">
        <f t="shared" si="5"/>
        <v/>
      </c>
      <c r="BQ44" s="28" t="str">
        <f t="shared" si="6"/>
        <v/>
      </c>
      <c r="BR44" s="1129" t="str">
        <f t="shared" si="7"/>
        <v/>
      </c>
      <c r="BS44" s="1129" t="str">
        <f t="shared" si="8"/>
        <v/>
      </c>
      <c r="BT44" s="28" t="str">
        <f t="shared" si="82"/>
        <v/>
      </c>
      <c r="BU44" s="28" t="str">
        <f t="shared" si="82"/>
        <v/>
      </c>
      <c r="BV44" s="28" t="str">
        <f t="shared" si="82"/>
        <v/>
      </c>
      <c r="BW44" s="29" t="str">
        <f t="shared" si="70"/>
        <v/>
      </c>
      <c r="BX44" s="29" t="str">
        <f t="shared" si="71"/>
        <v/>
      </c>
      <c r="BY44" s="28" t="str">
        <f>IF($G44="","",$G44*(IF(ADRYr3!$AI44=BY$4,ADRYr3!$AJ44,IF(ADRYr3!$AK44=BY$4,ADRYr3!$AL44,IF(ADRYr3!$AM44=BY$4,ADRYr3!$AN44,0))))*(INDEX(avoidedcosttbl3,$H44,BY$2)+(($H44-ROUNDDOWN($H44,0))*(INDEX(avoidedcosttbl3,ROUNDUP($H44,0),BY$2)-(INDEX(avoidedcosttbl3,ROUNDDOWN($H44,0),BY$2)))))*ADRYr3!P44*ADRYr3!Q44*ADRYr3!U44)</f>
        <v/>
      </c>
      <c r="BZ44" s="28" t="str">
        <f>IF($G44="","",$G44*(IF(ADRYr3!$AI44=BZ$4,ADRYr3!$AJ44,IF(ADRYr3!$AK44=BZ$4,ADRYr3!$AL44,IF(ADRYr3!$AM44=BZ$4,ADRYr3!$AN44,0))))*(INDEX(avoidedcosttbl3,$H44,BZ$2)+(($H44-ROUNDDOWN($H44,0))*(INDEX(avoidedcosttbl3,ROUNDUP($H44,0),BZ$2)-(INDEX(avoidedcosttbl3,ROUNDDOWN($H44,0),BZ$2)))))*ADRYr3!P44*ADRYr3!Q44*ADRYr3!U44)</f>
        <v/>
      </c>
      <c r="CA44" s="28" t="str">
        <f>IF($G44="","",$G44*(IF(ADRYr3!$AI44=CA$4,ADRYr3!$AJ44,IF(ADRYr3!$AK44=CA$4,ADRYr3!$AL44,IF(ADRYr3!$AM44=CA$4,ADRYr3!$AN44,0))))*(INDEX(avoidedcosttbl3,$H44,CA$2)+(($H44-ROUNDDOWN($H44,0))*(INDEX(avoidedcosttbl3,ROUNDUP($H44,0),CA$2)-(INDEX(avoidedcosttbl3,ROUNDDOWN($H44,0),CA$2)))))*ADRYr3!P44*ADRYr3!Q44*ADRYr3!U44)</f>
        <v/>
      </c>
      <c r="CB44" s="28" t="str">
        <f>IF($G44="","",$G44*(IF(ADRYr3!$AI44=CB$4,ADRYr3!$AJ44,IF(ADRYr3!$AK44=CB$4,ADRYr3!$AL44,IF(ADRYr3!$AM44=CB$4,ADRYr3!$AN44,0))))*(INDEX(avoidedcosttbl3,$H44,CB$2)+(($H44-ROUNDDOWN($H44,0))*(INDEX(avoidedcosttbl3,ROUNDUP($H44,0),CB$2)-(INDEX(avoidedcosttbl3,ROUNDDOWN($H44,0),CB$2)))))*ADRYr3!P44*ADRYr3!Q44*ADRYr3!U44)</f>
        <v/>
      </c>
      <c r="CC44" s="28" t="str">
        <f>IF($G44="","",$G44*(IF(ADRYr3!$AI44=CC$4,ADRYr3!$AJ44,IF(ADRYr3!$AK44=CC$4,ADRYr3!$AL44,IF(ADRYr3!$AM44=CC$4,ADRYr3!$AN44,0))))*(INDEX(avoidedcosttbl3,$H44,CC$2)+(($H44-ROUNDDOWN($H44,0))*(INDEX(avoidedcosttbl3,ROUNDUP($H44,0),CC$2)-(INDEX(avoidedcosttbl3,ROUNDDOWN($H44,0),CC$2)))))*ADRYr3!P44*ADRYr3!Q44*ADRYr3!U44)</f>
        <v/>
      </c>
      <c r="CD44" s="28" t="str">
        <f>IF($G44="","",$G44*(IF(ADRYr3!$AI44=CD$4,ADRYr3!$AJ44,IF(ADRYr3!$AK44=CD$4,ADRYr3!$AL44,IF(ADRYr3!$AM44=CD$4,ADRYr3!$AN44,0))))*(INDEX(avoidedcosttbl3,$H44,CD$2)+(($H44-ROUNDDOWN($H44,0))*(INDEX(avoidedcosttbl3,ROUNDUP($H44,0),CD$2)-(INDEX(avoidedcosttbl3,ROUNDDOWN($H44,0),CD$2)))))*ADRYr3!P44*ADRYr3!Q44*ADRYr3!U44)</f>
        <v/>
      </c>
      <c r="CE44" s="28" t="str">
        <f>IF($G44="","",$G44*(IF(ADRYr3!$AI44=CE$4,ADRYr3!$AJ44,IF(ADRYr3!$AK44=CE$4,ADRYr3!$AL44,IF(ADRYr3!$AM44=CE$4,ADRYr3!$AN44,0))))*(INDEX(avoidedcosttbl3,$H44,CE$2)+(($H44-ROUNDDOWN($H44,0))*(INDEX(avoidedcosttbl3,ROUNDUP($H44,0),CE$2)-(INDEX(avoidedcosttbl3,ROUNDDOWN($H44,0),CE$2)))))*ADRYr3!P44*ADRYr3!Q44*ADRYr3!U44)</f>
        <v/>
      </c>
      <c r="CF44" s="41" t="str">
        <f t="shared" si="72"/>
        <v/>
      </c>
      <c r="CG44" s="30" t="str">
        <f t="shared" si="10"/>
        <v/>
      </c>
      <c r="CH44" s="30" t="str">
        <f>IF($G44="","",$G44*(IF(ADRYr3!$AI44=BY$4,ADRYr3!$AJ44,IF(ADRYr3!$AK44=BY$4,ADRYr3!$AL44,IF(ADRYr3!$AM44=BY$4,ADRYr3!$AN44,0))))*(INDEX(avoidedcosttbl3,$H44,CH$2)+(($H44-ROUNDDOWN($H44,0))*(INDEX(avoidedcosttbl3,ROUNDUP($H44,0),CH$2)-(INDEX(avoidedcosttbl3,ROUNDDOWN($H44,0),CH$2)))))*ADRYr3!P44*ADRYr3!Q44*ADRYr3!U44)</f>
        <v/>
      </c>
      <c r="CI44" s="30" t="str">
        <f>IF($G44="","",$G44*(IF(ADRYr3!$AI44=BZ$4,ADRYr3!$AJ44,IF(ADRYr3!$AK44=BZ$4,ADRYr3!$AL44,IF(ADRYr3!$AM44=BZ$4,ADRYr3!$AN44,0))))*(INDEX(avoidedcosttbl3,$H44,CI$2)+(($H44-ROUNDDOWN($H44,0))*(INDEX(avoidedcosttbl3,ROUNDUP($H44,0),CI$2)-(INDEX(avoidedcosttbl3,ROUNDDOWN($H44,0),CI$2)))))*ADRYr3!P44*ADRYr3!Q44*ADRYr3!U44)</f>
        <v/>
      </c>
      <c r="CJ44" s="30" t="str">
        <f>IF($G44="","",$G44*(IF(ADRYr3!$AI44=CA$4,ADRYr3!$AJ44,IF(ADRYr3!$AK44=CA$4,ADRYr3!$AL44,IF(ADRYr3!$AM44=CA$4,ADRYr3!$AN44,0))))*(INDEX(avoidedcosttbl3,$H44,CJ$2)+(($H44-ROUNDDOWN($H44,0))*(INDEX(avoidedcosttbl3,ROUNDUP($H44,0),CJ$2)-(INDEX(avoidedcosttbl3,ROUNDDOWN($H44,0),CJ$2)))))*ADRYr3!P44*ADRYr3!Q44*ADRYr3!U44)</f>
        <v/>
      </c>
      <c r="CK44" s="30" t="str">
        <f>IF($G44="","",$G44*(IF(ADRYr3!$AI44=CB$4,ADRYr3!$AJ44,IF(ADRYr3!$AK44=CB$4,ADRYr3!$AL44,IF(ADRYr3!$AM44=CB$4,ADRYr3!$AN44,0))))*(INDEX(avoidedcosttbl3,$H44,CK$2)+(($H44-ROUNDDOWN($H44,0))*(INDEX(avoidedcosttbl3,ROUNDUP($H44,0),CK$2)-(INDEX(avoidedcosttbl3,ROUNDDOWN($H44,0),CK$2)))))*ADRYr3!P44*ADRYr3!Q44*ADRYr3!U44)</f>
        <v/>
      </c>
      <c r="CL44" s="30" t="str">
        <f>IF($G44="","",$G44*(IF(ADRYr3!$AI44=CC$4,ADRYr3!$AJ44,IF(ADRYr3!$AK44=CC$4,ADRYr3!$AL44,IF(ADRYr3!$AM44=CC$4,ADRYr3!$AN44,0))))*(INDEX(avoidedcosttbl3,$H44,CL$2)+(($H44-ROUNDDOWN($H44,0))*(INDEX(avoidedcosttbl3,ROUNDUP($H44,0),CL$2)-(INDEX(avoidedcosttbl3,ROUNDDOWN($H44,0),CL$2)))))*ADRYr3!P44*ADRYr3!Q44*ADRYr3!U44)</f>
        <v/>
      </c>
      <c r="CM44" s="30" t="str">
        <f>IF($G44="","",$G44*(IF(ADRYr3!$AI44=CD$4,ADRYr3!$AJ44,IF(ADRYr3!$AK44=CD$4,ADRYr3!$AL44,IF(ADRYr3!$AM44=CD$4,ADRYr3!$AN44,0))))*(INDEX(avoidedcosttbl3,$H44,CM$2)+(($H44-ROUNDDOWN($H44,0))*(INDEX(avoidedcosttbl3,ROUNDUP($H44,0),CM$2)-(INDEX(avoidedcosttbl3,ROUNDDOWN($H44,0),CM$2)))))*ADRYr3!P44*ADRYr3!Q44*ADRYr3!U44)</f>
        <v/>
      </c>
      <c r="CN44" s="30" t="str">
        <f>IF($G44="","",$G44*(IF(ADRYr3!$AI44=CE$4,ADRYr3!$AJ44,IF(ADRYr3!$AK44=CE$4,ADRYr3!$AL44,IF(ADRYr3!$AM44=CE$4,ADRYr3!$AN44,0))))*(INDEX(avoidedcosttbl3,$H44,CN$2)+(($H44-ROUNDDOWN($H44,0))*(INDEX(avoidedcosttbl3,ROUNDUP($H44,0),CN$2)-(INDEX(avoidedcosttbl3,ROUNDDOWN($H44,0),CN$2)))))*ADRYr3!P44*ADRYr3!Q44*ADRYr3!U44)</f>
        <v/>
      </c>
      <c r="CO44" s="220" t="str">
        <f t="shared" si="73"/>
        <v/>
      </c>
      <c r="CP44" s="220" t="str">
        <f t="shared" si="74"/>
        <v/>
      </c>
      <c r="CQ44" s="157" t="str">
        <f>IF($G44="","",$G44*(IF(ADRYr3!$AI44=CQ$4,ADRYr3!$AJ44,IF(ADRYr3!$AK44=CQ$4,ADRYr3!$AL44,IF(ADRYr3!$AM44=CQ$4,ADRYr3!$AN44,0))))*(INDEX(avoidedcosttbl3,$H44,CQ$2)+(($H44-ROUNDDOWN($H44,0))*(INDEX(avoidedcosttbl3,ROUNDUP($H44,0),CQ$2)-(INDEX(avoidedcosttbl3,ROUNDDOWN($H44,0),CQ$2)))))*ADRYr3!$P44*ADRYr3!$Q44*ADRYr3!$U44)</f>
        <v/>
      </c>
      <c r="CR44" s="28" t="str">
        <f>IF($G44="","",G44*(IF(ADRYr3!$AI44=CR$4,ADRYr3!$AJ44,IF(ADRYr3!$AK44=CR$4,ADRYr3!$AL44,IF(ADRYr3!$AM44=CR$4,ADRYr3!$AN44,0))))*(INDEX(avoidedcosttbl3,$H44,CR$2)+(($H44-ROUNDDOWN($H44,0))*(INDEX(avoidedcosttbl3,ROUNDUP($H44,0),CR$2)-(INDEX(avoidedcosttbl3,ROUNDDOWN($H44,0),CR$2)))))*ADRYr3!$P44*ADRYr3!$Q44*ADRYr3!$U44)</f>
        <v/>
      </c>
      <c r="CS44" s="28" t="str">
        <f>IF($G44="","",G44*(IF(ADRYr3!$AI44=CS$4,ADRYr3!$AJ44,IF(ADRYr3!$AK44=CS$4,ADRYr3!$AL44,IF(ADRYr3!$AM44=CS$4,ADRYr3!$AN44,0))))*(INDEX(avoidedcosttbl3,$H44,CS$2)+(($H44-ROUNDDOWN($H44,0))*(INDEX(avoidedcosttbl3,ROUNDUP($H44,0),CS$2)-(INDEX(avoidedcosttbl3,ROUNDDOWN($H44,0),CS$2)))))*ADRYr3!$P44*ADRYr3!$Q44*ADRYr3!$U44)</f>
        <v/>
      </c>
      <c r="CT44" s="28" t="str">
        <f t="shared" si="11"/>
        <v/>
      </c>
      <c r="CU44" s="28" t="str">
        <f>IF($G44="","",G44*(IF(ADRYr3!$AI44=CU$4,ADRYr3!$AJ44,IF(ADRYr3!$AK44=CU$4,ADRYr3!$AL44,IF(ADRYr3!$AM44=CU$4,ADRYr3!$AN44,0))))*(INDEX(avoidedcosttbl3,$H44,CU$2)+(($H44-ROUNDDOWN($H44,0))*(INDEX(avoidedcosttbl3,ROUNDUP($H44,0),CU$2)-(INDEX(avoidedcosttbl3,ROUNDDOWN($H44,0),CU$2)))))*ADRYr3!$P44*ADRYr3!$Q44*ADRYr3!$U44)</f>
        <v/>
      </c>
      <c r="CV44" s="28" t="str">
        <f>IF($G44="","",G44*(IF(ADRYr3!$AI44=CV$4,ADRYr3!$AJ44,IF(ADRYr3!$AK44=CV$4,ADRYr3!$AL44,IF(ADRYr3!$AM44=CV$4,ADRYr3!$AN44,0))))*(INDEX(avoidedcosttbl3,$H44,CV$2)+(($H44-ROUNDDOWN($H44,0))*(INDEX(avoidedcosttbl3,ROUNDUP($H44,0),CV$2)-(INDEX(avoidedcosttbl3,ROUNDDOWN($H44,0),CV$2)))))*ADRYr3!$P44*ADRYr3!$Q44*ADRYr3!$U44)</f>
        <v/>
      </c>
      <c r="CW44" s="28" t="str">
        <f>IF($G44="","",G44*(IF(ADRYr3!$AI44=CW$4,ADRYr3!$AJ44,IF(ADRYr3!$AK44=CW$4,ADRYr3!$AL44,IF(ADRYr3!$AM44=CW$4,ADRYr3!$AN44,0))))*(INDEX(avoidedcosttbl3,$H44,CW$2)+(($H44-ROUNDDOWN($H44,0))*(INDEX(avoidedcosttbl3,ROUNDUP($H44,0),CW$2)-(INDEX(avoidedcosttbl3,ROUNDDOWN($H44,0),CW$2)))))*ADRYr3!$P44*ADRYr3!$Q44*ADRYr3!$U44)</f>
        <v/>
      </c>
      <c r="CX44" s="28" t="str">
        <f>IF($G44="","",G44*(IF(ADRYr3!$AI44=CX$4,ADRYr3!$AJ44,IF(ADRYr3!$AK44=CX$4,ADRYr3!$AL44,IF(ADRYr3!$AM44=CX$4,ADRYr3!$AN44,0))))*(INDEX(avoidedcosttbl3,$H44,CX$2)+(($H44-ROUNDDOWN($H44,0))*(INDEX(avoidedcosttbl3,ROUNDUP($H44,0),CX$2)-(INDEX(avoidedcosttbl3,ROUNDDOWN($H44,0),CX$2)))))*ADRYr3!$P44*ADRYr3!$Q44*ADRYr3!$U44)</f>
        <v/>
      </c>
      <c r="CY44" s="28" t="str">
        <f t="shared" si="75"/>
        <v/>
      </c>
      <c r="CZ44" s="32" t="str">
        <f t="shared" si="76"/>
        <v/>
      </c>
      <c r="DA44" s="84" t="str">
        <f t="shared" si="77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78"/>
        <v/>
      </c>
      <c r="DD44" s="166" t="str">
        <f t="shared" si="79"/>
        <v/>
      </c>
      <c r="DE44" s="82">
        <f t="shared" si="80"/>
        <v>0</v>
      </c>
      <c r="DF44" s="760" t="str">
        <f>IF($G44="","",(1+WntPeakEnergyLL)*(INDEX(avoidedcosttbl3,$H44,DF$2)+(($H44-ROUNDDOWN($H44,0))*(INDEX(avoidedcosttbl3,ROUNDUP($H44,0),DF$2)-(INDEX(avoidedcosttbl3,ROUNDDOWN($H44,0),DF$2)))))*$P44*1000*ADRYr3!Z44)</f>
        <v/>
      </c>
      <c r="DG44" s="760" t="str">
        <f>IF($G44="","",(1+WntOffPeakEnergyLL)*(INDEX(avoidedcosttbl3,$H44,DG$2)+(($H44-ROUNDDOWN($H44,0))*(INDEX(avoidedcosttbl3,ROUNDUP($H44,0),DG$2)-(INDEX(avoidedcosttbl3,ROUNDDOWN($H44,0),DG$2)))))*$P44*1000*ADRYr3!AA44)</f>
        <v/>
      </c>
      <c r="DH44" s="760" t="str">
        <f>IF($G44="","",(1+SumPeakEnergyLL)*(INDEX(avoidedcosttbl3,$H44,DH$2)+(($H44-ROUNDDOWN($H44,0))*(INDEX(avoidedcosttbl3,ROUNDUP($H44,0),DH$2)-(INDEX(avoidedcosttbl3,ROUNDDOWN($H44,0),DH$2)))))*$P44*1000*ADRYr3!AB44)</f>
        <v/>
      </c>
      <c r="DI44" s="760" t="str">
        <f>IF($G44="","",(1+SumOffPeakEnergyLL)*(INDEX(avoidedcosttbl3,$H44,DI$2)+(($H44-ROUNDDOWN($H44,0))*(INDEX(avoidedcosttbl3,ROUNDUP($H44,0),DI$2)-(INDEX(avoidedcosttbl3,ROUNDDOWN($H44,0),DI$2)))))*$P44*1000*ADRYr3!AC44)</f>
        <v/>
      </c>
      <c r="DJ44" s="29" t="str">
        <f t="shared" si="81"/>
        <v/>
      </c>
      <c r="DK44" s="161" t="str">
        <f t="shared" si="83"/>
        <v/>
      </c>
      <c r="DO44" s="1131" t="str">
        <f>IF($G44="","",ADRYr3!AQ44)</f>
        <v/>
      </c>
      <c r="DP44" s="1133" t="str">
        <f>IF($G44="","",ADRYr3!AR44)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49"/>
        <v/>
      </c>
      <c r="DU44" s="1135" t="str">
        <f>IF($G44="","",ADRYr3!AS44)</f>
        <v/>
      </c>
      <c r="DV44" s="1136" t="str">
        <f>IF($G44="","",ADRYr3!AT44)</f>
        <v/>
      </c>
      <c r="DW44" s="1344" t="str">
        <f>IF($G44="","",INDEX(AvoidedEnergy!$H$4:$H$10,MATCH($DO44,AvoidedEnergy!$A$4:$A$10,0)))</f>
        <v/>
      </c>
    </row>
    <row r="45" spans="1:127">
      <c r="A45" s="160" t="str">
        <f>IF(ADRYr3!$B45=0,"",ADRYr3!A45)</f>
        <v/>
      </c>
      <c r="B45" s="9" t="str">
        <f>IF(ADRYr3!$B45=0,"",ADRYr3!B45)</f>
        <v/>
      </c>
      <c r="C45" s="9" t="str">
        <f>IF(ADRYr3!$B45=0,"",ADRYr3!C45)</f>
        <v/>
      </c>
      <c r="D45" s="9" t="str">
        <f>IF(ADRYr3!$B45=0,"",ADRYr3!D45)</f>
        <v/>
      </c>
      <c r="E45" s="9"/>
      <c r="F45" s="11" t="str">
        <f>IF(ADRYr3!$B45=0,"",ADRYr3!F45)</f>
        <v/>
      </c>
      <c r="G45" s="12" t="str">
        <f>IF(ADRYr3!$G45&lt;&gt;0,ADRYr3!G45,"")</f>
        <v/>
      </c>
      <c r="H45" s="1125" t="str">
        <f>IF($G45="","",ROUND(ADRYr3!H45,0))</f>
        <v/>
      </c>
      <c r="I45" s="47" t="str">
        <f>IF($G45="","",ADRYr3!I45*ADRYr3!P45*G45)</f>
        <v/>
      </c>
      <c r="J45" s="47" t="str">
        <f>IF($G45="","",ADRYr3!J45*G45)</f>
        <v/>
      </c>
      <c r="K45" s="47" t="str">
        <f t="shared" si="50"/>
        <v/>
      </c>
      <c r="L45" s="27" t="str">
        <f>IF($G45="","",ADRYr3!V45*G45/1000)</f>
        <v/>
      </c>
      <c r="M45" s="27" t="str">
        <f>IF($G45="","",L45*ADRYr3!$Q45*ADRYr3!$R45)</f>
        <v/>
      </c>
      <c r="N45" s="27" t="str">
        <f t="shared" si="51"/>
        <v/>
      </c>
      <c r="O45" s="27" t="str">
        <f t="shared" si="52"/>
        <v/>
      </c>
      <c r="P45" s="27" t="str">
        <f>IF($G45="","",M45*ADRYr3!P45)</f>
        <v/>
      </c>
      <c r="Q45" s="27" t="str">
        <f t="shared" si="53"/>
        <v/>
      </c>
      <c r="R45" s="27" t="str">
        <f>IF($G45="","",$Q45*ADRYr3!Z45)</f>
        <v/>
      </c>
      <c r="S45" s="27" t="str">
        <f>IF($G45="","",$Q45*ADRYr3!AA45)</f>
        <v/>
      </c>
      <c r="T45" s="27" t="str">
        <f>IF($G45="","",$Q45*ADRYr3!AB45)</f>
        <v/>
      </c>
      <c r="U45" s="27" t="str">
        <f>IF($G45="","",$Q45*ADRYr3!AC45)</f>
        <v/>
      </c>
      <c r="V45" s="27" t="str">
        <f>IF($G45="","",G45*ADRYr3!$AD45*ADRYr3!$P45*ADRYr3!$Q45)</f>
        <v/>
      </c>
      <c r="W45" s="27" t="str">
        <f>IF($G45="","",$G45*ADRYr3!$AD45*ADRYr3!$AF45*ADRYr3!Q45*ADRYr3!$S45)</f>
        <v/>
      </c>
      <c r="X45" s="27" t="str">
        <f>IF($G45="","",$G45*ADRYr3!$AD45*ADRYr3!$AF45*ADRYr3!P45*ADRYr3!Q45*ADRYr3!$S45)</f>
        <v/>
      </c>
      <c r="Y45" s="27" t="str">
        <f>IF($G45="","",$G45*ADRYr3!$AD45*ADRYr3!$AE45*ADRYr3!Q45*ADRYr3!$T45)</f>
        <v/>
      </c>
      <c r="Z45" s="27" t="str">
        <f>IF($G45="","",$G45*ADRYr3!$AD45*ADRYr3!$AE45*ADRYr3!P45*ADRYr3!Q45*ADRYr3!$T45)</f>
        <v/>
      </c>
      <c r="AA45" s="45" t="str">
        <f>IF($G45="","",$G45*ADRYr3!$Q45*ADRYr3!$U45*(IF(IFERROR(SEARCH("NG", ADRYr3!$AI45),0),ADRYr3!$AJ45,0)+IF(IFERROR(SEARCH("NG", ADRYr3!$AK45),0),ADRYr3!$AL45,0)+IF(IFERROR(SEARCH("NG", ADRYr3!$AM45),0),ADRYr3!$AN45,0)))</f>
        <v/>
      </c>
      <c r="AB45" s="45" t="str">
        <f t="shared" si="54"/>
        <v/>
      </c>
      <c r="AC45" s="45">
        <f>IF($G45="",0,AA45*ADRYr3!$P45)</f>
        <v>0</v>
      </c>
      <c r="AD45" s="45" t="str">
        <f t="shared" si="55"/>
        <v/>
      </c>
      <c r="AE45" s="45" t="str">
        <f>IF($G45="","",$G45*ADRYr3!$Q45*ADRYr3!$U45*(IF(IFERROR(SEARCH("Oil", ADRYr3!$AI45), 0),ADRYr3!$AJ45,0)+IF(IFERROR(SEARCH("Oil", ADRYr3!$AK45), 0),ADRYr3!$AL45,0)+IF(IFERROR(SEARCH("Oil", ADRYr3!$AM45), 0),ADRYr3!$AN45,0)))</f>
        <v/>
      </c>
      <c r="AF45" s="45" t="str">
        <f t="shared" si="56"/>
        <v/>
      </c>
      <c r="AG45" s="45">
        <f>IF($G45="",0,AE45*ADRYr3!$P45)</f>
        <v>0</v>
      </c>
      <c r="AH45" s="45" t="str">
        <f t="shared" si="57"/>
        <v/>
      </c>
      <c r="AI45" s="45" t="str">
        <f>IF($G45="","",$G45*ADRYr3!$Q45*ADRYr3!$U45*(IF(ADRYr3!$AI45=Lookups!$E$114,ADRYr3!$AJ45,IF(ADRYr3!$AK45=Lookups!$E$114,ADRYr3!$AL45,IF(ADRYr3!$AM45=Lookups!$E$114,ADRYr3!$AN45,0)))))</f>
        <v/>
      </c>
      <c r="AJ45" s="45" t="str">
        <f t="shared" si="58"/>
        <v/>
      </c>
      <c r="AK45" s="45">
        <f>IF($G45="",0,AI45*ADRYr3!$P45)</f>
        <v>0</v>
      </c>
      <c r="AL45" s="45" t="str">
        <f t="shared" si="59"/>
        <v/>
      </c>
      <c r="AM45" s="45" t="str">
        <f>IF($G45="","",$G45*ADRYr3!$Q45*ADRYr3!$U45*(IF(ADRYr3!$AI45=Lookups!$E$113,ADRYr3!$AJ45,IF(ADRYr3!$AK45=Lookups!$E$113,ADRYr3!$AL45,IF(ADRYr3!$AM45=Lookups!$E$113,ADRYr3!$AN45,0)))))</f>
        <v/>
      </c>
      <c r="AN45" s="45" t="str">
        <f t="shared" si="60"/>
        <v/>
      </c>
      <c r="AO45" s="45">
        <f>IF($G45="",0,AM45*ADRYr3!$P45)</f>
        <v>0</v>
      </c>
      <c r="AP45" s="45" t="str">
        <f t="shared" si="61"/>
        <v/>
      </c>
      <c r="AQ45" s="45" t="str">
        <f>IF($G45="","",$G45*ADRYr3!$Q45*ADRYr3!$U45*(IF(ADRYr3!$AI45=Lookups!$E$115,ADRYr3!$AJ45,IF(ADRYr3!$AK45=Lookups!$E$115,ADRYr3!$AL45,IF(ADRYr3!$AM45=Lookups!$E$115,ADRYr3!$AN45,0)))))</f>
        <v/>
      </c>
      <c r="AR45" s="45" t="str">
        <f t="shared" si="62"/>
        <v/>
      </c>
      <c r="AS45" s="45" t="str">
        <f>IF($G45="","",AQ45*ADRYr3!$P45)</f>
        <v/>
      </c>
      <c r="AT45" s="45" t="str">
        <f t="shared" si="63"/>
        <v/>
      </c>
      <c r="AU45" s="45" t="str">
        <f>IF($G45="","",$G45*ADRYr3!$Q45*ADRYr3!$U45*(IF(ADRYr3!$AI45=Lookups!$E$116,ADRYr3!$AJ45,IF(ADRYr3!$AK45=Lookups!$E$116,ADRYr3!$AL45,IF(ADRYr3!$AM45=Lookups!$E$116,ADRYr3!$AN45,0)))))</f>
        <v/>
      </c>
      <c r="AV45" s="45" t="str">
        <f t="shared" si="64"/>
        <v/>
      </c>
      <c r="AW45" s="45" t="str">
        <f>IF($G45="","",AU45*ADRYr3!$P45)</f>
        <v/>
      </c>
      <c r="AX45" s="45" t="str">
        <f t="shared" si="65"/>
        <v/>
      </c>
      <c r="AY45" s="45">
        <f t="shared" si="66"/>
        <v>0</v>
      </c>
      <c r="AZ45" s="45">
        <f t="shared" si="67"/>
        <v>0</v>
      </c>
      <c r="BA45" s="101" t="str">
        <f>IF($G45="","",$G45*ADRYr3!$P45*ADRYr3!$Q45*ADRYr3!$U45*ADRYr3!AO45)</f>
        <v/>
      </c>
      <c r="BB45" s="102" t="str">
        <f>IF($G45="","",$G45*ADRYr3!$P45*ADRYr3!$Q45*ADRYr3!$U45*ADRYr3!AP45)</f>
        <v/>
      </c>
      <c r="BC45" s="100" t="str">
        <f t="shared" si="68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31"/>
        <v/>
      </c>
      <c r="BO45" s="31" t="str">
        <f t="shared" si="69"/>
        <v/>
      </c>
      <c r="BP45" s="1129" t="str">
        <f t="shared" si="5"/>
        <v/>
      </c>
      <c r="BQ45" s="28" t="str">
        <f t="shared" si="6"/>
        <v/>
      </c>
      <c r="BR45" s="1129" t="str">
        <f t="shared" si="7"/>
        <v/>
      </c>
      <c r="BS45" s="1129" t="str">
        <f t="shared" si="8"/>
        <v/>
      </c>
      <c r="BT45" s="28" t="str">
        <f t="shared" si="82"/>
        <v/>
      </c>
      <c r="BU45" s="28" t="str">
        <f t="shared" si="82"/>
        <v/>
      </c>
      <c r="BV45" s="28" t="str">
        <f t="shared" si="82"/>
        <v/>
      </c>
      <c r="BW45" s="29" t="str">
        <f t="shared" si="70"/>
        <v/>
      </c>
      <c r="BX45" s="29" t="str">
        <f t="shared" si="71"/>
        <v/>
      </c>
      <c r="BY45" s="28" t="str">
        <f>IF($G45="","",$G45*(IF(ADRYr3!$AI45=BY$4,ADRYr3!$AJ45,IF(ADRYr3!$AK45=BY$4,ADRYr3!$AL45,IF(ADRYr3!$AM45=BY$4,ADRYr3!$AN45,0))))*(INDEX(avoidedcosttbl3,$H45,BY$2)+(($H45-ROUNDDOWN($H45,0))*(INDEX(avoidedcosttbl3,ROUNDUP($H45,0),BY$2)-(INDEX(avoidedcosttbl3,ROUNDDOWN($H45,0),BY$2)))))*ADRYr3!P45*ADRYr3!Q45*ADRYr3!U45)</f>
        <v/>
      </c>
      <c r="BZ45" s="28" t="str">
        <f>IF($G45="","",$G45*(IF(ADRYr3!$AI45=BZ$4,ADRYr3!$AJ45,IF(ADRYr3!$AK45=BZ$4,ADRYr3!$AL45,IF(ADRYr3!$AM45=BZ$4,ADRYr3!$AN45,0))))*(INDEX(avoidedcosttbl3,$H45,BZ$2)+(($H45-ROUNDDOWN($H45,0))*(INDEX(avoidedcosttbl3,ROUNDUP($H45,0),BZ$2)-(INDEX(avoidedcosttbl3,ROUNDDOWN($H45,0),BZ$2)))))*ADRYr3!P45*ADRYr3!Q45*ADRYr3!U45)</f>
        <v/>
      </c>
      <c r="CA45" s="28" t="str">
        <f>IF($G45="","",$G45*(IF(ADRYr3!$AI45=CA$4,ADRYr3!$AJ45,IF(ADRYr3!$AK45=CA$4,ADRYr3!$AL45,IF(ADRYr3!$AM45=CA$4,ADRYr3!$AN45,0))))*(INDEX(avoidedcosttbl3,$H45,CA$2)+(($H45-ROUNDDOWN($H45,0))*(INDEX(avoidedcosttbl3,ROUNDUP($H45,0),CA$2)-(INDEX(avoidedcosttbl3,ROUNDDOWN($H45,0),CA$2)))))*ADRYr3!P45*ADRYr3!Q45*ADRYr3!U45)</f>
        <v/>
      </c>
      <c r="CB45" s="28" t="str">
        <f>IF($G45="","",$G45*(IF(ADRYr3!$AI45=CB$4,ADRYr3!$AJ45,IF(ADRYr3!$AK45=CB$4,ADRYr3!$AL45,IF(ADRYr3!$AM45=CB$4,ADRYr3!$AN45,0))))*(INDEX(avoidedcosttbl3,$H45,CB$2)+(($H45-ROUNDDOWN($H45,0))*(INDEX(avoidedcosttbl3,ROUNDUP($H45,0),CB$2)-(INDEX(avoidedcosttbl3,ROUNDDOWN($H45,0),CB$2)))))*ADRYr3!P45*ADRYr3!Q45*ADRYr3!U45)</f>
        <v/>
      </c>
      <c r="CC45" s="28" t="str">
        <f>IF($G45="","",$G45*(IF(ADRYr3!$AI45=CC$4,ADRYr3!$AJ45,IF(ADRYr3!$AK45=CC$4,ADRYr3!$AL45,IF(ADRYr3!$AM45=CC$4,ADRYr3!$AN45,0))))*(INDEX(avoidedcosttbl3,$H45,CC$2)+(($H45-ROUNDDOWN($H45,0))*(INDEX(avoidedcosttbl3,ROUNDUP($H45,0),CC$2)-(INDEX(avoidedcosttbl3,ROUNDDOWN($H45,0),CC$2)))))*ADRYr3!P45*ADRYr3!Q45*ADRYr3!U45)</f>
        <v/>
      </c>
      <c r="CD45" s="28" t="str">
        <f>IF($G45="","",$G45*(IF(ADRYr3!$AI45=CD$4,ADRYr3!$AJ45,IF(ADRYr3!$AK45=CD$4,ADRYr3!$AL45,IF(ADRYr3!$AM45=CD$4,ADRYr3!$AN45,0))))*(INDEX(avoidedcosttbl3,$H45,CD$2)+(($H45-ROUNDDOWN($H45,0))*(INDEX(avoidedcosttbl3,ROUNDUP($H45,0),CD$2)-(INDEX(avoidedcosttbl3,ROUNDDOWN($H45,0),CD$2)))))*ADRYr3!P45*ADRYr3!Q45*ADRYr3!U45)</f>
        <v/>
      </c>
      <c r="CE45" s="28" t="str">
        <f>IF($G45="","",$G45*(IF(ADRYr3!$AI45=CE$4,ADRYr3!$AJ45,IF(ADRYr3!$AK45=CE$4,ADRYr3!$AL45,IF(ADRYr3!$AM45=CE$4,ADRYr3!$AN45,0))))*(INDEX(avoidedcosttbl3,$H45,CE$2)+(($H45-ROUNDDOWN($H45,0))*(INDEX(avoidedcosttbl3,ROUNDUP($H45,0),CE$2)-(INDEX(avoidedcosttbl3,ROUNDDOWN($H45,0),CE$2)))))*ADRYr3!P45*ADRYr3!Q45*ADRYr3!U45)</f>
        <v/>
      </c>
      <c r="CF45" s="41" t="str">
        <f t="shared" si="72"/>
        <v/>
      </c>
      <c r="CG45" s="30" t="str">
        <f t="shared" si="10"/>
        <v/>
      </c>
      <c r="CH45" s="30" t="str">
        <f>IF($G45="","",$G45*(IF(ADRYr3!$AI45=BY$4,ADRYr3!$AJ45,IF(ADRYr3!$AK45=BY$4,ADRYr3!$AL45,IF(ADRYr3!$AM45=BY$4,ADRYr3!$AN45,0))))*(INDEX(avoidedcosttbl3,$H45,CH$2)+(($H45-ROUNDDOWN($H45,0))*(INDEX(avoidedcosttbl3,ROUNDUP($H45,0),CH$2)-(INDEX(avoidedcosttbl3,ROUNDDOWN($H45,0),CH$2)))))*ADRYr3!P45*ADRYr3!Q45*ADRYr3!U45)</f>
        <v/>
      </c>
      <c r="CI45" s="30" t="str">
        <f>IF($G45="","",$G45*(IF(ADRYr3!$AI45=BZ$4,ADRYr3!$AJ45,IF(ADRYr3!$AK45=BZ$4,ADRYr3!$AL45,IF(ADRYr3!$AM45=BZ$4,ADRYr3!$AN45,0))))*(INDEX(avoidedcosttbl3,$H45,CI$2)+(($H45-ROUNDDOWN($H45,0))*(INDEX(avoidedcosttbl3,ROUNDUP($H45,0),CI$2)-(INDEX(avoidedcosttbl3,ROUNDDOWN($H45,0),CI$2)))))*ADRYr3!P45*ADRYr3!Q45*ADRYr3!U45)</f>
        <v/>
      </c>
      <c r="CJ45" s="30" t="str">
        <f>IF($G45="","",$G45*(IF(ADRYr3!$AI45=CA$4,ADRYr3!$AJ45,IF(ADRYr3!$AK45=CA$4,ADRYr3!$AL45,IF(ADRYr3!$AM45=CA$4,ADRYr3!$AN45,0))))*(INDEX(avoidedcosttbl3,$H45,CJ$2)+(($H45-ROUNDDOWN($H45,0))*(INDEX(avoidedcosttbl3,ROUNDUP($H45,0),CJ$2)-(INDEX(avoidedcosttbl3,ROUNDDOWN($H45,0),CJ$2)))))*ADRYr3!P45*ADRYr3!Q45*ADRYr3!U45)</f>
        <v/>
      </c>
      <c r="CK45" s="30" t="str">
        <f>IF($G45="","",$G45*(IF(ADRYr3!$AI45=CB$4,ADRYr3!$AJ45,IF(ADRYr3!$AK45=CB$4,ADRYr3!$AL45,IF(ADRYr3!$AM45=CB$4,ADRYr3!$AN45,0))))*(INDEX(avoidedcosttbl3,$H45,CK$2)+(($H45-ROUNDDOWN($H45,0))*(INDEX(avoidedcosttbl3,ROUNDUP($H45,0),CK$2)-(INDEX(avoidedcosttbl3,ROUNDDOWN($H45,0),CK$2)))))*ADRYr3!P45*ADRYr3!Q45*ADRYr3!U45)</f>
        <v/>
      </c>
      <c r="CL45" s="30" t="str">
        <f>IF($G45="","",$G45*(IF(ADRYr3!$AI45=CC$4,ADRYr3!$AJ45,IF(ADRYr3!$AK45=CC$4,ADRYr3!$AL45,IF(ADRYr3!$AM45=CC$4,ADRYr3!$AN45,0))))*(INDEX(avoidedcosttbl3,$H45,CL$2)+(($H45-ROUNDDOWN($H45,0))*(INDEX(avoidedcosttbl3,ROUNDUP($H45,0),CL$2)-(INDEX(avoidedcosttbl3,ROUNDDOWN($H45,0),CL$2)))))*ADRYr3!P45*ADRYr3!Q45*ADRYr3!U45)</f>
        <v/>
      </c>
      <c r="CM45" s="30" t="str">
        <f>IF($G45="","",$G45*(IF(ADRYr3!$AI45=CD$4,ADRYr3!$AJ45,IF(ADRYr3!$AK45=CD$4,ADRYr3!$AL45,IF(ADRYr3!$AM45=CD$4,ADRYr3!$AN45,0))))*(INDEX(avoidedcosttbl3,$H45,CM$2)+(($H45-ROUNDDOWN($H45,0))*(INDEX(avoidedcosttbl3,ROUNDUP($H45,0),CM$2)-(INDEX(avoidedcosttbl3,ROUNDDOWN($H45,0),CM$2)))))*ADRYr3!P45*ADRYr3!Q45*ADRYr3!U45)</f>
        <v/>
      </c>
      <c r="CN45" s="30" t="str">
        <f>IF($G45="","",$G45*(IF(ADRYr3!$AI45=CE$4,ADRYr3!$AJ45,IF(ADRYr3!$AK45=CE$4,ADRYr3!$AL45,IF(ADRYr3!$AM45=CE$4,ADRYr3!$AN45,0))))*(INDEX(avoidedcosttbl3,$H45,CN$2)+(($H45-ROUNDDOWN($H45,0))*(INDEX(avoidedcosttbl3,ROUNDUP($H45,0),CN$2)-(INDEX(avoidedcosttbl3,ROUNDDOWN($H45,0),CN$2)))))*ADRYr3!P45*ADRYr3!Q45*ADRYr3!U45)</f>
        <v/>
      </c>
      <c r="CO45" s="220" t="str">
        <f t="shared" si="73"/>
        <v/>
      </c>
      <c r="CP45" s="220" t="str">
        <f t="shared" si="74"/>
        <v/>
      </c>
      <c r="CQ45" s="157" t="str">
        <f>IF($G45="","",$G45*(IF(ADRYr3!$AI45=CQ$4,ADRYr3!$AJ45,IF(ADRYr3!$AK45=CQ$4,ADRYr3!$AL45,IF(ADRYr3!$AM45=CQ$4,ADRYr3!$AN45,0))))*(INDEX(avoidedcosttbl3,$H45,CQ$2)+(($H45-ROUNDDOWN($H45,0))*(INDEX(avoidedcosttbl3,ROUNDUP($H45,0),CQ$2)-(INDEX(avoidedcosttbl3,ROUNDDOWN($H45,0),CQ$2)))))*ADRYr3!$P45*ADRYr3!$Q45*ADRYr3!$U45)</f>
        <v/>
      </c>
      <c r="CR45" s="28" t="str">
        <f>IF($G45="","",G45*(IF(ADRYr3!$AI45=CR$4,ADRYr3!$AJ45,IF(ADRYr3!$AK45=CR$4,ADRYr3!$AL45,IF(ADRYr3!$AM45=CR$4,ADRYr3!$AN45,0))))*(INDEX(avoidedcosttbl3,$H45,CR$2)+(($H45-ROUNDDOWN($H45,0))*(INDEX(avoidedcosttbl3,ROUNDUP($H45,0),CR$2)-(INDEX(avoidedcosttbl3,ROUNDDOWN($H45,0),CR$2)))))*ADRYr3!$P45*ADRYr3!$Q45*ADRYr3!$U45)</f>
        <v/>
      </c>
      <c r="CS45" s="28" t="str">
        <f>IF($G45="","",G45*(IF(ADRYr3!$AI45=CS$4,ADRYr3!$AJ45,IF(ADRYr3!$AK45=CS$4,ADRYr3!$AL45,IF(ADRYr3!$AM45=CS$4,ADRYr3!$AN45,0))))*(INDEX(avoidedcosttbl3,$H45,CS$2)+(($H45-ROUNDDOWN($H45,0))*(INDEX(avoidedcosttbl3,ROUNDUP($H45,0),CS$2)-(INDEX(avoidedcosttbl3,ROUNDDOWN($H45,0),CS$2)))))*ADRYr3!$P45*ADRYr3!$Q45*ADRYr3!$U45)</f>
        <v/>
      </c>
      <c r="CT45" s="28" t="str">
        <f t="shared" si="11"/>
        <v/>
      </c>
      <c r="CU45" s="28" t="str">
        <f>IF($G45="","",G45*(IF(ADRYr3!$AI45=CU$4,ADRYr3!$AJ45,IF(ADRYr3!$AK45=CU$4,ADRYr3!$AL45,IF(ADRYr3!$AM45=CU$4,ADRYr3!$AN45,0))))*(INDEX(avoidedcosttbl3,$H45,CU$2)+(($H45-ROUNDDOWN($H45,0))*(INDEX(avoidedcosttbl3,ROUNDUP($H45,0),CU$2)-(INDEX(avoidedcosttbl3,ROUNDDOWN($H45,0),CU$2)))))*ADRYr3!$P45*ADRYr3!$Q45*ADRYr3!$U45)</f>
        <v/>
      </c>
      <c r="CV45" s="28" t="str">
        <f>IF($G45="","",G45*(IF(ADRYr3!$AI45=CV$4,ADRYr3!$AJ45,IF(ADRYr3!$AK45=CV$4,ADRYr3!$AL45,IF(ADRYr3!$AM45=CV$4,ADRYr3!$AN45,0))))*(INDEX(avoidedcosttbl3,$H45,CV$2)+(($H45-ROUNDDOWN($H45,0))*(INDEX(avoidedcosttbl3,ROUNDUP($H45,0),CV$2)-(INDEX(avoidedcosttbl3,ROUNDDOWN($H45,0),CV$2)))))*ADRYr3!$P45*ADRYr3!$Q45*ADRYr3!$U45)</f>
        <v/>
      </c>
      <c r="CW45" s="28" t="str">
        <f>IF($G45="","",G45*(IF(ADRYr3!$AI45=CW$4,ADRYr3!$AJ45,IF(ADRYr3!$AK45=CW$4,ADRYr3!$AL45,IF(ADRYr3!$AM45=CW$4,ADRYr3!$AN45,0))))*(INDEX(avoidedcosttbl3,$H45,CW$2)+(($H45-ROUNDDOWN($H45,0))*(INDEX(avoidedcosttbl3,ROUNDUP($H45,0),CW$2)-(INDEX(avoidedcosttbl3,ROUNDDOWN($H45,0),CW$2)))))*ADRYr3!$P45*ADRYr3!$Q45*ADRYr3!$U45)</f>
        <v/>
      </c>
      <c r="CX45" s="28" t="str">
        <f>IF($G45="","",G45*(IF(ADRYr3!$AI45=CX$4,ADRYr3!$AJ45,IF(ADRYr3!$AK45=CX$4,ADRYr3!$AL45,IF(ADRYr3!$AM45=CX$4,ADRYr3!$AN45,0))))*(INDEX(avoidedcosttbl3,$H45,CX$2)+(($H45-ROUNDDOWN($H45,0))*(INDEX(avoidedcosttbl3,ROUNDUP($H45,0),CX$2)-(INDEX(avoidedcosttbl3,ROUNDDOWN($H45,0),CX$2)))))*ADRYr3!$P45*ADRYr3!$Q45*ADRYr3!$U45)</f>
        <v/>
      </c>
      <c r="CY45" s="28" t="str">
        <f t="shared" si="75"/>
        <v/>
      </c>
      <c r="CZ45" s="32" t="str">
        <f t="shared" si="76"/>
        <v/>
      </c>
      <c r="DA45" s="84" t="str">
        <f t="shared" si="77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78"/>
        <v/>
      </c>
      <c r="DD45" s="166" t="str">
        <f t="shared" si="79"/>
        <v/>
      </c>
      <c r="DE45" s="82">
        <f t="shared" si="80"/>
        <v>0</v>
      </c>
      <c r="DF45" s="760" t="str">
        <f>IF($G45="","",(1+WntPeakEnergyLL)*(INDEX(avoidedcosttbl3,$H45,DF$2)+(($H45-ROUNDDOWN($H45,0))*(INDEX(avoidedcosttbl3,ROUNDUP($H45,0),DF$2)-(INDEX(avoidedcosttbl3,ROUNDDOWN($H45,0),DF$2)))))*$P45*1000*ADRYr3!Z45)</f>
        <v/>
      </c>
      <c r="DG45" s="760" t="str">
        <f>IF($G45="","",(1+WntOffPeakEnergyLL)*(INDEX(avoidedcosttbl3,$H45,DG$2)+(($H45-ROUNDDOWN($H45,0))*(INDEX(avoidedcosttbl3,ROUNDUP($H45,0),DG$2)-(INDEX(avoidedcosttbl3,ROUNDDOWN($H45,0),DG$2)))))*$P45*1000*ADRYr3!AA45)</f>
        <v/>
      </c>
      <c r="DH45" s="760" t="str">
        <f>IF($G45="","",(1+SumPeakEnergyLL)*(INDEX(avoidedcosttbl3,$H45,DH$2)+(($H45-ROUNDDOWN($H45,0))*(INDEX(avoidedcosttbl3,ROUNDUP($H45,0),DH$2)-(INDEX(avoidedcosttbl3,ROUNDDOWN($H45,0),DH$2)))))*$P45*1000*ADRYr3!AB45)</f>
        <v/>
      </c>
      <c r="DI45" s="760" t="str">
        <f>IF($G45="","",(1+SumOffPeakEnergyLL)*(INDEX(avoidedcosttbl3,$H45,DI$2)+(($H45-ROUNDDOWN($H45,0))*(INDEX(avoidedcosttbl3,ROUNDUP($H45,0),DI$2)-(INDEX(avoidedcosttbl3,ROUNDDOWN($H45,0),DI$2)))))*$P45*1000*ADRYr3!AC45)</f>
        <v/>
      </c>
      <c r="DJ45" s="29" t="str">
        <f t="shared" si="81"/>
        <v/>
      </c>
      <c r="DK45" s="161" t="str">
        <f t="shared" si="83"/>
        <v/>
      </c>
      <c r="DO45" s="1131" t="str">
        <f>IF($G45="","",ADRYr3!AQ45)</f>
        <v/>
      </c>
      <c r="DP45" s="1133" t="str">
        <f>IF($G45="","",ADRYr3!AR45)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49"/>
        <v/>
      </c>
      <c r="DU45" s="1135" t="str">
        <f>IF($G45="","",ADRYr3!AS45)</f>
        <v/>
      </c>
      <c r="DV45" s="1136" t="str">
        <f>IF($G45="","",ADRYr3!AT45)</f>
        <v/>
      </c>
      <c r="DW45" s="1344" t="str">
        <f>IF($G45="","",INDEX(AvoidedEnergy!$H$4:$H$10,MATCH($DO45,AvoidedEnergy!$A$4:$A$10,0)))</f>
        <v/>
      </c>
    </row>
    <row r="46" spans="1:127">
      <c r="A46" s="160" t="str">
        <f>IF(ADRYr3!$B46=0,"",ADRYr3!A46)</f>
        <v/>
      </c>
      <c r="B46" s="9" t="str">
        <f>IF(ADRYr3!$B46=0,"",ADRYr3!B46)</f>
        <v/>
      </c>
      <c r="C46" s="9" t="str">
        <f>IF(ADRYr3!$B46=0,"",ADRYr3!C46)</f>
        <v/>
      </c>
      <c r="D46" s="9" t="str">
        <f>IF(ADRYr3!$B46=0,"",ADRYr3!D46)</f>
        <v/>
      </c>
      <c r="E46" s="9"/>
      <c r="F46" s="11" t="str">
        <f>IF(ADRYr3!$B46=0,"",ADRYr3!F46)</f>
        <v/>
      </c>
      <c r="G46" s="12" t="str">
        <f>IF(ADRYr3!$G46&lt;&gt;0,ADRYr3!G46,"")</f>
        <v/>
      </c>
      <c r="H46" s="1125" t="str">
        <f>IF($G46="","",ROUND(ADRYr3!H46,0))</f>
        <v/>
      </c>
      <c r="I46" s="47" t="str">
        <f>IF($G46="","",ADRYr3!I46*ADRYr3!P46*G46)</f>
        <v/>
      </c>
      <c r="J46" s="47" t="str">
        <f>IF($G46="","",ADRYr3!J46*G46)</f>
        <v/>
      </c>
      <c r="K46" s="47" t="str">
        <f t="shared" si="50"/>
        <v/>
      </c>
      <c r="L46" s="27" t="str">
        <f>IF($G46="","",ADRYr3!V46*G46/1000)</f>
        <v/>
      </c>
      <c r="M46" s="27" t="str">
        <f>IF($G46="","",L46*ADRYr3!$Q46*ADRYr3!$R46)</f>
        <v/>
      </c>
      <c r="N46" s="27" t="str">
        <f t="shared" si="51"/>
        <v/>
      </c>
      <c r="O46" s="27" t="str">
        <f t="shared" si="52"/>
        <v/>
      </c>
      <c r="P46" s="27" t="str">
        <f>IF($G46="","",M46*ADRYr3!P46)</f>
        <v/>
      </c>
      <c r="Q46" s="27" t="str">
        <f t="shared" si="53"/>
        <v/>
      </c>
      <c r="R46" s="27" t="str">
        <f>IF($G46="","",$Q46*ADRYr3!Z46)</f>
        <v/>
      </c>
      <c r="S46" s="27" t="str">
        <f>IF($G46="","",$Q46*ADRYr3!AA46)</f>
        <v/>
      </c>
      <c r="T46" s="27" t="str">
        <f>IF($G46="","",$Q46*ADRYr3!AB46)</f>
        <v/>
      </c>
      <c r="U46" s="27" t="str">
        <f>IF($G46="","",$Q46*ADRYr3!AC46)</f>
        <v/>
      </c>
      <c r="V46" s="27" t="str">
        <f>IF($G46="","",G46*ADRYr3!$AD46*ADRYr3!$P46*ADRYr3!$Q46)</f>
        <v/>
      </c>
      <c r="W46" s="27" t="str">
        <f>IF($G46="","",$G46*ADRYr3!$AD46*ADRYr3!$AF46*ADRYr3!Q46*ADRYr3!$S46)</f>
        <v/>
      </c>
      <c r="X46" s="27" t="str">
        <f>IF($G46="","",$G46*ADRYr3!$AD46*ADRYr3!$AF46*ADRYr3!P46*ADRYr3!Q46*ADRYr3!$S46)</f>
        <v/>
      </c>
      <c r="Y46" s="27" t="str">
        <f>IF($G46="","",$G46*ADRYr3!$AD46*ADRYr3!$AE46*ADRYr3!Q46*ADRYr3!$T46)</f>
        <v/>
      </c>
      <c r="Z46" s="27" t="str">
        <f>IF($G46="","",$G46*ADRYr3!$AD46*ADRYr3!$AE46*ADRYr3!P46*ADRYr3!Q46*ADRYr3!$T46)</f>
        <v/>
      </c>
      <c r="AA46" s="45" t="str">
        <f>IF($G46="","",$G46*ADRYr3!$Q46*ADRYr3!$U46*(IF(IFERROR(SEARCH("NG", ADRYr3!$AI46),0),ADRYr3!$AJ46,0)+IF(IFERROR(SEARCH("NG", ADRYr3!$AK46),0),ADRYr3!$AL46,0)+IF(IFERROR(SEARCH("NG", ADRYr3!$AM46),0),ADRYr3!$AN46,0)))</f>
        <v/>
      </c>
      <c r="AB46" s="45" t="str">
        <f t="shared" si="54"/>
        <v/>
      </c>
      <c r="AC46" s="45">
        <f>IF($G46="",0,AA46*ADRYr3!$P46)</f>
        <v>0</v>
      </c>
      <c r="AD46" s="45" t="str">
        <f t="shared" si="55"/>
        <v/>
      </c>
      <c r="AE46" s="45" t="str">
        <f>IF($G46="","",$G46*ADRYr3!$Q46*ADRYr3!$U46*(IF(IFERROR(SEARCH("Oil", ADRYr3!$AI46), 0),ADRYr3!$AJ46,0)+IF(IFERROR(SEARCH("Oil", ADRYr3!$AK46), 0),ADRYr3!$AL46,0)+IF(IFERROR(SEARCH("Oil", ADRYr3!$AM46), 0),ADRYr3!$AN46,0)))</f>
        <v/>
      </c>
      <c r="AF46" s="45" t="str">
        <f t="shared" si="56"/>
        <v/>
      </c>
      <c r="AG46" s="45">
        <f>IF($G46="",0,AE46*ADRYr3!$P46)</f>
        <v>0</v>
      </c>
      <c r="AH46" s="45" t="str">
        <f t="shared" si="57"/>
        <v/>
      </c>
      <c r="AI46" s="45" t="str">
        <f>IF($G46="","",$G46*ADRYr3!$Q46*ADRYr3!$U46*(IF(ADRYr3!$AI46=Lookups!$E$114,ADRYr3!$AJ46,IF(ADRYr3!$AK46=Lookups!$E$114,ADRYr3!$AL46,IF(ADRYr3!$AM46=Lookups!$E$114,ADRYr3!$AN46,0)))))</f>
        <v/>
      </c>
      <c r="AJ46" s="45" t="str">
        <f t="shared" si="58"/>
        <v/>
      </c>
      <c r="AK46" s="45">
        <f>IF($G46="",0,AI46*ADRYr3!$P46)</f>
        <v>0</v>
      </c>
      <c r="AL46" s="45" t="str">
        <f t="shared" si="59"/>
        <v/>
      </c>
      <c r="AM46" s="45" t="str">
        <f>IF($G46="","",$G46*ADRYr3!$Q46*ADRYr3!$U46*(IF(ADRYr3!$AI46=Lookups!$E$113,ADRYr3!$AJ46,IF(ADRYr3!$AK46=Lookups!$E$113,ADRYr3!$AL46,IF(ADRYr3!$AM46=Lookups!$E$113,ADRYr3!$AN46,0)))))</f>
        <v/>
      </c>
      <c r="AN46" s="45" t="str">
        <f t="shared" si="60"/>
        <v/>
      </c>
      <c r="AO46" s="45">
        <f>IF($G46="",0,AM46*ADRYr3!$P46)</f>
        <v>0</v>
      </c>
      <c r="AP46" s="45" t="str">
        <f t="shared" si="61"/>
        <v/>
      </c>
      <c r="AQ46" s="45" t="str">
        <f>IF($G46="","",$G46*ADRYr3!$Q46*ADRYr3!$U46*(IF(ADRYr3!$AI46=Lookups!$E$115,ADRYr3!$AJ46,IF(ADRYr3!$AK46=Lookups!$E$115,ADRYr3!$AL46,IF(ADRYr3!$AM46=Lookups!$E$115,ADRYr3!$AN46,0)))))</f>
        <v/>
      </c>
      <c r="AR46" s="45" t="str">
        <f t="shared" si="62"/>
        <v/>
      </c>
      <c r="AS46" s="45" t="str">
        <f>IF($G46="","",AQ46*ADRYr3!$P46)</f>
        <v/>
      </c>
      <c r="AT46" s="45" t="str">
        <f t="shared" si="63"/>
        <v/>
      </c>
      <c r="AU46" s="45" t="str">
        <f>IF($G46="","",$G46*ADRYr3!$Q46*ADRYr3!$U46*(IF(ADRYr3!$AI46=Lookups!$E$116,ADRYr3!$AJ46,IF(ADRYr3!$AK46=Lookups!$E$116,ADRYr3!$AL46,IF(ADRYr3!$AM46=Lookups!$E$116,ADRYr3!$AN46,0)))))</f>
        <v/>
      </c>
      <c r="AV46" s="45" t="str">
        <f t="shared" si="64"/>
        <v/>
      </c>
      <c r="AW46" s="45" t="str">
        <f>IF($G46="","",AU46*ADRYr3!$P46)</f>
        <v/>
      </c>
      <c r="AX46" s="45" t="str">
        <f t="shared" si="65"/>
        <v/>
      </c>
      <c r="AY46" s="45">
        <f t="shared" si="66"/>
        <v>0</v>
      </c>
      <c r="AZ46" s="45">
        <f t="shared" si="67"/>
        <v>0</v>
      </c>
      <c r="BA46" s="101" t="str">
        <f>IF($G46="","",$G46*ADRYr3!$P46*ADRYr3!$Q46*ADRYr3!$U46*ADRYr3!AO46)</f>
        <v/>
      </c>
      <c r="BB46" s="102" t="str">
        <f>IF($G46="","",$G46*ADRYr3!$P46*ADRYr3!$Q46*ADRYr3!$U46*ADRYr3!AP46)</f>
        <v/>
      </c>
      <c r="BC46" s="100" t="str">
        <f t="shared" si="68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31"/>
        <v/>
      </c>
      <c r="BO46" s="31" t="str">
        <f t="shared" si="69"/>
        <v/>
      </c>
      <c r="BP46" s="1129" t="str">
        <f t="shared" si="5"/>
        <v/>
      </c>
      <c r="BQ46" s="28" t="str">
        <f t="shared" si="6"/>
        <v/>
      </c>
      <c r="BR46" s="1129" t="str">
        <f t="shared" si="7"/>
        <v/>
      </c>
      <c r="BS46" s="1129" t="str">
        <f t="shared" si="8"/>
        <v/>
      </c>
      <c r="BT46" s="28" t="str">
        <f t="shared" si="82"/>
        <v/>
      </c>
      <c r="BU46" s="28" t="str">
        <f t="shared" si="82"/>
        <v/>
      </c>
      <c r="BV46" s="28" t="str">
        <f t="shared" si="82"/>
        <v/>
      </c>
      <c r="BW46" s="29" t="str">
        <f t="shared" si="70"/>
        <v/>
      </c>
      <c r="BX46" s="29" t="str">
        <f t="shared" si="71"/>
        <v/>
      </c>
      <c r="BY46" s="28" t="str">
        <f>IF($G46="","",$G46*(IF(ADRYr3!$AI46=BY$4,ADRYr3!$AJ46,IF(ADRYr3!$AK46=BY$4,ADRYr3!$AL46,IF(ADRYr3!$AM46=BY$4,ADRYr3!$AN46,0))))*(INDEX(avoidedcosttbl3,$H46,BY$2)+(($H46-ROUNDDOWN($H46,0))*(INDEX(avoidedcosttbl3,ROUNDUP($H46,0),BY$2)-(INDEX(avoidedcosttbl3,ROUNDDOWN($H46,0),BY$2)))))*ADRYr3!P46*ADRYr3!Q46*ADRYr3!U46)</f>
        <v/>
      </c>
      <c r="BZ46" s="28" t="str">
        <f>IF($G46="","",$G46*(IF(ADRYr3!$AI46=BZ$4,ADRYr3!$AJ46,IF(ADRYr3!$AK46=BZ$4,ADRYr3!$AL46,IF(ADRYr3!$AM46=BZ$4,ADRYr3!$AN46,0))))*(INDEX(avoidedcosttbl3,$H46,BZ$2)+(($H46-ROUNDDOWN($H46,0))*(INDEX(avoidedcosttbl3,ROUNDUP($H46,0),BZ$2)-(INDEX(avoidedcosttbl3,ROUNDDOWN($H46,0),BZ$2)))))*ADRYr3!P46*ADRYr3!Q46*ADRYr3!U46)</f>
        <v/>
      </c>
      <c r="CA46" s="28" t="str">
        <f>IF($G46="","",$G46*(IF(ADRYr3!$AI46=CA$4,ADRYr3!$AJ46,IF(ADRYr3!$AK46=CA$4,ADRYr3!$AL46,IF(ADRYr3!$AM46=CA$4,ADRYr3!$AN46,0))))*(INDEX(avoidedcosttbl3,$H46,CA$2)+(($H46-ROUNDDOWN($H46,0))*(INDEX(avoidedcosttbl3,ROUNDUP($H46,0),CA$2)-(INDEX(avoidedcosttbl3,ROUNDDOWN($H46,0),CA$2)))))*ADRYr3!P46*ADRYr3!Q46*ADRYr3!U46)</f>
        <v/>
      </c>
      <c r="CB46" s="28" t="str">
        <f>IF($G46="","",$G46*(IF(ADRYr3!$AI46=CB$4,ADRYr3!$AJ46,IF(ADRYr3!$AK46=CB$4,ADRYr3!$AL46,IF(ADRYr3!$AM46=CB$4,ADRYr3!$AN46,0))))*(INDEX(avoidedcosttbl3,$H46,CB$2)+(($H46-ROUNDDOWN($H46,0))*(INDEX(avoidedcosttbl3,ROUNDUP($H46,0),CB$2)-(INDEX(avoidedcosttbl3,ROUNDDOWN($H46,0),CB$2)))))*ADRYr3!P46*ADRYr3!Q46*ADRYr3!U46)</f>
        <v/>
      </c>
      <c r="CC46" s="28" t="str">
        <f>IF($G46="","",$G46*(IF(ADRYr3!$AI46=CC$4,ADRYr3!$AJ46,IF(ADRYr3!$AK46=CC$4,ADRYr3!$AL46,IF(ADRYr3!$AM46=CC$4,ADRYr3!$AN46,0))))*(INDEX(avoidedcosttbl3,$H46,CC$2)+(($H46-ROUNDDOWN($H46,0))*(INDEX(avoidedcosttbl3,ROUNDUP($H46,0),CC$2)-(INDEX(avoidedcosttbl3,ROUNDDOWN($H46,0),CC$2)))))*ADRYr3!P46*ADRYr3!Q46*ADRYr3!U46)</f>
        <v/>
      </c>
      <c r="CD46" s="28" t="str">
        <f>IF($G46="","",$G46*(IF(ADRYr3!$AI46=CD$4,ADRYr3!$AJ46,IF(ADRYr3!$AK46=CD$4,ADRYr3!$AL46,IF(ADRYr3!$AM46=CD$4,ADRYr3!$AN46,0))))*(INDEX(avoidedcosttbl3,$H46,CD$2)+(($H46-ROUNDDOWN($H46,0))*(INDEX(avoidedcosttbl3,ROUNDUP($H46,0),CD$2)-(INDEX(avoidedcosttbl3,ROUNDDOWN($H46,0),CD$2)))))*ADRYr3!P46*ADRYr3!Q46*ADRYr3!U46)</f>
        <v/>
      </c>
      <c r="CE46" s="28" t="str">
        <f>IF($G46="","",$G46*(IF(ADRYr3!$AI46=CE$4,ADRYr3!$AJ46,IF(ADRYr3!$AK46=CE$4,ADRYr3!$AL46,IF(ADRYr3!$AM46=CE$4,ADRYr3!$AN46,0))))*(INDEX(avoidedcosttbl3,$H46,CE$2)+(($H46-ROUNDDOWN($H46,0))*(INDEX(avoidedcosttbl3,ROUNDUP($H46,0),CE$2)-(INDEX(avoidedcosttbl3,ROUNDDOWN($H46,0),CE$2)))))*ADRYr3!P46*ADRYr3!Q46*ADRYr3!U46)</f>
        <v/>
      </c>
      <c r="CF46" s="41" t="str">
        <f t="shared" si="72"/>
        <v/>
      </c>
      <c r="CG46" s="30" t="str">
        <f t="shared" si="10"/>
        <v/>
      </c>
      <c r="CH46" s="30" t="str">
        <f>IF($G46="","",$G46*(IF(ADRYr3!$AI46=BY$4,ADRYr3!$AJ46,IF(ADRYr3!$AK46=BY$4,ADRYr3!$AL46,IF(ADRYr3!$AM46=BY$4,ADRYr3!$AN46,0))))*(INDEX(avoidedcosttbl3,$H46,CH$2)+(($H46-ROUNDDOWN($H46,0))*(INDEX(avoidedcosttbl3,ROUNDUP($H46,0),CH$2)-(INDEX(avoidedcosttbl3,ROUNDDOWN($H46,0),CH$2)))))*ADRYr3!P46*ADRYr3!Q46*ADRYr3!U46)</f>
        <v/>
      </c>
      <c r="CI46" s="30" t="str">
        <f>IF($G46="","",$G46*(IF(ADRYr3!$AI46=BZ$4,ADRYr3!$AJ46,IF(ADRYr3!$AK46=BZ$4,ADRYr3!$AL46,IF(ADRYr3!$AM46=BZ$4,ADRYr3!$AN46,0))))*(INDEX(avoidedcosttbl3,$H46,CI$2)+(($H46-ROUNDDOWN($H46,0))*(INDEX(avoidedcosttbl3,ROUNDUP($H46,0),CI$2)-(INDEX(avoidedcosttbl3,ROUNDDOWN($H46,0),CI$2)))))*ADRYr3!P46*ADRYr3!Q46*ADRYr3!U46)</f>
        <v/>
      </c>
      <c r="CJ46" s="30" t="str">
        <f>IF($G46="","",$G46*(IF(ADRYr3!$AI46=CA$4,ADRYr3!$AJ46,IF(ADRYr3!$AK46=CA$4,ADRYr3!$AL46,IF(ADRYr3!$AM46=CA$4,ADRYr3!$AN46,0))))*(INDEX(avoidedcosttbl3,$H46,CJ$2)+(($H46-ROUNDDOWN($H46,0))*(INDEX(avoidedcosttbl3,ROUNDUP($H46,0),CJ$2)-(INDEX(avoidedcosttbl3,ROUNDDOWN($H46,0),CJ$2)))))*ADRYr3!P46*ADRYr3!Q46*ADRYr3!U46)</f>
        <v/>
      </c>
      <c r="CK46" s="30" t="str">
        <f>IF($G46="","",$G46*(IF(ADRYr3!$AI46=CB$4,ADRYr3!$AJ46,IF(ADRYr3!$AK46=CB$4,ADRYr3!$AL46,IF(ADRYr3!$AM46=CB$4,ADRYr3!$AN46,0))))*(INDEX(avoidedcosttbl3,$H46,CK$2)+(($H46-ROUNDDOWN($H46,0))*(INDEX(avoidedcosttbl3,ROUNDUP($H46,0),CK$2)-(INDEX(avoidedcosttbl3,ROUNDDOWN($H46,0),CK$2)))))*ADRYr3!P46*ADRYr3!Q46*ADRYr3!U46)</f>
        <v/>
      </c>
      <c r="CL46" s="30" t="str">
        <f>IF($G46="","",$G46*(IF(ADRYr3!$AI46=CC$4,ADRYr3!$AJ46,IF(ADRYr3!$AK46=CC$4,ADRYr3!$AL46,IF(ADRYr3!$AM46=CC$4,ADRYr3!$AN46,0))))*(INDEX(avoidedcosttbl3,$H46,CL$2)+(($H46-ROUNDDOWN($H46,0))*(INDEX(avoidedcosttbl3,ROUNDUP($H46,0),CL$2)-(INDEX(avoidedcosttbl3,ROUNDDOWN($H46,0),CL$2)))))*ADRYr3!P46*ADRYr3!Q46*ADRYr3!U46)</f>
        <v/>
      </c>
      <c r="CM46" s="30" t="str">
        <f>IF($G46="","",$G46*(IF(ADRYr3!$AI46=CD$4,ADRYr3!$AJ46,IF(ADRYr3!$AK46=CD$4,ADRYr3!$AL46,IF(ADRYr3!$AM46=CD$4,ADRYr3!$AN46,0))))*(INDEX(avoidedcosttbl3,$H46,CM$2)+(($H46-ROUNDDOWN($H46,0))*(INDEX(avoidedcosttbl3,ROUNDUP($H46,0),CM$2)-(INDEX(avoidedcosttbl3,ROUNDDOWN($H46,0),CM$2)))))*ADRYr3!P46*ADRYr3!Q46*ADRYr3!U46)</f>
        <v/>
      </c>
      <c r="CN46" s="30" t="str">
        <f>IF($G46="","",$G46*(IF(ADRYr3!$AI46=CE$4,ADRYr3!$AJ46,IF(ADRYr3!$AK46=CE$4,ADRYr3!$AL46,IF(ADRYr3!$AM46=CE$4,ADRYr3!$AN46,0))))*(INDEX(avoidedcosttbl3,$H46,CN$2)+(($H46-ROUNDDOWN($H46,0))*(INDEX(avoidedcosttbl3,ROUNDUP($H46,0),CN$2)-(INDEX(avoidedcosttbl3,ROUNDDOWN($H46,0),CN$2)))))*ADRYr3!P46*ADRYr3!Q46*ADRYr3!U46)</f>
        <v/>
      </c>
      <c r="CO46" s="220" t="str">
        <f t="shared" si="73"/>
        <v/>
      </c>
      <c r="CP46" s="220" t="str">
        <f t="shared" si="74"/>
        <v/>
      </c>
      <c r="CQ46" s="157" t="str">
        <f>IF($G46="","",$G46*(IF(ADRYr3!$AI46=CQ$4,ADRYr3!$AJ46,IF(ADRYr3!$AK46=CQ$4,ADRYr3!$AL46,IF(ADRYr3!$AM46=CQ$4,ADRYr3!$AN46,0))))*(INDEX(avoidedcosttbl3,$H46,CQ$2)+(($H46-ROUNDDOWN($H46,0))*(INDEX(avoidedcosttbl3,ROUNDUP($H46,0),CQ$2)-(INDEX(avoidedcosttbl3,ROUNDDOWN($H46,0),CQ$2)))))*ADRYr3!$P46*ADRYr3!$Q46*ADRYr3!$U46)</f>
        <v/>
      </c>
      <c r="CR46" s="28" t="str">
        <f>IF($G46="","",G46*(IF(ADRYr3!$AI46=CR$4,ADRYr3!$AJ46,IF(ADRYr3!$AK46=CR$4,ADRYr3!$AL46,IF(ADRYr3!$AM46=CR$4,ADRYr3!$AN46,0))))*(INDEX(avoidedcosttbl3,$H46,CR$2)+(($H46-ROUNDDOWN($H46,0))*(INDEX(avoidedcosttbl3,ROUNDUP($H46,0),CR$2)-(INDEX(avoidedcosttbl3,ROUNDDOWN($H46,0),CR$2)))))*ADRYr3!$P46*ADRYr3!$Q46*ADRYr3!$U46)</f>
        <v/>
      </c>
      <c r="CS46" s="28" t="str">
        <f>IF($G46="","",G46*(IF(ADRYr3!$AI46=CS$4,ADRYr3!$AJ46,IF(ADRYr3!$AK46=CS$4,ADRYr3!$AL46,IF(ADRYr3!$AM46=CS$4,ADRYr3!$AN46,0))))*(INDEX(avoidedcosttbl3,$H46,CS$2)+(($H46-ROUNDDOWN($H46,0))*(INDEX(avoidedcosttbl3,ROUNDUP($H46,0),CS$2)-(INDEX(avoidedcosttbl3,ROUNDDOWN($H46,0),CS$2)))))*ADRYr3!$P46*ADRYr3!$Q46*ADRYr3!$U46)</f>
        <v/>
      </c>
      <c r="CT46" s="28" t="str">
        <f t="shared" si="11"/>
        <v/>
      </c>
      <c r="CU46" s="28" t="str">
        <f>IF($G46="","",G46*(IF(ADRYr3!$AI46=CU$4,ADRYr3!$AJ46,IF(ADRYr3!$AK46=CU$4,ADRYr3!$AL46,IF(ADRYr3!$AM46=CU$4,ADRYr3!$AN46,0))))*(INDEX(avoidedcosttbl3,$H46,CU$2)+(($H46-ROUNDDOWN($H46,0))*(INDEX(avoidedcosttbl3,ROUNDUP($H46,0),CU$2)-(INDEX(avoidedcosttbl3,ROUNDDOWN($H46,0),CU$2)))))*ADRYr3!$P46*ADRYr3!$Q46*ADRYr3!$U46)</f>
        <v/>
      </c>
      <c r="CV46" s="28" t="str">
        <f>IF($G46="","",G46*(IF(ADRYr3!$AI46=CV$4,ADRYr3!$AJ46,IF(ADRYr3!$AK46=CV$4,ADRYr3!$AL46,IF(ADRYr3!$AM46=CV$4,ADRYr3!$AN46,0))))*(INDEX(avoidedcosttbl3,$H46,CV$2)+(($H46-ROUNDDOWN($H46,0))*(INDEX(avoidedcosttbl3,ROUNDUP($H46,0),CV$2)-(INDEX(avoidedcosttbl3,ROUNDDOWN($H46,0),CV$2)))))*ADRYr3!$P46*ADRYr3!$Q46*ADRYr3!$U46)</f>
        <v/>
      </c>
      <c r="CW46" s="28" t="str">
        <f>IF($G46="","",G46*(IF(ADRYr3!$AI46=CW$4,ADRYr3!$AJ46,IF(ADRYr3!$AK46=CW$4,ADRYr3!$AL46,IF(ADRYr3!$AM46=CW$4,ADRYr3!$AN46,0))))*(INDEX(avoidedcosttbl3,$H46,CW$2)+(($H46-ROUNDDOWN($H46,0))*(INDEX(avoidedcosttbl3,ROUNDUP($H46,0),CW$2)-(INDEX(avoidedcosttbl3,ROUNDDOWN($H46,0),CW$2)))))*ADRYr3!$P46*ADRYr3!$Q46*ADRYr3!$U46)</f>
        <v/>
      </c>
      <c r="CX46" s="28" t="str">
        <f>IF($G46="","",G46*(IF(ADRYr3!$AI46=CX$4,ADRYr3!$AJ46,IF(ADRYr3!$AK46=CX$4,ADRYr3!$AL46,IF(ADRYr3!$AM46=CX$4,ADRYr3!$AN46,0))))*(INDEX(avoidedcosttbl3,$H46,CX$2)+(($H46-ROUNDDOWN($H46,0))*(INDEX(avoidedcosttbl3,ROUNDUP($H46,0),CX$2)-(INDEX(avoidedcosttbl3,ROUNDDOWN($H46,0),CX$2)))))*ADRYr3!$P46*ADRYr3!$Q46*ADRYr3!$U46)</f>
        <v/>
      </c>
      <c r="CY46" s="28" t="str">
        <f t="shared" si="75"/>
        <v/>
      </c>
      <c r="CZ46" s="32" t="str">
        <f t="shared" si="76"/>
        <v/>
      </c>
      <c r="DA46" s="84" t="str">
        <f t="shared" si="77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78"/>
        <v/>
      </c>
      <c r="DD46" s="166" t="str">
        <f t="shared" si="79"/>
        <v/>
      </c>
      <c r="DE46" s="82">
        <f t="shared" si="80"/>
        <v>0</v>
      </c>
      <c r="DF46" s="760" t="str">
        <f>IF($G46="","",(1+WntPeakEnergyLL)*(INDEX(avoidedcosttbl3,$H46,DF$2)+(($H46-ROUNDDOWN($H46,0))*(INDEX(avoidedcosttbl3,ROUNDUP($H46,0),DF$2)-(INDEX(avoidedcosttbl3,ROUNDDOWN($H46,0),DF$2)))))*$P46*1000*ADRYr3!Z46)</f>
        <v/>
      </c>
      <c r="DG46" s="760" t="str">
        <f>IF($G46="","",(1+WntOffPeakEnergyLL)*(INDEX(avoidedcosttbl3,$H46,DG$2)+(($H46-ROUNDDOWN($H46,0))*(INDEX(avoidedcosttbl3,ROUNDUP($H46,0),DG$2)-(INDEX(avoidedcosttbl3,ROUNDDOWN($H46,0),DG$2)))))*$P46*1000*ADRYr3!AA46)</f>
        <v/>
      </c>
      <c r="DH46" s="760" t="str">
        <f>IF($G46="","",(1+SumPeakEnergyLL)*(INDEX(avoidedcosttbl3,$H46,DH$2)+(($H46-ROUNDDOWN($H46,0))*(INDEX(avoidedcosttbl3,ROUNDUP($H46,0),DH$2)-(INDEX(avoidedcosttbl3,ROUNDDOWN($H46,0),DH$2)))))*$P46*1000*ADRYr3!AB46)</f>
        <v/>
      </c>
      <c r="DI46" s="760" t="str">
        <f>IF($G46="","",(1+SumOffPeakEnergyLL)*(INDEX(avoidedcosttbl3,$H46,DI$2)+(($H46-ROUNDDOWN($H46,0))*(INDEX(avoidedcosttbl3,ROUNDUP($H46,0),DI$2)-(INDEX(avoidedcosttbl3,ROUNDDOWN($H46,0),DI$2)))))*$P46*1000*ADRYr3!AC46)</f>
        <v/>
      </c>
      <c r="DJ46" s="29" t="str">
        <f t="shared" si="81"/>
        <v/>
      </c>
      <c r="DK46" s="161" t="str">
        <f t="shared" si="83"/>
        <v/>
      </c>
      <c r="DO46" s="1131" t="str">
        <f>IF($G46="","",ADRYr3!AQ46)</f>
        <v/>
      </c>
      <c r="DP46" s="1133" t="str">
        <f>IF($G46="","",ADRYr3!AR46)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49"/>
        <v/>
      </c>
      <c r="DU46" s="1135" t="str">
        <f>IF($G46="","",ADRYr3!AS46)</f>
        <v/>
      </c>
      <c r="DV46" s="1136" t="str">
        <f>IF($G46="","",ADRYr3!AT46)</f>
        <v/>
      </c>
      <c r="DW46" s="1344" t="str">
        <f>IF($G46="","",INDEX(AvoidedEnergy!$H$4:$H$10,MATCH($DO46,AvoidedEnergy!$A$4:$A$10,0)))</f>
        <v/>
      </c>
    </row>
    <row r="47" spans="1:127">
      <c r="A47" s="160" t="str">
        <f>IF(ADRYr3!$B47=0,"",ADRYr3!A47)</f>
        <v/>
      </c>
      <c r="B47" s="9" t="str">
        <f>IF(ADRYr3!$B47=0,"",ADRYr3!B47)</f>
        <v/>
      </c>
      <c r="C47" s="9" t="str">
        <f>IF(ADRYr3!$B47=0,"",ADRYr3!C47)</f>
        <v/>
      </c>
      <c r="D47" s="9" t="str">
        <f>IF(ADRYr3!$B47=0,"",ADRYr3!D47)</f>
        <v/>
      </c>
      <c r="E47" s="9"/>
      <c r="F47" s="11" t="str">
        <f>IF(ADRYr3!$B47=0,"",ADRYr3!F47)</f>
        <v/>
      </c>
      <c r="G47" s="12" t="str">
        <f>IF(ADRYr3!$G47&lt;&gt;0,ADRYr3!G47,"")</f>
        <v/>
      </c>
      <c r="H47" s="1125" t="str">
        <f>IF($G47="","",ROUND(ADRYr3!H47,0))</f>
        <v/>
      </c>
      <c r="I47" s="47" t="str">
        <f>IF($G47="","",ADRYr3!I47*ADRYr3!P47*G47)</f>
        <v/>
      </c>
      <c r="J47" s="47" t="str">
        <f>IF($G47="","",ADRYr3!J47*G47)</f>
        <v/>
      </c>
      <c r="K47" s="47" t="str">
        <f t="shared" si="50"/>
        <v/>
      </c>
      <c r="L47" s="27" t="str">
        <f>IF($G47="","",ADRYr3!V47*G47/1000)</f>
        <v/>
      </c>
      <c r="M47" s="27" t="str">
        <f>IF($G47="","",L47*ADRYr3!$Q47*ADRYr3!$R47)</f>
        <v/>
      </c>
      <c r="N47" s="27" t="str">
        <f t="shared" si="51"/>
        <v/>
      </c>
      <c r="O47" s="27" t="str">
        <f t="shared" si="52"/>
        <v/>
      </c>
      <c r="P47" s="27" t="str">
        <f>IF($G47="","",M47*ADRYr3!P47)</f>
        <v/>
      </c>
      <c r="Q47" s="27" t="str">
        <f t="shared" si="53"/>
        <v/>
      </c>
      <c r="R47" s="27" t="str">
        <f>IF($G47="","",$Q47*ADRYr3!Z47)</f>
        <v/>
      </c>
      <c r="S47" s="27" t="str">
        <f>IF($G47="","",$Q47*ADRYr3!AA47)</f>
        <v/>
      </c>
      <c r="T47" s="27" t="str">
        <f>IF($G47="","",$Q47*ADRYr3!AB47)</f>
        <v/>
      </c>
      <c r="U47" s="27" t="str">
        <f>IF($G47="","",$Q47*ADRYr3!AC47)</f>
        <v/>
      </c>
      <c r="V47" s="27" t="str">
        <f>IF($G47="","",G47*ADRYr3!$AD47*ADRYr3!$P47*ADRYr3!$Q47)</f>
        <v/>
      </c>
      <c r="W47" s="27" t="str">
        <f>IF($G47="","",$G47*ADRYr3!$AD47*ADRYr3!$AF47*ADRYr3!Q47*ADRYr3!$S47)</f>
        <v/>
      </c>
      <c r="X47" s="27" t="str">
        <f>IF($G47="","",$G47*ADRYr3!$AD47*ADRYr3!$AF47*ADRYr3!P47*ADRYr3!Q47*ADRYr3!$S47)</f>
        <v/>
      </c>
      <c r="Y47" s="27" t="str">
        <f>IF($G47="","",$G47*ADRYr3!$AD47*ADRYr3!$AE47*ADRYr3!Q47*ADRYr3!$T47)</f>
        <v/>
      </c>
      <c r="Z47" s="27" t="str">
        <f>IF($G47="","",$G47*ADRYr3!$AD47*ADRYr3!$AE47*ADRYr3!P47*ADRYr3!Q47*ADRYr3!$T47)</f>
        <v/>
      </c>
      <c r="AA47" s="45" t="str">
        <f>IF($G47="","",$G47*ADRYr3!$Q47*ADRYr3!$U47*(IF(IFERROR(SEARCH("NG", ADRYr3!$AI47),0),ADRYr3!$AJ47,0)+IF(IFERROR(SEARCH("NG", ADRYr3!$AK47),0),ADRYr3!$AL47,0)+IF(IFERROR(SEARCH("NG", ADRYr3!$AM47),0),ADRYr3!$AN47,0)))</f>
        <v/>
      </c>
      <c r="AB47" s="45" t="str">
        <f t="shared" si="54"/>
        <v/>
      </c>
      <c r="AC47" s="45">
        <f>IF($G47="",0,AA47*ADRYr3!$P47)</f>
        <v>0</v>
      </c>
      <c r="AD47" s="45" t="str">
        <f t="shared" si="55"/>
        <v/>
      </c>
      <c r="AE47" s="45" t="str">
        <f>IF($G47="","",$G47*ADRYr3!$Q47*ADRYr3!$U47*(IF(IFERROR(SEARCH("Oil", ADRYr3!$AI47), 0),ADRYr3!$AJ47,0)+IF(IFERROR(SEARCH("Oil", ADRYr3!$AK47), 0),ADRYr3!$AL47,0)+IF(IFERROR(SEARCH("Oil", ADRYr3!$AM47), 0),ADRYr3!$AN47,0)))</f>
        <v/>
      </c>
      <c r="AF47" s="45" t="str">
        <f t="shared" si="56"/>
        <v/>
      </c>
      <c r="AG47" s="45">
        <f>IF($G47="",0,AE47*ADRYr3!$P47)</f>
        <v>0</v>
      </c>
      <c r="AH47" s="45" t="str">
        <f t="shared" si="57"/>
        <v/>
      </c>
      <c r="AI47" s="45" t="str">
        <f>IF($G47="","",$G47*ADRYr3!$Q47*ADRYr3!$U47*(IF(ADRYr3!$AI47=Lookups!$E$114,ADRYr3!$AJ47,IF(ADRYr3!$AK47=Lookups!$E$114,ADRYr3!$AL47,IF(ADRYr3!$AM47=Lookups!$E$114,ADRYr3!$AN47,0)))))</f>
        <v/>
      </c>
      <c r="AJ47" s="45" t="str">
        <f t="shared" si="58"/>
        <v/>
      </c>
      <c r="AK47" s="45">
        <f>IF($G47="",0,AI47*ADRYr3!$P47)</f>
        <v>0</v>
      </c>
      <c r="AL47" s="45" t="str">
        <f t="shared" si="59"/>
        <v/>
      </c>
      <c r="AM47" s="45" t="str">
        <f>IF($G47="","",$G47*ADRYr3!$Q47*ADRYr3!$U47*(IF(ADRYr3!$AI47=Lookups!$E$113,ADRYr3!$AJ47,IF(ADRYr3!$AK47=Lookups!$E$113,ADRYr3!$AL47,IF(ADRYr3!$AM47=Lookups!$E$113,ADRYr3!$AN47,0)))))</f>
        <v/>
      </c>
      <c r="AN47" s="45" t="str">
        <f t="shared" si="60"/>
        <v/>
      </c>
      <c r="AO47" s="45">
        <f>IF($G47="",0,AM47*ADRYr3!$P47)</f>
        <v>0</v>
      </c>
      <c r="AP47" s="45" t="str">
        <f t="shared" si="61"/>
        <v/>
      </c>
      <c r="AQ47" s="45" t="str">
        <f>IF($G47="","",$G47*ADRYr3!$Q47*ADRYr3!$U47*(IF(ADRYr3!$AI47=Lookups!$E$115,ADRYr3!$AJ47,IF(ADRYr3!$AK47=Lookups!$E$115,ADRYr3!$AL47,IF(ADRYr3!$AM47=Lookups!$E$115,ADRYr3!$AN47,0)))))</f>
        <v/>
      </c>
      <c r="AR47" s="45" t="str">
        <f t="shared" si="62"/>
        <v/>
      </c>
      <c r="AS47" s="45" t="str">
        <f>IF($G47="","",AQ47*ADRYr3!$P47)</f>
        <v/>
      </c>
      <c r="AT47" s="45" t="str">
        <f t="shared" si="63"/>
        <v/>
      </c>
      <c r="AU47" s="45" t="str">
        <f>IF($G47="","",$G47*ADRYr3!$Q47*ADRYr3!$U47*(IF(ADRYr3!$AI47=Lookups!$E$116,ADRYr3!$AJ47,IF(ADRYr3!$AK47=Lookups!$E$116,ADRYr3!$AL47,IF(ADRYr3!$AM47=Lookups!$E$116,ADRYr3!$AN47,0)))))</f>
        <v/>
      </c>
      <c r="AV47" s="45" t="str">
        <f t="shared" si="64"/>
        <v/>
      </c>
      <c r="AW47" s="45" t="str">
        <f>IF($G47="","",AU47*ADRYr3!$P47)</f>
        <v/>
      </c>
      <c r="AX47" s="45" t="str">
        <f t="shared" si="65"/>
        <v/>
      </c>
      <c r="AY47" s="45">
        <f t="shared" si="66"/>
        <v>0</v>
      </c>
      <c r="AZ47" s="45">
        <f t="shared" si="67"/>
        <v>0</v>
      </c>
      <c r="BA47" s="101" t="str">
        <f>IF($G47="","",$G47*ADRYr3!$P47*ADRYr3!$Q47*ADRYr3!$U47*ADRYr3!AO47)</f>
        <v/>
      </c>
      <c r="BB47" s="102" t="str">
        <f>IF($G47="","",$G47*ADRYr3!$P47*ADRYr3!$Q47*ADRYr3!$U47*ADRYr3!AP47)</f>
        <v/>
      </c>
      <c r="BC47" s="100" t="str">
        <f t="shared" si="68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31"/>
        <v/>
      </c>
      <c r="BO47" s="31" t="str">
        <f t="shared" si="69"/>
        <v/>
      </c>
      <c r="BP47" s="1129" t="str">
        <f t="shared" si="5"/>
        <v/>
      </c>
      <c r="BQ47" s="28" t="str">
        <f t="shared" si="6"/>
        <v/>
      </c>
      <c r="BR47" s="1129" t="str">
        <f t="shared" si="7"/>
        <v/>
      </c>
      <c r="BS47" s="1129" t="str">
        <f t="shared" si="8"/>
        <v/>
      </c>
      <c r="BT47" s="28" t="str">
        <f t="shared" si="82"/>
        <v/>
      </c>
      <c r="BU47" s="28" t="str">
        <f t="shared" si="82"/>
        <v/>
      </c>
      <c r="BV47" s="28" t="str">
        <f t="shared" si="82"/>
        <v/>
      </c>
      <c r="BW47" s="29" t="str">
        <f t="shared" si="70"/>
        <v/>
      </c>
      <c r="BX47" s="29" t="str">
        <f t="shared" si="71"/>
        <v/>
      </c>
      <c r="BY47" s="28" t="str">
        <f>IF($G47="","",$G47*(IF(ADRYr3!$AI47=BY$4,ADRYr3!$AJ47,IF(ADRYr3!$AK47=BY$4,ADRYr3!$AL47,IF(ADRYr3!$AM47=BY$4,ADRYr3!$AN47,0))))*(INDEX(avoidedcosttbl3,$H47,BY$2)+(($H47-ROUNDDOWN($H47,0))*(INDEX(avoidedcosttbl3,ROUNDUP($H47,0),BY$2)-(INDEX(avoidedcosttbl3,ROUNDDOWN($H47,0),BY$2)))))*ADRYr3!P47*ADRYr3!Q47*ADRYr3!U47)</f>
        <v/>
      </c>
      <c r="BZ47" s="28" t="str">
        <f>IF($G47="","",$G47*(IF(ADRYr3!$AI47=BZ$4,ADRYr3!$AJ47,IF(ADRYr3!$AK47=BZ$4,ADRYr3!$AL47,IF(ADRYr3!$AM47=BZ$4,ADRYr3!$AN47,0))))*(INDEX(avoidedcosttbl3,$H47,BZ$2)+(($H47-ROUNDDOWN($H47,0))*(INDEX(avoidedcosttbl3,ROUNDUP($H47,0),BZ$2)-(INDEX(avoidedcosttbl3,ROUNDDOWN($H47,0),BZ$2)))))*ADRYr3!P47*ADRYr3!Q47*ADRYr3!U47)</f>
        <v/>
      </c>
      <c r="CA47" s="28" t="str">
        <f>IF($G47="","",$G47*(IF(ADRYr3!$AI47=CA$4,ADRYr3!$AJ47,IF(ADRYr3!$AK47=CA$4,ADRYr3!$AL47,IF(ADRYr3!$AM47=CA$4,ADRYr3!$AN47,0))))*(INDEX(avoidedcosttbl3,$H47,CA$2)+(($H47-ROUNDDOWN($H47,0))*(INDEX(avoidedcosttbl3,ROUNDUP($H47,0),CA$2)-(INDEX(avoidedcosttbl3,ROUNDDOWN($H47,0),CA$2)))))*ADRYr3!P47*ADRYr3!Q47*ADRYr3!U47)</f>
        <v/>
      </c>
      <c r="CB47" s="28" t="str">
        <f>IF($G47="","",$G47*(IF(ADRYr3!$AI47=CB$4,ADRYr3!$AJ47,IF(ADRYr3!$AK47=CB$4,ADRYr3!$AL47,IF(ADRYr3!$AM47=CB$4,ADRYr3!$AN47,0))))*(INDEX(avoidedcosttbl3,$H47,CB$2)+(($H47-ROUNDDOWN($H47,0))*(INDEX(avoidedcosttbl3,ROUNDUP($H47,0),CB$2)-(INDEX(avoidedcosttbl3,ROUNDDOWN($H47,0),CB$2)))))*ADRYr3!P47*ADRYr3!Q47*ADRYr3!U47)</f>
        <v/>
      </c>
      <c r="CC47" s="28" t="str">
        <f>IF($G47="","",$G47*(IF(ADRYr3!$AI47=CC$4,ADRYr3!$AJ47,IF(ADRYr3!$AK47=CC$4,ADRYr3!$AL47,IF(ADRYr3!$AM47=CC$4,ADRYr3!$AN47,0))))*(INDEX(avoidedcosttbl3,$H47,CC$2)+(($H47-ROUNDDOWN($H47,0))*(INDEX(avoidedcosttbl3,ROUNDUP($H47,0),CC$2)-(INDEX(avoidedcosttbl3,ROUNDDOWN($H47,0),CC$2)))))*ADRYr3!P47*ADRYr3!Q47*ADRYr3!U47)</f>
        <v/>
      </c>
      <c r="CD47" s="28" t="str">
        <f>IF($G47="","",$G47*(IF(ADRYr3!$AI47=CD$4,ADRYr3!$AJ47,IF(ADRYr3!$AK47=CD$4,ADRYr3!$AL47,IF(ADRYr3!$AM47=CD$4,ADRYr3!$AN47,0))))*(INDEX(avoidedcosttbl3,$H47,CD$2)+(($H47-ROUNDDOWN($H47,0))*(INDEX(avoidedcosttbl3,ROUNDUP($H47,0),CD$2)-(INDEX(avoidedcosttbl3,ROUNDDOWN($H47,0),CD$2)))))*ADRYr3!P47*ADRYr3!Q47*ADRYr3!U47)</f>
        <v/>
      </c>
      <c r="CE47" s="28" t="str">
        <f>IF($G47="","",$G47*(IF(ADRYr3!$AI47=CE$4,ADRYr3!$AJ47,IF(ADRYr3!$AK47=CE$4,ADRYr3!$AL47,IF(ADRYr3!$AM47=CE$4,ADRYr3!$AN47,0))))*(INDEX(avoidedcosttbl3,$H47,CE$2)+(($H47-ROUNDDOWN($H47,0))*(INDEX(avoidedcosttbl3,ROUNDUP($H47,0),CE$2)-(INDEX(avoidedcosttbl3,ROUNDDOWN($H47,0),CE$2)))))*ADRYr3!P47*ADRYr3!Q47*ADRYr3!U47)</f>
        <v/>
      </c>
      <c r="CF47" s="41" t="str">
        <f t="shared" si="72"/>
        <v/>
      </c>
      <c r="CG47" s="30" t="str">
        <f t="shared" si="10"/>
        <v/>
      </c>
      <c r="CH47" s="30" t="str">
        <f>IF($G47="","",$G47*(IF(ADRYr3!$AI47=BY$4,ADRYr3!$AJ47,IF(ADRYr3!$AK47=BY$4,ADRYr3!$AL47,IF(ADRYr3!$AM47=BY$4,ADRYr3!$AN47,0))))*(INDEX(avoidedcosttbl3,$H47,CH$2)+(($H47-ROUNDDOWN($H47,0))*(INDEX(avoidedcosttbl3,ROUNDUP($H47,0),CH$2)-(INDEX(avoidedcosttbl3,ROUNDDOWN($H47,0),CH$2)))))*ADRYr3!P47*ADRYr3!Q47*ADRYr3!U47)</f>
        <v/>
      </c>
      <c r="CI47" s="30" t="str">
        <f>IF($G47="","",$G47*(IF(ADRYr3!$AI47=BZ$4,ADRYr3!$AJ47,IF(ADRYr3!$AK47=BZ$4,ADRYr3!$AL47,IF(ADRYr3!$AM47=BZ$4,ADRYr3!$AN47,0))))*(INDEX(avoidedcosttbl3,$H47,CI$2)+(($H47-ROUNDDOWN($H47,0))*(INDEX(avoidedcosttbl3,ROUNDUP($H47,0),CI$2)-(INDEX(avoidedcosttbl3,ROUNDDOWN($H47,0),CI$2)))))*ADRYr3!P47*ADRYr3!Q47*ADRYr3!U47)</f>
        <v/>
      </c>
      <c r="CJ47" s="30" t="str">
        <f>IF($G47="","",$G47*(IF(ADRYr3!$AI47=CA$4,ADRYr3!$AJ47,IF(ADRYr3!$AK47=CA$4,ADRYr3!$AL47,IF(ADRYr3!$AM47=CA$4,ADRYr3!$AN47,0))))*(INDEX(avoidedcosttbl3,$H47,CJ$2)+(($H47-ROUNDDOWN($H47,0))*(INDEX(avoidedcosttbl3,ROUNDUP($H47,0),CJ$2)-(INDEX(avoidedcosttbl3,ROUNDDOWN($H47,0),CJ$2)))))*ADRYr3!P47*ADRYr3!Q47*ADRYr3!U47)</f>
        <v/>
      </c>
      <c r="CK47" s="30" t="str">
        <f>IF($G47="","",$G47*(IF(ADRYr3!$AI47=CB$4,ADRYr3!$AJ47,IF(ADRYr3!$AK47=CB$4,ADRYr3!$AL47,IF(ADRYr3!$AM47=CB$4,ADRYr3!$AN47,0))))*(INDEX(avoidedcosttbl3,$H47,CK$2)+(($H47-ROUNDDOWN($H47,0))*(INDEX(avoidedcosttbl3,ROUNDUP($H47,0),CK$2)-(INDEX(avoidedcosttbl3,ROUNDDOWN($H47,0),CK$2)))))*ADRYr3!P47*ADRYr3!Q47*ADRYr3!U47)</f>
        <v/>
      </c>
      <c r="CL47" s="30" t="str">
        <f>IF($G47="","",$G47*(IF(ADRYr3!$AI47=CC$4,ADRYr3!$AJ47,IF(ADRYr3!$AK47=CC$4,ADRYr3!$AL47,IF(ADRYr3!$AM47=CC$4,ADRYr3!$AN47,0))))*(INDEX(avoidedcosttbl3,$H47,CL$2)+(($H47-ROUNDDOWN($H47,0))*(INDEX(avoidedcosttbl3,ROUNDUP($H47,0),CL$2)-(INDEX(avoidedcosttbl3,ROUNDDOWN($H47,0),CL$2)))))*ADRYr3!P47*ADRYr3!Q47*ADRYr3!U47)</f>
        <v/>
      </c>
      <c r="CM47" s="30" t="str">
        <f>IF($G47="","",$G47*(IF(ADRYr3!$AI47=CD$4,ADRYr3!$AJ47,IF(ADRYr3!$AK47=CD$4,ADRYr3!$AL47,IF(ADRYr3!$AM47=CD$4,ADRYr3!$AN47,0))))*(INDEX(avoidedcosttbl3,$H47,CM$2)+(($H47-ROUNDDOWN($H47,0))*(INDEX(avoidedcosttbl3,ROUNDUP($H47,0),CM$2)-(INDEX(avoidedcosttbl3,ROUNDDOWN($H47,0),CM$2)))))*ADRYr3!P47*ADRYr3!Q47*ADRYr3!U47)</f>
        <v/>
      </c>
      <c r="CN47" s="30" t="str">
        <f>IF($G47="","",$G47*(IF(ADRYr3!$AI47=CE$4,ADRYr3!$AJ47,IF(ADRYr3!$AK47=CE$4,ADRYr3!$AL47,IF(ADRYr3!$AM47=CE$4,ADRYr3!$AN47,0))))*(INDEX(avoidedcosttbl3,$H47,CN$2)+(($H47-ROUNDDOWN($H47,0))*(INDEX(avoidedcosttbl3,ROUNDUP($H47,0),CN$2)-(INDEX(avoidedcosttbl3,ROUNDDOWN($H47,0),CN$2)))))*ADRYr3!P47*ADRYr3!Q47*ADRYr3!U47)</f>
        <v/>
      </c>
      <c r="CO47" s="220" t="str">
        <f t="shared" si="73"/>
        <v/>
      </c>
      <c r="CP47" s="220" t="str">
        <f t="shared" si="74"/>
        <v/>
      </c>
      <c r="CQ47" s="157" t="str">
        <f>IF($G47="","",$G47*(IF(ADRYr3!$AI47=CQ$4,ADRYr3!$AJ47,IF(ADRYr3!$AK47=CQ$4,ADRYr3!$AL47,IF(ADRYr3!$AM47=CQ$4,ADRYr3!$AN47,0))))*(INDEX(avoidedcosttbl3,$H47,CQ$2)+(($H47-ROUNDDOWN($H47,0))*(INDEX(avoidedcosttbl3,ROUNDUP($H47,0),CQ$2)-(INDEX(avoidedcosttbl3,ROUNDDOWN($H47,0),CQ$2)))))*ADRYr3!$P47*ADRYr3!$Q47*ADRYr3!$U47)</f>
        <v/>
      </c>
      <c r="CR47" s="28" t="str">
        <f>IF($G47="","",G47*(IF(ADRYr3!$AI47=CR$4,ADRYr3!$AJ47,IF(ADRYr3!$AK47=CR$4,ADRYr3!$AL47,IF(ADRYr3!$AM47=CR$4,ADRYr3!$AN47,0))))*(INDEX(avoidedcosttbl3,$H47,CR$2)+(($H47-ROUNDDOWN($H47,0))*(INDEX(avoidedcosttbl3,ROUNDUP($H47,0),CR$2)-(INDEX(avoidedcosttbl3,ROUNDDOWN($H47,0),CR$2)))))*ADRYr3!$P47*ADRYr3!$Q47*ADRYr3!$U47)</f>
        <v/>
      </c>
      <c r="CS47" s="28" t="str">
        <f>IF($G47="","",G47*(IF(ADRYr3!$AI47=CS$4,ADRYr3!$AJ47,IF(ADRYr3!$AK47=CS$4,ADRYr3!$AL47,IF(ADRYr3!$AM47=CS$4,ADRYr3!$AN47,0))))*(INDEX(avoidedcosttbl3,$H47,CS$2)+(($H47-ROUNDDOWN($H47,0))*(INDEX(avoidedcosttbl3,ROUNDUP($H47,0),CS$2)-(INDEX(avoidedcosttbl3,ROUNDDOWN($H47,0),CS$2)))))*ADRYr3!$P47*ADRYr3!$Q47*ADRYr3!$U47)</f>
        <v/>
      </c>
      <c r="CT47" s="28" t="str">
        <f t="shared" si="11"/>
        <v/>
      </c>
      <c r="CU47" s="28" t="str">
        <f>IF($G47="","",G47*(IF(ADRYr3!$AI47=CU$4,ADRYr3!$AJ47,IF(ADRYr3!$AK47=CU$4,ADRYr3!$AL47,IF(ADRYr3!$AM47=CU$4,ADRYr3!$AN47,0))))*(INDEX(avoidedcosttbl3,$H47,CU$2)+(($H47-ROUNDDOWN($H47,0))*(INDEX(avoidedcosttbl3,ROUNDUP($H47,0),CU$2)-(INDEX(avoidedcosttbl3,ROUNDDOWN($H47,0),CU$2)))))*ADRYr3!$P47*ADRYr3!$Q47*ADRYr3!$U47)</f>
        <v/>
      </c>
      <c r="CV47" s="28" t="str">
        <f>IF($G47="","",G47*(IF(ADRYr3!$AI47=CV$4,ADRYr3!$AJ47,IF(ADRYr3!$AK47=CV$4,ADRYr3!$AL47,IF(ADRYr3!$AM47=CV$4,ADRYr3!$AN47,0))))*(INDEX(avoidedcosttbl3,$H47,CV$2)+(($H47-ROUNDDOWN($H47,0))*(INDEX(avoidedcosttbl3,ROUNDUP($H47,0),CV$2)-(INDEX(avoidedcosttbl3,ROUNDDOWN($H47,0),CV$2)))))*ADRYr3!$P47*ADRYr3!$Q47*ADRYr3!$U47)</f>
        <v/>
      </c>
      <c r="CW47" s="28" t="str">
        <f>IF($G47="","",G47*(IF(ADRYr3!$AI47=CW$4,ADRYr3!$AJ47,IF(ADRYr3!$AK47=CW$4,ADRYr3!$AL47,IF(ADRYr3!$AM47=CW$4,ADRYr3!$AN47,0))))*(INDEX(avoidedcosttbl3,$H47,CW$2)+(($H47-ROUNDDOWN($H47,0))*(INDEX(avoidedcosttbl3,ROUNDUP($H47,0),CW$2)-(INDEX(avoidedcosttbl3,ROUNDDOWN($H47,0),CW$2)))))*ADRYr3!$P47*ADRYr3!$Q47*ADRYr3!$U47)</f>
        <v/>
      </c>
      <c r="CX47" s="28" t="str">
        <f>IF($G47="","",G47*(IF(ADRYr3!$AI47=CX$4,ADRYr3!$AJ47,IF(ADRYr3!$AK47=CX$4,ADRYr3!$AL47,IF(ADRYr3!$AM47=CX$4,ADRYr3!$AN47,0))))*(INDEX(avoidedcosttbl3,$H47,CX$2)+(($H47-ROUNDDOWN($H47,0))*(INDEX(avoidedcosttbl3,ROUNDUP($H47,0),CX$2)-(INDEX(avoidedcosttbl3,ROUNDDOWN($H47,0),CX$2)))))*ADRYr3!$P47*ADRYr3!$Q47*ADRYr3!$U47)</f>
        <v/>
      </c>
      <c r="CY47" s="28" t="str">
        <f t="shared" si="75"/>
        <v/>
      </c>
      <c r="CZ47" s="32" t="str">
        <f t="shared" si="76"/>
        <v/>
      </c>
      <c r="DA47" s="84" t="str">
        <f t="shared" si="77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78"/>
        <v/>
      </c>
      <c r="DD47" s="166" t="str">
        <f t="shared" si="79"/>
        <v/>
      </c>
      <c r="DE47" s="82">
        <f t="shared" si="80"/>
        <v>0</v>
      </c>
      <c r="DF47" s="760" t="str">
        <f>IF($G47="","",(1+WntPeakEnergyLL)*(INDEX(avoidedcosttbl3,$H47,DF$2)+(($H47-ROUNDDOWN($H47,0))*(INDEX(avoidedcosttbl3,ROUNDUP($H47,0),DF$2)-(INDEX(avoidedcosttbl3,ROUNDDOWN($H47,0),DF$2)))))*$P47*1000*ADRYr3!Z47)</f>
        <v/>
      </c>
      <c r="DG47" s="760" t="str">
        <f>IF($G47="","",(1+WntOffPeakEnergyLL)*(INDEX(avoidedcosttbl3,$H47,DG$2)+(($H47-ROUNDDOWN($H47,0))*(INDEX(avoidedcosttbl3,ROUNDUP($H47,0),DG$2)-(INDEX(avoidedcosttbl3,ROUNDDOWN($H47,0),DG$2)))))*$P47*1000*ADRYr3!AA47)</f>
        <v/>
      </c>
      <c r="DH47" s="760" t="str">
        <f>IF($G47="","",(1+SumPeakEnergyLL)*(INDEX(avoidedcosttbl3,$H47,DH$2)+(($H47-ROUNDDOWN($H47,0))*(INDEX(avoidedcosttbl3,ROUNDUP($H47,0),DH$2)-(INDEX(avoidedcosttbl3,ROUNDDOWN($H47,0),DH$2)))))*$P47*1000*ADRYr3!AB47)</f>
        <v/>
      </c>
      <c r="DI47" s="760" t="str">
        <f>IF($G47="","",(1+SumOffPeakEnergyLL)*(INDEX(avoidedcosttbl3,$H47,DI$2)+(($H47-ROUNDDOWN($H47,0))*(INDEX(avoidedcosttbl3,ROUNDUP($H47,0),DI$2)-(INDEX(avoidedcosttbl3,ROUNDDOWN($H47,0),DI$2)))))*$P47*1000*ADRYr3!AC47)</f>
        <v/>
      </c>
      <c r="DJ47" s="29" t="str">
        <f t="shared" si="81"/>
        <v/>
      </c>
      <c r="DK47" s="161" t="str">
        <f t="shared" si="83"/>
        <v/>
      </c>
      <c r="DO47" s="1131" t="str">
        <f>IF($G47="","",ADRYr3!AQ47)</f>
        <v/>
      </c>
      <c r="DP47" s="1133" t="str">
        <f>IF($G47="","",ADRYr3!AR47)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49"/>
        <v/>
      </c>
      <c r="DU47" s="1135" t="str">
        <f>IF($G47="","",ADRYr3!AS47)</f>
        <v/>
      </c>
      <c r="DV47" s="1136" t="str">
        <f>IF($G47="","",ADRYr3!AT47)</f>
        <v/>
      </c>
      <c r="DW47" s="1344" t="str">
        <f>IF($G47="","",INDEX(AvoidedEnergy!$H$4:$H$10,MATCH($DO47,AvoidedEnergy!$A$4:$A$10,0)))</f>
        <v/>
      </c>
    </row>
    <row r="48" spans="1:127">
      <c r="A48" s="160" t="str">
        <f>IF(ADRYr3!$B48=0,"",ADRYr3!A48)</f>
        <v/>
      </c>
      <c r="B48" s="9" t="str">
        <f>IF(ADRYr3!$B48=0,"",ADRYr3!B48)</f>
        <v/>
      </c>
      <c r="C48" s="9" t="str">
        <f>IF(ADRYr3!$B48=0,"",ADRYr3!C48)</f>
        <v/>
      </c>
      <c r="D48" s="9" t="str">
        <f>IF(ADRYr3!$B48=0,"",ADRYr3!D48)</f>
        <v/>
      </c>
      <c r="E48" s="9"/>
      <c r="F48" s="11" t="str">
        <f>IF(ADRYr3!$B48=0,"",ADRYr3!F48)</f>
        <v/>
      </c>
      <c r="G48" s="12" t="str">
        <f>IF(ADRYr3!$G48&lt;&gt;0,ADRYr3!G48,"")</f>
        <v/>
      </c>
      <c r="H48" s="1125" t="str">
        <f>IF($G48="","",ROUND(ADRYr3!H48,0))</f>
        <v/>
      </c>
      <c r="I48" s="47" t="str">
        <f>IF($G48="","",ADRYr3!I48*ADRYr3!P48*G48)</f>
        <v/>
      </c>
      <c r="J48" s="47" t="str">
        <f>IF($G48="","",ADRYr3!J48*G48)</f>
        <v/>
      </c>
      <c r="K48" s="47" t="str">
        <f t="shared" si="50"/>
        <v/>
      </c>
      <c r="L48" s="27" t="str">
        <f>IF($G48="","",ADRYr3!V48*G48/1000)</f>
        <v/>
      </c>
      <c r="M48" s="27" t="str">
        <f>IF($G48="","",L48*ADRYr3!$Q48*ADRYr3!$R48)</f>
        <v/>
      </c>
      <c r="N48" s="27" t="str">
        <f t="shared" si="51"/>
        <v/>
      </c>
      <c r="O48" s="27" t="str">
        <f t="shared" si="52"/>
        <v/>
      </c>
      <c r="P48" s="27" t="str">
        <f>IF($G48="","",M48*ADRYr3!P48)</f>
        <v/>
      </c>
      <c r="Q48" s="27" t="str">
        <f t="shared" si="53"/>
        <v/>
      </c>
      <c r="R48" s="27" t="str">
        <f>IF($G48="","",$Q48*ADRYr3!Z48)</f>
        <v/>
      </c>
      <c r="S48" s="27" t="str">
        <f>IF($G48="","",$Q48*ADRYr3!AA48)</f>
        <v/>
      </c>
      <c r="T48" s="27" t="str">
        <f>IF($G48="","",$Q48*ADRYr3!AB48)</f>
        <v/>
      </c>
      <c r="U48" s="27" t="str">
        <f>IF($G48="","",$Q48*ADRYr3!AC48)</f>
        <v/>
      </c>
      <c r="V48" s="27" t="str">
        <f>IF($G48="","",G48*ADRYr3!$AD48*ADRYr3!$P48*ADRYr3!$Q48)</f>
        <v/>
      </c>
      <c r="W48" s="27" t="str">
        <f>IF($G48="","",$G48*ADRYr3!$AD48*ADRYr3!$AF48*ADRYr3!Q48*ADRYr3!$S48)</f>
        <v/>
      </c>
      <c r="X48" s="27" t="str">
        <f>IF($G48="","",$G48*ADRYr3!$AD48*ADRYr3!$AF48*ADRYr3!P48*ADRYr3!Q48*ADRYr3!$S48)</f>
        <v/>
      </c>
      <c r="Y48" s="27" t="str">
        <f>IF($G48="","",$G48*ADRYr3!$AD48*ADRYr3!$AE48*ADRYr3!Q48*ADRYr3!$T48)</f>
        <v/>
      </c>
      <c r="Z48" s="27" t="str">
        <f>IF($G48="","",$G48*ADRYr3!$AD48*ADRYr3!$AE48*ADRYr3!P48*ADRYr3!Q48*ADRYr3!$T48)</f>
        <v/>
      </c>
      <c r="AA48" s="45" t="str">
        <f>IF($G48="","",$G48*ADRYr3!$Q48*ADRYr3!$U48*(IF(IFERROR(SEARCH("NG", ADRYr3!$AI48),0),ADRYr3!$AJ48,0)+IF(IFERROR(SEARCH("NG", ADRYr3!$AK48),0),ADRYr3!$AL48,0)+IF(IFERROR(SEARCH("NG", ADRYr3!$AM48),0),ADRYr3!$AN48,0)))</f>
        <v/>
      </c>
      <c r="AB48" s="45" t="str">
        <f t="shared" si="54"/>
        <v/>
      </c>
      <c r="AC48" s="45">
        <f>IF($G48="",0,AA48*ADRYr3!$P48)</f>
        <v>0</v>
      </c>
      <c r="AD48" s="45" t="str">
        <f t="shared" si="55"/>
        <v/>
      </c>
      <c r="AE48" s="45" t="str">
        <f>IF($G48="","",$G48*ADRYr3!$Q48*ADRYr3!$U48*(IF(IFERROR(SEARCH("Oil", ADRYr3!$AI48), 0),ADRYr3!$AJ48,0)+IF(IFERROR(SEARCH("Oil", ADRYr3!$AK48), 0),ADRYr3!$AL48,0)+IF(IFERROR(SEARCH("Oil", ADRYr3!$AM48), 0),ADRYr3!$AN48,0)))</f>
        <v/>
      </c>
      <c r="AF48" s="45" t="str">
        <f t="shared" si="56"/>
        <v/>
      </c>
      <c r="AG48" s="45">
        <f>IF($G48="",0,AE48*ADRYr3!$P48)</f>
        <v>0</v>
      </c>
      <c r="AH48" s="45" t="str">
        <f t="shared" si="57"/>
        <v/>
      </c>
      <c r="AI48" s="45" t="str">
        <f>IF($G48="","",$G48*ADRYr3!$Q48*ADRYr3!$U48*(IF(ADRYr3!$AI48=Lookups!$E$114,ADRYr3!$AJ48,IF(ADRYr3!$AK48=Lookups!$E$114,ADRYr3!$AL48,IF(ADRYr3!$AM48=Lookups!$E$114,ADRYr3!$AN48,0)))))</f>
        <v/>
      </c>
      <c r="AJ48" s="45" t="str">
        <f t="shared" si="58"/>
        <v/>
      </c>
      <c r="AK48" s="45">
        <f>IF($G48="",0,AI48*ADRYr3!$P48)</f>
        <v>0</v>
      </c>
      <c r="AL48" s="45" t="str">
        <f t="shared" si="59"/>
        <v/>
      </c>
      <c r="AM48" s="45" t="str">
        <f>IF($G48="","",$G48*ADRYr3!$Q48*ADRYr3!$U48*(IF(ADRYr3!$AI48=Lookups!$E$113,ADRYr3!$AJ48,IF(ADRYr3!$AK48=Lookups!$E$113,ADRYr3!$AL48,IF(ADRYr3!$AM48=Lookups!$E$113,ADRYr3!$AN48,0)))))</f>
        <v/>
      </c>
      <c r="AN48" s="45" t="str">
        <f t="shared" si="60"/>
        <v/>
      </c>
      <c r="AO48" s="45">
        <f>IF($G48="",0,AM48*ADRYr3!$P48)</f>
        <v>0</v>
      </c>
      <c r="AP48" s="45" t="str">
        <f t="shared" si="61"/>
        <v/>
      </c>
      <c r="AQ48" s="45" t="str">
        <f>IF($G48="","",$G48*ADRYr3!$Q48*ADRYr3!$U48*(IF(ADRYr3!$AI48=Lookups!$E$115,ADRYr3!$AJ48,IF(ADRYr3!$AK48=Lookups!$E$115,ADRYr3!$AL48,IF(ADRYr3!$AM48=Lookups!$E$115,ADRYr3!$AN48,0)))))</f>
        <v/>
      </c>
      <c r="AR48" s="45" t="str">
        <f t="shared" si="62"/>
        <v/>
      </c>
      <c r="AS48" s="45" t="str">
        <f>IF($G48="","",AQ48*ADRYr3!$P48)</f>
        <v/>
      </c>
      <c r="AT48" s="45" t="str">
        <f t="shared" si="63"/>
        <v/>
      </c>
      <c r="AU48" s="45" t="str">
        <f>IF($G48="","",$G48*ADRYr3!$Q48*ADRYr3!$U48*(IF(ADRYr3!$AI48=Lookups!$E$116,ADRYr3!$AJ48,IF(ADRYr3!$AK48=Lookups!$E$116,ADRYr3!$AL48,IF(ADRYr3!$AM48=Lookups!$E$116,ADRYr3!$AN48,0)))))</f>
        <v/>
      </c>
      <c r="AV48" s="45" t="str">
        <f t="shared" si="64"/>
        <v/>
      </c>
      <c r="AW48" s="45" t="str">
        <f>IF($G48="","",AU48*ADRYr3!$P48)</f>
        <v/>
      </c>
      <c r="AX48" s="45" t="str">
        <f t="shared" si="65"/>
        <v/>
      </c>
      <c r="AY48" s="45">
        <f t="shared" si="66"/>
        <v>0</v>
      </c>
      <c r="AZ48" s="45">
        <f t="shared" si="67"/>
        <v>0</v>
      </c>
      <c r="BA48" s="101" t="str">
        <f>IF($G48="","",$G48*ADRYr3!$P48*ADRYr3!$Q48*ADRYr3!$U48*ADRYr3!AO48)</f>
        <v/>
      </c>
      <c r="BB48" s="102" t="str">
        <f>IF($G48="","",$G48*ADRYr3!$P48*ADRYr3!$Q48*ADRYr3!$U48*ADRYr3!AP48)</f>
        <v/>
      </c>
      <c r="BC48" s="100" t="str">
        <f t="shared" si="68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31"/>
        <v/>
      </c>
      <c r="BO48" s="31" t="str">
        <f t="shared" si="69"/>
        <v/>
      </c>
      <c r="BP48" s="1129" t="str">
        <f t="shared" si="5"/>
        <v/>
      </c>
      <c r="BQ48" s="28" t="str">
        <f t="shared" si="6"/>
        <v/>
      </c>
      <c r="BR48" s="1129" t="str">
        <f t="shared" si="7"/>
        <v/>
      </c>
      <c r="BS48" s="1129" t="str">
        <f t="shared" si="8"/>
        <v/>
      </c>
      <c r="BT48" s="28" t="str">
        <f t="shared" si="82"/>
        <v/>
      </c>
      <c r="BU48" s="28" t="str">
        <f t="shared" si="82"/>
        <v/>
      </c>
      <c r="BV48" s="28" t="str">
        <f t="shared" si="82"/>
        <v/>
      </c>
      <c r="BW48" s="29" t="str">
        <f t="shared" si="70"/>
        <v/>
      </c>
      <c r="BX48" s="29" t="str">
        <f t="shared" si="71"/>
        <v/>
      </c>
      <c r="BY48" s="28" t="str">
        <f>IF($G48="","",$G48*(IF(ADRYr3!$AI48=BY$4,ADRYr3!$AJ48,IF(ADRYr3!$AK48=BY$4,ADRYr3!$AL48,IF(ADRYr3!$AM48=BY$4,ADRYr3!$AN48,0))))*(INDEX(avoidedcosttbl3,$H48,BY$2)+(($H48-ROUNDDOWN($H48,0))*(INDEX(avoidedcosttbl3,ROUNDUP($H48,0),BY$2)-(INDEX(avoidedcosttbl3,ROUNDDOWN($H48,0),BY$2)))))*ADRYr3!P48*ADRYr3!Q48*ADRYr3!U48)</f>
        <v/>
      </c>
      <c r="BZ48" s="28" t="str">
        <f>IF($G48="","",$G48*(IF(ADRYr3!$AI48=BZ$4,ADRYr3!$AJ48,IF(ADRYr3!$AK48=BZ$4,ADRYr3!$AL48,IF(ADRYr3!$AM48=BZ$4,ADRYr3!$AN48,0))))*(INDEX(avoidedcosttbl3,$H48,BZ$2)+(($H48-ROUNDDOWN($H48,0))*(INDEX(avoidedcosttbl3,ROUNDUP($H48,0),BZ$2)-(INDEX(avoidedcosttbl3,ROUNDDOWN($H48,0),BZ$2)))))*ADRYr3!P48*ADRYr3!Q48*ADRYr3!U48)</f>
        <v/>
      </c>
      <c r="CA48" s="28" t="str">
        <f>IF($G48="","",$G48*(IF(ADRYr3!$AI48=CA$4,ADRYr3!$AJ48,IF(ADRYr3!$AK48=CA$4,ADRYr3!$AL48,IF(ADRYr3!$AM48=CA$4,ADRYr3!$AN48,0))))*(INDEX(avoidedcosttbl3,$H48,CA$2)+(($H48-ROUNDDOWN($H48,0))*(INDEX(avoidedcosttbl3,ROUNDUP($H48,0),CA$2)-(INDEX(avoidedcosttbl3,ROUNDDOWN($H48,0),CA$2)))))*ADRYr3!P48*ADRYr3!Q48*ADRYr3!U48)</f>
        <v/>
      </c>
      <c r="CB48" s="28" t="str">
        <f>IF($G48="","",$G48*(IF(ADRYr3!$AI48=CB$4,ADRYr3!$AJ48,IF(ADRYr3!$AK48=CB$4,ADRYr3!$AL48,IF(ADRYr3!$AM48=CB$4,ADRYr3!$AN48,0))))*(INDEX(avoidedcosttbl3,$H48,CB$2)+(($H48-ROUNDDOWN($H48,0))*(INDEX(avoidedcosttbl3,ROUNDUP($H48,0),CB$2)-(INDEX(avoidedcosttbl3,ROUNDDOWN($H48,0),CB$2)))))*ADRYr3!P48*ADRYr3!Q48*ADRYr3!U48)</f>
        <v/>
      </c>
      <c r="CC48" s="28" t="str">
        <f>IF($G48="","",$G48*(IF(ADRYr3!$AI48=CC$4,ADRYr3!$AJ48,IF(ADRYr3!$AK48=CC$4,ADRYr3!$AL48,IF(ADRYr3!$AM48=CC$4,ADRYr3!$AN48,0))))*(INDEX(avoidedcosttbl3,$H48,CC$2)+(($H48-ROUNDDOWN($H48,0))*(INDEX(avoidedcosttbl3,ROUNDUP($H48,0),CC$2)-(INDEX(avoidedcosttbl3,ROUNDDOWN($H48,0),CC$2)))))*ADRYr3!P48*ADRYr3!Q48*ADRYr3!U48)</f>
        <v/>
      </c>
      <c r="CD48" s="28" t="str">
        <f>IF($G48="","",$G48*(IF(ADRYr3!$AI48=CD$4,ADRYr3!$AJ48,IF(ADRYr3!$AK48=CD$4,ADRYr3!$AL48,IF(ADRYr3!$AM48=CD$4,ADRYr3!$AN48,0))))*(INDEX(avoidedcosttbl3,$H48,CD$2)+(($H48-ROUNDDOWN($H48,0))*(INDEX(avoidedcosttbl3,ROUNDUP($H48,0),CD$2)-(INDEX(avoidedcosttbl3,ROUNDDOWN($H48,0),CD$2)))))*ADRYr3!P48*ADRYr3!Q48*ADRYr3!U48)</f>
        <v/>
      </c>
      <c r="CE48" s="28" t="str">
        <f>IF($G48="","",$G48*(IF(ADRYr3!$AI48=CE$4,ADRYr3!$AJ48,IF(ADRYr3!$AK48=CE$4,ADRYr3!$AL48,IF(ADRYr3!$AM48=CE$4,ADRYr3!$AN48,0))))*(INDEX(avoidedcosttbl3,$H48,CE$2)+(($H48-ROUNDDOWN($H48,0))*(INDEX(avoidedcosttbl3,ROUNDUP($H48,0),CE$2)-(INDEX(avoidedcosttbl3,ROUNDDOWN($H48,0),CE$2)))))*ADRYr3!P48*ADRYr3!Q48*ADRYr3!U48)</f>
        <v/>
      </c>
      <c r="CF48" s="41" t="str">
        <f t="shared" si="72"/>
        <v/>
      </c>
      <c r="CG48" s="30" t="str">
        <f t="shared" si="10"/>
        <v/>
      </c>
      <c r="CH48" s="30" t="str">
        <f>IF($G48="","",$G48*(IF(ADRYr3!$AI48=BY$4,ADRYr3!$AJ48,IF(ADRYr3!$AK48=BY$4,ADRYr3!$AL48,IF(ADRYr3!$AM48=BY$4,ADRYr3!$AN48,0))))*(INDEX(avoidedcosttbl3,$H48,CH$2)+(($H48-ROUNDDOWN($H48,0))*(INDEX(avoidedcosttbl3,ROUNDUP($H48,0),CH$2)-(INDEX(avoidedcosttbl3,ROUNDDOWN($H48,0),CH$2)))))*ADRYr3!P48*ADRYr3!Q48*ADRYr3!U48)</f>
        <v/>
      </c>
      <c r="CI48" s="30" t="str">
        <f>IF($G48="","",$G48*(IF(ADRYr3!$AI48=BZ$4,ADRYr3!$AJ48,IF(ADRYr3!$AK48=BZ$4,ADRYr3!$AL48,IF(ADRYr3!$AM48=BZ$4,ADRYr3!$AN48,0))))*(INDEX(avoidedcosttbl3,$H48,CI$2)+(($H48-ROUNDDOWN($H48,0))*(INDEX(avoidedcosttbl3,ROUNDUP($H48,0),CI$2)-(INDEX(avoidedcosttbl3,ROUNDDOWN($H48,0),CI$2)))))*ADRYr3!P48*ADRYr3!Q48*ADRYr3!U48)</f>
        <v/>
      </c>
      <c r="CJ48" s="30" t="str">
        <f>IF($G48="","",$G48*(IF(ADRYr3!$AI48=CA$4,ADRYr3!$AJ48,IF(ADRYr3!$AK48=CA$4,ADRYr3!$AL48,IF(ADRYr3!$AM48=CA$4,ADRYr3!$AN48,0))))*(INDEX(avoidedcosttbl3,$H48,CJ$2)+(($H48-ROUNDDOWN($H48,0))*(INDEX(avoidedcosttbl3,ROUNDUP($H48,0),CJ$2)-(INDEX(avoidedcosttbl3,ROUNDDOWN($H48,0),CJ$2)))))*ADRYr3!P48*ADRYr3!Q48*ADRYr3!U48)</f>
        <v/>
      </c>
      <c r="CK48" s="30" t="str">
        <f>IF($G48="","",$G48*(IF(ADRYr3!$AI48=CB$4,ADRYr3!$AJ48,IF(ADRYr3!$AK48=CB$4,ADRYr3!$AL48,IF(ADRYr3!$AM48=CB$4,ADRYr3!$AN48,0))))*(INDEX(avoidedcosttbl3,$H48,CK$2)+(($H48-ROUNDDOWN($H48,0))*(INDEX(avoidedcosttbl3,ROUNDUP($H48,0),CK$2)-(INDEX(avoidedcosttbl3,ROUNDDOWN($H48,0),CK$2)))))*ADRYr3!P48*ADRYr3!Q48*ADRYr3!U48)</f>
        <v/>
      </c>
      <c r="CL48" s="30" t="str">
        <f>IF($G48="","",$G48*(IF(ADRYr3!$AI48=CC$4,ADRYr3!$AJ48,IF(ADRYr3!$AK48=CC$4,ADRYr3!$AL48,IF(ADRYr3!$AM48=CC$4,ADRYr3!$AN48,0))))*(INDEX(avoidedcosttbl3,$H48,CL$2)+(($H48-ROUNDDOWN($H48,0))*(INDEX(avoidedcosttbl3,ROUNDUP($H48,0),CL$2)-(INDEX(avoidedcosttbl3,ROUNDDOWN($H48,0),CL$2)))))*ADRYr3!P48*ADRYr3!Q48*ADRYr3!U48)</f>
        <v/>
      </c>
      <c r="CM48" s="30" t="str">
        <f>IF($G48="","",$G48*(IF(ADRYr3!$AI48=CD$4,ADRYr3!$AJ48,IF(ADRYr3!$AK48=CD$4,ADRYr3!$AL48,IF(ADRYr3!$AM48=CD$4,ADRYr3!$AN48,0))))*(INDEX(avoidedcosttbl3,$H48,CM$2)+(($H48-ROUNDDOWN($H48,0))*(INDEX(avoidedcosttbl3,ROUNDUP($H48,0),CM$2)-(INDEX(avoidedcosttbl3,ROUNDDOWN($H48,0),CM$2)))))*ADRYr3!P48*ADRYr3!Q48*ADRYr3!U48)</f>
        <v/>
      </c>
      <c r="CN48" s="30" t="str">
        <f>IF($G48="","",$G48*(IF(ADRYr3!$AI48=CE$4,ADRYr3!$AJ48,IF(ADRYr3!$AK48=CE$4,ADRYr3!$AL48,IF(ADRYr3!$AM48=CE$4,ADRYr3!$AN48,0))))*(INDEX(avoidedcosttbl3,$H48,CN$2)+(($H48-ROUNDDOWN($H48,0))*(INDEX(avoidedcosttbl3,ROUNDUP($H48,0),CN$2)-(INDEX(avoidedcosttbl3,ROUNDDOWN($H48,0),CN$2)))))*ADRYr3!P48*ADRYr3!Q48*ADRYr3!U48)</f>
        <v/>
      </c>
      <c r="CO48" s="220" t="str">
        <f t="shared" si="73"/>
        <v/>
      </c>
      <c r="CP48" s="220" t="str">
        <f t="shared" si="74"/>
        <v/>
      </c>
      <c r="CQ48" s="157" t="str">
        <f>IF($G48="","",$G48*(IF(ADRYr3!$AI48=CQ$4,ADRYr3!$AJ48,IF(ADRYr3!$AK48=CQ$4,ADRYr3!$AL48,IF(ADRYr3!$AM48=CQ$4,ADRYr3!$AN48,0))))*(INDEX(avoidedcosttbl3,$H48,CQ$2)+(($H48-ROUNDDOWN($H48,0))*(INDEX(avoidedcosttbl3,ROUNDUP($H48,0),CQ$2)-(INDEX(avoidedcosttbl3,ROUNDDOWN($H48,0),CQ$2)))))*ADRYr3!$P48*ADRYr3!$Q48*ADRYr3!$U48)</f>
        <v/>
      </c>
      <c r="CR48" s="28" t="str">
        <f>IF($G48="","",G48*(IF(ADRYr3!$AI48=CR$4,ADRYr3!$AJ48,IF(ADRYr3!$AK48=CR$4,ADRYr3!$AL48,IF(ADRYr3!$AM48=CR$4,ADRYr3!$AN48,0))))*(INDEX(avoidedcosttbl3,$H48,CR$2)+(($H48-ROUNDDOWN($H48,0))*(INDEX(avoidedcosttbl3,ROUNDUP($H48,0),CR$2)-(INDEX(avoidedcosttbl3,ROUNDDOWN($H48,0),CR$2)))))*ADRYr3!$P48*ADRYr3!$Q48*ADRYr3!$U48)</f>
        <v/>
      </c>
      <c r="CS48" s="28" t="str">
        <f>IF($G48="","",G48*(IF(ADRYr3!$AI48=CS$4,ADRYr3!$AJ48,IF(ADRYr3!$AK48=CS$4,ADRYr3!$AL48,IF(ADRYr3!$AM48=CS$4,ADRYr3!$AN48,0))))*(INDEX(avoidedcosttbl3,$H48,CS$2)+(($H48-ROUNDDOWN($H48,0))*(INDEX(avoidedcosttbl3,ROUNDUP($H48,0),CS$2)-(INDEX(avoidedcosttbl3,ROUNDDOWN($H48,0),CS$2)))))*ADRYr3!$P48*ADRYr3!$Q48*ADRYr3!$U48)</f>
        <v/>
      </c>
      <c r="CT48" s="28" t="str">
        <f t="shared" si="11"/>
        <v/>
      </c>
      <c r="CU48" s="28" t="str">
        <f>IF($G48="","",G48*(IF(ADRYr3!$AI48=CU$4,ADRYr3!$AJ48,IF(ADRYr3!$AK48=CU$4,ADRYr3!$AL48,IF(ADRYr3!$AM48=CU$4,ADRYr3!$AN48,0))))*(INDEX(avoidedcosttbl3,$H48,CU$2)+(($H48-ROUNDDOWN($H48,0))*(INDEX(avoidedcosttbl3,ROUNDUP($H48,0),CU$2)-(INDEX(avoidedcosttbl3,ROUNDDOWN($H48,0),CU$2)))))*ADRYr3!$P48*ADRYr3!$Q48*ADRYr3!$U48)</f>
        <v/>
      </c>
      <c r="CV48" s="28" t="str">
        <f>IF($G48="","",G48*(IF(ADRYr3!$AI48=CV$4,ADRYr3!$AJ48,IF(ADRYr3!$AK48=CV$4,ADRYr3!$AL48,IF(ADRYr3!$AM48=CV$4,ADRYr3!$AN48,0))))*(INDEX(avoidedcosttbl3,$H48,CV$2)+(($H48-ROUNDDOWN($H48,0))*(INDEX(avoidedcosttbl3,ROUNDUP($H48,0),CV$2)-(INDEX(avoidedcosttbl3,ROUNDDOWN($H48,0),CV$2)))))*ADRYr3!$P48*ADRYr3!$Q48*ADRYr3!$U48)</f>
        <v/>
      </c>
      <c r="CW48" s="28" t="str">
        <f>IF($G48="","",G48*(IF(ADRYr3!$AI48=CW$4,ADRYr3!$AJ48,IF(ADRYr3!$AK48=CW$4,ADRYr3!$AL48,IF(ADRYr3!$AM48=CW$4,ADRYr3!$AN48,0))))*(INDEX(avoidedcosttbl3,$H48,CW$2)+(($H48-ROUNDDOWN($H48,0))*(INDEX(avoidedcosttbl3,ROUNDUP($H48,0),CW$2)-(INDEX(avoidedcosttbl3,ROUNDDOWN($H48,0),CW$2)))))*ADRYr3!$P48*ADRYr3!$Q48*ADRYr3!$U48)</f>
        <v/>
      </c>
      <c r="CX48" s="28" t="str">
        <f>IF($G48="","",G48*(IF(ADRYr3!$AI48=CX$4,ADRYr3!$AJ48,IF(ADRYr3!$AK48=CX$4,ADRYr3!$AL48,IF(ADRYr3!$AM48=CX$4,ADRYr3!$AN48,0))))*(INDEX(avoidedcosttbl3,$H48,CX$2)+(($H48-ROUNDDOWN($H48,0))*(INDEX(avoidedcosttbl3,ROUNDUP($H48,0),CX$2)-(INDEX(avoidedcosttbl3,ROUNDDOWN($H48,0),CX$2)))))*ADRYr3!$P48*ADRYr3!$Q48*ADRYr3!$U48)</f>
        <v/>
      </c>
      <c r="CY48" s="28" t="str">
        <f t="shared" si="75"/>
        <v/>
      </c>
      <c r="CZ48" s="32" t="str">
        <f t="shared" si="76"/>
        <v/>
      </c>
      <c r="DA48" s="84" t="str">
        <f t="shared" si="77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78"/>
        <v/>
      </c>
      <c r="DD48" s="166" t="str">
        <f t="shared" si="79"/>
        <v/>
      </c>
      <c r="DE48" s="82">
        <f t="shared" si="80"/>
        <v>0</v>
      </c>
      <c r="DF48" s="760" t="str">
        <f>IF($G48="","",(1+WntPeakEnergyLL)*(INDEX(avoidedcosttbl3,$H48,DF$2)+(($H48-ROUNDDOWN($H48,0))*(INDEX(avoidedcosttbl3,ROUNDUP($H48,0),DF$2)-(INDEX(avoidedcosttbl3,ROUNDDOWN($H48,0),DF$2)))))*$P48*1000*ADRYr3!Z48)</f>
        <v/>
      </c>
      <c r="DG48" s="760" t="str">
        <f>IF($G48="","",(1+WntOffPeakEnergyLL)*(INDEX(avoidedcosttbl3,$H48,DG$2)+(($H48-ROUNDDOWN($H48,0))*(INDEX(avoidedcosttbl3,ROUNDUP($H48,0),DG$2)-(INDEX(avoidedcosttbl3,ROUNDDOWN($H48,0),DG$2)))))*$P48*1000*ADRYr3!AA48)</f>
        <v/>
      </c>
      <c r="DH48" s="760" t="str">
        <f>IF($G48="","",(1+SumPeakEnergyLL)*(INDEX(avoidedcosttbl3,$H48,DH$2)+(($H48-ROUNDDOWN($H48,0))*(INDEX(avoidedcosttbl3,ROUNDUP($H48,0),DH$2)-(INDEX(avoidedcosttbl3,ROUNDDOWN($H48,0),DH$2)))))*$P48*1000*ADRYr3!AB48)</f>
        <v/>
      </c>
      <c r="DI48" s="760" t="str">
        <f>IF($G48="","",(1+SumOffPeakEnergyLL)*(INDEX(avoidedcosttbl3,$H48,DI$2)+(($H48-ROUNDDOWN($H48,0))*(INDEX(avoidedcosttbl3,ROUNDUP($H48,0),DI$2)-(INDEX(avoidedcosttbl3,ROUNDDOWN($H48,0),DI$2)))))*$P48*1000*ADRYr3!AC48)</f>
        <v/>
      </c>
      <c r="DJ48" s="29" t="str">
        <f t="shared" si="81"/>
        <v/>
      </c>
      <c r="DK48" s="161" t="str">
        <f t="shared" si="83"/>
        <v/>
      </c>
      <c r="DO48" s="1131" t="str">
        <f>IF($G48="","",ADRYr3!AQ48)</f>
        <v/>
      </c>
      <c r="DP48" s="1133" t="str">
        <f>IF($G48="","",ADRYr3!AR48)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49"/>
        <v/>
      </c>
      <c r="DU48" s="1135" t="str">
        <f>IF($G48="","",ADRYr3!AS48)</f>
        <v/>
      </c>
      <c r="DV48" s="1136" t="str">
        <f>IF($G48="","",ADRYr3!AT48)</f>
        <v/>
      </c>
      <c r="DW48" s="1344" t="str">
        <f>IF($G48="","",INDEX(AvoidedEnergy!$H$4:$H$10,MATCH($DO48,AvoidedEnergy!$A$4:$A$10,0)))</f>
        <v/>
      </c>
    </row>
    <row r="49" spans="1:127">
      <c r="A49" s="160" t="str">
        <f>IF(ADRYr3!$B49=0,"",ADRYr3!A49)</f>
        <v/>
      </c>
      <c r="B49" s="9" t="str">
        <f>IF(ADRYr3!$B49=0,"",ADRYr3!B49)</f>
        <v/>
      </c>
      <c r="C49" s="9" t="str">
        <f>IF(ADRYr3!$B49=0,"",ADRYr3!C49)</f>
        <v/>
      </c>
      <c r="D49" s="9" t="str">
        <f>IF(ADRYr3!$B49=0,"",ADRYr3!D49)</f>
        <v/>
      </c>
      <c r="E49" s="9"/>
      <c r="F49" s="11" t="str">
        <f>IF(ADRYr3!$B49=0,"",ADRYr3!F49)</f>
        <v/>
      </c>
      <c r="G49" s="12" t="str">
        <f>IF(ADRYr3!$G49&lt;&gt;0,ADRYr3!G49,"")</f>
        <v/>
      </c>
      <c r="H49" s="1125" t="str">
        <f>IF($G49="","",ROUND(ADRYr3!H49,0))</f>
        <v/>
      </c>
      <c r="I49" s="47" t="str">
        <f>IF($G49="","",ADRYr3!I49*ADRYr3!P49*G49)</f>
        <v/>
      </c>
      <c r="J49" s="47" t="str">
        <f>IF($G49="","",ADRYr3!J49*G49)</f>
        <v/>
      </c>
      <c r="K49" s="47" t="str">
        <f t="shared" si="50"/>
        <v/>
      </c>
      <c r="L49" s="27" t="str">
        <f>IF($G49="","",ADRYr3!V49*G49/1000)</f>
        <v/>
      </c>
      <c r="M49" s="27" t="str">
        <f>IF($G49="","",L49*ADRYr3!$Q49*ADRYr3!$R49)</f>
        <v/>
      </c>
      <c r="N49" s="27" t="str">
        <f t="shared" si="51"/>
        <v/>
      </c>
      <c r="O49" s="27" t="str">
        <f t="shared" si="52"/>
        <v/>
      </c>
      <c r="P49" s="27" t="str">
        <f>IF($G49="","",M49*ADRYr3!P49)</f>
        <v/>
      </c>
      <c r="Q49" s="27" t="str">
        <f t="shared" si="53"/>
        <v/>
      </c>
      <c r="R49" s="27" t="str">
        <f>IF($G49="","",$Q49*ADRYr3!Z49)</f>
        <v/>
      </c>
      <c r="S49" s="27" t="str">
        <f>IF($G49="","",$Q49*ADRYr3!AA49)</f>
        <v/>
      </c>
      <c r="T49" s="27" t="str">
        <f>IF($G49="","",$Q49*ADRYr3!AB49)</f>
        <v/>
      </c>
      <c r="U49" s="27" t="str">
        <f>IF($G49="","",$Q49*ADRYr3!AC49)</f>
        <v/>
      </c>
      <c r="V49" s="27" t="str">
        <f>IF($G49="","",G49*ADRYr3!$AD49*ADRYr3!$P49*ADRYr3!$Q49)</f>
        <v/>
      </c>
      <c r="W49" s="27" t="str">
        <f>IF($G49="","",$G49*ADRYr3!$AD49*ADRYr3!$AF49*ADRYr3!Q49*ADRYr3!$S49)</f>
        <v/>
      </c>
      <c r="X49" s="27" t="str">
        <f>IF($G49="","",$G49*ADRYr3!$AD49*ADRYr3!$AF49*ADRYr3!P49*ADRYr3!Q49*ADRYr3!$S49)</f>
        <v/>
      </c>
      <c r="Y49" s="27" t="str">
        <f>IF($G49="","",$G49*ADRYr3!$AD49*ADRYr3!$AE49*ADRYr3!Q49*ADRYr3!$T49)</f>
        <v/>
      </c>
      <c r="Z49" s="27" t="str">
        <f>IF($G49="","",$G49*ADRYr3!$AD49*ADRYr3!$AE49*ADRYr3!P49*ADRYr3!Q49*ADRYr3!$T49)</f>
        <v/>
      </c>
      <c r="AA49" s="45" t="str">
        <f>IF($G49="","",$G49*ADRYr3!$Q49*ADRYr3!$U49*(IF(IFERROR(SEARCH("NG", ADRYr3!$AI49),0),ADRYr3!$AJ49,0)+IF(IFERROR(SEARCH("NG", ADRYr3!$AK49),0),ADRYr3!$AL49,0)+IF(IFERROR(SEARCH("NG", ADRYr3!$AM49),0),ADRYr3!$AN49,0)))</f>
        <v/>
      </c>
      <c r="AB49" s="45" t="str">
        <f t="shared" si="54"/>
        <v/>
      </c>
      <c r="AC49" s="45">
        <f>IF($G49="",0,AA49*ADRYr3!$P49)</f>
        <v>0</v>
      </c>
      <c r="AD49" s="45" t="str">
        <f t="shared" si="55"/>
        <v/>
      </c>
      <c r="AE49" s="45" t="str">
        <f>IF($G49="","",$G49*ADRYr3!$Q49*ADRYr3!$U49*(IF(IFERROR(SEARCH("Oil", ADRYr3!$AI49), 0),ADRYr3!$AJ49,0)+IF(IFERROR(SEARCH("Oil", ADRYr3!$AK49), 0),ADRYr3!$AL49,0)+IF(IFERROR(SEARCH("Oil", ADRYr3!$AM49), 0),ADRYr3!$AN49,0)))</f>
        <v/>
      </c>
      <c r="AF49" s="45" t="str">
        <f t="shared" si="56"/>
        <v/>
      </c>
      <c r="AG49" s="45">
        <f>IF($G49="",0,AE49*ADRYr3!$P49)</f>
        <v>0</v>
      </c>
      <c r="AH49" s="45" t="str">
        <f t="shared" si="57"/>
        <v/>
      </c>
      <c r="AI49" s="45" t="str">
        <f>IF($G49="","",$G49*ADRYr3!$Q49*ADRYr3!$U49*(IF(ADRYr3!$AI49=Lookups!$E$114,ADRYr3!$AJ49,IF(ADRYr3!$AK49=Lookups!$E$114,ADRYr3!$AL49,IF(ADRYr3!$AM49=Lookups!$E$114,ADRYr3!$AN49,0)))))</f>
        <v/>
      </c>
      <c r="AJ49" s="45" t="str">
        <f t="shared" si="58"/>
        <v/>
      </c>
      <c r="AK49" s="45">
        <f>IF($G49="",0,AI49*ADRYr3!$P49)</f>
        <v>0</v>
      </c>
      <c r="AL49" s="45" t="str">
        <f t="shared" si="59"/>
        <v/>
      </c>
      <c r="AM49" s="45" t="str">
        <f>IF($G49="","",$G49*ADRYr3!$Q49*ADRYr3!$U49*(IF(ADRYr3!$AI49=Lookups!$E$113,ADRYr3!$AJ49,IF(ADRYr3!$AK49=Lookups!$E$113,ADRYr3!$AL49,IF(ADRYr3!$AM49=Lookups!$E$113,ADRYr3!$AN49,0)))))</f>
        <v/>
      </c>
      <c r="AN49" s="45" t="str">
        <f t="shared" si="60"/>
        <v/>
      </c>
      <c r="AO49" s="45">
        <f>IF($G49="",0,AM49*ADRYr3!$P49)</f>
        <v>0</v>
      </c>
      <c r="AP49" s="45" t="str">
        <f t="shared" si="61"/>
        <v/>
      </c>
      <c r="AQ49" s="45" t="str">
        <f>IF($G49="","",$G49*ADRYr3!$Q49*ADRYr3!$U49*(IF(ADRYr3!$AI49=Lookups!$E$115,ADRYr3!$AJ49,IF(ADRYr3!$AK49=Lookups!$E$115,ADRYr3!$AL49,IF(ADRYr3!$AM49=Lookups!$E$115,ADRYr3!$AN49,0)))))</f>
        <v/>
      </c>
      <c r="AR49" s="45" t="str">
        <f t="shared" si="62"/>
        <v/>
      </c>
      <c r="AS49" s="45" t="str">
        <f>IF($G49="","",AQ49*ADRYr3!$P49)</f>
        <v/>
      </c>
      <c r="AT49" s="45" t="str">
        <f t="shared" si="63"/>
        <v/>
      </c>
      <c r="AU49" s="45" t="str">
        <f>IF($G49="","",$G49*ADRYr3!$Q49*ADRYr3!$U49*(IF(ADRYr3!$AI49=Lookups!$E$116,ADRYr3!$AJ49,IF(ADRYr3!$AK49=Lookups!$E$116,ADRYr3!$AL49,IF(ADRYr3!$AM49=Lookups!$E$116,ADRYr3!$AN49,0)))))</f>
        <v/>
      </c>
      <c r="AV49" s="45" t="str">
        <f t="shared" si="64"/>
        <v/>
      </c>
      <c r="AW49" s="45" t="str">
        <f>IF($G49="","",AU49*ADRYr3!$P49)</f>
        <v/>
      </c>
      <c r="AX49" s="45" t="str">
        <f t="shared" si="65"/>
        <v/>
      </c>
      <c r="AY49" s="45">
        <f t="shared" si="66"/>
        <v>0</v>
      </c>
      <c r="AZ49" s="45">
        <f t="shared" si="67"/>
        <v>0</v>
      </c>
      <c r="BA49" s="101" t="str">
        <f>IF($G49="","",$G49*ADRYr3!$P49*ADRYr3!$Q49*ADRYr3!$U49*ADRYr3!AO49)</f>
        <v/>
      </c>
      <c r="BB49" s="102" t="str">
        <f>IF($G49="","",$G49*ADRYr3!$P49*ADRYr3!$Q49*ADRYr3!$U49*ADRYr3!AP49)</f>
        <v/>
      </c>
      <c r="BC49" s="100" t="str">
        <f t="shared" si="68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31"/>
        <v/>
      </c>
      <c r="BO49" s="31" t="str">
        <f t="shared" si="69"/>
        <v/>
      </c>
      <c r="BP49" s="1129" t="str">
        <f t="shared" si="5"/>
        <v/>
      </c>
      <c r="BQ49" s="28" t="str">
        <f t="shared" si="6"/>
        <v/>
      </c>
      <c r="BR49" s="1129" t="str">
        <f t="shared" si="7"/>
        <v/>
      </c>
      <c r="BS49" s="1129" t="str">
        <f t="shared" si="8"/>
        <v/>
      </c>
      <c r="BT49" s="28" t="str">
        <f t="shared" si="82"/>
        <v/>
      </c>
      <c r="BU49" s="28" t="str">
        <f t="shared" si="82"/>
        <v/>
      </c>
      <c r="BV49" s="28" t="str">
        <f t="shared" si="82"/>
        <v/>
      </c>
      <c r="BW49" s="29" t="str">
        <f t="shared" si="70"/>
        <v/>
      </c>
      <c r="BX49" s="29" t="str">
        <f t="shared" si="71"/>
        <v/>
      </c>
      <c r="BY49" s="28" t="str">
        <f>IF($G49="","",$G49*(IF(ADRYr3!$AI49=BY$4,ADRYr3!$AJ49,IF(ADRYr3!$AK49=BY$4,ADRYr3!$AL49,IF(ADRYr3!$AM49=BY$4,ADRYr3!$AN49,0))))*(INDEX(avoidedcosttbl3,$H49,BY$2)+(($H49-ROUNDDOWN($H49,0))*(INDEX(avoidedcosttbl3,ROUNDUP($H49,0),BY$2)-(INDEX(avoidedcosttbl3,ROUNDDOWN($H49,0),BY$2)))))*ADRYr3!P49*ADRYr3!Q49*ADRYr3!U49)</f>
        <v/>
      </c>
      <c r="BZ49" s="28" t="str">
        <f>IF($G49="","",$G49*(IF(ADRYr3!$AI49=BZ$4,ADRYr3!$AJ49,IF(ADRYr3!$AK49=BZ$4,ADRYr3!$AL49,IF(ADRYr3!$AM49=BZ$4,ADRYr3!$AN49,0))))*(INDEX(avoidedcosttbl3,$H49,BZ$2)+(($H49-ROUNDDOWN($H49,0))*(INDEX(avoidedcosttbl3,ROUNDUP($H49,0),BZ$2)-(INDEX(avoidedcosttbl3,ROUNDDOWN($H49,0),BZ$2)))))*ADRYr3!P49*ADRYr3!Q49*ADRYr3!U49)</f>
        <v/>
      </c>
      <c r="CA49" s="28" t="str">
        <f>IF($G49="","",$G49*(IF(ADRYr3!$AI49=CA$4,ADRYr3!$AJ49,IF(ADRYr3!$AK49=CA$4,ADRYr3!$AL49,IF(ADRYr3!$AM49=CA$4,ADRYr3!$AN49,0))))*(INDEX(avoidedcosttbl3,$H49,CA$2)+(($H49-ROUNDDOWN($H49,0))*(INDEX(avoidedcosttbl3,ROUNDUP($H49,0),CA$2)-(INDEX(avoidedcosttbl3,ROUNDDOWN($H49,0),CA$2)))))*ADRYr3!P49*ADRYr3!Q49*ADRYr3!U49)</f>
        <v/>
      </c>
      <c r="CB49" s="28" t="str">
        <f>IF($G49="","",$G49*(IF(ADRYr3!$AI49=CB$4,ADRYr3!$AJ49,IF(ADRYr3!$AK49=CB$4,ADRYr3!$AL49,IF(ADRYr3!$AM49=CB$4,ADRYr3!$AN49,0))))*(INDEX(avoidedcosttbl3,$H49,CB$2)+(($H49-ROUNDDOWN($H49,0))*(INDEX(avoidedcosttbl3,ROUNDUP($H49,0),CB$2)-(INDEX(avoidedcosttbl3,ROUNDDOWN($H49,0),CB$2)))))*ADRYr3!P49*ADRYr3!Q49*ADRYr3!U49)</f>
        <v/>
      </c>
      <c r="CC49" s="28" t="str">
        <f>IF($G49="","",$G49*(IF(ADRYr3!$AI49=CC$4,ADRYr3!$AJ49,IF(ADRYr3!$AK49=CC$4,ADRYr3!$AL49,IF(ADRYr3!$AM49=CC$4,ADRYr3!$AN49,0))))*(INDEX(avoidedcosttbl3,$H49,CC$2)+(($H49-ROUNDDOWN($H49,0))*(INDEX(avoidedcosttbl3,ROUNDUP($H49,0),CC$2)-(INDEX(avoidedcosttbl3,ROUNDDOWN($H49,0),CC$2)))))*ADRYr3!P49*ADRYr3!Q49*ADRYr3!U49)</f>
        <v/>
      </c>
      <c r="CD49" s="28" t="str">
        <f>IF($G49="","",$G49*(IF(ADRYr3!$AI49=CD$4,ADRYr3!$AJ49,IF(ADRYr3!$AK49=CD$4,ADRYr3!$AL49,IF(ADRYr3!$AM49=CD$4,ADRYr3!$AN49,0))))*(INDEX(avoidedcosttbl3,$H49,CD$2)+(($H49-ROUNDDOWN($H49,0))*(INDEX(avoidedcosttbl3,ROUNDUP($H49,0),CD$2)-(INDEX(avoidedcosttbl3,ROUNDDOWN($H49,0),CD$2)))))*ADRYr3!P49*ADRYr3!Q49*ADRYr3!U49)</f>
        <v/>
      </c>
      <c r="CE49" s="28" t="str">
        <f>IF($G49="","",$G49*(IF(ADRYr3!$AI49=CE$4,ADRYr3!$AJ49,IF(ADRYr3!$AK49=CE$4,ADRYr3!$AL49,IF(ADRYr3!$AM49=CE$4,ADRYr3!$AN49,0))))*(INDEX(avoidedcosttbl3,$H49,CE$2)+(($H49-ROUNDDOWN($H49,0))*(INDEX(avoidedcosttbl3,ROUNDUP($H49,0),CE$2)-(INDEX(avoidedcosttbl3,ROUNDDOWN($H49,0),CE$2)))))*ADRYr3!P49*ADRYr3!Q49*ADRYr3!U49)</f>
        <v/>
      </c>
      <c r="CF49" s="41" t="str">
        <f t="shared" si="72"/>
        <v/>
      </c>
      <c r="CG49" s="30" t="str">
        <f t="shared" si="10"/>
        <v/>
      </c>
      <c r="CH49" s="30" t="str">
        <f>IF($G49="","",$G49*(IF(ADRYr3!$AI49=BY$4,ADRYr3!$AJ49,IF(ADRYr3!$AK49=BY$4,ADRYr3!$AL49,IF(ADRYr3!$AM49=BY$4,ADRYr3!$AN49,0))))*(INDEX(avoidedcosttbl3,$H49,CH$2)+(($H49-ROUNDDOWN($H49,0))*(INDEX(avoidedcosttbl3,ROUNDUP($H49,0),CH$2)-(INDEX(avoidedcosttbl3,ROUNDDOWN($H49,0),CH$2)))))*ADRYr3!P49*ADRYr3!Q49*ADRYr3!U49)</f>
        <v/>
      </c>
      <c r="CI49" s="30" t="str">
        <f>IF($G49="","",$G49*(IF(ADRYr3!$AI49=BZ$4,ADRYr3!$AJ49,IF(ADRYr3!$AK49=BZ$4,ADRYr3!$AL49,IF(ADRYr3!$AM49=BZ$4,ADRYr3!$AN49,0))))*(INDEX(avoidedcosttbl3,$H49,CI$2)+(($H49-ROUNDDOWN($H49,0))*(INDEX(avoidedcosttbl3,ROUNDUP($H49,0),CI$2)-(INDEX(avoidedcosttbl3,ROUNDDOWN($H49,0),CI$2)))))*ADRYr3!P49*ADRYr3!Q49*ADRYr3!U49)</f>
        <v/>
      </c>
      <c r="CJ49" s="30" t="str">
        <f>IF($G49="","",$G49*(IF(ADRYr3!$AI49=CA$4,ADRYr3!$AJ49,IF(ADRYr3!$AK49=CA$4,ADRYr3!$AL49,IF(ADRYr3!$AM49=CA$4,ADRYr3!$AN49,0))))*(INDEX(avoidedcosttbl3,$H49,CJ$2)+(($H49-ROUNDDOWN($H49,0))*(INDEX(avoidedcosttbl3,ROUNDUP($H49,0),CJ$2)-(INDEX(avoidedcosttbl3,ROUNDDOWN($H49,0),CJ$2)))))*ADRYr3!P49*ADRYr3!Q49*ADRYr3!U49)</f>
        <v/>
      </c>
      <c r="CK49" s="30" t="str">
        <f>IF($G49="","",$G49*(IF(ADRYr3!$AI49=CB$4,ADRYr3!$AJ49,IF(ADRYr3!$AK49=CB$4,ADRYr3!$AL49,IF(ADRYr3!$AM49=CB$4,ADRYr3!$AN49,0))))*(INDEX(avoidedcosttbl3,$H49,CK$2)+(($H49-ROUNDDOWN($H49,0))*(INDEX(avoidedcosttbl3,ROUNDUP($H49,0),CK$2)-(INDEX(avoidedcosttbl3,ROUNDDOWN($H49,0),CK$2)))))*ADRYr3!P49*ADRYr3!Q49*ADRYr3!U49)</f>
        <v/>
      </c>
      <c r="CL49" s="30" t="str">
        <f>IF($G49="","",$G49*(IF(ADRYr3!$AI49=CC$4,ADRYr3!$AJ49,IF(ADRYr3!$AK49=CC$4,ADRYr3!$AL49,IF(ADRYr3!$AM49=CC$4,ADRYr3!$AN49,0))))*(INDEX(avoidedcosttbl3,$H49,CL$2)+(($H49-ROUNDDOWN($H49,0))*(INDEX(avoidedcosttbl3,ROUNDUP($H49,0),CL$2)-(INDEX(avoidedcosttbl3,ROUNDDOWN($H49,0),CL$2)))))*ADRYr3!P49*ADRYr3!Q49*ADRYr3!U49)</f>
        <v/>
      </c>
      <c r="CM49" s="30" t="str">
        <f>IF($G49="","",$G49*(IF(ADRYr3!$AI49=CD$4,ADRYr3!$AJ49,IF(ADRYr3!$AK49=CD$4,ADRYr3!$AL49,IF(ADRYr3!$AM49=CD$4,ADRYr3!$AN49,0))))*(INDEX(avoidedcosttbl3,$H49,CM$2)+(($H49-ROUNDDOWN($H49,0))*(INDEX(avoidedcosttbl3,ROUNDUP($H49,0),CM$2)-(INDEX(avoidedcosttbl3,ROUNDDOWN($H49,0),CM$2)))))*ADRYr3!P49*ADRYr3!Q49*ADRYr3!U49)</f>
        <v/>
      </c>
      <c r="CN49" s="30" t="str">
        <f>IF($G49="","",$G49*(IF(ADRYr3!$AI49=CE$4,ADRYr3!$AJ49,IF(ADRYr3!$AK49=CE$4,ADRYr3!$AL49,IF(ADRYr3!$AM49=CE$4,ADRYr3!$AN49,0))))*(INDEX(avoidedcosttbl3,$H49,CN$2)+(($H49-ROUNDDOWN($H49,0))*(INDEX(avoidedcosttbl3,ROUNDUP($H49,0),CN$2)-(INDEX(avoidedcosttbl3,ROUNDDOWN($H49,0),CN$2)))))*ADRYr3!P49*ADRYr3!Q49*ADRYr3!U49)</f>
        <v/>
      </c>
      <c r="CO49" s="220" t="str">
        <f t="shared" si="73"/>
        <v/>
      </c>
      <c r="CP49" s="220" t="str">
        <f t="shared" si="74"/>
        <v/>
      </c>
      <c r="CQ49" s="157" t="str">
        <f>IF($G49="","",$G49*(IF(ADRYr3!$AI49=CQ$4,ADRYr3!$AJ49,IF(ADRYr3!$AK49=CQ$4,ADRYr3!$AL49,IF(ADRYr3!$AM49=CQ$4,ADRYr3!$AN49,0))))*(INDEX(avoidedcosttbl3,$H49,CQ$2)+(($H49-ROUNDDOWN($H49,0))*(INDEX(avoidedcosttbl3,ROUNDUP($H49,0),CQ$2)-(INDEX(avoidedcosttbl3,ROUNDDOWN($H49,0),CQ$2)))))*ADRYr3!$P49*ADRYr3!$Q49*ADRYr3!$U49)</f>
        <v/>
      </c>
      <c r="CR49" s="28" t="str">
        <f>IF($G49="","",G49*(IF(ADRYr3!$AI49=CR$4,ADRYr3!$AJ49,IF(ADRYr3!$AK49=CR$4,ADRYr3!$AL49,IF(ADRYr3!$AM49=CR$4,ADRYr3!$AN49,0))))*(INDEX(avoidedcosttbl3,$H49,CR$2)+(($H49-ROUNDDOWN($H49,0))*(INDEX(avoidedcosttbl3,ROUNDUP($H49,0),CR$2)-(INDEX(avoidedcosttbl3,ROUNDDOWN($H49,0),CR$2)))))*ADRYr3!$P49*ADRYr3!$Q49*ADRYr3!$U49)</f>
        <v/>
      </c>
      <c r="CS49" s="28" t="str">
        <f>IF($G49="","",G49*(IF(ADRYr3!$AI49=CS$4,ADRYr3!$AJ49,IF(ADRYr3!$AK49=CS$4,ADRYr3!$AL49,IF(ADRYr3!$AM49=CS$4,ADRYr3!$AN49,0))))*(INDEX(avoidedcosttbl3,$H49,CS$2)+(($H49-ROUNDDOWN($H49,0))*(INDEX(avoidedcosttbl3,ROUNDUP($H49,0),CS$2)-(INDEX(avoidedcosttbl3,ROUNDDOWN($H49,0),CS$2)))))*ADRYr3!$P49*ADRYr3!$Q49*ADRYr3!$U49)</f>
        <v/>
      </c>
      <c r="CT49" s="28" t="str">
        <f t="shared" si="11"/>
        <v/>
      </c>
      <c r="CU49" s="28" t="str">
        <f>IF($G49="","",G49*(IF(ADRYr3!$AI49=CU$4,ADRYr3!$AJ49,IF(ADRYr3!$AK49=CU$4,ADRYr3!$AL49,IF(ADRYr3!$AM49=CU$4,ADRYr3!$AN49,0))))*(INDEX(avoidedcosttbl3,$H49,CU$2)+(($H49-ROUNDDOWN($H49,0))*(INDEX(avoidedcosttbl3,ROUNDUP($H49,0),CU$2)-(INDEX(avoidedcosttbl3,ROUNDDOWN($H49,0),CU$2)))))*ADRYr3!$P49*ADRYr3!$Q49*ADRYr3!$U49)</f>
        <v/>
      </c>
      <c r="CV49" s="28" t="str">
        <f>IF($G49="","",G49*(IF(ADRYr3!$AI49=CV$4,ADRYr3!$AJ49,IF(ADRYr3!$AK49=CV$4,ADRYr3!$AL49,IF(ADRYr3!$AM49=CV$4,ADRYr3!$AN49,0))))*(INDEX(avoidedcosttbl3,$H49,CV$2)+(($H49-ROUNDDOWN($H49,0))*(INDEX(avoidedcosttbl3,ROUNDUP($H49,0),CV$2)-(INDEX(avoidedcosttbl3,ROUNDDOWN($H49,0),CV$2)))))*ADRYr3!$P49*ADRYr3!$Q49*ADRYr3!$U49)</f>
        <v/>
      </c>
      <c r="CW49" s="28" t="str">
        <f>IF($G49="","",G49*(IF(ADRYr3!$AI49=CW$4,ADRYr3!$AJ49,IF(ADRYr3!$AK49=CW$4,ADRYr3!$AL49,IF(ADRYr3!$AM49=CW$4,ADRYr3!$AN49,0))))*(INDEX(avoidedcosttbl3,$H49,CW$2)+(($H49-ROUNDDOWN($H49,0))*(INDEX(avoidedcosttbl3,ROUNDUP($H49,0),CW$2)-(INDEX(avoidedcosttbl3,ROUNDDOWN($H49,0),CW$2)))))*ADRYr3!$P49*ADRYr3!$Q49*ADRYr3!$U49)</f>
        <v/>
      </c>
      <c r="CX49" s="28" t="str">
        <f>IF($G49="","",G49*(IF(ADRYr3!$AI49=CX$4,ADRYr3!$AJ49,IF(ADRYr3!$AK49=CX$4,ADRYr3!$AL49,IF(ADRYr3!$AM49=CX$4,ADRYr3!$AN49,0))))*(INDEX(avoidedcosttbl3,$H49,CX$2)+(($H49-ROUNDDOWN($H49,0))*(INDEX(avoidedcosttbl3,ROUNDUP($H49,0),CX$2)-(INDEX(avoidedcosttbl3,ROUNDDOWN($H49,0),CX$2)))))*ADRYr3!$P49*ADRYr3!$Q49*ADRYr3!$U49)</f>
        <v/>
      </c>
      <c r="CY49" s="28" t="str">
        <f t="shared" si="75"/>
        <v/>
      </c>
      <c r="CZ49" s="32" t="str">
        <f t="shared" si="76"/>
        <v/>
      </c>
      <c r="DA49" s="84" t="str">
        <f t="shared" si="77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78"/>
        <v/>
      </c>
      <c r="DD49" s="166" t="str">
        <f t="shared" si="79"/>
        <v/>
      </c>
      <c r="DE49" s="82">
        <f t="shared" si="80"/>
        <v>0</v>
      </c>
      <c r="DF49" s="760" t="str">
        <f>IF($G49="","",(1+WntPeakEnergyLL)*(INDEX(avoidedcosttbl3,$H49,DF$2)+(($H49-ROUNDDOWN($H49,0))*(INDEX(avoidedcosttbl3,ROUNDUP($H49,0),DF$2)-(INDEX(avoidedcosttbl3,ROUNDDOWN($H49,0),DF$2)))))*$P49*1000*ADRYr3!Z49)</f>
        <v/>
      </c>
      <c r="DG49" s="760" t="str">
        <f>IF($G49="","",(1+WntOffPeakEnergyLL)*(INDEX(avoidedcosttbl3,$H49,DG$2)+(($H49-ROUNDDOWN($H49,0))*(INDEX(avoidedcosttbl3,ROUNDUP($H49,0),DG$2)-(INDEX(avoidedcosttbl3,ROUNDDOWN($H49,0),DG$2)))))*$P49*1000*ADRYr3!AA49)</f>
        <v/>
      </c>
      <c r="DH49" s="760" t="str">
        <f>IF($G49="","",(1+SumPeakEnergyLL)*(INDEX(avoidedcosttbl3,$H49,DH$2)+(($H49-ROUNDDOWN($H49,0))*(INDEX(avoidedcosttbl3,ROUNDUP($H49,0),DH$2)-(INDEX(avoidedcosttbl3,ROUNDDOWN($H49,0),DH$2)))))*$P49*1000*ADRYr3!AB49)</f>
        <v/>
      </c>
      <c r="DI49" s="760" t="str">
        <f>IF($G49="","",(1+SumOffPeakEnergyLL)*(INDEX(avoidedcosttbl3,$H49,DI$2)+(($H49-ROUNDDOWN($H49,0))*(INDEX(avoidedcosttbl3,ROUNDUP($H49,0),DI$2)-(INDEX(avoidedcosttbl3,ROUNDDOWN($H49,0),DI$2)))))*$P49*1000*ADRYr3!AC49)</f>
        <v/>
      </c>
      <c r="DJ49" s="29" t="str">
        <f t="shared" si="81"/>
        <v/>
      </c>
      <c r="DK49" s="161" t="str">
        <f t="shared" si="83"/>
        <v/>
      </c>
      <c r="DO49" s="1131" t="str">
        <f>IF($G49="","",ADRYr3!AQ49)</f>
        <v/>
      </c>
      <c r="DP49" s="1133" t="str">
        <f>IF($G49="","",ADRYr3!AR49)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49"/>
        <v/>
      </c>
      <c r="DU49" s="1135" t="str">
        <f>IF($G49="","",ADRYr3!AS49)</f>
        <v/>
      </c>
      <c r="DV49" s="1136" t="str">
        <f>IF($G49="","",ADRYr3!AT49)</f>
        <v/>
      </c>
      <c r="DW49" s="1344" t="str">
        <f>IF($G49="","",INDEX(AvoidedEnergy!$H$4:$H$10,MATCH($DO49,AvoidedEnergy!$A$4:$A$10,0)))</f>
        <v/>
      </c>
    </row>
    <row r="50" spans="1:127">
      <c r="A50" s="160" t="str">
        <f>IF(ADRYr3!$B50=0,"",ADRYr3!A50)</f>
        <v/>
      </c>
      <c r="B50" s="9" t="str">
        <f>IF(ADRYr3!$B50=0,"",ADRYr3!B50)</f>
        <v/>
      </c>
      <c r="C50" s="9" t="str">
        <f>IF(ADRYr3!$B50=0,"",ADRYr3!C50)</f>
        <v/>
      </c>
      <c r="D50" s="9" t="str">
        <f>IF(ADRYr3!$B50=0,"",ADRYr3!D50)</f>
        <v/>
      </c>
      <c r="E50" s="9"/>
      <c r="F50" s="11" t="str">
        <f>IF(ADRYr3!$B50=0,"",ADRYr3!F50)</f>
        <v/>
      </c>
      <c r="G50" s="12" t="str">
        <f>IF(ADRYr3!$G50&lt;&gt;0,ADRYr3!G50,"")</f>
        <v/>
      </c>
      <c r="H50" s="1125" t="str">
        <f>IF($G50="","",ROUND(ADRYr3!H50,0))</f>
        <v/>
      </c>
      <c r="I50" s="47" t="str">
        <f>IF($G50="","",ADRYr3!I50*ADRYr3!P50*G50)</f>
        <v/>
      </c>
      <c r="J50" s="47" t="str">
        <f>IF($G50="","",ADRYr3!J50*G50)</f>
        <v/>
      </c>
      <c r="K50" s="47" t="str">
        <f t="shared" si="50"/>
        <v/>
      </c>
      <c r="L50" s="27" t="str">
        <f>IF($G50="","",ADRYr3!V50*G50/1000)</f>
        <v/>
      </c>
      <c r="M50" s="27" t="str">
        <f>IF($G50="","",L50*ADRYr3!$Q50*ADRYr3!$R50)</f>
        <v/>
      </c>
      <c r="N50" s="27" t="str">
        <f t="shared" si="51"/>
        <v/>
      </c>
      <c r="O50" s="27" t="str">
        <f t="shared" si="52"/>
        <v/>
      </c>
      <c r="P50" s="27" t="str">
        <f>IF($G50="","",M50*ADRYr3!P50)</f>
        <v/>
      </c>
      <c r="Q50" s="27" t="str">
        <f t="shared" si="53"/>
        <v/>
      </c>
      <c r="R50" s="27" t="str">
        <f>IF($G50="","",$Q50*ADRYr3!Z50)</f>
        <v/>
      </c>
      <c r="S50" s="27" t="str">
        <f>IF($G50="","",$Q50*ADRYr3!AA50)</f>
        <v/>
      </c>
      <c r="T50" s="27" t="str">
        <f>IF($G50="","",$Q50*ADRYr3!AB50)</f>
        <v/>
      </c>
      <c r="U50" s="27" t="str">
        <f>IF($G50="","",$Q50*ADRYr3!AC50)</f>
        <v/>
      </c>
      <c r="V50" s="27" t="str">
        <f>IF($G50="","",G50*ADRYr3!$AD50*ADRYr3!$P50*ADRYr3!$Q50)</f>
        <v/>
      </c>
      <c r="W50" s="27" t="str">
        <f>IF($G50="","",$G50*ADRYr3!$AD50*ADRYr3!$AF50*ADRYr3!Q50*ADRYr3!$S50)</f>
        <v/>
      </c>
      <c r="X50" s="27" t="str">
        <f>IF($G50="","",$G50*ADRYr3!$AD50*ADRYr3!$AF50*ADRYr3!P50*ADRYr3!Q50*ADRYr3!$S50)</f>
        <v/>
      </c>
      <c r="Y50" s="27" t="str">
        <f>IF($G50="","",$G50*ADRYr3!$AD50*ADRYr3!$AE50*ADRYr3!Q50*ADRYr3!$T50)</f>
        <v/>
      </c>
      <c r="Z50" s="27" t="str">
        <f>IF($G50="","",$G50*ADRYr3!$AD50*ADRYr3!$AE50*ADRYr3!P50*ADRYr3!Q50*ADRYr3!$T50)</f>
        <v/>
      </c>
      <c r="AA50" s="45" t="str">
        <f>IF($G50="","",$G50*ADRYr3!$Q50*ADRYr3!$U50*(IF(IFERROR(SEARCH("NG", ADRYr3!$AI50),0),ADRYr3!$AJ50,0)+IF(IFERROR(SEARCH("NG", ADRYr3!$AK50),0),ADRYr3!$AL50,0)+IF(IFERROR(SEARCH("NG", ADRYr3!$AM50),0),ADRYr3!$AN50,0)))</f>
        <v/>
      </c>
      <c r="AB50" s="45" t="str">
        <f t="shared" si="54"/>
        <v/>
      </c>
      <c r="AC50" s="45">
        <f>IF($G50="",0,AA50*ADRYr3!$P50)</f>
        <v>0</v>
      </c>
      <c r="AD50" s="45" t="str">
        <f t="shared" si="55"/>
        <v/>
      </c>
      <c r="AE50" s="45" t="str">
        <f>IF($G50="","",$G50*ADRYr3!$Q50*ADRYr3!$U50*(IF(IFERROR(SEARCH("Oil", ADRYr3!$AI50), 0),ADRYr3!$AJ50,0)+IF(IFERROR(SEARCH("Oil", ADRYr3!$AK50), 0),ADRYr3!$AL50,0)+IF(IFERROR(SEARCH("Oil", ADRYr3!$AM50), 0),ADRYr3!$AN50,0)))</f>
        <v/>
      </c>
      <c r="AF50" s="45" t="str">
        <f t="shared" si="56"/>
        <v/>
      </c>
      <c r="AG50" s="45">
        <f>IF($G50="",0,AE50*ADRYr3!$P50)</f>
        <v>0</v>
      </c>
      <c r="AH50" s="45" t="str">
        <f t="shared" si="57"/>
        <v/>
      </c>
      <c r="AI50" s="45" t="str">
        <f>IF($G50="","",$G50*ADRYr3!$Q50*ADRYr3!$U50*(IF(ADRYr3!$AI50=Lookups!$E$114,ADRYr3!$AJ50,IF(ADRYr3!$AK50=Lookups!$E$114,ADRYr3!$AL50,IF(ADRYr3!$AM50=Lookups!$E$114,ADRYr3!$AN50,0)))))</f>
        <v/>
      </c>
      <c r="AJ50" s="45" t="str">
        <f t="shared" si="58"/>
        <v/>
      </c>
      <c r="AK50" s="45">
        <f>IF($G50="",0,AI50*ADRYr3!$P50)</f>
        <v>0</v>
      </c>
      <c r="AL50" s="45" t="str">
        <f t="shared" si="59"/>
        <v/>
      </c>
      <c r="AM50" s="45" t="str">
        <f>IF($G50="","",$G50*ADRYr3!$Q50*ADRYr3!$U50*(IF(ADRYr3!$AI50=Lookups!$E$113,ADRYr3!$AJ50,IF(ADRYr3!$AK50=Lookups!$E$113,ADRYr3!$AL50,IF(ADRYr3!$AM50=Lookups!$E$113,ADRYr3!$AN50,0)))))</f>
        <v/>
      </c>
      <c r="AN50" s="45" t="str">
        <f t="shared" si="60"/>
        <v/>
      </c>
      <c r="AO50" s="45">
        <f>IF($G50="",0,AM50*ADRYr3!$P50)</f>
        <v>0</v>
      </c>
      <c r="AP50" s="45" t="str">
        <f t="shared" si="61"/>
        <v/>
      </c>
      <c r="AQ50" s="45" t="str">
        <f>IF($G50="","",$G50*ADRYr3!$Q50*ADRYr3!$U50*(IF(ADRYr3!$AI50=Lookups!$E$115,ADRYr3!$AJ50,IF(ADRYr3!$AK50=Lookups!$E$115,ADRYr3!$AL50,IF(ADRYr3!$AM50=Lookups!$E$115,ADRYr3!$AN50,0)))))</f>
        <v/>
      </c>
      <c r="AR50" s="45" t="str">
        <f t="shared" si="62"/>
        <v/>
      </c>
      <c r="AS50" s="45" t="str">
        <f>IF($G50="","",AQ50*ADRYr3!$P50)</f>
        <v/>
      </c>
      <c r="AT50" s="45" t="str">
        <f t="shared" si="63"/>
        <v/>
      </c>
      <c r="AU50" s="45" t="str">
        <f>IF($G50="","",$G50*ADRYr3!$Q50*ADRYr3!$U50*(IF(ADRYr3!$AI50=Lookups!$E$116,ADRYr3!$AJ50,IF(ADRYr3!$AK50=Lookups!$E$116,ADRYr3!$AL50,IF(ADRYr3!$AM50=Lookups!$E$116,ADRYr3!$AN50,0)))))</f>
        <v/>
      </c>
      <c r="AV50" s="45" t="str">
        <f t="shared" si="64"/>
        <v/>
      </c>
      <c r="AW50" s="45" t="str">
        <f>IF($G50="","",AU50*ADRYr3!$P50)</f>
        <v/>
      </c>
      <c r="AX50" s="45" t="str">
        <f t="shared" si="65"/>
        <v/>
      </c>
      <c r="AY50" s="45">
        <f t="shared" si="66"/>
        <v>0</v>
      </c>
      <c r="AZ50" s="45">
        <f t="shared" si="67"/>
        <v>0</v>
      </c>
      <c r="BA50" s="101" t="str">
        <f>IF($G50="","",$G50*ADRYr3!$P50*ADRYr3!$Q50*ADRYr3!$U50*ADRYr3!AO50)</f>
        <v/>
      </c>
      <c r="BB50" s="102" t="str">
        <f>IF($G50="","",$G50*ADRYr3!$P50*ADRYr3!$Q50*ADRYr3!$U50*ADRYr3!AP50)</f>
        <v/>
      </c>
      <c r="BC50" s="100" t="str">
        <f t="shared" si="68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31"/>
        <v/>
      </c>
      <c r="BO50" s="31" t="str">
        <f t="shared" si="69"/>
        <v/>
      </c>
      <c r="BP50" s="1129" t="str">
        <f t="shared" si="5"/>
        <v/>
      </c>
      <c r="BQ50" s="28" t="str">
        <f t="shared" si="6"/>
        <v/>
      </c>
      <c r="BR50" s="1129" t="str">
        <f t="shared" si="7"/>
        <v/>
      </c>
      <c r="BS50" s="1129" t="str">
        <f t="shared" si="8"/>
        <v/>
      </c>
      <c r="BT50" s="28" t="str">
        <f t="shared" si="82"/>
        <v/>
      </c>
      <c r="BU50" s="28" t="str">
        <f t="shared" si="82"/>
        <v/>
      </c>
      <c r="BV50" s="28" t="str">
        <f t="shared" si="82"/>
        <v/>
      </c>
      <c r="BW50" s="29" t="str">
        <f t="shared" si="70"/>
        <v/>
      </c>
      <c r="BX50" s="29" t="str">
        <f t="shared" si="71"/>
        <v/>
      </c>
      <c r="BY50" s="28" t="str">
        <f>IF($G50="","",$G50*(IF(ADRYr3!$AI50=BY$4,ADRYr3!$AJ50,IF(ADRYr3!$AK50=BY$4,ADRYr3!$AL50,IF(ADRYr3!$AM50=BY$4,ADRYr3!$AN50,0))))*(INDEX(avoidedcosttbl3,$H50,BY$2)+(($H50-ROUNDDOWN($H50,0))*(INDEX(avoidedcosttbl3,ROUNDUP($H50,0),BY$2)-(INDEX(avoidedcosttbl3,ROUNDDOWN($H50,0),BY$2)))))*ADRYr3!P50*ADRYr3!Q50*ADRYr3!U50)</f>
        <v/>
      </c>
      <c r="BZ50" s="28" t="str">
        <f>IF($G50="","",$G50*(IF(ADRYr3!$AI50=BZ$4,ADRYr3!$AJ50,IF(ADRYr3!$AK50=BZ$4,ADRYr3!$AL50,IF(ADRYr3!$AM50=BZ$4,ADRYr3!$AN50,0))))*(INDEX(avoidedcosttbl3,$H50,BZ$2)+(($H50-ROUNDDOWN($H50,0))*(INDEX(avoidedcosttbl3,ROUNDUP($H50,0),BZ$2)-(INDEX(avoidedcosttbl3,ROUNDDOWN($H50,0),BZ$2)))))*ADRYr3!P50*ADRYr3!Q50*ADRYr3!U50)</f>
        <v/>
      </c>
      <c r="CA50" s="28" t="str">
        <f>IF($G50="","",$G50*(IF(ADRYr3!$AI50=CA$4,ADRYr3!$AJ50,IF(ADRYr3!$AK50=CA$4,ADRYr3!$AL50,IF(ADRYr3!$AM50=CA$4,ADRYr3!$AN50,0))))*(INDEX(avoidedcosttbl3,$H50,CA$2)+(($H50-ROUNDDOWN($H50,0))*(INDEX(avoidedcosttbl3,ROUNDUP($H50,0),CA$2)-(INDEX(avoidedcosttbl3,ROUNDDOWN($H50,0),CA$2)))))*ADRYr3!P50*ADRYr3!Q50*ADRYr3!U50)</f>
        <v/>
      </c>
      <c r="CB50" s="28" t="str">
        <f>IF($G50="","",$G50*(IF(ADRYr3!$AI50=CB$4,ADRYr3!$AJ50,IF(ADRYr3!$AK50=CB$4,ADRYr3!$AL50,IF(ADRYr3!$AM50=CB$4,ADRYr3!$AN50,0))))*(INDEX(avoidedcosttbl3,$H50,CB$2)+(($H50-ROUNDDOWN($H50,0))*(INDEX(avoidedcosttbl3,ROUNDUP($H50,0),CB$2)-(INDEX(avoidedcosttbl3,ROUNDDOWN($H50,0),CB$2)))))*ADRYr3!P50*ADRYr3!Q50*ADRYr3!U50)</f>
        <v/>
      </c>
      <c r="CC50" s="28" t="str">
        <f>IF($G50="","",$G50*(IF(ADRYr3!$AI50=CC$4,ADRYr3!$AJ50,IF(ADRYr3!$AK50=CC$4,ADRYr3!$AL50,IF(ADRYr3!$AM50=CC$4,ADRYr3!$AN50,0))))*(INDEX(avoidedcosttbl3,$H50,CC$2)+(($H50-ROUNDDOWN($H50,0))*(INDEX(avoidedcosttbl3,ROUNDUP($H50,0),CC$2)-(INDEX(avoidedcosttbl3,ROUNDDOWN($H50,0),CC$2)))))*ADRYr3!P50*ADRYr3!Q50*ADRYr3!U50)</f>
        <v/>
      </c>
      <c r="CD50" s="28" t="str">
        <f>IF($G50="","",$G50*(IF(ADRYr3!$AI50=CD$4,ADRYr3!$AJ50,IF(ADRYr3!$AK50=CD$4,ADRYr3!$AL50,IF(ADRYr3!$AM50=CD$4,ADRYr3!$AN50,0))))*(INDEX(avoidedcosttbl3,$H50,CD$2)+(($H50-ROUNDDOWN($H50,0))*(INDEX(avoidedcosttbl3,ROUNDUP($H50,0),CD$2)-(INDEX(avoidedcosttbl3,ROUNDDOWN($H50,0),CD$2)))))*ADRYr3!P50*ADRYr3!Q50*ADRYr3!U50)</f>
        <v/>
      </c>
      <c r="CE50" s="28" t="str">
        <f>IF($G50="","",$G50*(IF(ADRYr3!$AI50=CE$4,ADRYr3!$AJ50,IF(ADRYr3!$AK50=CE$4,ADRYr3!$AL50,IF(ADRYr3!$AM50=CE$4,ADRYr3!$AN50,0))))*(INDEX(avoidedcosttbl3,$H50,CE$2)+(($H50-ROUNDDOWN($H50,0))*(INDEX(avoidedcosttbl3,ROUNDUP($H50,0),CE$2)-(INDEX(avoidedcosttbl3,ROUNDDOWN($H50,0),CE$2)))))*ADRYr3!P50*ADRYr3!Q50*ADRYr3!U50)</f>
        <v/>
      </c>
      <c r="CF50" s="41" t="str">
        <f t="shared" si="72"/>
        <v/>
      </c>
      <c r="CG50" s="30" t="str">
        <f t="shared" si="10"/>
        <v/>
      </c>
      <c r="CH50" s="30" t="str">
        <f>IF($G50="","",$G50*(IF(ADRYr3!$AI50=BY$4,ADRYr3!$AJ50,IF(ADRYr3!$AK50=BY$4,ADRYr3!$AL50,IF(ADRYr3!$AM50=BY$4,ADRYr3!$AN50,0))))*(INDEX(avoidedcosttbl3,$H50,CH$2)+(($H50-ROUNDDOWN($H50,0))*(INDEX(avoidedcosttbl3,ROUNDUP($H50,0),CH$2)-(INDEX(avoidedcosttbl3,ROUNDDOWN($H50,0),CH$2)))))*ADRYr3!P50*ADRYr3!Q50*ADRYr3!U50)</f>
        <v/>
      </c>
      <c r="CI50" s="30" t="str">
        <f>IF($G50="","",$G50*(IF(ADRYr3!$AI50=BZ$4,ADRYr3!$AJ50,IF(ADRYr3!$AK50=BZ$4,ADRYr3!$AL50,IF(ADRYr3!$AM50=BZ$4,ADRYr3!$AN50,0))))*(INDEX(avoidedcosttbl3,$H50,CI$2)+(($H50-ROUNDDOWN($H50,0))*(INDEX(avoidedcosttbl3,ROUNDUP($H50,0),CI$2)-(INDEX(avoidedcosttbl3,ROUNDDOWN($H50,0),CI$2)))))*ADRYr3!P50*ADRYr3!Q50*ADRYr3!U50)</f>
        <v/>
      </c>
      <c r="CJ50" s="30" t="str">
        <f>IF($G50="","",$G50*(IF(ADRYr3!$AI50=CA$4,ADRYr3!$AJ50,IF(ADRYr3!$AK50=CA$4,ADRYr3!$AL50,IF(ADRYr3!$AM50=CA$4,ADRYr3!$AN50,0))))*(INDEX(avoidedcosttbl3,$H50,CJ$2)+(($H50-ROUNDDOWN($H50,0))*(INDEX(avoidedcosttbl3,ROUNDUP($H50,0),CJ$2)-(INDEX(avoidedcosttbl3,ROUNDDOWN($H50,0),CJ$2)))))*ADRYr3!P50*ADRYr3!Q50*ADRYr3!U50)</f>
        <v/>
      </c>
      <c r="CK50" s="30" t="str">
        <f>IF($G50="","",$G50*(IF(ADRYr3!$AI50=CB$4,ADRYr3!$AJ50,IF(ADRYr3!$AK50=CB$4,ADRYr3!$AL50,IF(ADRYr3!$AM50=CB$4,ADRYr3!$AN50,0))))*(INDEX(avoidedcosttbl3,$H50,CK$2)+(($H50-ROUNDDOWN($H50,0))*(INDEX(avoidedcosttbl3,ROUNDUP($H50,0),CK$2)-(INDEX(avoidedcosttbl3,ROUNDDOWN($H50,0),CK$2)))))*ADRYr3!P50*ADRYr3!Q50*ADRYr3!U50)</f>
        <v/>
      </c>
      <c r="CL50" s="30" t="str">
        <f>IF($G50="","",$G50*(IF(ADRYr3!$AI50=CC$4,ADRYr3!$AJ50,IF(ADRYr3!$AK50=CC$4,ADRYr3!$AL50,IF(ADRYr3!$AM50=CC$4,ADRYr3!$AN50,0))))*(INDEX(avoidedcosttbl3,$H50,CL$2)+(($H50-ROUNDDOWN($H50,0))*(INDEX(avoidedcosttbl3,ROUNDUP($H50,0),CL$2)-(INDEX(avoidedcosttbl3,ROUNDDOWN($H50,0),CL$2)))))*ADRYr3!P50*ADRYr3!Q50*ADRYr3!U50)</f>
        <v/>
      </c>
      <c r="CM50" s="30" t="str">
        <f>IF($G50="","",$G50*(IF(ADRYr3!$AI50=CD$4,ADRYr3!$AJ50,IF(ADRYr3!$AK50=CD$4,ADRYr3!$AL50,IF(ADRYr3!$AM50=CD$4,ADRYr3!$AN50,0))))*(INDEX(avoidedcosttbl3,$H50,CM$2)+(($H50-ROUNDDOWN($H50,0))*(INDEX(avoidedcosttbl3,ROUNDUP($H50,0),CM$2)-(INDEX(avoidedcosttbl3,ROUNDDOWN($H50,0),CM$2)))))*ADRYr3!P50*ADRYr3!Q50*ADRYr3!U50)</f>
        <v/>
      </c>
      <c r="CN50" s="30" t="str">
        <f>IF($G50="","",$G50*(IF(ADRYr3!$AI50=CE$4,ADRYr3!$AJ50,IF(ADRYr3!$AK50=CE$4,ADRYr3!$AL50,IF(ADRYr3!$AM50=CE$4,ADRYr3!$AN50,0))))*(INDEX(avoidedcosttbl3,$H50,CN$2)+(($H50-ROUNDDOWN($H50,0))*(INDEX(avoidedcosttbl3,ROUNDUP($H50,0),CN$2)-(INDEX(avoidedcosttbl3,ROUNDDOWN($H50,0),CN$2)))))*ADRYr3!P50*ADRYr3!Q50*ADRYr3!U50)</f>
        <v/>
      </c>
      <c r="CO50" s="220" t="str">
        <f t="shared" si="73"/>
        <v/>
      </c>
      <c r="CP50" s="220" t="str">
        <f t="shared" si="74"/>
        <v/>
      </c>
      <c r="CQ50" s="157" t="str">
        <f>IF($G50="","",$G50*(IF(ADRYr3!$AI50=CQ$4,ADRYr3!$AJ50,IF(ADRYr3!$AK50=CQ$4,ADRYr3!$AL50,IF(ADRYr3!$AM50=CQ$4,ADRYr3!$AN50,0))))*(INDEX(avoidedcosttbl3,$H50,CQ$2)+(($H50-ROUNDDOWN($H50,0))*(INDEX(avoidedcosttbl3,ROUNDUP($H50,0),CQ$2)-(INDEX(avoidedcosttbl3,ROUNDDOWN($H50,0),CQ$2)))))*ADRYr3!$P50*ADRYr3!$Q50*ADRYr3!$U50)</f>
        <v/>
      </c>
      <c r="CR50" s="28" t="str">
        <f>IF($G50="","",G50*(IF(ADRYr3!$AI50=CR$4,ADRYr3!$AJ50,IF(ADRYr3!$AK50=CR$4,ADRYr3!$AL50,IF(ADRYr3!$AM50=CR$4,ADRYr3!$AN50,0))))*(INDEX(avoidedcosttbl3,$H50,CR$2)+(($H50-ROUNDDOWN($H50,0))*(INDEX(avoidedcosttbl3,ROUNDUP($H50,0),CR$2)-(INDEX(avoidedcosttbl3,ROUNDDOWN($H50,0),CR$2)))))*ADRYr3!$P50*ADRYr3!$Q50*ADRYr3!$U50)</f>
        <v/>
      </c>
      <c r="CS50" s="28" t="str">
        <f>IF($G50="","",G50*(IF(ADRYr3!$AI50=CS$4,ADRYr3!$AJ50,IF(ADRYr3!$AK50=CS$4,ADRYr3!$AL50,IF(ADRYr3!$AM50=CS$4,ADRYr3!$AN50,0))))*(INDEX(avoidedcosttbl3,$H50,CS$2)+(($H50-ROUNDDOWN($H50,0))*(INDEX(avoidedcosttbl3,ROUNDUP($H50,0),CS$2)-(INDEX(avoidedcosttbl3,ROUNDDOWN($H50,0),CS$2)))))*ADRYr3!$P50*ADRYr3!$Q50*ADRYr3!$U50)</f>
        <v/>
      </c>
      <c r="CT50" s="28" t="str">
        <f t="shared" si="11"/>
        <v/>
      </c>
      <c r="CU50" s="28" t="str">
        <f>IF($G50="","",G50*(IF(ADRYr3!$AI50=CU$4,ADRYr3!$AJ50,IF(ADRYr3!$AK50=CU$4,ADRYr3!$AL50,IF(ADRYr3!$AM50=CU$4,ADRYr3!$AN50,0))))*(INDEX(avoidedcosttbl3,$H50,CU$2)+(($H50-ROUNDDOWN($H50,0))*(INDEX(avoidedcosttbl3,ROUNDUP($H50,0),CU$2)-(INDEX(avoidedcosttbl3,ROUNDDOWN($H50,0),CU$2)))))*ADRYr3!$P50*ADRYr3!$Q50*ADRYr3!$U50)</f>
        <v/>
      </c>
      <c r="CV50" s="28" t="str">
        <f>IF($G50="","",G50*(IF(ADRYr3!$AI50=CV$4,ADRYr3!$AJ50,IF(ADRYr3!$AK50=CV$4,ADRYr3!$AL50,IF(ADRYr3!$AM50=CV$4,ADRYr3!$AN50,0))))*(INDEX(avoidedcosttbl3,$H50,CV$2)+(($H50-ROUNDDOWN($H50,0))*(INDEX(avoidedcosttbl3,ROUNDUP($H50,0),CV$2)-(INDEX(avoidedcosttbl3,ROUNDDOWN($H50,0),CV$2)))))*ADRYr3!$P50*ADRYr3!$Q50*ADRYr3!$U50)</f>
        <v/>
      </c>
      <c r="CW50" s="28" t="str">
        <f>IF($G50="","",G50*(IF(ADRYr3!$AI50=CW$4,ADRYr3!$AJ50,IF(ADRYr3!$AK50=CW$4,ADRYr3!$AL50,IF(ADRYr3!$AM50=CW$4,ADRYr3!$AN50,0))))*(INDEX(avoidedcosttbl3,$H50,CW$2)+(($H50-ROUNDDOWN($H50,0))*(INDEX(avoidedcosttbl3,ROUNDUP($H50,0),CW$2)-(INDEX(avoidedcosttbl3,ROUNDDOWN($H50,0),CW$2)))))*ADRYr3!$P50*ADRYr3!$Q50*ADRYr3!$U50)</f>
        <v/>
      </c>
      <c r="CX50" s="28" t="str">
        <f>IF($G50="","",G50*(IF(ADRYr3!$AI50=CX$4,ADRYr3!$AJ50,IF(ADRYr3!$AK50=CX$4,ADRYr3!$AL50,IF(ADRYr3!$AM50=CX$4,ADRYr3!$AN50,0))))*(INDEX(avoidedcosttbl3,$H50,CX$2)+(($H50-ROUNDDOWN($H50,0))*(INDEX(avoidedcosttbl3,ROUNDUP($H50,0),CX$2)-(INDEX(avoidedcosttbl3,ROUNDDOWN($H50,0),CX$2)))))*ADRYr3!$P50*ADRYr3!$Q50*ADRYr3!$U50)</f>
        <v/>
      </c>
      <c r="CY50" s="28" t="str">
        <f t="shared" si="75"/>
        <v/>
      </c>
      <c r="CZ50" s="32" t="str">
        <f t="shared" si="76"/>
        <v/>
      </c>
      <c r="DA50" s="84" t="str">
        <f t="shared" si="77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78"/>
        <v/>
      </c>
      <c r="DD50" s="166" t="str">
        <f t="shared" si="79"/>
        <v/>
      </c>
      <c r="DE50" s="82">
        <f t="shared" si="80"/>
        <v>0</v>
      </c>
      <c r="DF50" s="760" t="str">
        <f>IF($G50="","",(1+WntPeakEnergyLL)*(INDEX(avoidedcosttbl3,$H50,DF$2)+(($H50-ROUNDDOWN($H50,0))*(INDEX(avoidedcosttbl3,ROUNDUP($H50,0),DF$2)-(INDEX(avoidedcosttbl3,ROUNDDOWN($H50,0),DF$2)))))*$P50*1000*ADRYr3!Z50)</f>
        <v/>
      </c>
      <c r="DG50" s="760" t="str">
        <f>IF($G50="","",(1+WntOffPeakEnergyLL)*(INDEX(avoidedcosttbl3,$H50,DG$2)+(($H50-ROUNDDOWN($H50,0))*(INDEX(avoidedcosttbl3,ROUNDUP($H50,0),DG$2)-(INDEX(avoidedcosttbl3,ROUNDDOWN($H50,0),DG$2)))))*$P50*1000*ADRYr3!AA50)</f>
        <v/>
      </c>
      <c r="DH50" s="760" t="str">
        <f>IF($G50="","",(1+SumPeakEnergyLL)*(INDEX(avoidedcosttbl3,$H50,DH$2)+(($H50-ROUNDDOWN($H50,0))*(INDEX(avoidedcosttbl3,ROUNDUP($H50,0),DH$2)-(INDEX(avoidedcosttbl3,ROUNDDOWN($H50,0),DH$2)))))*$P50*1000*ADRYr3!AB50)</f>
        <v/>
      </c>
      <c r="DI50" s="760" t="str">
        <f>IF($G50="","",(1+SumOffPeakEnergyLL)*(INDEX(avoidedcosttbl3,$H50,DI$2)+(($H50-ROUNDDOWN($H50,0))*(INDEX(avoidedcosttbl3,ROUNDUP($H50,0),DI$2)-(INDEX(avoidedcosttbl3,ROUNDDOWN($H50,0),DI$2)))))*$P50*1000*ADRYr3!AC50)</f>
        <v/>
      </c>
      <c r="DJ50" s="29" t="str">
        <f t="shared" si="81"/>
        <v/>
      </c>
      <c r="DK50" s="161" t="str">
        <f t="shared" si="83"/>
        <v/>
      </c>
      <c r="DO50" s="1131" t="str">
        <f>IF($G50="","",ADRYr3!AQ50)</f>
        <v/>
      </c>
      <c r="DP50" s="1133" t="str">
        <f>IF($G50="","",ADRYr3!AR50)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49"/>
        <v/>
      </c>
      <c r="DU50" s="1135" t="str">
        <f>IF($G50="","",ADRYr3!AS50)</f>
        <v/>
      </c>
      <c r="DV50" s="1136" t="str">
        <f>IF($G50="","",ADRYr3!AT50)</f>
        <v/>
      </c>
      <c r="DW50" s="1344" t="str">
        <f>IF($G50="","",INDEX(AvoidedEnergy!$H$4:$H$10,MATCH($DO50,AvoidedEnergy!$A$4:$A$10,0)))</f>
        <v/>
      </c>
    </row>
    <row r="54" spans="1:127">
      <c r="BS54" s="13">
        <f>INDEX(avoidedcosttbl,$H29,DS$5)</f>
        <v>0</v>
      </c>
    </row>
  </sheetData>
  <autoFilter ref="A4:DO39"/>
  <mergeCells count="21">
    <mergeCell ref="DO3:DW3"/>
    <mergeCell ref="DB3:DE3"/>
    <mergeCell ref="DF3:DJ3"/>
    <mergeCell ref="BI3:BN3"/>
    <mergeCell ref="BP3:BW3"/>
    <mergeCell ref="BY3:CF3"/>
    <mergeCell ref="CG3:CO3"/>
    <mergeCell ref="CQ3:CZ3"/>
    <mergeCell ref="BD3:BH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BA3:BC3"/>
  </mergeCells>
  <phoneticPr fontId="28" type="noConversion"/>
  <conditionalFormatting sqref="J2:L2 J3:K3">
    <cfRule type="expression" dxfId="3" priority="1" stopIfTrue="1">
      <formula>ISBLANK($K2)</formula>
    </cfRule>
    <cfRule type="expression" dxfId="2" priority="2" stopIfTrue="1">
      <formula>$J2=0</formula>
    </cfRule>
  </conditionalFormatting>
  <conditionalFormatting sqref="J1:K1">
    <cfRule type="expression" dxfId="1" priority="3" stopIfTrue="1">
      <formula>ISBLANK($J1)</formula>
    </cfRule>
    <cfRule type="expression" dxfId="0" priority="4" stopIfTrue="1">
      <formula>$B1=0</formula>
    </cfRule>
  </conditionalFormatting>
  <dataValidations disablePrompts="1"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/>
  </sheetPr>
  <dimension ref="A1:CT23"/>
  <sheetViews>
    <sheetView showGridLines="0" zoomScale="80" zoomScaleNormal="80" zoomScaleSheetLayoutView="70" workbookViewId="0">
      <pane xSplit="7" ySplit="1" topLeftCell="H2" activePane="bottomRight" state="frozen"/>
      <selection activeCell="E3" sqref="E3"/>
      <selection pane="topRight" activeCell="E3" sqref="E3"/>
      <selection pane="bottomLeft" activeCell="E3" sqref="E3"/>
      <selection pane="bottomRight" activeCell="A14" sqref="A14"/>
    </sheetView>
  </sheetViews>
  <sheetFormatPr defaultColWidth="10" defaultRowHeight="14.25" outlineLevelCol="1"/>
  <cols>
    <col min="1" max="1" width="9.140625" style="153" customWidth="1"/>
    <col min="2" max="2" width="15.7109375" style="153" customWidth="1" outlineLevel="1"/>
    <col min="3" max="3" width="7.28515625" style="153" customWidth="1"/>
    <col min="4" max="4" width="10.42578125" style="153" customWidth="1"/>
    <col min="5" max="5" width="23.5703125" style="153" customWidth="1" outlineLevel="1"/>
    <col min="6" max="6" width="31.5703125" style="153" customWidth="1" outlineLevel="1"/>
    <col min="7" max="7" width="29.7109375" style="153" customWidth="1"/>
    <col min="8" max="28" width="17.7109375" style="153" customWidth="1"/>
    <col min="29" max="58" width="17.7109375" style="153" hidden="1" customWidth="1" outlineLevel="1"/>
    <col min="59" max="59" width="17.7109375" style="153" hidden="1" customWidth="1" outlineLevel="1" collapsed="1"/>
    <col min="60" max="62" width="17.7109375" style="153" hidden="1" customWidth="1" outlineLevel="1"/>
    <col min="63" max="63" width="17.7109375" style="153" customWidth="1" collapsed="1"/>
    <col min="64" max="73" width="17.7109375" style="153" customWidth="1"/>
    <col min="74" max="82" width="17.7109375" style="153" customWidth="1" outlineLevel="1"/>
    <col min="83" max="83" width="17.7109375" style="170" customWidth="1" outlineLevel="1"/>
    <col min="84" max="88" width="17.7109375" style="153" customWidth="1"/>
    <col min="89" max="92" width="18.28515625" style="153" customWidth="1"/>
    <col min="93" max="94" width="18.28515625" style="167" customWidth="1"/>
    <col min="95" max="95" width="18.28515625" style="153" customWidth="1"/>
    <col min="96" max="96" width="2.7109375" style="153" customWidth="1"/>
    <col min="97" max="97" width="18.85546875" style="764" bestFit="1" customWidth="1"/>
    <col min="98" max="98" width="12" style="153" customWidth="1"/>
    <col min="99" max="16384" width="10" style="153"/>
  </cols>
  <sheetData>
    <row r="1" spans="1:98" s="145" customFormat="1" ht="63" customHeight="1">
      <c r="A1" s="143" t="s">
        <v>241</v>
      </c>
      <c r="B1" s="143" t="s">
        <v>215</v>
      </c>
      <c r="C1" s="144" t="s">
        <v>76</v>
      </c>
      <c r="D1" s="144" t="s">
        <v>216</v>
      </c>
      <c r="E1" s="144" t="s">
        <v>7</v>
      </c>
      <c r="F1" s="144" t="s">
        <v>435</v>
      </c>
      <c r="G1" s="144" t="s">
        <v>434</v>
      </c>
      <c r="H1" s="262" t="s">
        <v>285</v>
      </c>
      <c r="I1" s="262" t="s">
        <v>286</v>
      </c>
      <c r="J1" s="262" t="s">
        <v>290</v>
      </c>
      <c r="K1" s="262" t="s">
        <v>287</v>
      </c>
      <c r="L1" s="262" t="s">
        <v>288</v>
      </c>
      <c r="M1" s="262" t="s">
        <v>289</v>
      </c>
      <c r="N1" s="109" t="s">
        <v>124</v>
      </c>
      <c r="O1" s="109" t="s">
        <v>986</v>
      </c>
      <c r="P1" s="109" t="s">
        <v>125</v>
      </c>
      <c r="Q1" s="109" t="s">
        <v>987</v>
      </c>
      <c r="R1" s="109" t="s">
        <v>126</v>
      </c>
      <c r="S1" s="109" t="s">
        <v>988</v>
      </c>
      <c r="T1" s="109" t="s">
        <v>127</v>
      </c>
      <c r="U1" s="109" t="s">
        <v>407</v>
      </c>
      <c r="V1" s="109" t="s">
        <v>121</v>
      </c>
      <c r="W1" s="109" t="s">
        <v>128</v>
      </c>
      <c r="X1" s="109" t="s">
        <v>237</v>
      </c>
      <c r="Y1" s="109" t="s">
        <v>244</v>
      </c>
      <c r="Z1" s="109" t="s">
        <v>245</v>
      </c>
      <c r="AA1" s="109" t="s">
        <v>293</v>
      </c>
      <c r="AB1" s="109" t="s">
        <v>254</v>
      </c>
      <c r="AC1" s="109" t="s">
        <v>246</v>
      </c>
      <c r="AD1" s="109" t="s">
        <v>252</v>
      </c>
      <c r="AE1" s="109" t="s">
        <v>247</v>
      </c>
      <c r="AF1" s="109" t="s">
        <v>248</v>
      </c>
      <c r="AG1" s="109" t="s">
        <v>292</v>
      </c>
      <c r="AH1" s="109" t="s">
        <v>256</v>
      </c>
      <c r="AI1" s="109" t="s">
        <v>249</v>
      </c>
      <c r="AJ1" s="109" t="s">
        <v>250</v>
      </c>
      <c r="AK1" s="109" t="s">
        <v>291</v>
      </c>
      <c r="AL1" s="109" t="s">
        <v>255</v>
      </c>
      <c r="AM1" s="109" t="s">
        <v>251</v>
      </c>
      <c r="AN1" s="109" t="s">
        <v>318</v>
      </c>
      <c r="AO1" s="109" t="s">
        <v>238</v>
      </c>
      <c r="AP1" s="109" t="s">
        <v>319</v>
      </c>
      <c r="AQ1" s="109" t="s">
        <v>320</v>
      </c>
      <c r="AR1" s="109" t="s">
        <v>321</v>
      </c>
      <c r="AS1" s="109" t="s">
        <v>322</v>
      </c>
      <c r="AT1" s="109" t="s">
        <v>323</v>
      </c>
      <c r="AU1" s="109" t="s">
        <v>324</v>
      </c>
      <c r="AV1" s="109" t="s">
        <v>325</v>
      </c>
      <c r="AW1" s="109" t="s">
        <v>326</v>
      </c>
      <c r="AX1" s="109" t="s">
        <v>327</v>
      </c>
      <c r="AY1" s="109" t="s">
        <v>328</v>
      </c>
      <c r="AZ1" s="109" t="s">
        <v>329</v>
      </c>
      <c r="BA1" s="109" t="s">
        <v>330</v>
      </c>
      <c r="BB1" s="109" t="s">
        <v>331</v>
      </c>
      <c r="BC1" s="109" t="s">
        <v>278</v>
      </c>
      <c r="BD1" s="109" t="s">
        <v>279</v>
      </c>
      <c r="BE1" s="109" t="s">
        <v>218</v>
      </c>
      <c r="BF1" s="109" t="s">
        <v>235</v>
      </c>
      <c r="BG1" s="109" t="s">
        <v>174</v>
      </c>
      <c r="BH1" s="109" t="s">
        <v>175</v>
      </c>
      <c r="BI1" s="109" t="s">
        <v>176</v>
      </c>
      <c r="BJ1" s="109" t="s">
        <v>177</v>
      </c>
      <c r="BK1" s="109" t="s">
        <v>239</v>
      </c>
      <c r="BL1" s="109" t="s">
        <v>240</v>
      </c>
      <c r="BM1" s="109" t="s">
        <v>129</v>
      </c>
      <c r="BN1" s="109" t="s">
        <v>130</v>
      </c>
      <c r="BO1" s="109" t="s">
        <v>335</v>
      </c>
      <c r="BP1" s="109" t="s">
        <v>133</v>
      </c>
      <c r="BQ1" s="109" t="s">
        <v>528</v>
      </c>
      <c r="BR1" s="109" t="s">
        <v>529</v>
      </c>
      <c r="BS1" s="109" t="s">
        <v>131</v>
      </c>
      <c r="BT1" s="109" t="s">
        <v>132</v>
      </c>
      <c r="BU1" s="109" t="s">
        <v>134</v>
      </c>
      <c r="BV1" s="109" t="s">
        <v>135</v>
      </c>
      <c r="BW1" s="109" t="s">
        <v>136</v>
      </c>
      <c r="BX1" s="109" t="s">
        <v>122</v>
      </c>
      <c r="BY1" s="109" t="s">
        <v>137</v>
      </c>
      <c r="BZ1" s="109" t="s">
        <v>530</v>
      </c>
      <c r="CA1" s="109" t="s">
        <v>332</v>
      </c>
      <c r="CB1" s="109" t="s">
        <v>703</v>
      </c>
      <c r="CC1" s="109" t="s">
        <v>333</v>
      </c>
      <c r="CD1" s="109" t="s">
        <v>334</v>
      </c>
      <c r="CE1" s="169" t="s">
        <v>138</v>
      </c>
      <c r="CF1" s="109" t="s">
        <v>123</v>
      </c>
      <c r="CG1" s="109" t="s">
        <v>139</v>
      </c>
      <c r="CH1" s="109" t="s">
        <v>542</v>
      </c>
      <c r="CI1" s="109" t="s">
        <v>229</v>
      </c>
      <c r="CJ1" s="109" t="s">
        <v>977</v>
      </c>
      <c r="CK1" s="109" t="s">
        <v>955</v>
      </c>
      <c r="CL1" s="109" t="s">
        <v>956</v>
      </c>
      <c r="CM1" s="109" t="s">
        <v>957</v>
      </c>
      <c r="CN1" s="109" t="s">
        <v>958</v>
      </c>
      <c r="CO1" s="826" t="s">
        <v>392</v>
      </c>
      <c r="CP1" s="826" t="s">
        <v>159</v>
      </c>
      <c r="CQ1" s="827" t="s">
        <v>398</v>
      </c>
      <c r="CS1" s="763" t="s">
        <v>704</v>
      </c>
    </row>
    <row r="2" spans="1:98" s="154" customFormat="1">
      <c r="A2" s="154" t="str">
        <f>Lookups!F$8</f>
        <v>Electric</v>
      </c>
      <c r="B2" s="154" t="str">
        <f>Lookups!F$9</f>
        <v>Unitil Energy Systems Inc</v>
      </c>
      <c r="C2" s="154">
        <f>Year1</f>
        <v>2021</v>
      </c>
      <c r="D2" s="769" t="str">
        <f>Lookups!F$10</f>
        <v>Planned</v>
      </c>
      <c r="E2" s="146" t="str">
        <f>Lookups!$E$68</f>
        <v>A - Residential</v>
      </c>
      <c r="F2" s="146" t="s">
        <v>962</v>
      </c>
      <c r="G2" s="146" t="s">
        <v>964</v>
      </c>
      <c r="H2" s="147">
        <f>SUMIFS(Costs!E$5:E$99,Costs!$A$5:$A$99,$C2,Costs!$D$5:$D$99,$G2)</f>
        <v>2000</v>
      </c>
      <c r="I2" s="147">
        <f>SUMIFS(Costs!F$5:F$99,Costs!$A$5:$A$99,$C2,Costs!$D$5:$D$99,$G2)</f>
        <v>0</v>
      </c>
      <c r="J2" s="147">
        <f>SUMIFS(Costs!G$5:G$99,Costs!$A$5:$A$99,$C2,Costs!$D$5:$D$99,$G2)</f>
        <v>7500</v>
      </c>
      <c r="K2" s="147">
        <f>SUMIFS(Costs!H$5:H$99,Costs!$A$5:$A$99,$C2,Costs!$D$5:$D$99,$G2)</f>
        <v>23000</v>
      </c>
      <c r="L2" s="147">
        <f>SUMIFS(Costs!I$5:I$99,Costs!$A$5:$A$99,$C2,Costs!$D$5:$D$99,$G2)</f>
        <v>1000</v>
      </c>
      <c r="M2" s="147">
        <f>SUMIFS(Costs!J$5:J$99,Costs!$A$5:$A$99,$C2,Costs!$D$5:$D$99,$G2)</f>
        <v>1000</v>
      </c>
      <c r="N2" s="148">
        <f>SUM(H2:M2)</f>
        <v>34500</v>
      </c>
      <c r="O2" s="148">
        <f>IF($C2=Year1,N2,IF($C2=Year2,N2/(1+nomdiscrt2),IF($C2=Year3,N2/(1+nomdiscrt3)^2,"")))</f>
        <v>34500</v>
      </c>
      <c r="P2" s="147">
        <f>SUMIFS(Costs!K$5:K$99,Costs!$A$5:$A$99,$C2,Costs!$D$5:$D$99,$G2)</f>
        <v>0</v>
      </c>
      <c r="Q2" s="148">
        <f>IF($C2=Year1,P2,IF($C2=Year2,P2/(1+nomdiscrt2),IF($C2=Year3,P2/(1+nomdiscrt3)^2,"")))</f>
        <v>0</v>
      </c>
      <c r="R2" s="147">
        <f ca="1">IF($G2="",0,SUMIFS(INDIRECT($CS2&amp;R$16),INDIRECT($CS2&amp;"C:C"),$G2))</f>
        <v>0</v>
      </c>
      <c r="S2" s="148">
        <f ca="1">IF($C2=Year1,R2,IF($C2=Year2,R2/(1+nomdiscrt2),IF($C2=Year3,R2/(1+nomdiscrt3)^2,"")))</f>
        <v>0</v>
      </c>
      <c r="T2" s="148">
        <f ca="1">SUM(N2,P2,R2)</f>
        <v>34500</v>
      </c>
      <c r="U2" s="148">
        <f ca="1">IF($C2=Year1,T2,IF($C2=Year2,T2/(1+nomdiscrt2),IF($C2=Year3,T2/(1+nomdiscrt3)^2,"")))</f>
        <v>34500</v>
      </c>
      <c r="V2" s="149">
        <f>ADRYr1!$G$5/2</f>
        <v>125</v>
      </c>
      <c r="W2" s="150">
        <f t="shared" ref="W2:AD4" ca="1" si="0">IF($G2="",0,SUMIFS(INDIRECT($CS2&amp;W$16),INDIRECT($CS2&amp;"C:C"),$G2))</f>
        <v>0</v>
      </c>
      <c r="X2" s="150">
        <f t="shared" ca="1" si="0"/>
        <v>125</v>
      </c>
      <c r="Y2" s="150">
        <f t="shared" ca="1" si="0"/>
        <v>0</v>
      </c>
      <c r="Z2" s="150">
        <f t="shared" ca="1" si="0"/>
        <v>0</v>
      </c>
      <c r="AA2" s="150">
        <f t="shared" ca="1" si="0"/>
        <v>0</v>
      </c>
      <c r="AB2" s="150">
        <f t="shared" ca="1" si="0"/>
        <v>0</v>
      </c>
      <c r="AC2" s="150">
        <f t="shared" ca="1" si="0"/>
        <v>0</v>
      </c>
      <c r="AD2" s="150">
        <f t="shared" ca="1" si="0"/>
        <v>0</v>
      </c>
      <c r="AE2" s="151">
        <f t="shared" ref="AE2:AF4" ca="1" si="1">AC2*10</f>
        <v>0</v>
      </c>
      <c r="AF2" s="151">
        <f t="shared" ca="1" si="1"/>
        <v>0</v>
      </c>
      <c r="AG2" s="767">
        <f t="shared" ref="AG2:AH4" ca="1" si="2">IF($G2="",0,SUMIFS(INDIRECT($CS2&amp;AG$16),INDIRECT($CS2&amp;"C:C"),$G2))*10</f>
        <v>0</v>
      </c>
      <c r="AH2" s="767">
        <f t="shared" ca="1" si="2"/>
        <v>0</v>
      </c>
      <c r="AI2" s="150">
        <f t="shared" ref="AI2:AR4" ca="1" si="3">IF($G2="",0,SUMIFS(INDIRECT($CS2&amp;AI$16),INDIRECT($CS2&amp;"C:C"),$G2))</f>
        <v>0</v>
      </c>
      <c r="AJ2" s="150">
        <f t="shared" ca="1" si="3"/>
        <v>0</v>
      </c>
      <c r="AK2" s="150">
        <f t="shared" ca="1" si="3"/>
        <v>0</v>
      </c>
      <c r="AL2" s="150">
        <f t="shared" ca="1" si="3"/>
        <v>0</v>
      </c>
      <c r="AM2" s="150">
        <f t="shared" ca="1" si="3"/>
        <v>0</v>
      </c>
      <c r="AN2" s="150">
        <f t="shared" ca="1" si="3"/>
        <v>0</v>
      </c>
      <c r="AO2" s="150">
        <f t="shared" ca="1" si="3"/>
        <v>0</v>
      </c>
      <c r="AP2" s="150">
        <f t="shared" ca="1" si="3"/>
        <v>0</v>
      </c>
      <c r="AQ2" s="150">
        <f t="shared" ca="1" si="3"/>
        <v>0</v>
      </c>
      <c r="AR2" s="150">
        <f t="shared" ca="1" si="3"/>
        <v>0</v>
      </c>
      <c r="AS2" s="150">
        <f t="shared" ref="AS2:BD4" ca="1" si="4">IF($G2="",0,SUMIFS(INDIRECT($CS2&amp;AS$16),INDIRECT($CS2&amp;"C:C"),$G2))</f>
        <v>0</v>
      </c>
      <c r="AT2" s="150">
        <f t="shared" ca="1" si="4"/>
        <v>0</v>
      </c>
      <c r="AU2" s="150">
        <f t="shared" ca="1" si="4"/>
        <v>0</v>
      </c>
      <c r="AV2" s="150">
        <f t="shared" ca="1" si="4"/>
        <v>0</v>
      </c>
      <c r="AW2" s="150">
        <f t="shared" ca="1" si="4"/>
        <v>0</v>
      </c>
      <c r="AX2" s="150">
        <f t="shared" ca="1" si="4"/>
        <v>0</v>
      </c>
      <c r="AY2" s="150">
        <f t="shared" ca="1" si="4"/>
        <v>0</v>
      </c>
      <c r="AZ2" s="150">
        <f t="shared" ca="1" si="4"/>
        <v>0</v>
      </c>
      <c r="BA2" s="150">
        <f t="shared" ca="1" si="4"/>
        <v>0</v>
      </c>
      <c r="BB2" s="150">
        <f t="shared" ca="1" si="4"/>
        <v>0</v>
      </c>
      <c r="BC2" s="150">
        <f t="shared" ca="1" si="4"/>
        <v>0</v>
      </c>
      <c r="BD2" s="150">
        <f t="shared" ca="1" si="4"/>
        <v>0</v>
      </c>
      <c r="BE2" s="767">
        <f ca="1">IF($G2="",0,SUMIFS(INDIRECT($CS2&amp;BE$16),INDIRECT($CS2&amp;"C:C"),$G2))+IF($G2="",0,SUMIFS(INDIRECT($CS2&amp;BE$18),INDIRECT($CS2&amp;"C:C"),$G2))</f>
        <v>0</v>
      </c>
      <c r="BF2" s="150">
        <f t="shared" ref="BF2:BL4" ca="1" si="5">IF($G2="",0,SUMIFS(INDIRECT($CS2&amp;BF$16),INDIRECT($CS2&amp;"C:C"),$G2))</f>
        <v>0</v>
      </c>
      <c r="BG2" s="150">
        <f t="shared" ca="1" si="5"/>
        <v>0</v>
      </c>
      <c r="BH2" s="150">
        <f t="shared" ca="1" si="5"/>
        <v>0</v>
      </c>
      <c r="BI2" s="150">
        <f t="shared" ca="1" si="5"/>
        <v>0</v>
      </c>
      <c r="BJ2" s="150">
        <f t="shared" ca="1" si="5"/>
        <v>0</v>
      </c>
      <c r="BK2" s="150">
        <f t="shared" ca="1" si="5"/>
        <v>0</v>
      </c>
      <c r="BL2" s="150">
        <f t="shared" ca="1" si="5"/>
        <v>0</v>
      </c>
      <c r="BM2" s="1258">
        <f ca="1">SUM(BK2:BL2)</f>
        <v>0</v>
      </c>
      <c r="BN2" s="150">
        <f t="shared" ref="BN2:BT4" ca="1" si="6">IF($G2="",0,SUMIFS(INDIRECT($CS2&amp;BN$16),INDIRECT($CS2&amp;"C:C"),$G2))</f>
        <v>1329.5415092251819</v>
      </c>
      <c r="BO2" s="150">
        <f t="shared" ca="1" si="6"/>
        <v>0</v>
      </c>
      <c r="BP2" s="150">
        <f t="shared" ca="1" si="6"/>
        <v>2839.4856114802992</v>
      </c>
      <c r="BQ2" s="150">
        <f t="shared" ca="1" si="6"/>
        <v>0</v>
      </c>
      <c r="BR2" s="150">
        <f t="shared" ca="1" si="6"/>
        <v>12312.87207858593</v>
      </c>
      <c r="BS2" s="150">
        <f t="shared" ca="1" si="6"/>
        <v>0</v>
      </c>
      <c r="BT2" s="150">
        <f t="shared" ca="1" si="6"/>
        <v>10666.502206905017</v>
      </c>
      <c r="BU2" s="152">
        <f ca="1">SUM(BN2:BT2)</f>
        <v>27148.401406196426</v>
      </c>
      <c r="BV2" s="150">
        <f t="shared" ref="BV2:BW4" ca="1" si="7">IF($G2="",0,SUMIFS(INDIRECT($CS2&amp;BV$16),INDIRECT($CS2&amp;"C:C"),$G2))</f>
        <v>0</v>
      </c>
      <c r="BW2" s="150">
        <f t="shared" ca="1" si="7"/>
        <v>0</v>
      </c>
      <c r="BX2" s="152">
        <f ca="1">SUM(BV2:BW2)</f>
        <v>0</v>
      </c>
      <c r="BY2" s="767">
        <f ca="1">IF($G2="",0,SUMIFS(INDIRECT($CS2&amp;BY$16),INDIRECT($CS2&amp;"C:C"),$G2))+IF($G2="",0,SUMIFS(INDIRECT($CS2&amp;BY$18),INDIRECT($CS2&amp;"C:C"),$G2))+IF($G2="",0,SUMIFS(INDIRECT($CS2&amp;BY$20),INDIRECT($CS2&amp;"C:C"),$G2))</f>
        <v>0</v>
      </c>
      <c r="BZ2" s="150">
        <f t="shared" ref="BZ2:CD4" ca="1" si="8">IF($G2="",0,SUMIFS(INDIRECT($CS2&amp;BZ$16),INDIRECT($CS2&amp;"C:C"),$G2))</f>
        <v>0</v>
      </c>
      <c r="CA2" s="150">
        <f t="shared" ca="1" si="8"/>
        <v>0</v>
      </c>
      <c r="CB2" s="150">
        <f t="shared" ca="1" si="8"/>
        <v>0</v>
      </c>
      <c r="CC2" s="150">
        <f t="shared" ca="1" si="8"/>
        <v>0</v>
      </c>
      <c r="CD2" s="150">
        <f t="shared" ca="1" si="8"/>
        <v>0</v>
      </c>
      <c r="CE2" s="767">
        <f ca="1">IF($G2="",0,SUMIFS(INDIRECT($CS2&amp;CE$16),INDIRECT($CS2&amp;"C:C"),$G2))+IF($G2="",0,SUMIFS(INDIRECT($CS2&amp;CE$18),INDIRECT($CS2&amp;"C:C"),$G2))</f>
        <v>0</v>
      </c>
      <c r="CF2" s="152">
        <f ca="1">SUM(BY2:CE2)</f>
        <v>0</v>
      </c>
      <c r="CG2" s="152">
        <f ca="1">SUM(BM2,BU2,BX2,CF2)</f>
        <v>27148.401406196426</v>
      </c>
      <c r="CH2" s="150">
        <f ca="1">IF($G2="",0,SUMIFS(INDIRECT($CS2&amp;CH$16),INDIRECT($CS2&amp;"C:C"),$G2))+IF($G2="",0,SUMIFS(INDIRECT($CS2&amp;CH$18),INDIRECT($CS2&amp;"C:C"),$G2))</f>
        <v>0</v>
      </c>
      <c r="CI2" s="1397">
        <f t="shared" ref="CI2:CJ4" ca="1" si="9">IF($G2="",0,SUMIFS(INDIRECT($CS2&amp;CI$16),INDIRECT($CS2&amp;"C:C"),$G2))</f>
        <v>2714.8401406196426</v>
      </c>
      <c r="CJ2" s="1397">
        <f t="shared" ca="1" si="9"/>
        <v>0</v>
      </c>
      <c r="CK2" s="152">
        <f ca="1">SUM(CG2+CI2)</f>
        <v>29863.241546816069</v>
      </c>
      <c r="CL2" s="152">
        <f ca="1">IF(LEFT(G2, 1)="B",  SUM(CG2,CI2),SUM(CG2,CH2))</f>
        <v>27148.401406196426</v>
      </c>
      <c r="CM2" s="152">
        <f ca="1">SUM(BM2,BU2)</f>
        <v>27148.401406196426</v>
      </c>
      <c r="CN2" s="152">
        <f ca="1">SUM(CG2,CI2,CJ2)</f>
        <v>29863.241546816069</v>
      </c>
      <c r="CO2" s="167">
        <f ca="1">BL2+BP2</f>
        <v>2839.4856114802992</v>
      </c>
      <c r="CP2" s="168">
        <f ca="1">BW2</f>
        <v>0</v>
      </c>
      <c r="CQ2" s="768">
        <f ca="1">SUM(BY2:CD2)</f>
        <v>0</v>
      </c>
      <c r="CS2" s="764" t="str">
        <f t="shared" ref="CS2:CS13" si="10">IF(C2="","","'CalcsYr"&amp;IF($C2=Year1,1,IF($C2=Year2,2,IF($C2=Year3,3,"")))&amp;"'!")</f>
        <v>'CalcsYr1'!</v>
      </c>
      <c r="CT2" s="1412"/>
    </row>
    <row r="3" spans="1:98" s="154" customFormat="1">
      <c r="A3" s="154" t="str">
        <f>Lookups!F$8</f>
        <v>Electric</v>
      </c>
      <c r="B3" s="154" t="str">
        <f>Lookups!F$9</f>
        <v>Unitil Energy Systems Inc</v>
      </c>
      <c r="C3" s="154">
        <f>Year1</f>
        <v>2021</v>
      </c>
      <c r="D3" s="769" t="str">
        <f>Lookups!F$10</f>
        <v>Planned</v>
      </c>
      <c r="E3" s="146" t="str">
        <f>Lookups!$E$69</f>
        <v>B - Low-Income</v>
      </c>
      <c r="F3" s="146" t="s">
        <v>271</v>
      </c>
      <c r="G3" s="146"/>
      <c r="H3" s="147">
        <f>SUMIFS(Costs!E$5:E$99,Costs!$A$5:$A$99,$C3,Costs!$D$5:$D$99,$G3)</f>
        <v>0</v>
      </c>
      <c r="I3" s="147">
        <f>SUMIFS(Costs!F$5:F$99,Costs!$A$5:$A$99,$C3,Costs!$D$5:$D$99,$G3)</f>
        <v>0</v>
      </c>
      <c r="J3" s="147">
        <f>SUMIFS(Costs!G$5:G$99,Costs!$A$5:$A$99,$C3,Costs!$D$5:$D$99,$G3)</f>
        <v>0</v>
      </c>
      <c r="K3" s="147">
        <f>SUMIFS(Costs!H$5:H$99,Costs!$A$5:$A$99,$C3,Costs!$D$5:$D$99,$G3)</f>
        <v>0</v>
      </c>
      <c r="L3" s="147">
        <f>SUMIFS(Costs!I$5:I$99,Costs!$A$5:$A$99,$C3,Costs!$D$5:$D$99,$G3)</f>
        <v>0</v>
      </c>
      <c r="M3" s="147">
        <f>SUMIFS(Costs!J$5:J$99,Costs!$A$5:$A$99,$C3,Costs!$D$5:$D$99,$G3)</f>
        <v>0</v>
      </c>
      <c r="N3" s="148">
        <f>SUM(H3:M3)</f>
        <v>0</v>
      </c>
      <c r="O3" s="148">
        <f>IF($C3=Year1,N3,IF($C3=Year2,N3/(1+nomdiscrt2),IF($C3=Year3,N3/(1+nomdiscrt3)^2,"")))</f>
        <v>0</v>
      </c>
      <c r="P3" s="147">
        <f>SUMIFS(Costs!K$5:K$99,Costs!$A$5:$A$99,$C3,Costs!$D$5:$D$99,$G3)</f>
        <v>0</v>
      </c>
      <c r="Q3" s="148">
        <f>IF($C3=Year1,P3,IF($C3=Year2,P3/(1+nomdiscrt2),IF($C3=Year3,P3/(1+nomdiscrt3)^2,"")))</f>
        <v>0</v>
      </c>
      <c r="R3" s="147">
        <f ca="1">IF($G3="",0,SUMIFS(INDIRECT($CS3&amp;R$16),INDIRECT($CS3&amp;"C:C"),$G3))</f>
        <v>0</v>
      </c>
      <c r="S3" s="148">
        <f ca="1">IF($C3=Year1,R3,IF($C3=Year2,R3/(1+nomdiscrt2),IF($C3=Year3,R3/(1+nomdiscrt3)^2,"")))</f>
        <v>0</v>
      </c>
      <c r="T3" s="148">
        <f ca="1">SUM(N3,P3,R3)</f>
        <v>0</v>
      </c>
      <c r="U3" s="148">
        <f ca="1">IF($C3=Year1,T3,IF($C3=Year2,T3/(1+nomdiscrt2),IF($C3=Year3,T3/(1+nomdiscrt3)^2,"")))</f>
        <v>0</v>
      </c>
      <c r="V3" s="149"/>
      <c r="W3" s="150">
        <f t="shared" ca="1" si="0"/>
        <v>0</v>
      </c>
      <c r="X3" s="150">
        <f t="shared" ca="1" si="0"/>
        <v>0</v>
      </c>
      <c r="Y3" s="150">
        <f t="shared" ca="1" si="0"/>
        <v>0</v>
      </c>
      <c r="Z3" s="150">
        <f t="shared" ca="1" si="0"/>
        <v>0</v>
      </c>
      <c r="AA3" s="150">
        <f t="shared" ca="1" si="0"/>
        <v>0</v>
      </c>
      <c r="AB3" s="150">
        <f t="shared" ca="1" si="0"/>
        <v>0</v>
      </c>
      <c r="AC3" s="150">
        <f t="shared" ca="1" si="0"/>
        <v>0</v>
      </c>
      <c r="AD3" s="150">
        <f t="shared" ca="1" si="0"/>
        <v>0</v>
      </c>
      <c r="AE3" s="151">
        <f t="shared" ca="1" si="1"/>
        <v>0</v>
      </c>
      <c r="AF3" s="151">
        <f t="shared" ca="1" si="1"/>
        <v>0</v>
      </c>
      <c r="AG3" s="767">
        <f t="shared" ca="1" si="2"/>
        <v>0</v>
      </c>
      <c r="AH3" s="767">
        <f t="shared" ca="1" si="2"/>
        <v>0</v>
      </c>
      <c r="AI3" s="150">
        <f t="shared" ca="1" si="3"/>
        <v>0</v>
      </c>
      <c r="AJ3" s="150">
        <f t="shared" ca="1" si="3"/>
        <v>0</v>
      </c>
      <c r="AK3" s="150">
        <f t="shared" ca="1" si="3"/>
        <v>0</v>
      </c>
      <c r="AL3" s="150">
        <f t="shared" ca="1" si="3"/>
        <v>0</v>
      </c>
      <c r="AM3" s="150">
        <f t="shared" ca="1" si="3"/>
        <v>0</v>
      </c>
      <c r="AN3" s="150">
        <f t="shared" ca="1" si="3"/>
        <v>0</v>
      </c>
      <c r="AO3" s="150">
        <f t="shared" ca="1" si="3"/>
        <v>0</v>
      </c>
      <c r="AP3" s="150">
        <f t="shared" ca="1" si="3"/>
        <v>0</v>
      </c>
      <c r="AQ3" s="150">
        <f t="shared" ca="1" si="3"/>
        <v>0</v>
      </c>
      <c r="AR3" s="150">
        <f t="shared" ca="1" si="3"/>
        <v>0</v>
      </c>
      <c r="AS3" s="150">
        <f t="shared" ca="1" si="4"/>
        <v>0</v>
      </c>
      <c r="AT3" s="150">
        <f t="shared" ca="1" si="4"/>
        <v>0</v>
      </c>
      <c r="AU3" s="150">
        <f t="shared" ca="1" si="4"/>
        <v>0</v>
      </c>
      <c r="AV3" s="150">
        <f t="shared" ca="1" si="4"/>
        <v>0</v>
      </c>
      <c r="AW3" s="150">
        <f t="shared" ca="1" si="4"/>
        <v>0</v>
      </c>
      <c r="AX3" s="150">
        <f t="shared" ca="1" si="4"/>
        <v>0</v>
      </c>
      <c r="AY3" s="150">
        <f t="shared" ca="1" si="4"/>
        <v>0</v>
      </c>
      <c r="AZ3" s="150">
        <f t="shared" ca="1" si="4"/>
        <v>0</v>
      </c>
      <c r="BA3" s="150">
        <f t="shared" ca="1" si="4"/>
        <v>0</v>
      </c>
      <c r="BB3" s="150">
        <f t="shared" ca="1" si="4"/>
        <v>0</v>
      </c>
      <c r="BC3" s="150">
        <f t="shared" ca="1" si="4"/>
        <v>0</v>
      </c>
      <c r="BD3" s="150">
        <f t="shared" ca="1" si="4"/>
        <v>0</v>
      </c>
      <c r="BE3" s="767">
        <f ca="1">IF($G3="",0,SUMIFS(INDIRECT($CS3&amp;BE$16),INDIRECT($CS3&amp;"C:C"),$G3))+IF($G3="",0,SUMIFS(INDIRECT($CS3&amp;BE$18),INDIRECT($CS3&amp;"C:C"),$G3))</f>
        <v>0</v>
      </c>
      <c r="BF3" s="150">
        <f t="shared" ca="1" si="5"/>
        <v>0</v>
      </c>
      <c r="BG3" s="150">
        <f t="shared" ca="1" si="5"/>
        <v>0</v>
      </c>
      <c r="BH3" s="150">
        <f t="shared" ca="1" si="5"/>
        <v>0</v>
      </c>
      <c r="BI3" s="150">
        <f t="shared" ca="1" si="5"/>
        <v>0</v>
      </c>
      <c r="BJ3" s="150">
        <f t="shared" ca="1" si="5"/>
        <v>0</v>
      </c>
      <c r="BK3" s="150">
        <f t="shared" ca="1" si="5"/>
        <v>0</v>
      </c>
      <c r="BL3" s="150">
        <f t="shared" ca="1" si="5"/>
        <v>0</v>
      </c>
      <c r="BM3" s="1258">
        <f ca="1">SUM(BK3:BL3)</f>
        <v>0</v>
      </c>
      <c r="BN3" s="150">
        <f t="shared" ca="1" si="6"/>
        <v>0</v>
      </c>
      <c r="BO3" s="150">
        <f t="shared" ca="1" si="6"/>
        <v>0</v>
      </c>
      <c r="BP3" s="150">
        <f t="shared" ca="1" si="6"/>
        <v>0</v>
      </c>
      <c r="BQ3" s="150">
        <f t="shared" ca="1" si="6"/>
        <v>0</v>
      </c>
      <c r="BR3" s="150">
        <f t="shared" ca="1" si="6"/>
        <v>0</v>
      </c>
      <c r="BS3" s="150">
        <f t="shared" ca="1" si="6"/>
        <v>0</v>
      </c>
      <c r="BT3" s="150">
        <f t="shared" ca="1" si="6"/>
        <v>0</v>
      </c>
      <c r="BU3" s="152">
        <f ca="1">SUM(BN3:BT3)</f>
        <v>0</v>
      </c>
      <c r="BV3" s="150">
        <f t="shared" ca="1" si="7"/>
        <v>0</v>
      </c>
      <c r="BW3" s="150">
        <f t="shared" ca="1" si="7"/>
        <v>0</v>
      </c>
      <c r="BX3" s="152">
        <f ca="1">SUM(BV3:BW3)</f>
        <v>0</v>
      </c>
      <c r="BY3" s="767">
        <f ca="1">IF($G3="",0,SUMIFS(INDIRECT($CS3&amp;BY$16),INDIRECT($CS3&amp;"C:C"),$G3))+IF($G3="",0,SUMIFS(INDIRECT($CS3&amp;BY$18),INDIRECT($CS3&amp;"C:C"),$G3))+IF($G3="",0,SUMIFS(INDIRECT($CS3&amp;BY$20),INDIRECT($CS3&amp;"C:C"),$G3))</f>
        <v>0</v>
      </c>
      <c r="BZ3" s="150">
        <f t="shared" ca="1" si="8"/>
        <v>0</v>
      </c>
      <c r="CA3" s="150">
        <f t="shared" ca="1" si="8"/>
        <v>0</v>
      </c>
      <c r="CB3" s="150">
        <f t="shared" ca="1" si="8"/>
        <v>0</v>
      </c>
      <c r="CC3" s="150">
        <f t="shared" ca="1" si="8"/>
        <v>0</v>
      </c>
      <c r="CD3" s="150">
        <f t="shared" ca="1" si="8"/>
        <v>0</v>
      </c>
      <c r="CE3" s="767">
        <f ca="1">IF($G3="",0,SUMIFS(INDIRECT($CS3&amp;CE$16),INDIRECT($CS3&amp;"C:C"),$G3))+IF($G3="",0,SUMIFS(INDIRECT($CS3&amp;CE$18),INDIRECT($CS3&amp;"C:C"),$G3))</f>
        <v>0</v>
      </c>
      <c r="CF3" s="152">
        <f ca="1">SUM(BY3:CE3)</f>
        <v>0</v>
      </c>
      <c r="CG3" s="152">
        <f ca="1">SUM(BM3,BU3,BX3,CF3)</f>
        <v>0</v>
      </c>
      <c r="CH3" s="150">
        <f ca="1">IF($G3="",0,SUMIFS(INDIRECT($CS3&amp;CH$16),INDIRECT($CS3&amp;"C:C"),$G3))+IF($G3="",0,SUMIFS(INDIRECT($CS3&amp;CH$18),INDIRECT($CS3&amp;"C:C"),$G3))</f>
        <v>0</v>
      </c>
      <c r="CI3" s="1397">
        <f t="shared" ca="1" si="9"/>
        <v>0</v>
      </c>
      <c r="CJ3" s="1397">
        <f t="shared" ca="1" si="9"/>
        <v>0</v>
      </c>
      <c r="CK3" s="152">
        <f ca="1">SUM(CG3+CI3)</f>
        <v>0</v>
      </c>
      <c r="CL3" s="152">
        <f ca="1">IF(LEFT(G3, 1)="B",  SUM(CG3,CI3),SUM(CG3,CH3))</f>
        <v>0</v>
      </c>
      <c r="CM3" s="152">
        <f ca="1">SUM(BM3,BU3)</f>
        <v>0</v>
      </c>
      <c r="CN3" s="152">
        <f ca="1">SUM(CG3,CI3,CJ3)</f>
        <v>0</v>
      </c>
      <c r="CO3" s="167">
        <f ca="1">BL3+BP3</f>
        <v>0</v>
      </c>
      <c r="CP3" s="168">
        <f ca="1">BW3</f>
        <v>0</v>
      </c>
      <c r="CQ3" s="768">
        <f ca="1">SUM(BY3:CD3)</f>
        <v>0</v>
      </c>
      <c r="CS3" s="764" t="str">
        <f t="shared" si="10"/>
        <v>'CalcsYr1'!</v>
      </c>
    </row>
    <row r="4" spans="1:98">
      <c r="A4" s="153" t="str">
        <f>Lookups!F$8</f>
        <v>Electric</v>
      </c>
      <c r="B4" s="153" t="str">
        <f>Lookups!F$9</f>
        <v>Unitil Energy Systems Inc</v>
      </c>
      <c r="C4" s="154">
        <f>Year1</f>
        <v>2021</v>
      </c>
      <c r="D4" s="769" t="str">
        <f>Lookups!F$10</f>
        <v>Planned</v>
      </c>
      <c r="E4" s="146" t="str">
        <f>Lookups!$E$70</f>
        <v>C - Commercial &amp; Industrial</v>
      </c>
      <c r="F4" s="87" t="s">
        <v>963</v>
      </c>
      <c r="G4" s="146" t="s">
        <v>965</v>
      </c>
      <c r="H4" s="147">
        <f>SUMIFS(Costs!E$5:E$99,Costs!$A$5:$A$99,$C4,Costs!$D$5:$D$99,$G4)</f>
        <v>3500</v>
      </c>
      <c r="I4" s="147">
        <f>SUMIFS(Costs!F$5:F$99,Costs!$A$5:$A$99,$C4,Costs!$D$5:$D$99,$G4)</f>
        <v>1000</v>
      </c>
      <c r="J4" s="147">
        <f>SUMIFS(Costs!G$5:G$99,Costs!$A$5:$A$99,$C4,Costs!$D$5:$D$99,$G4)</f>
        <v>101000</v>
      </c>
      <c r="K4" s="147">
        <f>SUMIFS(Costs!H$5:H$99,Costs!$A$5:$A$99,$C4,Costs!$D$5:$D$99,$G4)</f>
        <v>12500</v>
      </c>
      <c r="L4" s="147">
        <f>SUMIFS(Costs!I$5:I$99,Costs!$A$5:$A$99,$C4,Costs!$D$5:$D$99,$G4)</f>
        <v>5000</v>
      </c>
      <c r="M4" s="147">
        <f>SUMIFS(Costs!J$5:J$99,Costs!$A$5:$A$99,$C4,Costs!$D$5:$D$99,$G4)</f>
        <v>15000</v>
      </c>
      <c r="N4" s="148">
        <f>SUM(H4:M4)</f>
        <v>138000</v>
      </c>
      <c r="O4" s="148">
        <f>IF($C4=Year1,N4,IF($C4=Year2,N4/(1+nomdiscrt2),IF($C4=Year3,N4/(1+nomdiscrt3)^2,"")))</f>
        <v>138000</v>
      </c>
      <c r="P4" s="147">
        <f>SUMIFS(Costs!K$5:K$99,Costs!$A$5:$A$99,$C4,Costs!$D$5:$D$99,$G4)</f>
        <v>0</v>
      </c>
      <c r="Q4" s="148">
        <f>IF($C4=Year1,P4,IF($C4=Year2,P4/(1+nomdiscrt2),IF($C4=Year3,P4/(1+nomdiscrt3)^2,"")))</f>
        <v>0</v>
      </c>
      <c r="R4" s="147">
        <f ca="1">IF($G4="",0,SUMIFS(INDIRECT($CS4&amp;R$16),INDIRECT($CS4&amp;"C:C"),$G4))</f>
        <v>0</v>
      </c>
      <c r="S4" s="148">
        <f ca="1">IF($C4=Year1,R4,IF($C4=Year2,R4/(1+nomdiscrt2),IF($C4=Year3,R4/(1+nomdiscrt3)^2,"")))</f>
        <v>0</v>
      </c>
      <c r="T4" s="148">
        <f ca="1">SUM(N4,P4,R4)</f>
        <v>138000</v>
      </c>
      <c r="U4" s="148">
        <f ca="1">IF($C4=Year1,T4,IF($C4=Year2,T4/(1+nomdiscrt2),IF($C4=Year3,T4/(1+nomdiscrt3)^2,"")))</f>
        <v>138000</v>
      </c>
      <c r="V4" s="149">
        <f>ADRYr1!$G$29+ADRYr1!$G$35</f>
        <v>19</v>
      </c>
      <c r="W4" s="150">
        <f t="shared" ca="1" si="0"/>
        <v>0</v>
      </c>
      <c r="X4" s="150">
        <f t="shared" ca="1" si="0"/>
        <v>1900</v>
      </c>
      <c r="Y4" s="150">
        <f t="shared" ca="1" si="0"/>
        <v>-2.647058823529413</v>
      </c>
      <c r="Z4" s="150">
        <f t="shared" ca="1" si="0"/>
        <v>-2.647058823529413</v>
      </c>
      <c r="AA4" s="150">
        <f t="shared" ca="1" si="0"/>
        <v>-2.647058823529413</v>
      </c>
      <c r="AB4" s="150">
        <f t="shared" ca="1" si="0"/>
        <v>-2.647058823529413</v>
      </c>
      <c r="AC4" s="150">
        <f t="shared" ca="1" si="0"/>
        <v>0</v>
      </c>
      <c r="AD4" s="150">
        <f t="shared" ca="1" si="0"/>
        <v>0</v>
      </c>
      <c r="AE4" s="151">
        <f t="shared" ca="1" si="1"/>
        <v>0</v>
      </c>
      <c r="AF4" s="151">
        <f t="shared" ca="1" si="1"/>
        <v>0</v>
      </c>
      <c r="AG4" s="767">
        <f t="shared" ca="1" si="2"/>
        <v>0</v>
      </c>
      <c r="AH4" s="767">
        <f t="shared" ca="1" si="2"/>
        <v>0</v>
      </c>
      <c r="AI4" s="150">
        <f t="shared" ca="1" si="3"/>
        <v>0</v>
      </c>
      <c r="AJ4" s="150">
        <f t="shared" ca="1" si="3"/>
        <v>0</v>
      </c>
      <c r="AK4" s="150">
        <f t="shared" ca="1" si="3"/>
        <v>0</v>
      </c>
      <c r="AL4" s="150">
        <f t="shared" ca="1" si="3"/>
        <v>0</v>
      </c>
      <c r="AM4" s="150">
        <f t="shared" ca="1" si="3"/>
        <v>0</v>
      </c>
      <c r="AN4" s="150">
        <f t="shared" ca="1" si="3"/>
        <v>0</v>
      </c>
      <c r="AO4" s="150">
        <f t="shared" ca="1" si="3"/>
        <v>0</v>
      </c>
      <c r="AP4" s="150">
        <f t="shared" ca="1" si="3"/>
        <v>0</v>
      </c>
      <c r="AQ4" s="150">
        <f t="shared" ca="1" si="3"/>
        <v>0</v>
      </c>
      <c r="AR4" s="150">
        <f t="shared" ca="1" si="3"/>
        <v>0</v>
      </c>
      <c r="AS4" s="150">
        <f t="shared" ca="1" si="4"/>
        <v>0</v>
      </c>
      <c r="AT4" s="150">
        <f t="shared" ca="1" si="4"/>
        <v>0</v>
      </c>
      <c r="AU4" s="150">
        <f t="shared" ca="1" si="4"/>
        <v>0</v>
      </c>
      <c r="AV4" s="150">
        <f t="shared" ca="1" si="4"/>
        <v>0</v>
      </c>
      <c r="AW4" s="150">
        <f t="shared" ca="1" si="4"/>
        <v>0</v>
      </c>
      <c r="AX4" s="150">
        <f t="shared" ca="1" si="4"/>
        <v>0</v>
      </c>
      <c r="AY4" s="150">
        <f t="shared" ca="1" si="4"/>
        <v>0</v>
      </c>
      <c r="AZ4" s="150">
        <f t="shared" ca="1" si="4"/>
        <v>0</v>
      </c>
      <c r="BA4" s="150">
        <f t="shared" ca="1" si="4"/>
        <v>0</v>
      </c>
      <c r="BB4" s="150">
        <f t="shared" ca="1" si="4"/>
        <v>0</v>
      </c>
      <c r="BC4" s="150">
        <f t="shared" ca="1" si="4"/>
        <v>0</v>
      </c>
      <c r="BD4" s="150">
        <f t="shared" ca="1" si="4"/>
        <v>0</v>
      </c>
      <c r="BE4" s="767">
        <f ca="1">IF($G4="",0,SUMIFS(INDIRECT($CS4&amp;BE$16),INDIRECT($CS4&amp;"C:C"),$G4))+IF($G4="",0,SUMIFS(INDIRECT($CS4&amp;BE$18),INDIRECT($CS4&amp;"C:C"),$G4))</f>
        <v>0</v>
      </c>
      <c r="BF4" s="150">
        <f t="shared" ca="1" si="5"/>
        <v>0</v>
      </c>
      <c r="BG4" s="150">
        <f t="shared" ca="1" si="5"/>
        <v>0</v>
      </c>
      <c r="BH4" s="150">
        <f t="shared" ca="1" si="5"/>
        <v>0</v>
      </c>
      <c r="BI4" s="150">
        <f t="shared" ca="1" si="5"/>
        <v>0</v>
      </c>
      <c r="BJ4" s="150">
        <f t="shared" ca="1" si="5"/>
        <v>0</v>
      </c>
      <c r="BK4" s="150">
        <f t="shared" ca="1" si="5"/>
        <v>203.16772506369171</v>
      </c>
      <c r="BL4" s="150">
        <f t="shared" ca="1" si="5"/>
        <v>-4.8504416101587182</v>
      </c>
      <c r="BM4" s="1258">
        <f ca="1">SUM(BK4:BL4)</f>
        <v>198.31728345353298</v>
      </c>
      <c r="BN4" s="150">
        <f t="shared" ca="1" si="6"/>
        <v>29781.729806644078</v>
      </c>
      <c r="BO4" s="150">
        <f t="shared" ca="1" si="6"/>
        <v>0</v>
      </c>
      <c r="BP4" s="150">
        <f t="shared" ca="1" si="6"/>
        <v>63604.477697158713</v>
      </c>
      <c r="BQ4" s="150">
        <f t="shared" ca="1" si="6"/>
        <v>0</v>
      </c>
      <c r="BR4" s="150">
        <f t="shared" ca="1" si="6"/>
        <v>187155.65559450613</v>
      </c>
      <c r="BS4" s="150">
        <f t="shared" ca="1" si="6"/>
        <v>0</v>
      </c>
      <c r="BT4" s="150">
        <f t="shared" ca="1" si="6"/>
        <v>162130.83354495626</v>
      </c>
      <c r="BU4" s="152">
        <f ca="1">SUM(BN4:BT4)</f>
        <v>442672.6966432652</v>
      </c>
      <c r="BV4" s="150">
        <f t="shared" ca="1" si="7"/>
        <v>0</v>
      </c>
      <c r="BW4" s="150">
        <f t="shared" ca="1" si="7"/>
        <v>0</v>
      </c>
      <c r="BX4" s="152">
        <f ca="1">SUM(BV4:BW4)</f>
        <v>0</v>
      </c>
      <c r="BY4" s="767">
        <f ca="1">IF($G4="",0,SUMIFS(INDIRECT($CS4&amp;BY$16),INDIRECT($CS4&amp;"C:C"),$G4))+IF($G4="",0,SUMIFS(INDIRECT($CS4&amp;BY$18),INDIRECT($CS4&amp;"C:C"),$G4))+IF($G4="",0,SUMIFS(INDIRECT($CS4&amp;BY$20),INDIRECT($CS4&amp;"C:C"),$G4))</f>
        <v>0</v>
      </c>
      <c r="BZ4" s="150">
        <f t="shared" ca="1" si="8"/>
        <v>0</v>
      </c>
      <c r="CA4" s="150">
        <f t="shared" ca="1" si="8"/>
        <v>0</v>
      </c>
      <c r="CB4" s="150">
        <f t="shared" ca="1" si="8"/>
        <v>0</v>
      </c>
      <c r="CC4" s="150">
        <f t="shared" ca="1" si="8"/>
        <v>0</v>
      </c>
      <c r="CD4" s="150">
        <f t="shared" ca="1" si="8"/>
        <v>0</v>
      </c>
      <c r="CE4" s="767">
        <f ca="1">IF($G4="",0,SUMIFS(INDIRECT($CS4&amp;CE$16),INDIRECT($CS4&amp;"C:C"),$G4))+IF($G4="",0,SUMIFS(INDIRECT($CS4&amp;CE$18),INDIRECT($CS4&amp;"C:C"),$G4))</f>
        <v>0</v>
      </c>
      <c r="CF4" s="152">
        <f ca="1">SUM(BY4:CE4)</f>
        <v>0</v>
      </c>
      <c r="CG4" s="152">
        <f ca="1">SUM(BM4,BU4,BX4,CF4)</f>
        <v>442871.01392671873</v>
      </c>
      <c r="CH4" s="150">
        <f ca="1">IF($G4="",0,SUMIFS(INDIRECT($CS4&amp;CH$16),INDIRECT($CS4&amp;"C:C"),$G4))+IF($G4="",0,SUMIFS(INDIRECT($CS4&amp;CH$18),INDIRECT($CS4&amp;"C:C"),$G4))</f>
        <v>0</v>
      </c>
      <c r="CI4" s="1397">
        <f t="shared" ca="1" si="9"/>
        <v>44287.101392671873</v>
      </c>
      <c r="CJ4" s="1397">
        <f t="shared" ca="1" si="9"/>
        <v>-131.43642656556904</v>
      </c>
      <c r="CK4" s="152">
        <f ca="1">SUM(CG4+CI4)</f>
        <v>487158.11531939061</v>
      </c>
      <c r="CL4" s="152">
        <f ca="1">IF(LEFT(G4, 1)="B",  SUM(CG4,CI4),SUM(CG4,CH4))</f>
        <v>442871.01392671873</v>
      </c>
      <c r="CM4" s="152">
        <f ca="1">SUM(BM4,BU4)</f>
        <v>442871.01392671873</v>
      </c>
      <c r="CN4" s="152">
        <f ca="1">SUM(CG4,CI4,CJ4)</f>
        <v>487026.67889282503</v>
      </c>
      <c r="CO4" s="167">
        <f ca="1">BL4+BP4</f>
        <v>63599.627255548556</v>
      </c>
      <c r="CP4" s="168">
        <f ca="1">BW4</f>
        <v>0</v>
      </c>
      <c r="CQ4" s="768">
        <f ca="1">SUM(BY4:CD4)</f>
        <v>0</v>
      </c>
      <c r="CS4" s="764" t="str">
        <f t="shared" si="10"/>
        <v>'CalcsYr1'!</v>
      </c>
    </row>
    <row r="5" spans="1:98" s="154" customFormat="1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3"/>
      <c r="CF5" s="192"/>
      <c r="CG5" s="192"/>
      <c r="CH5" s="192"/>
      <c r="CI5" s="1398"/>
      <c r="CJ5" s="1398"/>
      <c r="CK5" s="192"/>
      <c r="CL5" s="192"/>
      <c r="CM5" s="192"/>
      <c r="CN5" s="192"/>
      <c r="CO5" s="194"/>
      <c r="CP5" s="194"/>
      <c r="CQ5" s="192"/>
      <c r="CS5" s="764" t="str">
        <f t="shared" si="10"/>
        <v/>
      </c>
    </row>
    <row r="6" spans="1:98" s="154" customFormat="1">
      <c r="A6" s="154" t="str">
        <f>Lookups!F$8</f>
        <v>Electric</v>
      </c>
      <c r="B6" s="154" t="str">
        <f>Lookups!F$9</f>
        <v>Unitil Energy Systems Inc</v>
      </c>
      <c r="C6" s="154">
        <f>Year2</f>
        <v>2022</v>
      </c>
      <c r="D6" s="769" t="str">
        <f>Lookups!F$10</f>
        <v>Planned</v>
      </c>
      <c r="E6" s="146" t="str">
        <f>Lookups!$E$68</f>
        <v>A - Residential</v>
      </c>
      <c r="F6" s="146" t="s">
        <v>962</v>
      </c>
      <c r="G6" s="146" t="s">
        <v>964</v>
      </c>
      <c r="H6" s="147">
        <f>SUMIFS(Costs!E$5:E$99,Costs!$A$5:$A$99,$C6,Costs!$D$5:$D$99,$G6)</f>
        <v>2200</v>
      </c>
      <c r="I6" s="147">
        <f>SUMIFS(Costs!F$5:F$99,Costs!$A$5:$A$99,$C6,Costs!$D$5:$D$99,$G6)</f>
        <v>0</v>
      </c>
      <c r="J6" s="147">
        <f>SUMIFS(Costs!G$5:G$99,Costs!$A$5:$A$99,$C6,Costs!$D$5:$D$99,$G6)</f>
        <v>10623.75</v>
      </c>
      <c r="K6" s="147">
        <f>SUMIFS(Costs!H$5:H$99,Costs!$A$5:$A$99,$C6,Costs!$D$5:$D$99,$G6)</f>
        <v>27000</v>
      </c>
      <c r="L6" s="147">
        <f>SUMIFS(Costs!I$5:I$99,Costs!$A$5:$A$99,$C6,Costs!$D$5:$D$99,$G6)</f>
        <v>1200</v>
      </c>
      <c r="M6" s="147">
        <f>SUMIFS(Costs!J$5:J$99,Costs!$A$5:$A$99,$C6,Costs!$D$5:$D$99,$G6)</f>
        <v>1200</v>
      </c>
      <c r="N6" s="148">
        <f>SUM(H6:M6)</f>
        <v>42223.75</v>
      </c>
      <c r="O6" s="148">
        <f>IF($C6=Year1,N6,IF($C6=Year2,N6/(1+nomdiscrt2),IF($C6=Year3,N6/(1+nomdiscrt3)^2,"")))</f>
        <v>40894.673123486682</v>
      </c>
      <c r="P6" s="147">
        <f>SUMIFS(Costs!K$5:K$99,Costs!$A$5:$A$99,$C6,Costs!$D$5:$D$99,$G6)</f>
        <v>0</v>
      </c>
      <c r="Q6" s="148">
        <f>IF($C6=Year1,P6,IF($C6=Year2,P6/(1+nomdiscrt2),IF($C6=Year3,P6/(1+nomdiscrt3)^2,"")))</f>
        <v>0</v>
      </c>
      <c r="R6" s="147">
        <f ca="1">IF($G6="",0,SUMIFS(INDIRECT($CS6&amp;R$16),INDIRECT($CS6&amp;"C:C"),$G6))</f>
        <v>0</v>
      </c>
      <c r="S6" s="148">
        <f ca="1">IF($C6=Year1,R6,IF($C6=Year2,R6/(1+nomdiscrt2),IF($C6=Year3,R6/(1+nomdiscrt3)^2,"")))</f>
        <v>0</v>
      </c>
      <c r="T6" s="148">
        <f ca="1">SUM(N6,P6,R6)</f>
        <v>42223.75</v>
      </c>
      <c r="U6" s="148">
        <f ca="1">IF($C6=Year1,T6,IF($C6=Year2,T6/(1+nomdiscrt2),IF($C6=Year3,T6/(1+nomdiscrt3)^2,"")))</f>
        <v>40894.673123486682</v>
      </c>
      <c r="V6" s="149">
        <f>ADRYr2!$G$5/2</f>
        <v>187.5</v>
      </c>
      <c r="W6" s="150">
        <f t="shared" ref="W6:AD8" ca="1" si="11">IF($G6="",0,SUMIFS(INDIRECT($CS6&amp;W$16),INDIRECT($CS6&amp;"C:C"),$G6))</f>
        <v>0</v>
      </c>
      <c r="X6" s="150">
        <f t="shared" ca="1" si="11"/>
        <v>187.5</v>
      </c>
      <c r="Y6" s="150">
        <f t="shared" ca="1" si="11"/>
        <v>0</v>
      </c>
      <c r="Z6" s="150">
        <f t="shared" ca="1" si="11"/>
        <v>0</v>
      </c>
      <c r="AA6" s="150">
        <f t="shared" ca="1" si="11"/>
        <v>0</v>
      </c>
      <c r="AB6" s="150">
        <f t="shared" ca="1" si="11"/>
        <v>0</v>
      </c>
      <c r="AC6" s="150">
        <f t="shared" ca="1" si="11"/>
        <v>0</v>
      </c>
      <c r="AD6" s="150">
        <f t="shared" ca="1" si="11"/>
        <v>0</v>
      </c>
      <c r="AE6" s="151">
        <f t="shared" ref="AE6:AF8" ca="1" si="12">AC6*10</f>
        <v>0</v>
      </c>
      <c r="AF6" s="151">
        <f t="shared" ca="1" si="12"/>
        <v>0</v>
      </c>
      <c r="AG6" s="767">
        <f t="shared" ref="AG6:AH8" ca="1" si="13">IF($G6="",0,SUMIFS(INDIRECT($CS6&amp;AG$16),INDIRECT($CS6&amp;"C:C"),$G6))*10</f>
        <v>0</v>
      </c>
      <c r="AH6" s="767">
        <f t="shared" ca="1" si="13"/>
        <v>0</v>
      </c>
      <c r="AI6" s="150">
        <f t="shared" ref="AI6:AR8" ca="1" si="14">IF($G6="",0,SUMIFS(INDIRECT($CS6&amp;AI$16),INDIRECT($CS6&amp;"C:C"),$G6))</f>
        <v>0</v>
      </c>
      <c r="AJ6" s="150">
        <f t="shared" ca="1" si="14"/>
        <v>0</v>
      </c>
      <c r="AK6" s="150">
        <f t="shared" ca="1" si="14"/>
        <v>0</v>
      </c>
      <c r="AL6" s="150">
        <f t="shared" ca="1" si="14"/>
        <v>0</v>
      </c>
      <c r="AM6" s="150">
        <f t="shared" ca="1" si="14"/>
        <v>0</v>
      </c>
      <c r="AN6" s="150">
        <f t="shared" ca="1" si="14"/>
        <v>0</v>
      </c>
      <c r="AO6" s="150">
        <f t="shared" ca="1" si="14"/>
        <v>0</v>
      </c>
      <c r="AP6" s="150">
        <f t="shared" ca="1" si="14"/>
        <v>0</v>
      </c>
      <c r="AQ6" s="150">
        <f t="shared" ca="1" si="14"/>
        <v>0</v>
      </c>
      <c r="AR6" s="150">
        <f t="shared" ca="1" si="14"/>
        <v>0</v>
      </c>
      <c r="AS6" s="150">
        <f t="shared" ref="AS6:BD8" ca="1" si="15">IF($G6="",0,SUMIFS(INDIRECT($CS6&amp;AS$16),INDIRECT($CS6&amp;"C:C"),$G6))</f>
        <v>0</v>
      </c>
      <c r="AT6" s="150">
        <f t="shared" ca="1" si="15"/>
        <v>0</v>
      </c>
      <c r="AU6" s="150">
        <f t="shared" ca="1" si="15"/>
        <v>0</v>
      </c>
      <c r="AV6" s="150">
        <f t="shared" ca="1" si="15"/>
        <v>0</v>
      </c>
      <c r="AW6" s="150">
        <f t="shared" ca="1" si="15"/>
        <v>0</v>
      </c>
      <c r="AX6" s="150">
        <f t="shared" ca="1" si="15"/>
        <v>0</v>
      </c>
      <c r="AY6" s="150">
        <f t="shared" ca="1" si="15"/>
        <v>0</v>
      </c>
      <c r="AZ6" s="150">
        <f t="shared" ca="1" si="15"/>
        <v>0</v>
      </c>
      <c r="BA6" s="150">
        <f t="shared" ca="1" si="15"/>
        <v>0</v>
      </c>
      <c r="BB6" s="150">
        <f t="shared" ca="1" si="15"/>
        <v>0</v>
      </c>
      <c r="BC6" s="150">
        <f t="shared" ca="1" si="15"/>
        <v>0</v>
      </c>
      <c r="BD6" s="150">
        <f t="shared" ca="1" si="15"/>
        <v>0</v>
      </c>
      <c r="BE6" s="767">
        <f ca="1">IF($G6="",0,SUMIFS(INDIRECT($CS6&amp;BE$16),INDIRECT($CS6&amp;"C:C"),$G6))+IF($G6="",0,SUMIFS(INDIRECT($CS6&amp;BE$18),INDIRECT($CS6&amp;"C:C"),$G6))</f>
        <v>0</v>
      </c>
      <c r="BF6" s="150">
        <f t="shared" ref="BF6:BL8" ca="1" si="16">IF($G6="",0,SUMIFS(INDIRECT($CS6&amp;BF$16),INDIRECT($CS6&amp;"C:C"),$G6))</f>
        <v>0</v>
      </c>
      <c r="BG6" s="150">
        <f t="shared" ca="1" si="16"/>
        <v>0</v>
      </c>
      <c r="BH6" s="150">
        <f t="shared" ca="1" si="16"/>
        <v>0</v>
      </c>
      <c r="BI6" s="150">
        <f t="shared" ca="1" si="16"/>
        <v>0</v>
      </c>
      <c r="BJ6" s="150">
        <f t="shared" ca="1" si="16"/>
        <v>0</v>
      </c>
      <c r="BK6" s="150">
        <f t="shared" ca="1" si="16"/>
        <v>0</v>
      </c>
      <c r="BL6" s="150">
        <f t="shared" ca="1" si="16"/>
        <v>0</v>
      </c>
      <c r="BM6" s="1258">
        <f ca="1">SUM(BK6:BL6)</f>
        <v>0</v>
      </c>
      <c r="BN6" s="150">
        <f t="shared" ref="BN6:BT8" ca="1" si="17">IF($G6="",0,SUMIFS(INDIRECT($CS6&amp;BN$16),INDIRECT($CS6&amp;"C:C"),$G6))</f>
        <v>2074.5294550621161</v>
      </c>
      <c r="BO6" s="150">
        <f t="shared" ca="1" si="17"/>
        <v>0</v>
      </c>
      <c r="BP6" s="150">
        <f t="shared" ca="1" si="17"/>
        <v>4412.4815697115728</v>
      </c>
      <c r="BQ6" s="150">
        <f t="shared" ca="1" si="17"/>
        <v>0</v>
      </c>
      <c r="BR6" s="150">
        <f t="shared" ca="1" si="17"/>
        <v>18803.602594812503</v>
      </c>
      <c r="BS6" s="150">
        <f t="shared" ca="1" si="17"/>
        <v>0</v>
      </c>
      <c r="BT6" s="150">
        <f t="shared" ca="1" si="17"/>
        <v>16289.348845274997</v>
      </c>
      <c r="BU6" s="152">
        <f ca="1">SUM(BN6:BT6)</f>
        <v>41579.962464861186</v>
      </c>
      <c r="BV6" s="150">
        <f t="shared" ref="BV6:BW8" ca="1" si="18">IF($G6="",0,SUMIFS(INDIRECT($CS6&amp;BV$16),INDIRECT($CS6&amp;"C:C"),$G6))</f>
        <v>0</v>
      </c>
      <c r="BW6" s="150">
        <f t="shared" ca="1" si="18"/>
        <v>0</v>
      </c>
      <c r="BX6" s="152">
        <f ca="1">SUM(BV6:BW6)</f>
        <v>0</v>
      </c>
      <c r="BY6" s="767">
        <f ca="1">IF($G6="",0,SUMIFS(INDIRECT($CS6&amp;BY$16),INDIRECT($CS6&amp;"C:C"),$G6))+IF($G6="",0,SUMIFS(INDIRECT($CS6&amp;BY$18),INDIRECT($CS6&amp;"C:C"),$G6))+IF($G6="",0,SUMIFS(INDIRECT($CS6&amp;BY$20),INDIRECT($CS6&amp;"C:C"),$G6))</f>
        <v>0</v>
      </c>
      <c r="BZ6" s="150">
        <f t="shared" ref="BZ6:CD8" ca="1" si="19">IF($G6="",0,SUMIFS(INDIRECT($CS6&amp;BZ$16),INDIRECT($CS6&amp;"C:C"),$G6))</f>
        <v>0</v>
      </c>
      <c r="CA6" s="150">
        <f t="shared" ca="1" si="19"/>
        <v>0</v>
      </c>
      <c r="CB6" s="150">
        <f t="shared" ca="1" si="19"/>
        <v>0</v>
      </c>
      <c r="CC6" s="150">
        <f t="shared" ca="1" si="19"/>
        <v>0</v>
      </c>
      <c r="CD6" s="150">
        <f t="shared" ca="1" si="19"/>
        <v>0</v>
      </c>
      <c r="CE6" s="767">
        <f ca="1">IF($G6="",0,SUMIFS(INDIRECT($CS6&amp;CE$16),INDIRECT($CS6&amp;"C:C"),$G6))+IF($G6="",0,SUMIFS(INDIRECT($CS6&amp;CE$18),INDIRECT($CS6&amp;"C:C"),$G6))</f>
        <v>0</v>
      </c>
      <c r="CF6" s="152">
        <f ca="1">SUM(BY6:CE6)</f>
        <v>0</v>
      </c>
      <c r="CG6" s="152">
        <f ca="1">SUM(BM6,BU6,BX6,CF6)</f>
        <v>41579.962464861186</v>
      </c>
      <c r="CH6" s="150">
        <f ca="1">IF($G6="",0,SUMIFS(INDIRECT($CS6&amp;CH$16),INDIRECT($CS6&amp;"C:C"),$G6))+IF($G6="",0,SUMIFS(INDIRECT($CS6&amp;CH$18),INDIRECT($CS6&amp;"C:C"),$G6))</f>
        <v>0</v>
      </c>
      <c r="CI6" s="1397">
        <f t="shared" ref="CI6:CJ8" ca="1" si="20">IF($G6="",0,SUMIFS(INDIRECT($CS6&amp;CI$16),INDIRECT($CS6&amp;"C:C"),$G6))</f>
        <v>4157.9962464861192</v>
      </c>
      <c r="CJ6" s="1397">
        <f t="shared" ca="1" si="20"/>
        <v>0</v>
      </c>
      <c r="CK6" s="152">
        <f ca="1">SUM(CG6+CI6)</f>
        <v>45737.958711347303</v>
      </c>
      <c r="CL6" s="152">
        <f ca="1">IF(LEFT(G6, 1)="B",  SUM(CG6,CI6),SUM(CG6,CH6))</f>
        <v>41579.962464861186</v>
      </c>
      <c r="CM6" s="152">
        <f ca="1">SUM(BM6,BU6)</f>
        <v>41579.962464861186</v>
      </c>
      <c r="CN6" s="152">
        <f ca="1">SUM(CG6,CI6,CJ6)</f>
        <v>45737.958711347303</v>
      </c>
      <c r="CO6" s="167">
        <f ca="1">BL6+BP6</f>
        <v>4412.4815697115728</v>
      </c>
      <c r="CP6" s="168">
        <f ca="1">BW6</f>
        <v>0</v>
      </c>
      <c r="CQ6" s="768">
        <f ca="1">SUM(BY6:CD6)</f>
        <v>0</v>
      </c>
      <c r="CS6" s="764" t="str">
        <f t="shared" si="10"/>
        <v>'CalcsYr2'!</v>
      </c>
    </row>
    <row r="7" spans="1:98" s="154" customFormat="1">
      <c r="A7" s="154" t="str">
        <f>Lookups!F$8</f>
        <v>Electric</v>
      </c>
      <c r="B7" s="154" t="str">
        <f>Lookups!F$9</f>
        <v>Unitil Energy Systems Inc</v>
      </c>
      <c r="C7" s="154">
        <f>Year2</f>
        <v>2022</v>
      </c>
      <c r="D7" s="769" t="str">
        <f>Lookups!F$10</f>
        <v>Planned</v>
      </c>
      <c r="E7" s="146" t="str">
        <f>Lookups!$E$69</f>
        <v>B - Low-Income</v>
      </c>
      <c r="F7" s="146" t="s">
        <v>271</v>
      </c>
      <c r="G7" s="146"/>
      <c r="H7" s="147">
        <f>SUMIFS(Costs!E$5:E$99,Costs!$A$5:$A$99,$C7,Costs!$D$5:$D$99,$G7)</f>
        <v>0</v>
      </c>
      <c r="I7" s="147">
        <f>SUMIFS(Costs!F$5:F$99,Costs!$A$5:$A$99,$C7,Costs!$D$5:$D$99,$G7)</f>
        <v>0</v>
      </c>
      <c r="J7" s="147">
        <f>SUMIFS(Costs!G$5:G$99,Costs!$A$5:$A$99,$C7,Costs!$D$5:$D$99,$G7)</f>
        <v>0</v>
      </c>
      <c r="K7" s="147">
        <f>SUMIFS(Costs!H$5:H$99,Costs!$A$5:$A$99,$C7,Costs!$D$5:$D$99,$G7)</f>
        <v>0</v>
      </c>
      <c r="L7" s="147">
        <f>SUMIFS(Costs!I$5:I$99,Costs!$A$5:$A$99,$C7,Costs!$D$5:$D$99,$G7)</f>
        <v>0</v>
      </c>
      <c r="M7" s="147">
        <f>SUMIFS(Costs!J$5:J$99,Costs!$A$5:$A$99,$C7,Costs!$D$5:$D$99,$G7)</f>
        <v>0</v>
      </c>
      <c r="N7" s="148">
        <f>SUM(H7:M7)</f>
        <v>0</v>
      </c>
      <c r="O7" s="148">
        <f>IF($C7=Year1,N7,IF($C7=Year2,N7/(1+nomdiscrt2),IF($C7=Year3,N7/(1+nomdiscrt3)^2,"")))</f>
        <v>0</v>
      </c>
      <c r="P7" s="147">
        <f>SUMIFS(Costs!K$5:K$99,Costs!$A$5:$A$99,$C7,Costs!$D$5:$D$99,$G7)</f>
        <v>0</v>
      </c>
      <c r="Q7" s="148">
        <f>IF($C7=Year1,P7,IF($C7=Year2,P7/(1+nomdiscrt2),IF($C7=Year3,P7/(1+nomdiscrt3)^2,"")))</f>
        <v>0</v>
      </c>
      <c r="R7" s="147">
        <f ca="1">IF($G7="",0,SUMIFS(INDIRECT($CS7&amp;R$16),INDIRECT($CS7&amp;"C:C"),$G7))</f>
        <v>0</v>
      </c>
      <c r="S7" s="148">
        <f ca="1">IF($C7=Year1,R7,IF($C7=Year2,R7/(1+nomdiscrt2),IF($C7=Year3,R7/(1+nomdiscrt3)^2,"")))</f>
        <v>0</v>
      </c>
      <c r="T7" s="148">
        <f ca="1">SUM(N7,P7,R7)</f>
        <v>0</v>
      </c>
      <c r="U7" s="148">
        <f ca="1">IF($C7=Year1,T7,IF($C7=Year2,T7/(1+nomdiscrt2),IF($C7=Year3,T7/(1+nomdiscrt3)^2,"")))</f>
        <v>0</v>
      </c>
      <c r="V7" s="149"/>
      <c r="W7" s="150">
        <f t="shared" ca="1" si="11"/>
        <v>0</v>
      </c>
      <c r="X7" s="150">
        <f t="shared" ca="1" si="11"/>
        <v>0</v>
      </c>
      <c r="Y7" s="150">
        <f t="shared" ca="1" si="11"/>
        <v>0</v>
      </c>
      <c r="Z7" s="150">
        <f t="shared" ca="1" si="11"/>
        <v>0</v>
      </c>
      <c r="AA7" s="150">
        <f t="shared" ca="1" si="11"/>
        <v>0</v>
      </c>
      <c r="AB7" s="150">
        <f t="shared" ca="1" si="11"/>
        <v>0</v>
      </c>
      <c r="AC7" s="150">
        <f t="shared" ca="1" si="11"/>
        <v>0</v>
      </c>
      <c r="AD7" s="150">
        <f t="shared" ca="1" si="11"/>
        <v>0</v>
      </c>
      <c r="AE7" s="151">
        <f t="shared" ca="1" si="12"/>
        <v>0</v>
      </c>
      <c r="AF7" s="151">
        <f t="shared" ca="1" si="12"/>
        <v>0</v>
      </c>
      <c r="AG7" s="767">
        <f t="shared" ca="1" si="13"/>
        <v>0</v>
      </c>
      <c r="AH7" s="767">
        <f t="shared" ca="1" si="13"/>
        <v>0</v>
      </c>
      <c r="AI7" s="150">
        <f t="shared" ca="1" si="14"/>
        <v>0</v>
      </c>
      <c r="AJ7" s="150">
        <f t="shared" ca="1" si="14"/>
        <v>0</v>
      </c>
      <c r="AK7" s="150">
        <f t="shared" ca="1" si="14"/>
        <v>0</v>
      </c>
      <c r="AL7" s="150">
        <f t="shared" ca="1" si="14"/>
        <v>0</v>
      </c>
      <c r="AM7" s="150">
        <f t="shared" ca="1" si="14"/>
        <v>0</v>
      </c>
      <c r="AN7" s="150">
        <f t="shared" ca="1" si="14"/>
        <v>0</v>
      </c>
      <c r="AO7" s="150">
        <f t="shared" ca="1" si="14"/>
        <v>0</v>
      </c>
      <c r="AP7" s="150">
        <f t="shared" ca="1" si="14"/>
        <v>0</v>
      </c>
      <c r="AQ7" s="150">
        <f t="shared" ca="1" si="14"/>
        <v>0</v>
      </c>
      <c r="AR7" s="150">
        <f t="shared" ca="1" si="14"/>
        <v>0</v>
      </c>
      <c r="AS7" s="150">
        <f t="shared" ca="1" si="15"/>
        <v>0</v>
      </c>
      <c r="AT7" s="150">
        <f t="shared" ca="1" si="15"/>
        <v>0</v>
      </c>
      <c r="AU7" s="150">
        <f t="shared" ca="1" si="15"/>
        <v>0</v>
      </c>
      <c r="AV7" s="150">
        <f t="shared" ca="1" si="15"/>
        <v>0</v>
      </c>
      <c r="AW7" s="150">
        <f t="shared" ca="1" si="15"/>
        <v>0</v>
      </c>
      <c r="AX7" s="150">
        <f t="shared" ca="1" si="15"/>
        <v>0</v>
      </c>
      <c r="AY7" s="150">
        <f t="shared" ca="1" si="15"/>
        <v>0</v>
      </c>
      <c r="AZ7" s="150">
        <f t="shared" ca="1" si="15"/>
        <v>0</v>
      </c>
      <c r="BA7" s="150">
        <f t="shared" ca="1" si="15"/>
        <v>0</v>
      </c>
      <c r="BB7" s="150">
        <f t="shared" ca="1" si="15"/>
        <v>0</v>
      </c>
      <c r="BC7" s="150">
        <f t="shared" ca="1" si="15"/>
        <v>0</v>
      </c>
      <c r="BD7" s="150">
        <f t="shared" ca="1" si="15"/>
        <v>0</v>
      </c>
      <c r="BE7" s="767">
        <f ca="1">IF($G7="",0,SUMIFS(INDIRECT($CS7&amp;BE$16),INDIRECT($CS7&amp;"C:C"),$G7))+IF($G7="",0,SUMIFS(INDIRECT($CS7&amp;BE$18),INDIRECT($CS7&amp;"C:C"),$G7))</f>
        <v>0</v>
      </c>
      <c r="BF7" s="150">
        <f t="shared" ca="1" si="16"/>
        <v>0</v>
      </c>
      <c r="BG7" s="150">
        <f t="shared" ca="1" si="16"/>
        <v>0</v>
      </c>
      <c r="BH7" s="150">
        <f t="shared" ca="1" si="16"/>
        <v>0</v>
      </c>
      <c r="BI7" s="150">
        <f t="shared" ca="1" si="16"/>
        <v>0</v>
      </c>
      <c r="BJ7" s="150">
        <f t="shared" ca="1" si="16"/>
        <v>0</v>
      </c>
      <c r="BK7" s="150">
        <f t="shared" ca="1" si="16"/>
        <v>0</v>
      </c>
      <c r="BL7" s="150">
        <f t="shared" ca="1" si="16"/>
        <v>0</v>
      </c>
      <c r="BM7" s="1258">
        <f ca="1">SUM(BK7:BL7)</f>
        <v>0</v>
      </c>
      <c r="BN7" s="150">
        <f t="shared" ca="1" si="17"/>
        <v>0</v>
      </c>
      <c r="BO7" s="150">
        <f t="shared" ca="1" si="17"/>
        <v>0</v>
      </c>
      <c r="BP7" s="150">
        <f t="shared" ca="1" si="17"/>
        <v>0</v>
      </c>
      <c r="BQ7" s="150">
        <f t="shared" ca="1" si="17"/>
        <v>0</v>
      </c>
      <c r="BR7" s="150">
        <f t="shared" ca="1" si="17"/>
        <v>0</v>
      </c>
      <c r="BS7" s="150">
        <f t="shared" ca="1" si="17"/>
        <v>0</v>
      </c>
      <c r="BT7" s="150">
        <f t="shared" ca="1" si="17"/>
        <v>0</v>
      </c>
      <c r="BU7" s="152">
        <f ca="1">SUM(BN7:BT7)</f>
        <v>0</v>
      </c>
      <c r="BV7" s="150">
        <f t="shared" ca="1" si="18"/>
        <v>0</v>
      </c>
      <c r="BW7" s="150">
        <f t="shared" ca="1" si="18"/>
        <v>0</v>
      </c>
      <c r="BX7" s="152">
        <f ca="1">SUM(BV7:BW7)</f>
        <v>0</v>
      </c>
      <c r="BY7" s="767">
        <f ca="1">IF($G7="",0,SUMIFS(INDIRECT($CS7&amp;BY$16),INDIRECT($CS7&amp;"C:C"),$G7))+IF($G7="",0,SUMIFS(INDIRECT($CS7&amp;BY$18),INDIRECT($CS7&amp;"C:C"),$G7))+IF($G7="",0,SUMIFS(INDIRECT($CS7&amp;BY$20),INDIRECT($CS7&amp;"C:C"),$G7))</f>
        <v>0</v>
      </c>
      <c r="BZ7" s="150">
        <f t="shared" ca="1" si="19"/>
        <v>0</v>
      </c>
      <c r="CA7" s="150">
        <f t="shared" ca="1" si="19"/>
        <v>0</v>
      </c>
      <c r="CB7" s="150">
        <f t="shared" ca="1" si="19"/>
        <v>0</v>
      </c>
      <c r="CC7" s="150">
        <f t="shared" ca="1" si="19"/>
        <v>0</v>
      </c>
      <c r="CD7" s="150">
        <f t="shared" ca="1" si="19"/>
        <v>0</v>
      </c>
      <c r="CE7" s="767">
        <f ca="1">IF($G7="",0,SUMIFS(INDIRECT($CS7&amp;CE$16),INDIRECT($CS7&amp;"C:C"),$G7))+IF($G7="",0,SUMIFS(INDIRECT($CS7&amp;CE$18),INDIRECT($CS7&amp;"C:C"),$G7))</f>
        <v>0</v>
      </c>
      <c r="CF7" s="152">
        <f ca="1">SUM(BY7:CE7)</f>
        <v>0</v>
      </c>
      <c r="CG7" s="152">
        <f ca="1">SUM(BM7,BU7,BX7,CF7)</f>
        <v>0</v>
      </c>
      <c r="CH7" s="150">
        <f ca="1">IF($G7="",0,SUMIFS(INDIRECT($CS7&amp;CH$16),INDIRECT($CS7&amp;"C:C"),$G7))+IF($G7="",0,SUMIFS(INDIRECT($CS7&amp;CH$18),INDIRECT($CS7&amp;"C:C"),$G7))</f>
        <v>0</v>
      </c>
      <c r="CI7" s="1397">
        <f t="shared" ca="1" si="20"/>
        <v>0</v>
      </c>
      <c r="CJ7" s="1397">
        <f t="shared" ca="1" si="20"/>
        <v>0</v>
      </c>
      <c r="CK7" s="152">
        <f ca="1">SUM(CG7+CI7)</f>
        <v>0</v>
      </c>
      <c r="CL7" s="152">
        <f ca="1">IF(LEFT(G7, 1)="B",  SUM(CG7,CI7),SUM(CG7,CH7))</f>
        <v>0</v>
      </c>
      <c r="CM7" s="152">
        <f ca="1">SUM(BM7,BU7)</f>
        <v>0</v>
      </c>
      <c r="CN7" s="152">
        <f ca="1">SUM(CG7,CI7,CJ7)</f>
        <v>0</v>
      </c>
      <c r="CO7" s="167">
        <f ca="1">BL7+BP7</f>
        <v>0</v>
      </c>
      <c r="CP7" s="168">
        <f ca="1">BW7</f>
        <v>0</v>
      </c>
      <c r="CQ7" s="768">
        <f ca="1">SUM(BY7:CD7)</f>
        <v>0</v>
      </c>
      <c r="CS7" s="764" t="str">
        <f t="shared" si="10"/>
        <v>'CalcsYr2'!</v>
      </c>
    </row>
    <row r="8" spans="1:98">
      <c r="A8" s="153" t="str">
        <f>Lookups!F$8</f>
        <v>Electric</v>
      </c>
      <c r="B8" s="153" t="str">
        <f>Lookups!F$9</f>
        <v>Unitil Energy Systems Inc</v>
      </c>
      <c r="C8" s="154">
        <f>Year2</f>
        <v>2022</v>
      </c>
      <c r="D8" s="769" t="str">
        <f>Lookups!F$10</f>
        <v>Planned</v>
      </c>
      <c r="E8" s="146" t="str">
        <f>Lookups!$E$70</f>
        <v>C - Commercial &amp; Industrial</v>
      </c>
      <c r="F8" s="87" t="s">
        <v>963</v>
      </c>
      <c r="G8" s="146" t="s">
        <v>965</v>
      </c>
      <c r="H8" s="147">
        <f>SUMIFS(Costs!E$5:E$99,Costs!$A$5:$A$99,$C8,Costs!$D$5:$D$99,$G8)</f>
        <v>3800</v>
      </c>
      <c r="I8" s="147">
        <f>SUMIFS(Costs!F$5:F$99,Costs!$A$5:$A$99,$C8,Costs!$D$5:$D$99,$G8)</f>
        <v>1200</v>
      </c>
      <c r="J8" s="147">
        <f>SUMIFS(Costs!G$5:G$99,Costs!$A$5:$A$99,$C8,Costs!$D$5:$D$99,$G8)</f>
        <v>108000</v>
      </c>
      <c r="K8" s="147">
        <f>SUMIFS(Costs!H$5:H$99,Costs!$A$5:$A$99,$C8,Costs!$D$5:$D$99,$G8)</f>
        <v>13125</v>
      </c>
      <c r="L8" s="147">
        <f>SUMIFS(Costs!I$5:I$99,Costs!$A$5:$A$99,$C8,Costs!$D$5:$D$99,$G8)</f>
        <v>5250</v>
      </c>
      <c r="M8" s="147">
        <f>SUMIFS(Costs!J$5:J$99,Costs!$A$5:$A$99,$C8,Costs!$D$5:$D$99,$G8)</f>
        <v>15000</v>
      </c>
      <c r="N8" s="148">
        <f>SUM(H8:M8)</f>
        <v>146375</v>
      </c>
      <c r="O8" s="148">
        <f>IF($C8=Year1,N8,IF($C8=Year2,N8/(1+nomdiscrt2),IF($C8=Year3,N8/(1+nomdiscrt3)^2,"")))</f>
        <v>141767.55447941888</v>
      </c>
      <c r="P8" s="147">
        <f>SUMIFS(Costs!K$5:K$99,Costs!$A$5:$A$99,$C8,Costs!$D$5:$D$99,$G8)</f>
        <v>0</v>
      </c>
      <c r="Q8" s="148">
        <f>IF($C8=Year1,P8,IF($C8=Year2,P8/(1+nomdiscrt2),IF($C8=Year3,P8/(1+nomdiscrt3)^2,"")))</f>
        <v>0</v>
      </c>
      <c r="R8" s="147">
        <f ca="1">IF($G8="",0,SUMIFS(INDIRECT($CS8&amp;R$16),INDIRECT($CS8&amp;"C:C"),$G8))</f>
        <v>0</v>
      </c>
      <c r="S8" s="148">
        <f ca="1">IF($C8=Year1,R8,IF($C8=Year2,R8/(1+nomdiscrt2),IF($C8=Year3,R8/(1+nomdiscrt3)^2,"")))</f>
        <v>0</v>
      </c>
      <c r="T8" s="148">
        <f ca="1">SUM(N8,P8,R8)</f>
        <v>146375</v>
      </c>
      <c r="U8" s="148">
        <f ca="1">IF($C8=Year1,T8,IF($C8=Year2,T8/(1+nomdiscrt2),IF($C8=Year3,T8/(1+nomdiscrt3)^2,"")))</f>
        <v>141767.55447941888</v>
      </c>
      <c r="V8" s="149">
        <f>ADRYr2!$G$29+ADRYr2!$G$35</f>
        <v>23</v>
      </c>
      <c r="W8" s="150">
        <f t="shared" ca="1" si="11"/>
        <v>0</v>
      </c>
      <c r="X8" s="150">
        <f t="shared" ca="1" si="11"/>
        <v>2300</v>
      </c>
      <c r="Y8" s="150">
        <f t="shared" ca="1" si="11"/>
        <v>-2.647058823529413</v>
      </c>
      <c r="Z8" s="150">
        <f t="shared" ca="1" si="11"/>
        <v>-2.647058823529413</v>
      </c>
      <c r="AA8" s="150">
        <f t="shared" ca="1" si="11"/>
        <v>-2.647058823529413</v>
      </c>
      <c r="AB8" s="150">
        <f t="shared" ca="1" si="11"/>
        <v>-2.647058823529413</v>
      </c>
      <c r="AC8" s="150">
        <f t="shared" ca="1" si="11"/>
        <v>0</v>
      </c>
      <c r="AD8" s="150">
        <f t="shared" ca="1" si="11"/>
        <v>0</v>
      </c>
      <c r="AE8" s="151">
        <f t="shared" ca="1" si="12"/>
        <v>0</v>
      </c>
      <c r="AF8" s="151">
        <f t="shared" ca="1" si="12"/>
        <v>0</v>
      </c>
      <c r="AG8" s="767">
        <f t="shared" ca="1" si="13"/>
        <v>0</v>
      </c>
      <c r="AH8" s="767">
        <f t="shared" ca="1" si="13"/>
        <v>0</v>
      </c>
      <c r="AI8" s="150">
        <f t="shared" ca="1" si="14"/>
        <v>0</v>
      </c>
      <c r="AJ8" s="150">
        <f t="shared" ca="1" si="14"/>
        <v>0</v>
      </c>
      <c r="AK8" s="150">
        <f t="shared" ca="1" si="14"/>
        <v>0</v>
      </c>
      <c r="AL8" s="150">
        <f t="shared" ca="1" si="14"/>
        <v>0</v>
      </c>
      <c r="AM8" s="150">
        <f t="shared" ca="1" si="14"/>
        <v>0</v>
      </c>
      <c r="AN8" s="150">
        <f t="shared" ca="1" si="14"/>
        <v>0</v>
      </c>
      <c r="AO8" s="150">
        <f t="shared" ca="1" si="14"/>
        <v>0</v>
      </c>
      <c r="AP8" s="150">
        <f t="shared" ca="1" si="14"/>
        <v>0</v>
      </c>
      <c r="AQ8" s="150">
        <f t="shared" ca="1" si="14"/>
        <v>0</v>
      </c>
      <c r="AR8" s="150">
        <f t="shared" ca="1" si="14"/>
        <v>0</v>
      </c>
      <c r="AS8" s="150">
        <f t="shared" ca="1" si="15"/>
        <v>0</v>
      </c>
      <c r="AT8" s="150">
        <f t="shared" ca="1" si="15"/>
        <v>0</v>
      </c>
      <c r="AU8" s="150">
        <f t="shared" ca="1" si="15"/>
        <v>0</v>
      </c>
      <c r="AV8" s="150">
        <f t="shared" ca="1" si="15"/>
        <v>0</v>
      </c>
      <c r="AW8" s="150">
        <f t="shared" ca="1" si="15"/>
        <v>0</v>
      </c>
      <c r="AX8" s="150">
        <f t="shared" ca="1" si="15"/>
        <v>0</v>
      </c>
      <c r="AY8" s="150">
        <f t="shared" ca="1" si="15"/>
        <v>0</v>
      </c>
      <c r="AZ8" s="150">
        <f t="shared" ca="1" si="15"/>
        <v>0</v>
      </c>
      <c r="BA8" s="150">
        <f t="shared" ca="1" si="15"/>
        <v>0</v>
      </c>
      <c r="BB8" s="150">
        <f t="shared" ca="1" si="15"/>
        <v>0</v>
      </c>
      <c r="BC8" s="150">
        <f t="shared" ca="1" si="15"/>
        <v>0</v>
      </c>
      <c r="BD8" s="150">
        <f t="shared" ca="1" si="15"/>
        <v>0</v>
      </c>
      <c r="BE8" s="767">
        <f ca="1">IF($G8="",0,SUMIFS(INDIRECT($CS8&amp;BE$16),INDIRECT($CS8&amp;"C:C"),$G8))+IF($G8="",0,SUMIFS(INDIRECT($CS8&amp;BE$18),INDIRECT($CS8&amp;"C:C"),$G8))</f>
        <v>0</v>
      </c>
      <c r="BF8" s="150">
        <f t="shared" ca="1" si="16"/>
        <v>0</v>
      </c>
      <c r="BG8" s="150">
        <f t="shared" ca="1" si="16"/>
        <v>0</v>
      </c>
      <c r="BH8" s="150">
        <f t="shared" ca="1" si="16"/>
        <v>0</v>
      </c>
      <c r="BI8" s="150">
        <f t="shared" ca="1" si="16"/>
        <v>0</v>
      </c>
      <c r="BJ8" s="150">
        <f t="shared" ca="1" si="16"/>
        <v>0</v>
      </c>
      <c r="BK8" s="150">
        <f t="shared" ca="1" si="16"/>
        <v>86.876307561668227</v>
      </c>
      <c r="BL8" s="150">
        <f t="shared" ca="1" si="16"/>
        <v>-4.9382346033025968</v>
      </c>
      <c r="BM8" s="1258">
        <f ca="1">SUM(BK8:BL8)</f>
        <v>81.938072958365638</v>
      </c>
      <c r="BN8" s="150">
        <f t="shared" ca="1" si="17"/>
        <v>35405.302699726788</v>
      </c>
      <c r="BO8" s="150">
        <f t="shared" ca="1" si="17"/>
        <v>0</v>
      </c>
      <c r="BP8" s="150">
        <f t="shared" ca="1" si="17"/>
        <v>75306.352123077508</v>
      </c>
      <c r="BQ8" s="150">
        <f t="shared" ca="1" si="17"/>
        <v>0</v>
      </c>
      <c r="BR8" s="150">
        <f t="shared" ca="1" si="17"/>
        <v>230657.52516303337</v>
      </c>
      <c r="BS8" s="150">
        <f t="shared" ca="1" si="17"/>
        <v>0</v>
      </c>
      <c r="BT8" s="150">
        <f t="shared" ca="1" si="17"/>
        <v>199816.01250203999</v>
      </c>
      <c r="BU8" s="152">
        <f ca="1">SUM(BN8:BT8)</f>
        <v>541185.19248787768</v>
      </c>
      <c r="BV8" s="150">
        <f t="shared" ca="1" si="18"/>
        <v>0</v>
      </c>
      <c r="BW8" s="150">
        <f t="shared" ca="1" si="18"/>
        <v>0</v>
      </c>
      <c r="BX8" s="152">
        <f ca="1">SUM(BV8:BW8)</f>
        <v>0</v>
      </c>
      <c r="BY8" s="767">
        <f ca="1">IF($G8="",0,SUMIFS(INDIRECT($CS8&amp;BY$16),INDIRECT($CS8&amp;"C:C"),$G8))+IF($G8="",0,SUMIFS(INDIRECT($CS8&amp;BY$18),INDIRECT($CS8&amp;"C:C"),$G8))+IF($G8="",0,SUMIFS(INDIRECT($CS8&amp;BY$20),INDIRECT($CS8&amp;"C:C"),$G8))</f>
        <v>0</v>
      </c>
      <c r="BZ8" s="150">
        <f t="shared" ca="1" si="19"/>
        <v>0</v>
      </c>
      <c r="CA8" s="150">
        <f t="shared" ca="1" si="19"/>
        <v>0</v>
      </c>
      <c r="CB8" s="150">
        <f t="shared" ca="1" si="19"/>
        <v>0</v>
      </c>
      <c r="CC8" s="150">
        <f t="shared" ca="1" si="19"/>
        <v>0</v>
      </c>
      <c r="CD8" s="150">
        <f t="shared" ca="1" si="19"/>
        <v>0</v>
      </c>
      <c r="CE8" s="767">
        <f ca="1">IF($G8="",0,SUMIFS(INDIRECT($CS8&amp;CE$16),INDIRECT($CS8&amp;"C:C"),$G8))+IF($G8="",0,SUMIFS(INDIRECT($CS8&amp;CE$18),INDIRECT($CS8&amp;"C:C"),$G8))</f>
        <v>0</v>
      </c>
      <c r="CF8" s="152">
        <f ca="1">SUM(BY8:CE8)</f>
        <v>0</v>
      </c>
      <c r="CG8" s="152">
        <f ca="1">SUM(BM8,BU8,BX8,CF8)</f>
        <v>541267.13056083606</v>
      </c>
      <c r="CH8" s="150">
        <f ca="1">IF($G8="",0,SUMIFS(INDIRECT($CS8&amp;CH$16),INDIRECT($CS8&amp;"C:C"),$G8))+IF($G8="",0,SUMIFS(INDIRECT($CS8&amp;CH$18),INDIRECT($CS8&amp;"C:C"),$G8))</f>
        <v>0</v>
      </c>
      <c r="CI8" s="1397">
        <f t="shared" ca="1" si="20"/>
        <v>54126.713056083609</v>
      </c>
      <c r="CJ8" s="1397">
        <f t="shared" ca="1" si="20"/>
        <v>-133.12708817067471</v>
      </c>
      <c r="CK8" s="152">
        <f ca="1">SUM(CG8+CI8)</f>
        <v>595393.84361691971</v>
      </c>
      <c r="CL8" s="152">
        <f ca="1">IF(LEFT(G8, 1)="B",  SUM(CG8,CI8),SUM(CG8,CH8))</f>
        <v>541267.13056083606</v>
      </c>
      <c r="CM8" s="152">
        <f ca="1">SUM(BM8,BU8)</f>
        <v>541267.13056083606</v>
      </c>
      <c r="CN8" s="152">
        <f ca="1">SUM(CG8,CI8,CJ8)</f>
        <v>595260.71652874898</v>
      </c>
      <c r="CO8" s="167">
        <f ca="1">BL8+BP8</f>
        <v>75301.413888474199</v>
      </c>
      <c r="CP8" s="168">
        <f ca="1">BW8</f>
        <v>0</v>
      </c>
      <c r="CQ8" s="768">
        <f ca="1">SUM(BY8:CD8)</f>
        <v>0</v>
      </c>
      <c r="CS8" s="764" t="str">
        <f t="shared" si="10"/>
        <v>'CalcsYr2'!</v>
      </c>
    </row>
    <row r="9" spans="1:98" s="154" customFormat="1">
      <c r="A9" s="192"/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3"/>
      <c r="CF9" s="192"/>
      <c r="CG9" s="192"/>
      <c r="CH9" s="192"/>
      <c r="CI9" s="1398"/>
      <c r="CJ9" s="1398"/>
      <c r="CK9" s="192"/>
      <c r="CL9" s="192"/>
      <c r="CM9" s="192"/>
      <c r="CN9" s="192"/>
      <c r="CO9" s="194"/>
      <c r="CP9" s="194"/>
      <c r="CQ9" s="192"/>
      <c r="CS9" s="764" t="str">
        <f t="shared" si="10"/>
        <v/>
      </c>
    </row>
    <row r="10" spans="1:98" s="154" customFormat="1">
      <c r="A10" s="154" t="str">
        <f>Lookups!F$8</f>
        <v>Electric</v>
      </c>
      <c r="B10" s="154" t="str">
        <f>Lookups!F$9</f>
        <v>Unitil Energy Systems Inc</v>
      </c>
      <c r="C10" s="154">
        <f>Year3</f>
        <v>2023</v>
      </c>
      <c r="D10" s="769" t="str">
        <f>Lookups!F$10</f>
        <v>Planned</v>
      </c>
      <c r="E10" s="146" t="str">
        <f>Lookups!$E$68</f>
        <v>A - Residential</v>
      </c>
      <c r="F10" s="146" t="s">
        <v>962</v>
      </c>
      <c r="G10" s="146" t="s">
        <v>964</v>
      </c>
      <c r="H10" s="147">
        <f>SUMIFS(Costs!E$5:E$99,Costs!$A$5:$A$99,$C10,Costs!$D$5:$D$99,$G10)</f>
        <v>2400</v>
      </c>
      <c r="I10" s="147">
        <f>SUMIFS(Costs!F$5:F$99,Costs!$A$5:$A$99,$C10,Costs!$D$5:$D$99,$G10)</f>
        <v>0</v>
      </c>
      <c r="J10" s="147">
        <f>SUMIFS(Costs!G$5:G$99,Costs!$A$5:$A$99,$C10,Costs!$D$5:$D$99,$G10)</f>
        <v>13750</v>
      </c>
      <c r="K10" s="147">
        <f>SUMIFS(Costs!H$5:H$99,Costs!$A$5:$A$99,$C10,Costs!$D$5:$D$99,$G10)</f>
        <v>31500</v>
      </c>
      <c r="L10" s="147">
        <f>SUMIFS(Costs!I$5:I$99,Costs!$A$5:$A$99,$C10,Costs!$D$5:$D$99,$G10)</f>
        <v>1300</v>
      </c>
      <c r="M10" s="147">
        <f>SUMIFS(Costs!J$5:J$99,Costs!$A$5:$A$99,$C10,Costs!$D$5:$D$99,$G10)</f>
        <v>1300</v>
      </c>
      <c r="N10" s="148">
        <f>SUM(H10:M10)</f>
        <v>50250</v>
      </c>
      <c r="O10" s="148">
        <f>IF($C10=Year1,N10,IF($C10=Year2,N10/(1+nomdiscrt2),IF($C10=Year3,N10/(1+nomdiscrt3)^2,"")))</f>
        <v>47136.349512514003</v>
      </c>
      <c r="P10" s="147">
        <f>SUMIFS(Costs!K$5:K$99,Costs!$A$5:$A$99,$C10,Costs!$D$5:$D$99,$G10)</f>
        <v>0</v>
      </c>
      <c r="Q10" s="148">
        <f>IF($C10=Year1,P10,IF($C10=Year2,P10/(1+nomdiscrt2),IF($C10=Year3,P10/(1+nomdiscrt3)^2,"")))</f>
        <v>0</v>
      </c>
      <c r="R10" s="147">
        <f ca="1">IF($G10="",0,SUMIFS(INDIRECT($CS10&amp;R$16),INDIRECT($CS10&amp;"C:C"),$G10))</f>
        <v>0</v>
      </c>
      <c r="S10" s="148">
        <f ca="1">IF($C10=Year1,R10,IF($C10=Year2,R10/(1+nomdiscrt2),IF($C10=Year3,R10/(1+nomdiscrt3)^2,"")))</f>
        <v>0</v>
      </c>
      <c r="T10" s="148">
        <f ca="1">SUM(N10,P10,R10)</f>
        <v>50250</v>
      </c>
      <c r="U10" s="148">
        <f ca="1">IF($C10=Year1,T10,IF($C10=Year2,T10/(1+nomdiscrt2),IF($C10=Year3,T10/(1+nomdiscrt3)^2,"")))</f>
        <v>47136.349512514003</v>
      </c>
      <c r="V10" s="149">
        <f>ADRYr3!$G$5/2</f>
        <v>250</v>
      </c>
      <c r="W10" s="150">
        <f t="shared" ref="W10:AD12" ca="1" si="21">IF($G10="",0,SUMIFS(INDIRECT($CS10&amp;W$16),INDIRECT($CS10&amp;"C:C"),$G10))</f>
        <v>0</v>
      </c>
      <c r="X10" s="150">
        <f t="shared" ca="1" si="21"/>
        <v>250</v>
      </c>
      <c r="Y10" s="150">
        <f t="shared" ca="1" si="21"/>
        <v>0</v>
      </c>
      <c r="Z10" s="150">
        <f t="shared" ca="1" si="21"/>
        <v>0</v>
      </c>
      <c r="AA10" s="150">
        <f t="shared" ca="1" si="21"/>
        <v>0</v>
      </c>
      <c r="AB10" s="150">
        <f t="shared" ca="1" si="21"/>
        <v>0</v>
      </c>
      <c r="AC10" s="150">
        <f t="shared" ca="1" si="21"/>
        <v>0</v>
      </c>
      <c r="AD10" s="150">
        <f t="shared" ca="1" si="21"/>
        <v>0</v>
      </c>
      <c r="AE10" s="151">
        <f t="shared" ref="AE10:AF12" ca="1" si="22">AC10*10</f>
        <v>0</v>
      </c>
      <c r="AF10" s="151">
        <f t="shared" ca="1" si="22"/>
        <v>0</v>
      </c>
      <c r="AG10" s="767">
        <f t="shared" ref="AG10:AH12" ca="1" si="23">IF($G10="",0,SUMIFS(INDIRECT($CS10&amp;AG$16),INDIRECT($CS10&amp;"C:C"),$G10))*10</f>
        <v>0</v>
      </c>
      <c r="AH10" s="767">
        <f t="shared" ca="1" si="23"/>
        <v>0</v>
      </c>
      <c r="AI10" s="150">
        <f t="shared" ref="AI10:AR12" ca="1" si="24">IF($G10="",0,SUMIFS(INDIRECT($CS10&amp;AI$16),INDIRECT($CS10&amp;"C:C"),$G10))</f>
        <v>0</v>
      </c>
      <c r="AJ10" s="150">
        <f t="shared" ca="1" si="24"/>
        <v>0</v>
      </c>
      <c r="AK10" s="150">
        <f t="shared" ca="1" si="24"/>
        <v>0</v>
      </c>
      <c r="AL10" s="150">
        <f t="shared" ca="1" si="24"/>
        <v>0</v>
      </c>
      <c r="AM10" s="150">
        <f t="shared" ca="1" si="24"/>
        <v>0</v>
      </c>
      <c r="AN10" s="150">
        <f t="shared" ca="1" si="24"/>
        <v>0</v>
      </c>
      <c r="AO10" s="150">
        <f t="shared" ca="1" si="24"/>
        <v>0</v>
      </c>
      <c r="AP10" s="150">
        <f t="shared" ca="1" si="24"/>
        <v>0</v>
      </c>
      <c r="AQ10" s="150">
        <f t="shared" ca="1" si="24"/>
        <v>0</v>
      </c>
      <c r="AR10" s="150">
        <f t="shared" ca="1" si="24"/>
        <v>0</v>
      </c>
      <c r="AS10" s="150">
        <f t="shared" ref="AS10:BD12" ca="1" si="25">IF($G10="",0,SUMIFS(INDIRECT($CS10&amp;AS$16),INDIRECT($CS10&amp;"C:C"),$G10))</f>
        <v>0</v>
      </c>
      <c r="AT10" s="150">
        <f t="shared" ca="1" si="25"/>
        <v>0</v>
      </c>
      <c r="AU10" s="150">
        <f t="shared" ca="1" si="25"/>
        <v>0</v>
      </c>
      <c r="AV10" s="150">
        <f t="shared" ca="1" si="25"/>
        <v>0</v>
      </c>
      <c r="AW10" s="150">
        <f t="shared" ca="1" si="25"/>
        <v>0</v>
      </c>
      <c r="AX10" s="150">
        <f t="shared" ca="1" si="25"/>
        <v>0</v>
      </c>
      <c r="AY10" s="150">
        <f t="shared" ca="1" si="25"/>
        <v>0</v>
      </c>
      <c r="AZ10" s="150">
        <f t="shared" ca="1" si="25"/>
        <v>0</v>
      </c>
      <c r="BA10" s="150">
        <f t="shared" ca="1" si="25"/>
        <v>0</v>
      </c>
      <c r="BB10" s="150">
        <f t="shared" ca="1" si="25"/>
        <v>0</v>
      </c>
      <c r="BC10" s="150">
        <f t="shared" ca="1" si="25"/>
        <v>0</v>
      </c>
      <c r="BD10" s="150">
        <f t="shared" ca="1" si="25"/>
        <v>0</v>
      </c>
      <c r="BE10" s="767">
        <f ca="1">IF($G10="",0,SUMIFS(INDIRECT($CS10&amp;BE$16),INDIRECT($CS10&amp;"C:C"),$G10))+IF($G10="",0,SUMIFS(INDIRECT($CS10&amp;BE$18),INDIRECT($CS10&amp;"C:C"),$G10))</f>
        <v>0</v>
      </c>
      <c r="BF10" s="150">
        <f t="shared" ref="BF10:BL12" ca="1" si="26">IF($G10="",0,SUMIFS(INDIRECT($CS10&amp;BF$16),INDIRECT($CS10&amp;"C:C"),$G10))</f>
        <v>0</v>
      </c>
      <c r="BG10" s="150">
        <f t="shared" ca="1" si="26"/>
        <v>0</v>
      </c>
      <c r="BH10" s="150">
        <f t="shared" ca="1" si="26"/>
        <v>0</v>
      </c>
      <c r="BI10" s="150">
        <f t="shared" ca="1" si="26"/>
        <v>0</v>
      </c>
      <c r="BJ10" s="150">
        <f t="shared" ca="1" si="26"/>
        <v>0</v>
      </c>
      <c r="BK10" s="150">
        <f t="shared" ca="1" si="26"/>
        <v>0</v>
      </c>
      <c r="BL10" s="150">
        <f t="shared" ca="1" si="26"/>
        <v>0</v>
      </c>
      <c r="BM10" s="1258">
        <f ca="1">SUM(BK10:BL10)</f>
        <v>0</v>
      </c>
      <c r="BN10" s="150">
        <f t="shared" ref="BN10:BT12" ca="1" si="27">IF($G10="",0,SUMIFS(INDIRECT($CS10&amp;BN$16),INDIRECT($CS10&amp;"C:C"),$G10))</f>
        <v>2842.2342868749188</v>
      </c>
      <c r="BO10" s="150">
        <f t="shared" ca="1" si="27"/>
        <v>0</v>
      </c>
      <c r="BP10" s="150">
        <f t="shared" ca="1" si="27"/>
        <v>6003.0018024746687</v>
      </c>
      <c r="BQ10" s="150">
        <f t="shared" ca="1" si="27"/>
        <v>0</v>
      </c>
      <c r="BR10" s="150">
        <f t="shared" ca="1" si="27"/>
        <v>25525.263735704815</v>
      </c>
      <c r="BS10" s="150">
        <f t="shared" ca="1" si="27"/>
        <v>0</v>
      </c>
      <c r="BT10" s="150">
        <f t="shared" ca="1" si="27"/>
        <v>22112.248079165969</v>
      </c>
      <c r="BU10" s="152">
        <f ca="1">SUM(BN10:BT10)</f>
        <v>56482.74790422037</v>
      </c>
      <c r="BV10" s="150">
        <f t="shared" ref="BV10:BW12" ca="1" si="28">IF($G10="",0,SUMIFS(INDIRECT($CS10&amp;BV$16),INDIRECT($CS10&amp;"C:C"),$G10))</f>
        <v>0</v>
      </c>
      <c r="BW10" s="150">
        <f t="shared" ca="1" si="28"/>
        <v>0</v>
      </c>
      <c r="BX10" s="152">
        <f ca="1">SUM(BV10:BW10)</f>
        <v>0</v>
      </c>
      <c r="BY10" s="767">
        <f ca="1">IF($G10="",0,SUMIFS(INDIRECT($CS10&amp;BY$16),INDIRECT($CS10&amp;"C:C"),$G10))+IF($G10="",0,SUMIFS(INDIRECT($CS10&amp;BY$18),INDIRECT($CS10&amp;"C:C"),$G10))+IF($G10="",0,SUMIFS(INDIRECT($CS10&amp;BY$20),INDIRECT($CS10&amp;"C:C"),$G10))</f>
        <v>0</v>
      </c>
      <c r="BZ10" s="150">
        <f t="shared" ref="BZ10:CD12" ca="1" si="29">IF($G10="",0,SUMIFS(INDIRECT($CS10&amp;BZ$16),INDIRECT($CS10&amp;"C:C"),$G10))</f>
        <v>0</v>
      </c>
      <c r="CA10" s="150">
        <f t="shared" ca="1" si="29"/>
        <v>0</v>
      </c>
      <c r="CB10" s="150">
        <f t="shared" ca="1" si="29"/>
        <v>0</v>
      </c>
      <c r="CC10" s="150">
        <f t="shared" ca="1" si="29"/>
        <v>0</v>
      </c>
      <c r="CD10" s="150">
        <f t="shared" ca="1" si="29"/>
        <v>0</v>
      </c>
      <c r="CE10" s="767">
        <f ca="1">IF($G10="",0,SUMIFS(INDIRECT($CS10&amp;CE$16),INDIRECT($CS10&amp;"C:C"),$G10))+IF($G10="",0,SUMIFS(INDIRECT($CS10&amp;CE$18),INDIRECT($CS10&amp;"C:C"),$G10))</f>
        <v>0</v>
      </c>
      <c r="CF10" s="152">
        <f ca="1">SUM(BY10:CE10)</f>
        <v>0</v>
      </c>
      <c r="CG10" s="152">
        <f ca="1">SUM(BM10,BU10,BX10,CF10)</f>
        <v>56482.74790422037</v>
      </c>
      <c r="CH10" s="150">
        <f ca="1">IF($G10="",0,SUMIFS(INDIRECT($CS10&amp;CH$16),INDIRECT($CS10&amp;"C:C"),$G10))+IF($G10="",0,SUMIFS(INDIRECT($CS10&amp;CH$18),INDIRECT($CS10&amp;"C:C"),$G10))</f>
        <v>0</v>
      </c>
      <c r="CI10" s="1397">
        <f t="shared" ref="CI10:CJ12" ca="1" si="30">IF($G10="",0,SUMIFS(INDIRECT($CS10&amp;CI$16),INDIRECT($CS10&amp;"C:C"),$G10))</f>
        <v>5648.2747904220378</v>
      </c>
      <c r="CJ10" s="1397">
        <f t="shared" ca="1" si="30"/>
        <v>0</v>
      </c>
      <c r="CK10" s="152">
        <f ca="1">SUM(CG10+CI10)</f>
        <v>62131.022694642408</v>
      </c>
      <c r="CL10" s="152">
        <f ca="1">IF(LEFT(G10, 1)="B",  SUM(CG10,CI10),SUM(CG10,CH10))</f>
        <v>56482.74790422037</v>
      </c>
      <c r="CM10" s="152">
        <f ca="1">SUM(BM10,BU10)</f>
        <v>56482.74790422037</v>
      </c>
      <c r="CN10" s="152">
        <f ca="1">SUM(CG10,CI10,CJ10)</f>
        <v>62131.022694642408</v>
      </c>
      <c r="CO10" s="167">
        <f ca="1">BL10+BP10</f>
        <v>6003.0018024746687</v>
      </c>
      <c r="CP10" s="168">
        <f ca="1">BW10</f>
        <v>0</v>
      </c>
      <c r="CQ10" s="768">
        <f ca="1">SUM(BY10:CD10)</f>
        <v>0</v>
      </c>
      <c r="CS10" s="764" t="str">
        <f t="shared" si="10"/>
        <v>'CalcsYr3'!</v>
      </c>
    </row>
    <row r="11" spans="1:98" s="154" customFormat="1">
      <c r="A11" s="154" t="str">
        <f>Lookups!F$8</f>
        <v>Electric</v>
      </c>
      <c r="B11" s="154" t="str">
        <f>Lookups!F$9</f>
        <v>Unitil Energy Systems Inc</v>
      </c>
      <c r="C11" s="154">
        <f>Year3</f>
        <v>2023</v>
      </c>
      <c r="D11" s="769" t="str">
        <f>Lookups!F$10</f>
        <v>Planned</v>
      </c>
      <c r="E11" s="146" t="str">
        <f>Lookups!$E$69</f>
        <v>B - Low-Income</v>
      </c>
      <c r="F11" s="146" t="s">
        <v>271</v>
      </c>
      <c r="G11" s="146"/>
      <c r="H11" s="147">
        <f>SUMIFS(Costs!E$5:E$99,Costs!$A$5:$A$99,$C11,Costs!$D$5:$D$99,$G11)</f>
        <v>0</v>
      </c>
      <c r="I11" s="147">
        <f>SUMIFS(Costs!F$5:F$99,Costs!$A$5:$A$99,$C11,Costs!$D$5:$D$99,$G11)</f>
        <v>0</v>
      </c>
      <c r="J11" s="147">
        <f>SUMIFS(Costs!G$5:G$99,Costs!$A$5:$A$99,$C11,Costs!$D$5:$D$99,$G11)</f>
        <v>0</v>
      </c>
      <c r="K11" s="147">
        <f>SUMIFS(Costs!H$5:H$99,Costs!$A$5:$A$99,$C11,Costs!$D$5:$D$99,$G11)</f>
        <v>0</v>
      </c>
      <c r="L11" s="147">
        <f>SUMIFS(Costs!I$5:I$99,Costs!$A$5:$A$99,$C11,Costs!$D$5:$D$99,$G11)</f>
        <v>0</v>
      </c>
      <c r="M11" s="147">
        <f>SUMIFS(Costs!J$5:J$99,Costs!$A$5:$A$99,$C11,Costs!$D$5:$D$99,$G11)</f>
        <v>0</v>
      </c>
      <c r="N11" s="148">
        <f>SUM(H11:M11)</f>
        <v>0</v>
      </c>
      <c r="O11" s="148">
        <f>IF($C11=Year1,N11,IF($C11=Year2,N11/(1+nomdiscrt2),IF($C11=Year3,N11/(1+nomdiscrt3)^2,"")))</f>
        <v>0</v>
      </c>
      <c r="P11" s="147">
        <f>SUMIFS(Costs!K$5:K$99,Costs!$A$5:$A$99,$C11,Costs!$D$5:$D$99,$G11)</f>
        <v>0</v>
      </c>
      <c r="Q11" s="148">
        <f>IF($C11=Year1,P11,IF($C11=Year2,P11/(1+nomdiscrt2),IF($C11=Year3,P11/(1+nomdiscrt3)^2,"")))</f>
        <v>0</v>
      </c>
      <c r="R11" s="147">
        <f ca="1">IF($G11="",0,SUMIFS(INDIRECT($CS11&amp;R$16),INDIRECT($CS11&amp;"C:C"),$G11))</f>
        <v>0</v>
      </c>
      <c r="S11" s="148">
        <f ca="1">IF($C11=Year1,R11,IF($C11=Year2,R11/(1+nomdiscrt2),IF($C11=Year3,R11/(1+nomdiscrt3)^2,"")))</f>
        <v>0</v>
      </c>
      <c r="T11" s="148">
        <f ca="1">SUM(N11,P11,R11)</f>
        <v>0</v>
      </c>
      <c r="U11" s="148">
        <f ca="1">IF($C11=Year1,T11,IF($C11=Year2,T11/(1+nomdiscrt2),IF($C11=Year3,T11/(1+nomdiscrt3)^2,"")))</f>
        <v>0</v>
      </c>
      <c r="V11" s="149"/>
      <c r="W11" s="150">
        <f t="shared" ca="1" si="21"/>
        <v>0</v>
      </c>
      <c r="X11" s="150">
        <f t="shared" ca="1" si="21"/>
        <v>0</v>
      </c>
      <c r="Y11" s="150">
        <f t="shared" ca="1" si="21"/>
        <v>0</v>
      </c>
      <c r="Z11" s="150">
        <f t="shared" ca="1" si="21"/>
        <v>0</v>
      </c>
      <c r="AA11" s="150">
        <f t="shared" ca="1" si="21"/>
        <v>0</v>
      </c>
      <c r="AB11" s="150">
        <f t="shared" ca="1" si="21"/>
        <v>0</v>
      </c>
      <c r="AC11" s="150">
        <f t="shared" ca="1" si="21"/>
        <v>0</v>
      </c>
      <c r="AD11" s="150">
        <f t="shared" ca="1" si="21"/>
        <v>0</v>
      </c>
      <c r="AE11" s="151">
        <f t="shared" ca="1" si="22"/>
        <v>0</v>
      </c>
      <c r="AF11" s="151">
        <f t="shared" ca="1" si="22"/>
        <v>0</v>
      </c>
      <c r="AG11" s="767">
        <f t="shared" ca="1" si="23"/>
        <v>0</v>
      </c>
      <c r="AH11" s="767">
        <f t="shared" ca="1" si="23"/>
        <v>0</v>
      </c>
      <c r="AI11" s="150">
        <f t="shared" ca="1" si="24"/>
        <v>0</v>
      </c>
      <c r="AJ11" s="150">
        <f t="shared" ca="1" si="24"/>
        <v>0</v>
      </c>
      <c r="AK11" s="150">
        <f t="shared" ca="1" si="24"/>
        <v>0</v>
      </c>
      <c r="AL11" s="150">
        <f t="shared" ca="1" si="24"/>
        <v>0</v>
      </c>
      <c r="AM11" s="150">
        <f t="shared" ca="1" si="24"/>
        <v>0</v>
      </c>
      <c r="AN11" s="150">
        <f t="shared" ca="1" si="24"/>
        <v>0</v>
      </c>
      <c r="AO11" s="150">
        <f t="shared" ca="1" si="24"/>
        <v>0</v>
      </c>
      <c r="AP11" s="150">
        <f t="shared" ca="1" si="24"/>
        <v>0</v>
      </c>
      <c r="AQ11" s="150">
        <f t="shared" ca="1" si="24"/>
        <v>0</v>
      </c>
      <c r="AR11" s="150">
        <f t="shared" ca="1" si="24"/>
        <v>0</v>
      </c>
      <c r="AS11" s="150">
        <f t="shared" ca="1" si="25"/>
        <v>0</v>
      </c>
      <c r="AT11" s="150">
        <f t="shared" ca="1" si="25"/>
        <v>0</v>
      </c>
      <c r="AU11" s="150">
        <f t="shared" ca="1" si="25"/>
        <v>0</v>
      </c>
      <c r="AV11" s="150">
        <f t="shared" ca="1" si="25"/>
        <v>0</v>
      </c>
      <c r="AW11" s="150">
        <f t="shared" ca="1" si="25"/>
        <v>0</v>
      </c>
      <c r="AX11" s="150">
        <f t="shared" ca="1" si="25"/>
        <v>0</v>
      </c>
      <c r="AY11" s="150">
        <f t="shared" ca="1" si="25"/>
        <v>0</v>
      </c>
      <c r="AZ11" s="150">
        <f t="shared" ca="1" si="25"/>
        <v>0</v>
      </c>
      <c r="BA11" s="150">
        <f t="shared" ca="1" si="25"/>
        <v>0</v>
      </c>
      <c r="BB11" s="150">
        <f t="shared" ca="1" si="25"/>
        <v>0</v>
      </c>
      <c r="BC11" s="150">
        <f t="shared" ca="1" si="25"/>
        <v>0</v>
      </c>
      <c r="BD11" s="150">
        <f t="shared" ca="1" si="25"/>
        <v>0</v>
      </c>
      <c r="BE11" s="767">
        <f ca="1">IF($G11="",0,SUMIFS(INDIRECT($CS11&amp;BE$16),INDIRECT($CS11&amp;"C:C"),$G11))+IF($G11="",0,SUMIFS(INDIRECT($CS11&amp;BE$18),INDIRECT($CS11&amp;"C:C"),$G11))</f>
        <v>0</v>
      </c>
      <c r="BF11" s="150">
        <f t="shared" ca="1" si="26"/>
        <v>0</v>
      </c>
      <c r="BG11" s="150">
        <f t="shared" ca="1" si="26"/>
        <v>0</v>
      </c>
      <c r="BH11" s="150">
        <f t="shared" ca="1" si="26"/>
        <v>0</v>
      </c>
      <c r="BI11" s="150">
        <f t="shared" ca="1" si="26"/>
        <v>0</v>
      </c>
      <c r="BJ11" s="150">
        <f t="shared" ca="1" si="26"/>
        <v>0</v>
      </c>
      <c r="BK11" s="150">
        <f t="shared" ca="1" si="26"/>
        <v>0</v>
      </c>
      <c r="BL11" s="150">
        <f t="shared" ca="1" si="26"/>
        <v>0</v>
      </c>
      <c r="BM11" s="1258">
        <f ca="1">SUM(BK11:BL11)</f>
        <v>0</v>
      </c>
      <c r="BN11" s="150">
        <f t="shared" ca="1" si="27"/>
        <v>0</v>
      </c>
      <c r="BO11" s="150">
        <f t="shared" ca="1" si="27"/>
        <v>0</v>
      </c>
      <c r="BP11" s="150">
        <f t="shared" ca="1" si="27"/>
        <v>0</v>
      </c>
      <c r="BQ11" s="150">
        <f t="shared" ca="1" si="27"/>
        <v>0</v>
      </c>
      <c r="BR11" s="150">
        <f t="shared" ca="1" si="27"/>
        <v>0</v>
      </c>
      <c r="BS11" s="150">
        <f t="shared" ca="1" si="27"/>
        <v>0</v>
      </c>
      <c r="BT11" s="150">
        <f t="shared" ca="1" si="27"/>
        <v>0</v>
      </c>
      <c r="BU11" s="152">
        <f ca="1">SUM(BN11:BT11)</f>
        <v>0</v>
      </c>
      <c r="BV11" s="150">
        <f t="shared" ca="1" si="28"/>
        <v>0</v>
      </c>
      <c r="BW11" s="150">
        <f t="shared" ca="1" si="28"/>
        <v>0</v>
      </c>
      <c r="BX11" s="152">
        <f ca="1">SUM(BV11:BW11)</f>
        <v>0</v>
      </c>
      <c r="BY11" s="767">
        <f ca="1">IF($G11="",0,SUMIFS(INDIRECT($CS11&amp;BY$16),INDIRECT($CS11&amp;"C:C"),$G11))+IF($G11="",0,SUMIFS(INDIRECT($CS11&amp;BY$18),INDIRECT($CS11&amp;"C:C"),$G11))+IF($G11="",0,SUMIFS(INDIRECT($CS11&amp;BY$20),INDIRECT($CS11&amp;"C:C"),$G11))</f>
        <v>0</v>
      </c>
      <c r="BZ11" s="150">
        <f t="shared" ca="1" si="29"/>
        <v>0</v>
      </c>
      <c r="CA11" s="150">
        <f t="shared" ca="1" si="29"/>
        <v>0</v>
      </c>
      <c r="CB11" s="150">
        <f t="shared" ca="1" si="29"/>
        <v>0</v>
      </c>
      <c r="CC11" s="150">
        <f t="shared" ca="1" si="29"/>
        <v>0</v>
      </c>
      <c r="CD11" s="150">
        <f t="shared" ca="1" si="29"/>
        <v>0</v>
      </c>
      <c r="CE11" s="767">
        <f ca="1">IF($G11="",0,SUMIFS(INDIRECT($CS11&amp;CE$16),INDIRECT($CS11&amp;"C:C"),$G11))+IF($G11="",0,SUMIFS(INDIRECT($CS11&amp;CE$18),INDIRECT($CS11&amp;"C:C"),$G11))</f>
        <v>0</v>
      </c>
      <c r="CF11" s="152">
        <f ca="1">SUM(BY11:CE11)</f>
        <v>0</v>
      </c>
      <c r="CG11" s="152">
        <f ca="1">SUM(BM11,BU11,BX11,CF11)</f>
        <v>0</v>
      </c>
      <c r="CH11" s="150">
        <f ca="1">IF($G11="",0,SUMIFS(INDIRECT($CS11&amp;CH$16),INDIRECT($CS11&amp;"C:C"),$G11))+IF($G11="",0,SUMIFS(INDIRECT($CS11&amp;CH$18),INDIRECT($CS11&amp;"C:C"),$G11))</f>
        <v>0</v>
      </c>
      <c r="CI11" s="1397">
        <f t="shared" ca="1" si="30"/>
        <v>0</v>
      </c>
      <c r="CJ11" s="1397">
        <f t="shared" ca="1" si="30"/>
        <v>0</v>
      </c>
      <c r="CK11" s="152">
        <f ca="1">SUM(CG11+CI11)</f>
        <v>0</v>
      </c>
      <c r="CL11" s="152">
        <f ca="1">IF(LEFT(G11, 1)="B",  SUM(CG11,CI11),SUM(CG11,CH11))</f>
        <v>0</v>
      </c>
      <c r="CM11" s="152">
        <f ca="1">SUM(BM11,BU11)</f>
        <v>0</v>
      </c>
      <c r="CN11" s="152">
        <f ca="1">SUM(CG11,CI11,CJ11)</f>
        <v>0</v>
      </c>
      <c r="CO11" s="167">
        <f ca="1">BL11+BP11</f>
        <v>0</v>
      </c>
      <c r="CP11" s="168">
        <f ca="1">BW11</f>
        <v>0</v>
      </c>
      <c r="CQ11" s="768">
        <f ca="1">SUM(BY11:CD11)</f>
        <v>0</v>
      </c>
      <c r="CS11" s="764" t="str">
        <f t="shared" si="10"/>
        <v>'CalcsYr3'!</v>
      </c>
    </row>
    <row r="12" spans="1:98">
      <c r="A12" s="153" t="str">
        <f>Lookups!F$8</f>
        <v>Electric</v>
      </c>
      <c r="B12" s="153" t="str">
        <f>Lookups!F$9</f>
        <v>Unitil Energy Systems Inc</v>
      </c>
      <c r="C12" s="153">
        <f>Year3</f>
        <v>2023</v>
      </c>
      <c r="D12" s="769" t="str">
        <f>Lookups!F$10</f>
        <v>Planned</v>
      </c>
      <c r="E12" s="146" t="str">
        <f>Lookups!$E$70</f>
        <v>C - Commercial &amp; Industrial</v>
      </c>
      <c r="F12" s="87" t="s">
        <v>963</v>
      </c>
      <c r="G12" s="146" t="s">
        <v>965</v>
      </c>
      <c r="H12" s="147">
        <f>SUMIFS(Costs!E$5:E$99,Costs!$A$5:$A$99,$C12,Costs!$D$5:$D$99,$G12)</f>
        <v>4000</v>
      </c>
      <c r="I12" s="147">
        <f>SUMIFS(Costs!F$5:F$99,Costs!$A$5:$A$99,$C12,Costs!$D$5:$D$99,$G12)</f>
        <v>1400</v>
      </c>
      <c r="J12" s="147">
        <f>SUMIFS(Costs!G$5:G$99,Costs!$A$5:$A$99,$C12,Costs!$D$5:$D$99,$G12)</f>
        <v>133750</v>
      </c>
      <c r="K12" s="147">
        <f>SUMIFS(Costs!H$5:H$99,Costs!$A$5:$A$99,$C12,Costs!$D$5:$D$99,$G12)</f>
        <v>13781</v>
      </c>
      <c r="L12" s="147">
        <f>SUMIFS(Costs!I$5:I$99,Costs!$A$5:$A$99,$C12,Costs!$D$5:$D$99,$G12)</f>
        <v>5500</v>
      </c>
      <c r="M12" s="147">
        <f>SUMIFS(Costs!J$5:J$99,Costs!$A$5:$A$99,$C12,Costs!$D$5:$D$99,$G12)</f>
        <v>15000</v>
      </c>
      <c r="N12" s="148">
        <f>SUM(H12:M12)</f>
        <v>173431</v>
      </c>
      <c r="O12" s="148">
        <f>IF($C12=Year1,N12,IF($C12=Year2,N12/(1+nomdiscrt2),IF($C12=Year3,N12/(1+nomdiscrt3)^2,"")))</f>
        <v>162684.66133939932</v>
      </c>
      <c r="P12" s="147">
        <f>SUMIFS(Costs!K$5:K$99,Costs!$A$5:$A$99,$C12,Costs!$D$5:$D$99,$G12)</f>
        <v>0</v>
      </c>
      <c r="Q12" s="148">
        <f>IF($C12=Year1,P12,IF($C12=Year2,P12/(1+nomdiscrt2),IF($C12=Year3,P12/(1+nomdiscrt3)^2,"")))</f>
        <v>0</v>
      </c>
      <c r="R12" s="147">
        <f ca="1">IF($G12="",0,SUMIFS(INDIRECT($CS12&amp;R$16),INDIRECT($CS12&amp;"C:C"),$G12))</f>
        <v>0</v>
      </c>
      <c r="S12" s="148">
        <f ca="1">IF($C12=Year1,R12,IF($C12=Year2,R12/(1+nomdiscrt2),IF($C12=Year3,R12/(1+nomdiscrt3)^2,"")))</f>
        <v>0</v>
      </c>
      <c r="T12" s="148">
        <f ca="1">SUM(N12,P12,R12)</f>
        <v>173431</v>
      </c>
      <c r="U12" s="148">
        <f ca="1">IF($C12=Year1,T12,IF($C12=Year2,T12/(1+nomdiscrt2),IF($C12=Year3,T12/(1+nomdiscrt3)^2,"")))</f>
        <v>162684.66133939932</v>
      </c>
      <c r="V12" s="149">
        <f>ADRYr3!$G$29+ADRYr3!$G$35</f>
        <v>27</v>
      </c>
      <c r="W12" s="150">
        <f t="shared" ca="1" si="21"/>
        <v>0</v>
      </c>
      <c r="X12" s="150">
        <f t="shared" ca="1" si="21"/>
        <v>2700</v>
      </c>
      <c r="Y12" s="150">
        <f t="shared" ca="1" si="21"/>
        <v>-2.647058823529413</v>
      </c>
      <c r="Z12" s="150">
        <f t="shared" ca="1" si="21"/>
        <v>-2.647058823529413</v>
      </c>
      <c r="AA12" s="150">
        <f t="shared" ca="1" si="21"/>
        <v>-2.647058823529413</v>
      </c>
      <c r="AB12" s="150">
        <f t="shared" ca="1" si="21"/>
        <v>-2.647058823529413</v>
      </c>
      <c r="AC12" s="150">
        <f t="shared" ca="1" si="21"/>
        <v>0</v>
      </c>
      <c r="AD12" s="150">
        <f t="shared" ca="1" si="21"/>
        <v>0</v>
      </c>
      <c r="AE12" s="151">
        <f t="shared" ca="1" si="22"/>
        <v>0</v>
      </c>
      <c r="AF12" s="151">
        <f t="shared" ca="1" si="22"/>
        <v>0</v>
      </c>
      <c r="AG12" s="767">
        <f t="shared" ca="1" si="23"/>
        <v>0</v>
      </c>
      <c r="AH12" s="767">
        <f t="shared" ca="1" si="23"/>
        <v>0</v>
      </c>
      <c r="AI12" s="150">
        <f t="shared" ca="1" si="24"/>
        <v>0</v>
      </c>
      <c r="AJ12" s="150">
        <f t="shared" ca="1" si="24"/>
        <v>0</v>
      </c>
      <c r="AK12" s="150">
        <f t="shared" ca="1" si="24"/>
        <v>0</v>
      </c>
      <c r="AL12" s="150">
        <f t="shared" ca="1" si="24"/>
        <v>0</v>
      </c>
      <c r="AM12" s="150">
        <f t="shared" ca="1" si="24"/>
        <v>0</v>
      </c>
      <c r="AN12" s="150">
        <f t="shared" ca="1" si="24"/>
        <v>0</v>
      </c>
      <c r="AO12" s="150">
        <f t="shared" ca="1" si="24"/>
        <v>0</v>
      </c>
      <c r="AP12" s="150">
        <f t="shared" ca="1" si="24"/>
        <v>0</v>
      </c>
      <c r="AQ12" s="150">
        <f t="shared" ca="1" si="24"/>
        <v>0</v>
      </c>
      <c r="AR12" s="150">
        <f t="shared" ca="1" si="24"/>
        <v>0</v>
      </c>
      <c r="AS12" s="150">
        <f t="shared" ca="1" si="25"/>
        <v>0</v>
      </c>
      <c r="AT12" s="150">
        <f t="shared" ca="1" si="25"/>
        <v>0</v>
      </c>
      <c r="AU12" s="150">
        <f t="shared" ca="1" si="25"/>
        <v>0</v>
      </c>
      <c r="AV12" s="150">
        <f t="shared" ca="1" si="25"/>
        <v>0</v>
      </c>
      <c r="AW12" s="150">
        <f t="shared" ca="1" si="25"/>
        <v>0</v>
      </c>
      <c r="AX12" s="150">
        <f t="shared" ca="1" si="25"/>
        <v>0</v>
      </c>
      <c r="AY12" s="150">
        <f t="shared" ca="1" si="25"/>
        <v>0</v>
      </c>
      <c r="AZ12" s="150">
        <f t="shared" ca="1" si="25"/>
        <v>0</v>
      </c>
      <c r="BA12" s="150">
        <f t="shared" ca="1" si="25"/>
        <v>0</v>
      </c>
      <c r="BB12" s="150">
        <f t="shared" ca="1" si="25"/>
        <v>0</v>
      </c>
      <c r="BC12" s="150">
        <f t="shared" ca="1" si="25"/>
        <v>0</v>
      </c>
      <c r="BD12" s="150">
        <f t="shared" ca="1" si="25"/>
        <v>0</v>
      </c>
      <c r="BE12" s="767">
        <f ca="1">IF($G12="",0,SUMIFS(INDIRECT($CS12&amp;BE$16),INDIRECT($CS12&amp;"C:C"),$G12))+IF($G12="",0,SUMIFS(INDIRECT($CS12&amp;BE$18),INDIRECT($CS12&amp;"C:C"),$G12))</f>
        <v>0</v>
      </c>
      <c r="BF12" s="150">
        <f t="shared" ca="1" si="26"/>
        <v>0</v>
      </c>
      <c r="BG12" s="150">
        <f t="shared" ca="1" si="26"/>
        <v>0</v>
      </c>
      <c r="BH12" s="150">
        <f t="shared" ca="1" si="26"/>
        <v>0</v>
      </c>
      <c r="BI12" s="150">
        <f t="shared" ca="1" si="26"/>
        <v>0</v>
      </c>
      <c r="BJ12" s="150">
        <f t="shared" ca="1" si="26"/>
        <v>0</v>
      </c>
      <c r="BK12" s="150">
        <f t="shared" ca="1" si="26"/>
        <v>66.836489156138668</v>
      </c>
      <c r="BL12" s="150">
        <f t="shared" ca="1" si="26"/>
        <v>-5.0276166496223667</v>
      </c>
      <c r="BM12" s="1258">
        <f ca="1">SUM(BK12:BL12)</f>
        <v>61.808872506516302</v>
      </c>
      <c r="BN12" s="150">
        <f t="shared" ca="1" si="27"/>
        <v>40928.173730998831</v>
      </c>
      <c r="BO12" s="150">
        <f t="shared" ca="1" si="27"/>
        <v>0</v>
      </c>
      <c r="BP12" s="150">
        <f t="shared" ca="1" si="27"/>
        <v>86443.225955635236</v>
      </c>
      <c r="BQ12" s="150">
        <f t="shared" ca="1" si="27"/>
        <v>0</v>
      </c>
      <c r="BR12" s="150">
        <f t="shared" ca="1" si="27"/>
        <v>275672.848345612</v>
      </c>
      <c r="BS12" s="150">
        <f t="shared" ca="1" si="27"/>
        <v>0</v>
      </c>
      <c r="BT12" s="150">
        <f t="shared" ca="1" si="27"/>
        <v>238812.27925499246</v>
      </c>
      <c r="BU12" s="152">
        <f ca="1">SUM(BN12:BT12)</f>
        <v>641856.52728723851</v>
      </c>
      <c r="BV12" s="150">
        <f t="shared" ca="1" si="28"/>
        <v>0</v>
      </c>
      <c r="BW12" s="150">
        <f t="shared" ca="1" si="28"/>
        <v>0</v>
      </c>
      <c r="BX12" s="152">
        <f ca="1">SUM(BV12:BW12)</f>
        <v>0</v>
      </c>
      <c r="BY12" s="767">
        <f ca="1">IF($G12="",0,SUMIFS(INDIRECT($CS12&amp;BY$16),INDIRECT($CS12&amp;"C:C"),$G12))+IF($G12="",0,SUMIFS(INDIRECT($CS12&amp;BY$18),INDIRECT($CS12&amp;"C:C"),$G12))+IF($G12="",0,SUMIFS(INDIRECT($CS12&amp;BY$20),INDIRECT($CS12&amp;"C:C"),$G12))</f>
        <v>0</v>
      </c>
      <c r="BZ12" s="150">
        <f t="shared" ca="1" si="29"/>
        <v>0</v>
      </c>
      <c r="CA12" s="150">
        <f t="shared" ca="1" si="29"/>
        <v>0</v>
      </c>
      <c r="CB12" s="150">
        <f t="shared" ca="1" si="29"/>
        <v>0</v>
      </c>
      <c r="CC12" s="150">
        <f t="shared" ca="1" si="29"/>
        <v>0</v>
      </c>
      <c r="CD12" s="150">
        <f t="shared" ca="1" si="29"/>
        <v>0</v>
      </c>
      <c r="CE12" s="767">
        <f ca="1">IF($G12="",0,SUMIFS(INDIRECT($CS12&amp;CE$16),INDIRECT($CS12&amp;"C:C"),$G12))+IF($G12="",0,SUMIFS(INDIRECT($CS12&amp;CE$18),INDIRECT($CS12&amp;"C:C"),$G12))</f>
        <v>0</v>
      </c>
      <c r="CF12" s="152">
        <f ca="1">SUM(BY12:CE12)</f>
        <v>0</v>
      </c>
      <c r="CG12" s="152">
        <f ca="1">SUM(BM12,BU12,BX12,CF12)</f>
        <v>641918.336159745</v>
      </c>
      <c r="CH12" s="150">
        <f ca="1">IF($G12="",0,SUMIFS(INDIRECT($CS12&amp;CH$16),INDIRECT($CS12&amp;"C:C"),$G12))+IF($G12="",0,SUMIFS(INDIRECT($CS12&amp;CH$18),INDIRECT($CS12&amp;"C:C"),$G12))</f>
        <v>0</v>
      </c>
      <c r="CI12" s="1397">
        <f t="shared" ca="1" si="30"/>
        <v>64191.833615974509</v>
      </c>
      <c r="CJ12" s="1397">
        <f t="shared" ca="1" si="30"/>
        <v>-134.87025789621521</v>
      </c>
      <c r="CK12" s="152">
        <f ca="1">SUM(CG12+CI12)</f>
        <v>706110.16977571952</v>
      </c>
      <c r="CL12" s="152">
        <f ca="1">IF(LEFT(G12, 1)="B",  SUM(CG12,CI12),SUM(CG12,CH12))</f>
        <v>641918.336159745</v>
      </c>
      <c r="CM12" s="152">
        <f ca="1">SUM(BM12,BU12)</f>
        <v>641918.336159745</v>
      </c>
      <c r="CN12" s="152">
        <f ca="1">SUM(CG12,CI12,CJ12)</f>
        <v>705975.29951782327</v>
      </c>
      <c r="CO12" s="167">
        <f ca="1">BL12+BP12</f>
        <v>86438.198338985618</v>
      </c>
      <c r="CP12" s="168">
        <f ca="1">BW12</f>
        <v>0</v>
      </c>
      <c r="CQ12" s="768">
        <f ca="1">SUM(BY12:CD12)</f>
        <v>0</v>
      </c>
      <c r="CS12" s="764" t="str">
        <f t="shared" si="10"/>
        <v>'CalcsYr3'!</v>
      </c>
    </row>
    <row r="13" spans="1:98" s="154" customFormat="1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3"/>
      <c r="CF13" s="192"/>
      <c r="CG13" s="192"/>
      <c r="CH13" s="192"/>
      <c r="CI13" s="192"/>
      <c r="CJ13" s="192"/>
      <c r="CK13" s="192"/>
      <c r="CL13" s="192"/>
      <c r="CM13" s="192"/>
      <c r="CN13" s="192"/>
      <c r="CO13" s="194"/>
      <c r="CP13" s="194"/>
      <c r="CQ13" s="192"/>
      <c r="CS13" s="764" t="str">
        <f t="shared" si="10"/>
        <v/>
      </c>
    </row>
    <row r="16" spans="1:98" s="764" customFormat="1">
      <c r="A16" s="771"/>
      <c r="B16" s="772"/>
      <c r="C16" s="772"/>
      <c r="D16" s="772"/>
      <c r="E16" s="772"/>
      <c r="F16" s="772"/>
      <c r="G16" s="772" t="s">
        <v>696</v>
      </c>
      <c r="H16" s="772"/>
      <c r="I16" s="772"/>
      <c r="J16" s="772"/>
      <c r="K16" s="772"/>
      <c r="L16" s="772"/>
      <c r="M16" s="772"/>
      <c r="N16" s="772"/>
      <c r="O16" s="772"/>
      <c r="P16" s="772"/>
      <c r="Q16" s="772"/>
      <c r="R16" s="772" t="s">
        <v>966</v>
      </c>
      <c r="S16" s="772"/>
      <c r="T16" s="772"/>
      <c r="U16" s="772"/>
      <c r="V16" s="772"/>
      <c r="W16" s="772" t="s">
        <v>967</v>
      </c>
      <c r="X16" s="772" t="s">
        <v>773</v>
      </c>
      <c r="Y16" s="772" t="s">
        <v>771</v>
      </c>
      <c r="Z16" s="772" t="s">
        <v>968</v>
      </c>
      <c r="AA16" s="772" t="s">
        <v>969</v>
      </c>
      <c r="AB16" s="772" t="s">
        <v>770</v>
      </c>
      <c r="AC16" s="772" t="s">
        <v>774</v>
      </c>
      <c r="AD16" s="772" t="s">
        <v>775</v>
      </c>
      <c r="AE16" s="772"/>
      <c r="AF16" s="772"/>
      <c r="AG16" s="772" t="s">
        <v>777</v>
      </c>
      <c r="AH16" s="772" t="s">
        <v>772</v>
      </c>
      <c r="AI16" s="772" t="s">
        <v>778</v>
      </c>
      <c r="AJ16" s="772" t="s">
        <v>779</v>
      </c>
      <c r="AK16" s="772" t="s">
        <v>781</v>
      </c>
      <c r="AL16" s="772" t="s">
        <v>776</v>
      </c>
      <c r="AM16" s="772" t="s">
        <v>782</v>
      </c>
      <c r="AN16" s="772" t="s">
        <v>783</v>
      </c>
      <c r="AO16" s="772" t="s">
        <v>785</v>
      </c>
      <c r="AP16" s="772" t="s">
        <v>780</v>
      </c>
      <c r="AQ16" s="772" t="s">
        <v>786</v>
      </c>
      <c r="AR16" s="772" t="s">
        <v>787</v>
      </c>
      <c r="AS16" s="772" t="s">
        <v>789</v>
      </c>
      <c r="AT16" s="772" t="s">
        <v>784</v>
      </c>
      <c r="AU16" s="772" t="s">
        <v>790</v>
      </c>
      <c r="AV16" s="772" t="s">
        <v>791</v>
      </c>
      <c r="AW16" s="772" t="s">
        <v>793</v>
      </c>
      <c r="AX16" s="772" t="s">
        <v>788</v>
      </c>
      <c r="AY16" s="772" t="s">
        <v>794</v>
      </c>
      <c r="AZ16" s="772" t="s">
        <v>795</v>
      </c>
      <c r="BA16" s="772" t="s">
        <v>796</v>
      </c>
      <c r="BB16" s="772" t="s">
        <v>792</v>
      </c>
      <c r="BC16" s="772" t="s">
        <v>797</v>
      </c>
      <c r="BD16" s="772" t="s">
        <v>798</v>
      </c>
      <c r="BE16" s="772" t="s">
        <v>818</v>
      </c>
      <c r="BF16" s="772" t="s">
        <v>800</v>
      </c>
      <c r="BG16" s="772" t="s">
        <v>801</v>
      </c>
      <c r="BH16" s="772" t="s">
        <v>802</v>
      </c>
      <c r="BI16" s="772" t="s">
        <v>803</v>
      </c>
      <c r="BJ16" s="772" t="s">
        <v>804</v>
      </c>
      <c r="BK16" s="772" t="s">
        <v>970</v>
      </c>
      <c r="BL16" s="772" t="s">
        <v>971</v>
      </c>
      <c r="BM16" s="772"/>
      <c r="BN16" s="772" t="s">
        <v>805</v>
      </c>
      <c r="BO16" s="772" t="s">
        <v>806</v>
      </c>
      <c r="BP16" s="772" t="s">
        <v>807</v>
      </c>
      <c r="BQ16" s="772" t="s">
        <v>808</v>
      </c>
      <c r="BR16" s="772" t="s">
        <v>809</v>
      </c>
      <c r="BS16" s="772" t="s">
        <v>810</v>
      </c>
      <c r="BT16" s="772" t="s">
        <v>972</v>
      </c>
      <c r="BU16" s="772"/>
      <c r="BV16" s="772" t="s">
        <v>973</v>
      </c>
      <c r="BW16" s="772" t="s">
        <v>974</v>
      </c>
      <c r="BX16" s="772"/>
      <c r="BY16" s="772" t="s">
        <v>819</v>
      </c>
      <c r="BZ16" s="772" t="s">
        <v>812</v>
      </c>
      <c r="CA16" s="772" t="s">
        <v>813</v>
      </c>
      <c r="CB16" s="772" t="s">
        <v>814</v>
      </c>
      <c r="CC16" s="772" t="s">
        <v>815</v>
      </c>
      <c r="CD16" s="772" t="s">
        <v>816</v>
      </c>
      <c r="CE16" s="772" t="s">
        <v>820</v>
      </c>
      <c r="CF16" s="772"/>
      <c r="CG16" s="772"/>
      <c r="CH16" s="772" t="s">
        <v>821</v>
      </c>
      <c r="CI16" s="772" t="s">
        <v>976</v>
      </c>
      <c r="CJ16" s="1395" t="s">
        <v>978</v>
      </c>
      <c r="CK16" s="772"/>
      <c r="CL16" s="772"/>
      <c r="CM16" s="772"/>
      <c r="CN16" s="772"/>
      <c r="CO16" s="773"/>
      <c r="CP16" s="773"/>
      <c r="CQ16" s="774"/>
    </row>
    <row r="17" spans="1:96" s="766" customFormat="1" ht="45.75" customHeight="1">
      <c r="A17" s="775"/>
      <c r="G17" s="766" t="s">
        <v>697</v>
      </c>
      <c r="R17" s="766" t="s">
        <v>222</v>
      </c>
      <c r="W17" s="766" t="s">
        <v>193</v>
      </c>
      <c r="X17" s="766" t="s">
        <v>194</v>
      </c>
      <c r="Y17" s="766" t="s">
        <v>167</v>
      </c>
      <c r="Z17" s="766" t="s">
        <v>165</v>
      </c>
      <c r="AA17" s="766" t="s">
        <v>151</v>
      </c>
      <c r="AB17" s="766" t="s">
        <v>166</v>
      </c>
      <c r="AC17" s="766" t="s">
        <v>197</v>
      </c>
      <c r="AD17" s="766" t="s">
        <v>205</v>
      </c>
      <c r="AG17" s="766" t="s">
        <v>198</v>
      </c>
      <c r="AH17" s="766" t="s">
        <v>206</v>
      </c>
      <c r="AI17" s="766" t="s">
        <v>199</v>
      </c>
      <c r="AJ17" s="766" t="s">
        <v>207</v>
      </c>
      <c r="AK17" s="766" t="s">
        <v>200</v>
      </c>
      <c r="AL17" s="766" t="s">
        <v>208</v>
      </c>
      <c r="AM17" s="766" t="s">
        <v>201</v>
      </c>
      <c r="AN17" s="766" t="s">
        <v>209</v>
      </c>
      <c r="AO17" s="766" t="s">
        <v>202</v>
      </c>
      <c r="AP17" s="766" t="s">
        <v>210</v>
      </c>
      <c r="AQ17" s="766" t="s">
        <v>259</v>
      </c>
      <c r="AR17" s="766" t="s">
        <v>257</v>
      </c>
      <c r="AS17" s="766" t="s">
        <v>260</v>
      </c>
      <c r="AT17" s="766" t="s">
        <v>258</v>
      </c>
      <c r="AU17" s="766" t="s">
        <v>265</v>
      </c>
      <c r="AV17" s="766" t="s">
        <v>263</v>
      </c>
      <c r="AW17" s="766" t="s">
        <v>266</v>
      </c>
      <c r="AX17" s="766" t="s">
        <v>264</v>
      </c>
      <c r="AY17" s="766" t="s">
        <v>269</v>
      </c>
      <c r="AZ17" s="766" t="s">
        <v>267</v>
      </c>
      <c r="BA17" s="766" t="s">
        <v>270</v>
      </c>
      <c r="BB17" s="766" t="s">
        <v>268</v>
      </c>
      <c r="BC17" s="766" t="s">
        <v>278</v>
      </c>
      <c r="BD17" s="766" t="s">
        <v>279</v>
      </c>
      <c r="BE17" s="766" t="s">
        <v>262</v>
      </c>
      <c r="BF17" s="766" t="s">
        <v>204</v>
      </c>
      <c r="BG17" s="766" t="s">
        <v>174</v>
      </c>
      <c r="BH17" s="766" t="s">
        <v>175</v>
      </c>
      <c r="BI17" s="766" t="s">
        <v>176</v>
      </c>
      <c r="BJ17" s="766" t="s">
        <v>177</v>
      </c>
      <c r="BK17" s="766" t="s">
        <v>433</v>
      </c>
      <c r="BL17" s="766" t="s">
        <v>182</v>
      </c>
      <c r="BN17" s="766" t="s">
        <v>186</v>
      </c>
      <c r="BO17" s="766" t="s">
        <v>188</v>
      </c>
      <c r="BP17" s="766" t="s">
        <v>187</v>
      </c>
      <c r="BQ17" s="766" t="s">
        <v>532</v>
      </c>
      <c r="BR17" s="766" t="s">
        <v>531</v>
      </c>
      <c r="BS17" s="766" t="s">
        <v>190</v>
      </c>
      <c r="BT17" s="766" t="s">
        <v>191</v>
      </c>
      <c r="BV17" s="766" t="s">
        <v>192</v>
      </c>
      <c r="BW17" s="766" t="s">
        <v>159</v>
      </c>
      <c r="BY17" s="766" t="s">
        <v>29</v>
      </c>
      <c r="BZ17" s="766" t="s">
        <v>632</v>
      </c>
      <c r="CA17" s="766" t="s">
        <v>65</v>
      </c>
      <c r="CB17" s="766" t="s">
        <v>30</v>
      </c>
      <c r="CC17" s="766" t="s">
        <v>114</v>
      </c>
      <c r="CD17" s="766" t="s">
        <v>378</v>
      </c>
      <c r="CE17" s="766" t="s">
        <v>49</v>
      </c>
      <c r="CH17" s="766" t="s">
        <v>540</v>
      </c>
      <c r="CI17" s="766" t="s">
        <v>432</v>
      </c>
      <c r="CJ17" s="1396" t="s">
        <v>977</v>
      </c>
      <c r="CO17" s="770"/>
      <c r="CP17" s="770"/>
      <c r="CQ17" s="776"/>
    </row>
    <row r="18" spans="1:96" s="766" customFormat="1">
      <c r="A18" s="775"/>
      <c r="G18" s="764" t="s">
        <v>698</v>
      </c>
      <c r="BE18" s="764" t="s">
        <v>799</v>
      </c>
      <c r="BY18" s="764" t="s">
        <v>822</v>
      </c>
      <c r="CE18" s="764" t="s">
        <v>975</v>
      </c>
      <c r="CH18" s="764" t="s">
        <v>817</v>
      </c>
      <c r="CO18" s="770"/>
      <c r="CP18" s="770"/>
      <c r="CQ18" s="776"/>
    </row>
    <row r="19" spans="1:96" s="766" customFormat="1" ht="42.75">
      <c r="A19" s="775"/>
      <c r="G19" s="766" t="s">
        <v>699</v>
      </c>
      <c r="BE19" s="766" t="s">
        <v>203</v>
      </c>
      <c r="BN19" s="1413">
        <f ca="1">BN2/ADRYr1!$G$5</f>
        <v>5.3181660369007275</v>
      </c>
      <c r="BO19" s="1413">
        <f ca="1">BO2/ADRYr1!$G$5</f>
        <v>0</v>
      </c>
      <c r="BP19" s="1413">
        <f ca="1">BP2/ADRYr1!$G$5</f>
        <v>11.357942445921196</v>
      </c>
      <c r="BQ19" s="1413">
        <f ca="1">BQ2/ADRYr1!$G$5</f>
        <v>0</v>
      </c>
      <c r="BR19" s="1413">
        <f ca="1">BR2/ADRYr1!$G$5</f>
        <v>49.251488314343717</v>
      </c>
      <c r="BS19" s="1413">
        <f ca="1">BS2/ADRYr1!$G$5</f>
        <v>0</v>
      </c>
      <c r="BT19" s="1413">
        <f ca="1">BT2/ADRYr1!$G$5</f>
        <v>42.666008827620068</v>
      </c>
      <c r="BU19" s="1413">
        <f ca="1">BU2/ADRYr1!$G$5</f>
        <v>108.59360562478571</v>
      </c>
      <c r="BV19" s="1413">
        <f ca="1">BV2/ADRYr1!$G$5</f>
        <v>0</v>
      </c>
      <c r="BW19" s="1413">
        <f ca="1">BW2/ADRYr1!$G$5</f>
        <v>0</v>
      </c>
      <c r="BY19" s="766" t="s">
        <v>377</v>
      </c>
      <c r="CE19" s="766" t="s">
        <v>50</v>
      </c>
      <c r="CH19" s="766" t="s">
        <v>551</v>
      </c>
      <c r="CO19" s="770"/>
      <c r="CP19" s="770"/>
      <c r="CQ19" s="776"/>
    </row>
    <row r="20" spans="1:96" s="766" customFormat="1">
      <c r="A20" s="775"/>
      <c r="G20" s="764" t="s">
        <v>701</v>
      </c>
      <c r="BY20" s="764" t="s">
        <v>811</v>
      </c>
      <c r="CO20" s="770"/>
      <c r="CP20" s="770"/>
      <c r="CQ20" s="776"/>
    </row>
    <row r="21" spans="1:96" s="766" customFormat="1" ht="28.5">
      <c r="A21" s="775"/>
      <c r="G21" s="766" t="s">
        <v>702</v>
      </c>
      <c r="BY21" s="766" t="s">
        <v>676</v>
      </c>
      <c r="CO21" s="770"/>
      <c r="CP21" s="770"/>
      <c r="CQ21" s="776"/>
    </row>
    <row r="22" spans="1:96" s="764" customFormat="1">
      <c r="A22" s="777"/>
      <c r="B22" s="778"/>
      <c r="C22" s="778"/>
      <c r="D22" s="778"/>
      <c r="E22" s="778"/>
      <c r="F22" s="778"/>
      <c r="G22" s="778" t="s">
        <v>52</v>
      </c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9" t="s">
        <v>695</v>
      </c>
      <c r="AH22" s="779" t="s">
        <v>695</v>
      </c>
      <c r="AI22" s="778"/>
      <c r="AJ22" s="778"/>
      <c r="AK22" s="778"/>
      <c r="AL22" s="778"/>
      <c r="AM22" s="778"/>
      <c r="AN22" s="778"/>
      <c r="AO22" s="778"/>
      <c r="AP22" s="778"/>
      <c r="AQ22" s="778"/>
      <c r="AR22" s="778"/>
      <c r="AS22" s="778"/>
      <c r="AT22" s="778"/>
      <c r="AU22" s="778"/>
      <c r="AV22" s="778"/>
      <c r="AW22" s="778"/>
      <c r="AX22" s="778"/>
      <c r="AY22" s="778"/>
      <c r="AZ22" s="778"/>
      <c r="BA22" s="778"/>
      <c r="BB22" s="778"/>
      <c r="BC22" s="778"/>
      <c r="BD22" s="778"/>
      <c r="BE22" s="779" t="s">
        <v>700</v>
      </c>
      <c r="BF22" s="778"/>
      <c r="BG22" s="778"/>
      <c r="BH22" s="778"/>
      <c r="BI22" s="778"/>
      <c r="BJ22" s="778"/>
      <c r="BK22" s="778"/>
      <c r="BL22" s="778"/>
      <c r="BM22" s="778"/>
      <c r="BN22" s="778"/>
      <c r="BO22" s="778"/>
      <c r="BP22" s="778"/>
      <c r="BQ22" s="778"/>
      <c r="BR22" s="778"/>
      <c r="BS22" s="778"/>
      <c r="BT22" s="778"/>
      <c r="BU22" s="778"/>
      <c r="BV22" s="778"/>
      <c r="BW22" s="778"/>
      <c r="BX22" s="778"/>
      <c r="BY22" s="779" t="s">
        <v>700</v>
      </c>
      <c r="BZ22" s="778"/>
      <c r="CA22" s="778"/>
      <c r="CB22" s="778"/>
      <c r="CC22" s="778"/>
      <c r="CD22" s="778"/>
      <c r="CE22" s="779" t="s">
        <v>700</v>
      </c>
      <c r="CF22" s="793" t="s">
        <v>710</v>
      </c>
      <c r="CG22" s="779"/>
      <c r="CH22" s="793" t="s">
        <v>709</v>
      </c>
      <c r="CI22" s="779"/>
      <c r="CJ22" s="779"/>
      <c r="CK22" s="779"/>
      <c r="CL22" s="779"/>
      <c r="CM22" s="779"/>
      <c r="CN22" s="779"/>
      <c r="CO22" s="794"/>
      <c r="CP22" s="794"/>
      <c r="CQ22" s="795" t="s">
        <v>705</v>
      </c>
      <c r="CR22" s="765"/>
    </row>
    <row r="23" spans="1:96">
      <c r="R23" s="762"/>
    </row>
  </sheetData>
  <autoFilter ref="A1:CQ1"/>
  <dataValidations count="1">
    <dataValidation type="list" allowBlank="1" showInputMessage="1" showErrorMessage="1" sqref="E10:E12 E6:E8 E2:E4">
      <formula1>Sector</formula1>
    </dataValidation>
  </dataValidations>
  <pageMargins left="0.7" right="0.7" top="0.75" bottom="0.75" header="0.3" footer="0.3"/>
  <pageSetup scale="47" fitToWidth="8" fitToHeight="3" pageOrder="overThenDown" orientation="landscape" r:id="rId1"/>
  <colBreaks count="1" manualBreakCount="1">
    <brk id="74" max="1048575" man="1"/>
  </colBreaks>
  <ignoredErrors>
    <ignoredError sqref="P10" 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Lookups!$E$143:$E$172</xm:f>
          </x14:formula1>
          <xm:sqref>F6:F8 F2:F4 F10:F12</xm:sqref>
        </x14:dataValidation>
        <x14:dataValidation type="list" allowBlank="1" showInputMessage="1" showErrorMessage="1">
          <x14:formula1>
            <xm:f>Lookups!$E$195:$E$245</xm:f>
          </x14:formula1>
          <xm:sqref>G6:G8 G2:G4 G10:G12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7E8530C0F58540860883E05C4A1A03" ma:contentTypeVersion="8" ma:contentTypeDescription="Create a new document." ma:contentTypeScope="" ma:versionID="eb60809ec429efd15525631142812f79">
  <xsd:schema xmlns:xsd="http://www.w3.org/2001/XMLSchema" xmlns:xs="http://www.w3.org/2001/XMLSchema" xmlns:p="http://schemas.microsoft.com/office/2006/metadata/properties" xmlns:ns3="54f6e1ca-96d2-4c0d-b3b5-303475942bd7" targetNamespace="http://schemas.microsoft.com/office/2006/metadata/properties" ma:root="true" ma:fieldsID="fb297164f495c8372e414b1f86365d1f" ns3:_="">
    <xsd:import namespace="54f6e1ca-96d2-4c0d-b3b5-303475942b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6e1ca-96d2-4c0d-b3b5-303475942b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13122E-66AA-487C-B8E2-1673843473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209C3B-85B1-42D9-A119-EF342D7367DC}">
  <ds:schemaRefs>
    <ds:schemaRef ds:uri="http://purl.org/dc/elements/1.1/"/>
    <ds:schemaRef ds:uri="http://www.w3.org/XML/1998/namespace"/>
    <ds:schemaRef ds:uri="54f6e1ca-96d2-4c0d-b3b5-303475942bd7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85004C5-1F9F-4461-BDEE-D670BF2C43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6e1ca-96d2-4c0d-b3b5-303475942b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89</vt:i4>
      </vt:variant>
    </vt:vector>
  </HeadingPairs>
  <TitlesOfParts>
    <vt:vector size="105" baseType="lpstr">
      <vt:lpstr>Lookups</vt:lpstr>
      <vt:lpstr>Costs</vt:lpstr>
      <vt:lpstr>ADRYr1</vt:lpstr>
      <vt:lpstr>ADRYr2</vt:lpstr>
      <vt:lpstr>ADRYr3</vt:lpstr>
      <vt:lpstr>CalcsYr1</vt:lpstr>
      <vt:lpstr>CalcsYr2</vt:lpstr>
      <vt:lpstr>CalcsYr3</vt:lpstr>
      <vt:lpstr>Master Data</vt:lpstr>
      <vt:lpstr>AESC</vt:lpstr>
      <vt:lpstr>DemandLookups</vt:lpstr>
      <vt:lpstr>AvoidedDemand</vt:lpstr>
      <vt:lpstr>AvoidedEnergy</vt:lpstr>
      <vt:lpstr>1. Att E1 Cost Eff</vt:lpstr>
      <vt:lpstr>2. Att E1 Ben</vt:lpstr>
      <vt:lpstr>3. Att E1 PI</vt:lpstr>
      <vt:lpstr>AveLoss</vt:lpstr>
      <vt:lpstr>avoidedcosttbl</vt:lpstr>
      <vt:lpstr>avoidedcosttbl2</vt:lpstr>
      <vt:lpstr>avoidedcosttbl3</vt:lpstr>
      <vt:lpstr>avoidedcosttblADM</vt:lpstr>
      <vt:lpstr>avoidedcosttblADMcapDRIPEYr1</vt:lpstr>
      <vt:lpstr>avoidedcosttblADMcapDRIPEYr2</vt:lpstr>
      <vt:lpstr>avoidedcosttblADMcapDRIPEYr3</vt:lpstr>
      <vt:lpstr>avoidedcosttblADMcapYr1</vt:lpstr>
      <vt:lpstr>avoidedcosttblADMcapYr2</vt:lpstr>
      <vt:lpstr>avoidedcosttblADMcapYr3</vt:lpstr>
      <vt:lpstr>avoidedcosttblADMkey</vt:lpstr>
      <vt:lpstr>CD</vt:lpstr>
      <vt:lpstr>ciwater1</vt:lpstr>
      <vt:lpstr>ciwater2</vt:lpstr>
      <vt:lpstr>ciwater3</vt:lpstr>
      <vt:lpstr>DistributionLosses</vt:lpstr>
      <vt:lpstr>distributionyear1</vt:lpstr>
      <vt:lpstr>distributionyear2</vt:lpstr>
      <vt:lpstr>distributionyear3</vt:lpstr>
      <vt:lpstr>ECD</vt:lpstr>
      <vt:lpstr>ED</vt:lpstr>
      <vt:lpstr>EE</vt:lpstr>
      <vt:lpstr>ElecProg</vt:lpstr>
      <vt:lpstr>EndUse</vt:lpstr>
      <vt:lpstr>FCMbid</vt:lpstr>
      <vt:lpstr>FE</vt:lpstr>
      <vt:lpstr>FEpercent</vt:lpstr>
      <vt:lpstr>FuelList</vt:lpstr>
      <vt:lpstr>GasProg</vt:lpstr>
      <vt:lpstr>GD</vt:lpstr>
      <vt:lpstr>GECD</vt:lpstr>
      <vt:lpstr>Half_Year</vt:lpstr>
      <vt:lpstr>Inflation1</vt:lpstr>
      <vt:lpstr>Inflation2</vt:lpstr>
      <vt:lpstr>Inflation3</vt:lpstr>
      <vt:lpstr>KerE</vt:lpstr>
      <vt:lpstr>KeroseneCO2</vt:lpstr>
      <vt:lpstr>KerosenseCO2</vt:lpstr>
      <vt:lpstr>Load_Shape_Demand</vt:lpstr>
      <vt:lpstr>MasterData</vt:lpstr>
      <vt:lpstr>NEIadder</vt:lpstr>
      <vt:lpstr>NGCO2</vt:lpstr>
      <vt:lpstr>NGE</vt:lpstr>
      <vt:lpstr>nomdiscrt1</vt:lpstr>
      <vt:lpstr>nomdiscrt2</vt:lpstr>
      <vt:lpstr>nomdiscrt3</vt:lpstr>
      <vt:lpstr>OilCO2</vt:lpstr>
      <vt:lpstr>OilDRIPE</vt:lpstr>
      <vt:lpstr>OilE</vt:lpstr>
      <vt:lpstr>PA</vt:lpstr>
      <vt:lpstr>'1. Att E1 Cost Eff'!Print_Area</vt:lpstr>
      <vt:lpstr>'2. Att E1 Ben'!Print_Area</vt:lpstr>
      <vt:lpstr>'3. Att E1 PI'!Print_Area</vt:lpstr>
      <vt:lpstr>CalcsYr1!Print_Area</vt:lpstr>
      <vt:lpstr>CalcsYr2!Print_Area</vt:lpstr>
      <vt:lpstr>CalcsYr3!Print_Area</vt:lpstr>
      <vt:lpstr>Costs!Print_Titles</vt:lpstr>
      <vt:lpstr>PropaneCO2</vt:lpstr>
      <vt:lpstr>PropCO2</vt:lpstr>
      <vt:lpstr>PropE</vt:lpstr>
      <vt:lpstr>PTF_Year</vt:lpstr>
      <vt:lpstr>PTFlosses</vt:lpstr>
      <vt:lpstr>PTFyear1</vt:lpstr>
      <vt:lpstr>PTFyear2</vt:lpstr>
      <vt:lpstr>PTFyear3</vt:lpstr>
      <vt:lpstr>Real_Year</vt:lpstr>
      <vt:lpstr>realdiscrt1</vt:lpstr>
      <vt:lpstr>realdiscrt2</vt:lpstr>
      <vt:lpstr>realdiscrt3</vt:lpstr>
      <vt:lpstr>Reliability</vt:lpstr>
      <vt:lpstr>reswater1</vt:lpstr>
      <vt:lpstr>reswater2</vt:lpstr>
      <vt:lpstr>reswater3</vt:lpstr>
      <vt:lpstr>RGGI</vt:lpstr>
      <vt:lpstr>Sector</vt:lpstr>
      <vt:lpstr>SumOffPeakEnergyLL</vt:lpstr>
      <vt:lpstr>SumPeakEnergyLL</vt:lpstr>
      <vt:lpstr>TD_Year</vt:lpstr>
      <vt:lpstr>transmissionyear1</vt:lpstr>
      <vt:lpstr>transmissionyear2</vt:lpstr>
      <vt:lpstr>transmissionyear3</vt:lpstr>
      <vt:lpstr>WholesaleRiskPremium</vt:lpstr>
      <vt:lpstr>WntOffPeakEnergyLL</vt:lpstr>
      <vt:lpstr>WntPeakEnergyLL</vt:lpstr>
      <vt:lpstr>Wt_Year</vt:lpstr>
      <vt:lpstr>Year1</vt:lpstr>
      <vt:lpstr>Year2</vt:lpstr>
      <vt:lpstr>Year3</vt:lpstr>
    </vt:vector>
  </TitlesOfParts>
  <Company>NSTAR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Brandy Chambers;Erin Malone;Kim Crossman</dc:creator>
  <cp:lastModifiedBy>Downes, Mary</cp:lastModifiedBy>
  <cp:lastPrinted>2019-10-02T20:54:17Z</cp:lastPrinted>
  <dcterms:created xsi:type="dcterms:W3CDTF">2013-01-31T16:55:03Z</dcterms:created>
  <dcterms:modified xsi:type="dcterms:W3CDTF">2020-09-01T21:24:28Z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0x0101000A7E8530C0F58540860883E05C4A1A03</vt:lpwstr>
  </property>
</Properties>
</file>